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8A14E4EF-DAFF-47DF-BA6D-B8ABDDA5EB48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_FilterDatabase" localSheetId="4" hidden="1">'05 Activité Consolidée'!$A$11:$A$25</definedName>
    <definedName name="_xlnm.Print_Area" localSheetId="0">'01 Prod Physique Boites'!$A$1:$O$2395</definedName>
    <definedName name="_xlnm.Print_Area" localSheetId="1">'02 Prod Valorisée Boites'!$A$1:$J$2415</definedName>
    <definedName name="_xlnm.Print_Area" localSheetId="2">'03 Prod Accessoires'!$A$1:$Q$1317</definedName>
    <definedName name="_xlnm.Print_Area" localSheetId="3">'04 Ventes'!$A$1:$I$1737</definedName>
    <definedName name="_xlnm.Print_Area" localSheetId="4">'05 Activité Consolidée'!$A$1:$L$25</definedName>
    <definedName name="_xlnm.Print_Area" localSheetId="5">'06 TRS'!$A$1:$T$481</definedName>
    <definedName name="_xlnm.Print_Area" localSheetId="6">'07 Graphique'!$A$1:$T$42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3" i="1" l="1"/>
  <c r="F1707" i="16" l="1"/>
  <c r="I1707" i="16" s="1"/>
  <c r="H1707" i="16"/>
  <c r="F1702" i="16"/>
  <c r="I1702" i="16" s="1"/>
  <c r="E1691" i="16"/>
  <c r="E1699" i="16" l="1"/>
  <c r="E1695" i="16"/>
  <c r="I2349" i="1" l="1"/>
  <c r="H2349" i="1"/>
  <c r="E1715" i="16"/>
  <c r="E1710" i="16"/>
  <c r="E1713" i="16"/>
  <c r="H1729" i="16"/>
  <c r="F1729" i="16"/>
  <c r="I1729" i="16" s="1"/>
  <c r="E1658" i="16" l="1"/>
  <c r="H1264" i="17" l="1"/>
  <c r="G1264" i="17"/>
  <c r="I2303" i="1"/>
  <c r="H2303" i="1"/>
  <c r="F2391" i="1"/>
  <c r="F2392" i="1" s="1"/>
  <c r="E2391" i="1"/>
  <c r="E2392" i="1" s="1"/>
  <c r="I2390" i="1"/>
  <c r="H2390" i="1"/>
  <c r="G2389" i="1"/>
  <c r="J2389" i="1" s="1"/>
  <c r="G2388" i="1"/>
  <c r="I2387" i="1"/>
  <c r="H2387" i="1"/>
  <c r="G2386" i="1"/>
  <c r="J2386" i="1" s="1"/>
  <c r="G2385" i="1"/>
  <c r="J2385" i="1" s="1"/>
  <c r="G2384" i="1"/>
  <c r="G2387" i="1" s="1"/>
  <c r="J2387" i="1" s="1"/>
  <c r="I2383" i="1"/>
  <c r="H2383" i="1"/>
  <c r="G2382" i="1"/>
  <c r="J2382" i="1" s="1"/>
  <c r="G2381" i="1"/>
  <c r="J2381" i="1" s="1"/>
  <c r="G2380" i="1"/>
  <c r="J2380" i="1" s="1"/>
  <c r="G2379" i="1"/>
  <c r="J2379" i="1" s="1"/>
  <c r="G2378" i="1"/>
  <c r="J2378" i="1" s="1"/>
  <c r="I2377" i="1"/>
  <c r="H2377" i="1"/>
  <c r="G2376" i="1"/>
  <c r="J2376" i="1" s="1"/>
  <c r="G2375" i="1"/>
  <c r="G2377" i="1" s="1"/>
  <c r="J2377" i="1" s="1"/>
  <c r="I2374" i="1"/>
  <c r="H2374" i="1"/>
  <c r="J2373" i="1"/>
  <c r="G2373" i="1"/>
  <c r="G2372" i="1"/>
  <c r="J2372" i="1" s="1"/>
  <c r="J2371" i="1"/>
  <c r="G2371" i="1"/>
  <c r="G2370" i="1"/>
  <c r="J2370" i="1" s="1"/>
  <c r="I2369" i="1"/>
  <c r="H2369" i="1"/>
  <c r="G2368" i="1"/>
  <c r="J2368" i="1" s="1"/>
  <c r="G2367" i="1"/>
  <c r="J2367" i="1" s="1"/>
  <c r="G2366" i="1"/>
  <c r="F2365" i="1"/>
  <c r="F2364" i="1"/>
  <c r="E2364" i="1"/>
  <c r="E2365" i="1" s="1"/>
  <c r="G2363" i="1"/>
  <c r="J2363" i="1" s="1"/>
  <c r="I2361" i="1"/>
  <c r="H2361" i="1"/>
  <c r="G2360" i="1"/>
  <c r="J2360" i="1" s="1"/>
  <c r="J2359" i="1"/>
  <c r="G2359" i="1"/>
  <c r="G2358" i="1"/>
  <c r="I2357" i="1"/>
  <c r="H2357" i="1"/>
  <c r="G2356" i="1"/>
  <c r="J2356" i="1" s="1"/>
  <c r="J2355" i="1"/>
  <c r="G2355" i="1"/>
  <c r="G2354" i="1"/>
  <c r="I2352" i="1"/>
  <c r="H2352" i="1"/>
  <c r="G2351" i="1"/>
  <c r="J2351" i="1" s="1"/>
  <c r="G2350" i="1"/>
  <c r="J2350" i="1" s="1"/>
  <c r="G2349" i="1"/>
  <c r="I2348" i="1"/>
  <c r="H2348" i="1"/>
  <c r="G2347" i="1"/>
  <c r="J2347" i="1" s="1"/>
  <c r="G2346" i="1"/>
  <c r="J2346" i="1" s="1"/>
  <c r="G2345" i="1"/>
  <c r="J2345" i="1" s="1"/>
  <c r="G2344" i="1"/>
  <c r="J2344" i="1" s="1"/>
  <c r="G2343" i="1"/>
  <c r="J2343" i="1" s="1"/>
  <c r="J2342" i="1"/>
  <c r="G2342" i="1"/>
  <c r="G2341" i="1"/>
  <c r="J2341" i="1" s="1"/>
  <c r="G2340" i="1"/>
  <c r="J2340" i="1" s="1"/>
  <c r="J2339" i="1"/>
  <c r="G2339" i="1"/>
  <c r="F2337" i="1"/>
  <c r="I2336" i="1"/>
  <c r="H2336" i="1"/>
  <c r="G2335" i="1"/>
  <c r="J2335" i="1" s="1"/>
  <c r="J2334" i="1"/>
  <c r="G2334" i="1"/>
  <c r="G2333" i="1"/>
  <c r="J2333" i="1" s="1"/>
  <c r="J2332" i="1"/>
  <c r="G2332" i="1"/>
  <c r="G2331" i="1"/>
  <c r="J2331" i="1" s="1"/>
  <c r="G2330" i="1"/>
  <c r="J2330" i="1" s="1"/>
  <c r="G2329" i="1"/>
  <c r="J2329" i="1" s="1"/>
  <c r="G2328" i="1"/>
  <c r="J2328" i="1" s="1"/>
  <c r="I2327" i="1"/>
  <c r="H2327" i="1"/>
  <c r="H2337" i="1" s="1"/>
  <c r="E2327" i="1"/>
  <c r="E2337" i="1" s="1"/>
  <c r="G2326" i="1"/>
  <c r="J2326" i="1" s="1"/>
  <c r="G2325" i="1"/>
  <c r="J2325" i="1" s="1"/>
  <c r="G2324" i="1"/>
  <c r="J2324" i="1" s="1"/>
  <c r="J2323" i="1"/>
  <c r="G2323" i="1"/>
  <c r="I2321" i="1"/>
  <c r="H2321" i="1"/>
  <c r="E2321" i="1"/>
  <c r="J2320" i="1"/>
  <c r="G2320" i="1"/>
  <c r="G2319" i="1"/>
  <c r="J2319" i="1" s="1"/>
  <c r="J2318" i="1"/>
  <c r="G2318" i="1"/>
  <c r="G2321" i="1" s="1"/>
  <c r="J2321" i="1" s="1"/>
  <c r="I2317" i="1"/>
  <c r="H2317" i="1"/>
  <c r="F2317" i="1"/>
  <c r="F2322" i="1" s="1"/>
  <c r="F2338" i="1" s="1"/>
  <c r="E2317" i="1"/>
  <c r="G2316" i="1"/>
  <c r="G2315" i="1"/>
  <c r="J2315" i="1" s="1"/>
  <c r="G2314" i="1"/>
  <c r="I2313" i="1"/>
  <c r="H2313" i="1"/>
  <c r="E2313" i="1"/>
  <c r="J2312" i="1"/>
  <c r="G2312" i="1"/>
  <c r="G2311" i="1"/>
  <c r="J2311" i="1" s="1"/>
  <c r="J2310" i="1"/>
  <c r="G2310" i="1"/>
  <c r="G2309" i="1"/>
  <c r="J2309" i="1" s="1"/>
  <c r="J2308" i="1"/>
  <c r="G2308" i="1"/>
  <c r="G2307" i="1"/>
  <c r="J2307" i="1" s="1"/>
  <c r="J2306" i="1"/>
  <c r="G2306" i="1"/>
  <c r="G2313" i="1" s="1"/>
  <c r="J2313" i="1" s="1"/>
  <c r="J2304" i="1"/>
  <c r="G2304" i="1"/>
  <c r="I2305" i="1"/>
  <c r="H2305" i="1"/>
  <c r="G2303" i="1"/>
  <c r="J2303" i="1" s="1"/>
  <c r="G2302" i="1"/>
  <c r="J2302" i="1" s="1"/>
  <c r="G2301" i="1"/>
  <c r="J2301" i="1" s="1"/>
  <c r="J2300" i="1"/>
  <c r="G2300" i="1"/>
  <c r="G2299" i="1"/>
  <c r="J2299" i="1" s="1"/>
  <c r="J2298" i="1"/>
  <c r="G2298" i="1"/>
  <c r="I2297" i="1"/>
  <c r="H2297" i="1"/>
  <c r="G2296" i="1"/>
  <c r="J2296" i="1" s="1"/>
  <c r="G2295" i="1"/>
  <c r="J2295" i="1" s="1"/>
  <c r="G2294" i="1"/>
  <c r="J2294" i="1" s="1"/>
  <c r="G2293" i="1"/>
  <c r="J2293" i="1" s="1"/>
  <c r="F2410" i="13"/>
  <c r="F2409" i="13"/>
  <c r="F2407" i="13"/>
  <c r="F2406" i="13"/>
  <c r="I2406" i="13" s="1"/>
  <c r="F2405" i="13"/>
  <c r="I2405" i="13" s="1"/>
  <c r="F2403" i="13"/>
  <c r="I2403" i="13" s="1"/>
  <c r="F2402" i="13"/>
  <c r="I2402" i="13" s="1"/>
  <c r="F2401" i="13"/>
  <c r="I2401" i="13" s="1"/>
  <c r="F2400" i="13"/>
  <c r="I2400" i="13" s="1"/>
  <c r="F2399" i="13"/>
  <c r="I2399" i="13" s="1"/>
  <c r="F2397" i="13"/>
  <c r="F2396" i="13"/>
  <c r="I2396" i="13" s="1"/>
  <c r="F2394" i="13"/>
  <c r="F2393" i="13"/>
  <c r="I2393" i="13" s="1"/>
  <c r="F2392" i="13"/>
  <c r="F2391" i="13"/>
  <c r="I2391" i="13" s="1"/>
  <c r="F2389" i="13"/>
  <c r="F2388" i="13"/>
  <c r="I2388" i="13" s="1"/>
  <c r="F2387" i="13"/>
  <c r="F2384" i="13"/>
  <c r="I2384" i="13" s="1"/>
  <c r="F2381" i="13"/>
  <c r="F2380" i="13"/>
  <c r="I2380" i="13" s="1"/>
  <c r="F2379" i="13"/>
  <c r="F2377" i="13"/>
  <c r="I2377" i="13" s="1"/>
  <c r="F2376" i="13"/>
  <c r="I2376" i="13" s="1"/>
  <c r="F2375" i="13"/>
  <c r="F2372" i="13"/>
  <c r="I2372" i="13" s="1"/>
  <c r="F2371" i="13"/>
  <c r="I2371" i="13" s="1"/>
  <c r="F2370" i="13"/>
  <c r="I2370" i="13" s="1"/>
  <c r="F2368" i="13"/>
  <c r="I2368" i="13" s="1"/>
  <c r="F2367" i="13"/>
  <c r="I2367" i="13" s="1"/>
  <c r="F2366" i="13"/>
  <c r="F2365" i="13"/>
  <c r="I2365" i="13" s="1"/>
  <c r="F2364" i="13"/>
  <c r="F2363" i="13"/>
  <c r="I2363" i="13" s="1"/>
  <c r="F2362" i="13"/>
  <c r="I2362" i="13" s="1"/>
  <c r="F2361" i="13"/>
  <c r="I2361" i="13" s="1"/>
  <c r="F2360" i="13"/>
  <c r="I2360" i="13" s="1"/>
  <c r="F2356" i="13"/>
  <c r="F2355" i="13"/>
  <c r="I2355" i="13" s="1"/>
  <c r="F2354" i="13"/>
  <c r="F2353" i="13"/>
  <c r="I2353" i="13" s="1"/>
  <c r="F2352" i="13"/>
  <c r="F2351" i="13"/>
  <c r="I2351" i="13" s="1"/>
  <c r="F2350" i="13"/>
  <c r="I2350" i="13" s="1"/>
  <c r="F2349" i="13"/>
  <c r="I2349" i="13" s="1"/>
  <c r="F2347" i="13"/>
  <c r="I2347" i="13" s="1"/>
  <c r="F2346" i="13"/>
  <c r="I2346" i="13" s="1"/>
  <c r="F2345" i="13"/>
  <c r="F2344" i="13"/>
  <c r="I2344" i="13" s="1"/>
  <c r="F2341" i="13"/>
  <c r="F2340" i="13"/>
  <c r="I2340" i="13" s="1"/>
  <c r="F2339" i="13"/>
  <c r="F2337" i="13"/>
  <c r="F2336" i="13"/>
  <c r="I2336" i="13" s="1"/>
  <c r="F2335" i="13"/>
  <c r="F2333" i="13"/>
  <c r="F2332" i="13"/>
  <c r="I2332" i="13" s="1"/>
  <c r="F2331" i="13"/>
  <c r="F2330" i="13"/>
  <c r="I2330" i="13" s="1"/>
  <c r="F2329" i="13"/>
  <c r="F2328" i="13"/>
  <c r="I2328" i="13" s="1"/>
  <c r="F2327" i="13"/>
  <c r="F2325" i="13"/>
  <c r="I2325" i="13" s="1"/>
  <c r="F2324" i="13"/>
  <c r="I2324" i="13" s="1"/>
  <c r="F2323" i="13"/>
  <c r="F2322" i="13"/>
  <c r="I2322" i="13" s="1"/>
  <c r="F2321" i="13"/>
  <c r="F2320" i="13"/>
  <c r="I2320" i="13" s="1"/>
  <c r="F2319" i="13"/>
  <c r="I2319" i="13" s="1"/>
  <c r="F2317" i="13"/>
  <c r="F2316" i="13"/>
  <c r="F2315" i="13"/>
  <c r="F2314" i="13"/>
  <c r="J2411" i="13"/>
  <c r="I2411" i="13"/>
  <c r="F2411" i="13"/>
  <c r="I2407" i="13"/>
  <c r="I2397" i="13"/>
  <c r="I2394" i="13"/>
  <c r="I2392" i="13"/>
  <c r="I2389" i="13"/>
  <c r="I2387" i="13"/>
  <c r="I2381" i="13"/>
  <c r="I2379" i="13"/>
  <c r="I2375" i="13"/>
  <c r="I2366" i="13"/>
  <c r="I2364" i="13"/>
  <c r="I2356" i="13"/>
  <c r="I2354" i="13"/>
  <c r="I2352" i="13"/>
  <c r="I2345" i="13"/>
  <c r="I2341" i="13"/>
  <c r="I2339" i="13"/>
  <c r="I2337" i="13"/>
  <c r="I2335" i="13"/>
  <c r="I2333" i="13"/>
  <c r="I2331" i="13"/>
  <c r="I2329" i="13"/>
  <c r="I2327" i="13"/>
  <c r="I2323" i="13"/>
  <c r="I2321" i="13"/>
  <c r="I2317" i="13"/>
  <c r="I2316" i="13"/>
  <c r="I2315" i="13"/>
  <c r="I2314" i="13"/>
  <c r="L478" i="14"/>
  <c r="K478" i="14" s="1"/>
  <c r="G478" i="14"/>
  <c r="C478" i="14"/>
  <c r="L477" i="14"/>
  <c r="K477" i="14" s="1"/>
  <c r="G477" i="14"/>
  <c r="C477" i="14"/>
  <c r="L476" i="14"/>
  <c r="K476" i="14" s="1"/>
  <c r="G476" i="14"/>
  <c r="C476" i="14"/>
  <c r="L475" i="14"/>
  <c r="K475" i="14" s="1"/>
  <c r="G475" i="14"/>
  <c r="C475" i="14"/>
  <c r="L474" i="14"/>
  <c r="K474" i="14" s="1"/>
  <c r="G474" i="14"/>
  <c r="C474" i="14"/>
  <c r="L473" i="14"/>
  <c r="K473" i="14" s="1"/>
  <c r="G473" i="14"/>
  <c r="C473" i="14"/>
  <c r="L472" i="14"/>
  <c r="K472" i="14" s="1"/>
  <c r="G472" i="14"/>
  <c r="C472" i="14"/>
  <c r="L471" i="14"/>
  <c r="K471" i="14" s="1"/>
  <c r="G471" i="14"/>
  <c r="C471" i="14"/>
  <c r="L470" i="14"/>
  <c r="K470" i="14" s="1"/>
  <c r="G470" i="14"/>
  <c r="C470" i="14"/>
  <c r="L469" i="14"/>
  <c r="K469" i="14" s="1"/>
  <c r="G469" i="14"/>
  <c r="C469" i="14"/>
  <c r="L468" i="14"/>
  <c r="K468" i="14" s="1"/>
  <c r="G468" i="14"/>
  <c r="C468" i="14"/>
  <c r="L467" i="14"/>
  <c r="K467" i="14" s="1"/>
  <c r="G467" i="14"/>
  <c r="C467" i="14"/>
  <c r="L466" i="14"/>
  <c r="K466" i="14" s="1"/>
  <c r="G466" i="14"/>
  <c r="C466" i="14"/>
  <c r="L465" i="14"/>
  <c r="K465" i="14" s="1"/>
  <c r="G465" i="14"/>
  <c r="C465" i="14"/>
  <c r="G464" i="14"/>
  <c r="E464" i="14"/>
  <c r="L464" i="14"/>
  <c r="K464" i="14" s="1"/>
  <c r="C464" i="14"/>
  <c r="L463" i="14"/>
  <c r="K463" i="14" s="1"/>
  <c r="G463" i="14"/>
  <c r="C463" i="14"/>
  <c r="H1730" i="16"/>
  <c r="H1728" i="16"/>
  <c r="H1727" i="16"/>
  <c r="H1726" i="16"/>
  <c r="H1725" i="16"/>
  <c r="H1724" i="16"/>
  <c r="H1723" i="16"/>
  <c r="H1722" i="16"/>
  <c r="H1721" i="16"/>
  <c r="H1720" i="16"/>
  <c r="H1719" i="16"/>
  <c r="H1718" i="16"/>
  <c r="H1717" i="16"/>
  <c r="H1716" i="16"/>
  <c r="H1715" i="16"/>
  <c r="H1714" i="16"/>
  <c r="H1713" i="16"/>
  <c r="H1712" i="16"/>
  <c r="H1711" i="16"/>
  <c r="H1710" i="16"/>
  <c r="H1708" i="16"/>
  <c r="H1706" i="16"/>
  <c r="H1705" i="16"/>
  <c r="H1704" i="16"/>
  <c r="H1703" i="16"/>
  <c r="H1702" i="16"/>
  <c r="H1701" i="16"/>
  <c r="H1700" i="16"/>
  <c r="H1699" i="16"/>
  <c r="H1698" i="16"/>
  <c r="H1697" i="16"/>
  <c r="H1696" i="16"/>
  <c r="H1695" i="16"/>
  <c r="H1694" i="16"/>
  <c r="H1693" i="16"/>
  <c r="H1692" i="16"/>
  <c r="H1691" i="16"/>
  <c r="H1690" i="16"/>
  <c r="H1689" i="16"/>
  <c r="H1688" i="16"/>
  <c r="I1686" i="16"/>
  <c r="H1684" i="16"/>
  <c r="H1683" i="16"/>
  <c r="H1682" i="16"/>
  <c r="H1680" i="16"/>
  <c r="H1679" i="16"/>
  <c r="H1678" i="16"/>
  <c r="H1677" i="16"/>
  <c r="H1676" i="16"/>
  <c r="H1675" i="16"/>
  <c r="H1674" i="16"/>
  <c r="H1673" i="16"/>
  <c r="H1672" i="16"/>
  <c r="H1671" i="16"/>
  <c r="H1670" i="16"/>
  <c r="H1668" i="16"/>
  <c r="H1667" i="16"/>
  <c r="H1666" i="16"/>
  <c r="H1665" i="16"/>
  <c r="H1664" i="16"/>
  <c r="H1663" i="16"/>
  <c r="H1662" i="16"/>
  <c r="H1661" i="16"/>
  <c r="H1660" i="16"/>
  <c r="H1659" i="16"/>
  <c r="H1658" i="16"/>
  <c r="H1657" i="16"/>
  <c r="H1656" i="16"/>
  <c r="H1655" i="16"/>
  <c r="E1316" i="17"/>
  <c r="H1315" i="17"/>
  <c r="H1316" i="17" s="1"/>
  <c r="G1315" i="17"/>
  <c r="G1316" i="17" s="1"/>
  <c r="D1315" i="17"/>
  <c r="D1316" i="17" s="1"/>
  <c r="P1314" i="17"/>
  <c r="F1314" i="17"/>
  <c r="I1314" i="17" s="1"/>
  <c r="P1313" i="17"/>
  <c r="F1313" i="17"/>
  <c r="I1313" i="17" s="1"/>
  <c r="P1312" i="17"/>
  <c r="I1312" i="17"/>
  <c r="F1312" i="17"/>
  <c r="P1311" i="17"/>
  <c r="I1311" i="17"/>
  <c r="F1311" i="17"/>
  <c r="P1310" i="17"/>
  <c r="F1310" i="17"/>
  <c r="I1310" i="17" s="1"/>
  <c r="P1309" i="17"/>
  <c r="F1309" i="17"/>
  <c r="I1309" i="17" s="1"/>
  <c r="P1308" i="17"/>
  <c r="F1308" i="17"/>
  <c r="I1308" i="17" s="1"/>
  <c r="P1307" i="17"/>
  <c r="I1307" i="17"/>
  <c r="F1307" i="17"/>
  <c r="P1306" i="17"/>
  <c r="F1306" i="17"/>
  <c r="I1306" i="17" s="1"/>
  <c r="P1305" i="17"/>
  <c r="F1305" i="17"/>
  <c r="I1305" i="17" s="1"/>
  <c r="P1304" i="17"/>
  <c r="F1304" i="17"/>
  <c r="I1304" i="17" s="1"/>
  <c r="P1303" i="17"/>
  <c r="F1303" i="17"/>
  <c r="I1303" i="17" s="1"/>
  <c r="P1302" i="17"/>
  <c r="F1302" i="17"/>
  <c r="I1302" i="17" s="1"/>
  <c r="P1301" i="17"/>
  <c r="F1301" i="17"/>
  <c r="I1301" i="17" s="1"/>
  <c r="P1300" i="17"/>
  <c r="F1300" i="17"/>
  <c r="I1300" i="17" s="1"/>
  <c r="P1299" i="17"/>
  <c r="I1299" i="17"/>
  <c r="F1299" i="17"/>
  <c r="P1298" i="17"/>
  <c r="F1298" i="17"/>
  <c r="I1298" i="17" s="1"/>
  <c r="P1297" i="17"/>
  <c r="F1297" i="17"/>
  <c r="I1297" i="17" s="1"/>
  <c r="P1296" i="17"/>
  <c r="F1296" i="17"/>
  <c r="I1296" i="17" s="1"/>
  <c r="P1295" i="17"/>
  <c r="I1295" i="17"/>
  <c r="F1295" i="17"/>
  <c r="P1294" i="17"/>
  <c r="F1294" i="17"/>
  <c r="I1294" i="17" s="1"/>
  <c r="P1293" i="17"/>
  <c r="F1293" i="17"/>
  <c r="I1293" i="17" s="1"/>
  <c r="P1292" i="17"/>
  <c r="F1292" i="17"/>
  <c r="I1292" i="17" s="1"/>
  <c r="P1291" i="17"/>
  <c r="F1291" i="17"/>
  <c r="P1290" i="17"/>
  <c r="F1290" i="17"/>
  <c r="I1290" i="17" s="1"/>
  <c r="P1289" i="17"/>
  <c r="F1289" i="17"/>
  <c r="P1288" i="17"/>
  <c r="I1288" i="17"/>
  <c r="F1288" i="17"/>
  <c r="P1287" i="17"/>
  <c r="F1287" i="17"/>
  <c r="I1287" i="17" s="1"/>
  <c r="P1286" i="17"/>
  <c r="F1286" i="17"/>
  <c r="I1286" i="17" s="1"/>
  <c r="P1285" i="17"/>
  <c r="F1285" i="17"/>
  <c r="I1285" i="17" s="1"/>
  <c r="E1284" i="17"/>
  <c r="D1284" i="17"/>
  <c r="H1283" i="17"/>
  <c r="H1284" i="17" s="1"/>
  <c r="G1283" i="17"/>
  <c r="G1284" i="17" s="1"/>
  <c r="P1282" i="17"/>
  <c r="F1282" i="17"/>
  <c r="I1282" i="17" s="1"/>
  <c r="P1281" i="17"/>
  <c r="I1281" i="17"/>
  <c r="F1281" i="17"/>
  <c r="P1280" i="17"/>
  <c r="F1280" i="17"/>
  <c r="I1280" i="17" s="1"/>
  <c r="P1279" i="17"/>
  <c r="F1279" i="17"/>
  <c r="I1279" i="17" s="1"/>
  <c r="P1278" i="17"/>
  <c r="F1278" i="17"/>
  <c r="I1278" i="17" s="1"/>
  <c r="P1277" i="17"/>
  <c r="F1277" i="17"/>
  <c r="I1277" i="17" s="1"/>
  <c r="P1276" i="17"/>
  <c r="I1276" i="17"/>
  <c r="F1276" i="17"/>
  <c r="E1275" i="17"/>
  <c r="H1274" i="17"/>
  <c r="G1274" i="17"/>
  <c r="D1274" i="17"/>
  <c r="P1273" i="17"/>
  <c r="F1273" i="17"/>
  <c r="I1273" i="17" s="1"/>
  <c r="P1272" i="17"/>
  <c r="I1272" i="17"/>
  <c r="F1272" i="17"/>
  <c r="P1271" i="17"/>
  <c r="I1271" i="17"/>
  <c r="F1271" i="17"/>
  <c r="P1270" i="17"/>
  <c r="F1270" i="17"/>
  <c r="I1270" i="17" s="1"/>
  <c r="P1269" i="17"/>
  <c r="F1269" i="17"/>
  <c r="I1269" i="17" s="1"/>
  <c r="P1268" i="17"/>
  <c r="F1268" i="17"/>
  <c r="I1268" i="17" s="1"/>
  <c r="P1267" i="17"/>
  <c r="F1267" i="17"/>
  <c r="I1267" i="17" s="1"/>
  <c r="H1266" i="17"/>
  <c r="G1266" i="17"/>
  <c r="D1266" i="17"/>
  <c r="D1275" i="17" s="1"/>
  <c r="P1265" i="17"/>
  <c r="F1265" i="17"/>
  <c r="I1265" i="17" s="1"/>
  <c r="P1264" i="17"/>
  <c r="F1264" i="17"/>
  <c r="I1264" i="17" s="1"/>
  <c r="P1263" i="17"/>
  <c r="F1263" i="17"/>
  <c r="I1263" i="17" s="1"/>
  <c r="P1262" i="17"/>
  <c r="F1262" i="17"/>
  <c r="I1262" i="17" s="1"/>
  <c r="P1261" i="17"/>
  <c r="F1261" i="17"/>
  <c r="I1261" i="17" s="1"/>
  <c r="H1275" i="17" l="1"/>
  <c r="E1317" i="17"/>
  <c r="G2297" i="1"/>
  <c r="J2297" i="1" s="1"/>
  <c r="D1317" i="17"/>
  <c r="F2393" i="1"/>
  <c r="I2337" i="1"/>
  <c r="I2362" i="1"/>
  <c r="F2318" i="13"/>
  <c r="H2322" i="1"/>
  <c r="G2352" i="1"/>
  <c r="J2352" i="1" s="1"/>
  <c r="H2362" i="1"/>
  <c r="I2391" i="1"/>
  <c r="I2392" i="1" s="1"/>
  <c r="J2375" i="1"/>
  <c r="G2348" i="1"/>
  <c r="J2349" i="1"/>
  <c r="I2353" i="1"/>
  <c r="H2353" i="1"/>
  <c r="H1731" i="16"/>
  <c r="H1681" i="16"/>
  <c r="H1685" i="16"/>
  <c r="G1275" i="17"/>
  <c r="H2338" i="1"/>
  <c r="I2398" i="13"/>
  <c r="H2391" i="1"/>
  <c r="H2392" i="1" s="1"/>
  <c r="G2327" i="1"/>
  <c r="J2327" i="1"/>
  <c r="G2383" i="1"/>
  <c r="J2383" i="1" s="1"/>
  <c r="I2322" i="1"/>
  <c r="I2338" i="1" s="1"/>
  <c r="G2336" i="1"/>
  <c r="J2336" i="1" s="1"/>
  <c r="G2369" i="1"/>
  <c r="J2366" i="1"/>
  <c r="G2305" i="1"/>
  <c r="J2305" i="1" s="1"/>
  <c r="E2322" i="1"/>
  <c r="E2338" i="1" s="1"/>
  <c r="E2393" i="1" s="1"/>
  <c r="G2317" i="1"/>
  <c r="J2317" i="1" s="1"/>
  <c r="J2314" i="1"/>
  <c r="G2390" i="1"/>
  <c r="J2390" i="1" s="1"/>
  <c r="J2388" i="1"/>
  <c r="I2348" i="13"/>
  <c r="G2361" i="1"/>
  <c r="J2361" i="1" s="1"/>
  <c r="J2358" i="1"/>
  <c r="G2357" i="1"/>
  <c r="G2353" i="1"/>
  <c r="J2348" i="1"/>
  <c r="G2374" i="1"/>
  <c r="J2374" i="1" s="1"/>
  <c r="J2354" i="1"/>
  <c r="J2384" i="1"/>
  <c r="I2373" i="13"/>
  <c r="I2369" i="13"/>
  <c r="I2326" i="13"/>
  <c r="F2326" i="13"/>
  <c r="I2318" i="13"/>
  <c r="F2334" i="13"/>
  <c r="F2338" i="13"/>
  <c r="F2382" i="13"/>
  <c r="F2390" i="13"/>
  <c r="F2398" i="13"/>
  <c r="F2404" i="13"/>
  <c r="F2408" i="13"/>
  <c r="I2334" i="13"/>
  <c r="I2338" i="13"/>
  <c r="I2342" i="13"/>
  <c r="I2357" i="13"/>
  <c r="I2358" i="13" s="1"/>
  <c r="F2357" i="13"/>
  <c r="F2369" i="13"/>
  <c r="F2373" i="13"/>
  <c r="I2378" i="13"/>
  <c r="I2382" i="13"/>
  <c r="I2390" i="13"/>
  <c r="I2395" i="13"/>
  <c r="F2395" i="13"/>
  <c r="I2404" i="13"/>
  <c r="I2408" i="13"/>
  <c r="F2342" i="13"/>
  <c r="F2348" i="13"/>
  <c r="F2378" i="13"/>
  <c r="O469" i="14"/>
  <c r="N469" i="14" s="1"/>
  <c r="M469" i="14"/>
  <c r="M473" i="14"/>
  <c r="O473" i="14"/>
  <c r="N473" i="14" s="1"/>
  <c r="O472" i="14"/>
  <c r="N472" i="14" s="1"/>
  <c r="M472" i="14"/>
  <c r="O464" i="14"/>
  <c r="N464" i="14" s="1"/>
  <c r="M464" i="14"/>
  <c r="O467" i="14"/>
  <c r="N467" i="14" s="1"/>
  <c r="M467" i="14"/>
  <c r="O471" i="14"/>
  <c r="N471" i="14" s="1"/>
  <c r="M471" i="14"/>
  <c r="M475" i="14"/>
  <c r="O475" i="14"/>
  <c r="N475" i="14" s="1"/>
  <c r="O463" i="14"/>
  <c r="N463" i="14" s="1"/>
  <c r="M463" i="14"/>
  <c r="O465" i="14"/>
  <c r="N465" i="14" s="1"/>
  <c r="M465" i="14"/>
  <c r="O477" i="14"/>
  <c r="N477" i="14" s="1"/>
  <c r="M477" i="14"/>
  <c r="O468" i="14"/>
  <c r="N468" i="14" s="1"/>
  <c r="M468" i="14"/>
  <c r="O476" i="14"/>
  <c r="N476" i="14" s="1"/>
  <c r="M476" i="14"/>
  <c r="O466" i="14"/>
  <c r="N466" i="14" s="1"/>
  <c r="M466" i="14"/>
  <c r="O470" i="14"/>
  <c r="N470" i="14" s="1"/>
  <c r="M470" i="14"/>
  <c r="M474" i="14"/>
  <c r="O474" i="14"/>
  <c r="N474" i="14" s="1"/>
  <c r="M478" i="14"/>
  <c r="O478" i="14"/>
  <c r="N478" i="14" s="1"/>
  <c r="H1669" i="16"/>
  <c r="F1315" i="17"/>
  <c r="I1315" i="17" s="1"/>
  <c r="P1266" i="17"/>
  <c r="F1274" i="17"/>
  <c r="I1274" i="17" s="1"/>
  <c r="P1315" i="17"/>
  <c r="P1316" i="17" s="1"/>
  <c r="G1317" i="17"/>
  <c r="F1266" i="17"/>
  <c r="P1283" i="17"/>
  <c r="P1284" i="17" s="1"/>
  <c r="H1317" i="17"/>
  <c r="I1289" i="17"/>
  <c r="P1274" i="17"/>
  <c r="F1283" i="17"/>
  <c r="I1283" i="17" s="1"/>
  <c r="E1576" i="16"/>
  <c r="H1687" i="16" l="1"/>
  <c r="H2364" i="1"/>
  <c r="H2365" i="1" s="1"/>
  <c r="I2364" i="1"/>
  <c r="I2365" i="1" s="1"/>
  <c r="F1316" i="17"/>
  <c r="I2393" i="1"/>
  <c r="H2393" i="1"/>
  <c r="G2362" i="1"/>
  <c r="J2362" i="1" s="1"/>
  <c r="J2357" i="1"/>
  <c r="F2343" i="13"/>
  <c r="I2374" i="13"/>
  <c r="G2391" i="1"/>
  <c r="J2369" i="1"/>
  <c r="G2337" i="1"/>
  <c r="J2337" i="1" s="1"/>
  <c r="J2353" i="1"/>
  <c r="G2322" i="1"/>
  <c r="F2383" i="13"/>
  <c r="F2374" i="13"/>
  <c r="I2343" i="13"/>
  <c r="I2359" i="13" s="1"/>
  <c r="F2358" i="13"/>
  <c r="I2383" i="13"/>
  <c r="I2412" i="13"/>
  <c r="I2413" i="13" s="1"/>
  <c r="F2412" i="13"/>
  <c r="F2413" i="13" s="1"/>
  <c r="P478" i="14"/>
  <c r="R478" i="14"/>
  <c r="Q478" i="14"/>
  <c r="S478" i="14" s="1"/>
  <c r="T478" i="14" s="1"/>
  <c r="P476" i="14"/>
  <c r="R476" i="14"/>
  <c r="Q476" i="14"/>
  <c r="P477" i="14"/>
  <c r="Q477" i="14"/>
  <c r="R477" i="14"/>
  <c r="P471" i="14"/>
  <c r="R471" i="14"/>
  <c r="Q471" i="14"/>
  <c r="P464" i="14"/>
  <c r="R464" i="14"/>
  <c r="Q464" i="14"/>
  <c r="S464" i="14" s="1"/>
  <c r="P474" i="14"/>
  <c r="Q474" i="14"/>
  <c r="S474" i="14" s="1"/>
  <c r="R474" i="14"/>
  <c r="P475" i="14"/>
  <c r="R475" i="14"/>
  <c r="Q475" i="14"/>
  <c r="S475" i="14" s="1"/>
  <c r="P473" i="14"/>
  <c r="Q473" i="14"/>
  <c r="R473" i="14"/>
  <c r="P470" i="14"/>
  <c r="Q470" i="14"/>
  <c r="R470" i="14"/>
  <c r="P463" i="14"/>
  <c r="Q463" i="14"/>
  <c r="R463" i="14"/>
  <c r="P466" i="14"/>
  <c r="Q466" i="14"/>
  <c r="R466" i="14"/>
  <c r="P468" i="14"/>
  <c r="Q468" i="14"/>
  <c r="R468" i="14"/>
  <c r="P465" i="14"/>
  <c r="R465" i="14"/>
  <c r="Q465" i="14"/>
  <c r="P467" i="14"/>
  <c r="R467" i="14"/>
  <c r="Q467" i="14"/>
  <c r="P472" i="14"/>
  <c r="Q472" i="14"/>
  <c r="R472" i="14"/>
  <c r="P469" i="14"/>
  <c r="R469" i="14"/>
  <c r="Q469" i="14"/>
  <c r="P1275" i="17"/>
  <c r="P1317" i="17" s="1"/>
  <c r="I1316" i="17"/>
  <c r="F1275" i="17"/>
  <c r="I1275" i="17" s="1"/>
  <c r="I1266" i="17"/>
  <c r="F1284" i="17"/>
  <c r="I1284" i="17" s="1"/>
  <c r="E1618" i="16"/>
  <c r="E446" i="14"/>
  <c r="D446" i="14"/>
  <c r="I446" i="14"/>
  <c r="G446" i="14" s="1"/>
  <c r="H446" i="14"/>
  <c r="L460" i="14"/>
  <c r="K460" i="14" s="1"/>
  <c r="G460" i="14"/>
  <c r="C460" i="14"/>
  <c r="L459" i="14"/>
  <c r="K459" i="14" s="1"/>
  <c r="G459" i="14"/>
  <c r="C459" i="14"/>
  <c r="L458" i="14"/>
  <c r="K458" i="14" s="1"/>
  <c r="G458" i="14"/>
  <c r="C458" i="14"/>
  <c r="L457" i="14"/>
  <c r="K457" i="14" s="1"/>
  <c r="G457" i="14"/>
  <c r="C457" i="14"/>
  <c r="L456" i="14"/>
  <c r="K456" i="14" s="1"/>
  <c r="G456" i="14"/>
  <c r="C456" i="14"/>
  <c r="L455" i="14"/>
  <c r="K455" i="14" s="1"/>
  <c r="G455" i="14"/>
  <c r="C455" i="14"/>
  <c r="L454" i="14"/>
  <c r="K454" i="14" s="1"/>
  <c r="G454" i="14"/>
  <c r="C454" i="14"/>
  <c r="L453" i="14"/>
  <c r="K453" i="14" s="1"/>
  <c r="G453" i="14"/>
  <c r="C453" i="14"/>
  <c r="L452" i="14"/>
  <c r="K452" i="14" s="1"/>
  <c r="G452" i="14"/>
  <c r="C452" i="14"/>
  <c r="L451" i="14"/>
  <c r="K451" i="14" s="1"/>
  <c r="G451" i="14"/>
  <c r="C451" i="14"/>
  <c r="L450" i="14"/>
  <c r="K450" i="14" s="1"/>
  <c r="G450" i="14"/>
  <c r="C450" i="14"/>
  <c r="L449" i="14"/>
  <c r="K449" i="14" s="1"/>
  <c r="G449" i="14"/>
  <c r="C449" i="14"/>
  <c r="L448" i="14"/>
  <c r="K448" i="14" s="1"/>
  <c r="G448" i="14"/>
  <c r="C448" i="14"/>
  <c r="L447" i="14"/>
  <c r="K447" i="14" s="1"/>
  <c r="G447" i="14"/>
  <c r="C447" i="14"/>
  <c r="L446" i="14"/>
  <c r="C446" i="14"/>
  <c r="L445" i="14"/>
  <c r="K445" i="14" s="1"/>
  <c r="G445" i="14"/>
  <c r="C445" i="14"/>
  <c r="L442" i="14"/>
  <c r="K442" i="14" s="1"/>
  <c r="G442" i="14"/>
  <c r="C442" i="14"/>
  <c r="L441" i="14"/>
  <c r="K441" i="14" s="1"/>
  <c r="G441" i="14"/>
  <c r="C441" i="14"/>
  <c r="L440" i="14"/>
  <c r="K440" i="14" s="1"/>
  <c r="G440" i="14"/>
  <c r="C440" i="14"/>
  <c r="L439" i="14"/>
  <c r="K439" i="14" s="1"/>
  <c r="G439" i="14"/>
  <c r="C439" i="14"/>
  <c r="L438" i="14"/>
  <c r="K438" i="14" s="1"/>
  <c r="G438" i="14"/>
  <c r="C438" i="14"/>
  <c r="L437" i="14"/>
  <c r="K437" i="14" s="1"/>
  <c r="G437" i="14"/>
  <c r="C437" i="14"/>
  <c r="L436" i="14"/>
  <c r="K436" i="14" s="1"/>
  <c r="G436" i="14"/>
  <c r="C436" i="14"/>
  <c r="L435" i="14"/>
  <c r="K435" i="14" s="1"/>
  <c r="G435" i="14"/>
  <c r="C435" i="14"/>
  <c r="L434" i="14"/>
  <c r="K434" i="14" s="1"/>
  <c r="G434" i="14"/>
  <c r="C434" i="14"/>
  <c r="L433" i="14"/>
  <c r="K433" i="14" s="1"/>
  <c r="G433" i="14"/>
  <c r="C433" i="14"/>
  <c r="L432" i="14"/>
  <c r="K432" i="14" s="1"/>
  <c r="G432" i="14"/>
  <c r="C432" i="14"/>
  <c r="L431" i="14"/>
  <c r="K431" i="14" s="1"/>
  <c r="G431" i="14"/>
  <c r="C431" i="14"/>
  <c r="M430" i="14"/>
  <c r="L430" i="14"/>
  <c r="K430" i="14"/>
  <c r="O430" i="14" s="1"/>
  <c r="G430" i="14"/>
  <c r="C430" i="14"/>
  <c r="L429" i="14"/>
  <c r="K429" i="14" s="1"/>
  <c r="G429" i="14"/>
  <c r="C429" i="14"/>
  <c r="M428" i="14"/>
  <c r="L428" i="14"/>
  <c r="K428" i="14"/>
  <c r="O428" i="14" s="1"/>
  <c r="G428" i="14"/>
  <c r="C428" i="14"/>
  <c r="L427" i="14"/>
  <c r="K427" i="14" s="1"/>
  <c r="G427" i="14"/>
  <c r="C427" i="14"/>
  <c r="I2199" i="1"/>
  <c r="G2199" i="1" s="1"/>
  <c r="J2199" i="1" s="1"/>
  <c r="H2199" i="1"/>
  <c r="H1646" i="16"/>
  <c r="H1645" i="16"/>
  <c r="H1644" i="16"/>
  <c r="H1643" i="16"/>
  <c r="H1642" i="16"/>
  <c r="H1641" i="16"/>
  <c r="H1640" i="16"/>
  <c r="H1639" i="16"/>
  <c r="H1638" i="16"/>
  <c r="H1637" i="16"/>
  <c r="H1636" i="16"/>
  <c r="H1635" i="16"/>
  <c r="H1634" i="16"/>
  <c r="H1633" i="16"/>
  <c r="H1632" i="16"/>
  <c r="H1631" i="16"/>
  <c r="H1630" i="16"/>
  <c r="H1629" i="16"/>
  <c r="H1628" i="16"/>
  <c r="H1627" i="16"/>
  <c r="H1625" i="16"/>
  <c r="H1624" i="16"/>
  <c r="H1623" i="16"/>
  <c r="H1622" i="16"/>
  <c r="H1621" i="16"/>
  <c r="I1620" i="16"/>
  <c r="H1620" i="16"/>
  <c r="H1619" i="16"/>
  <c r="H1618" i="16"/>
  <c r="H1617" i="16"/>
  <c r="H1616" i="16"/>
  <c r="H1615" i="16"/>
  <c r="H1614" i="16"/>
  <c r="H1613" i="16"/>
  <c r="H1612" i="16"/>
  <c r="H1611" i="16"/>
  <c r="H1610" i="16"/>
  <c r="H1609" i="16"/>
  <c r="H1608" i="16"/>
  <c r="H1607" i="16"/>
  <c r="H1606" i="16"/>
  <c r="I1604" i="16"/>
  <c r="H1602" i="16"/>
  <c r="H1601" i="16"/>
  <c r="H1600" i="16"/>
  <c r="H1598" i="16"/>
  <c r="H1597" i="16"/>
  <c r="H1596" i="16"/>
  <c r="H1595" i="16"/>
  <c r="H1594" i="16"/>
  <c r="H1593" i="16"/>
  <c r="H1592" i="16"/>
  <c r="H1591" i="16"/>
  <c r="H1590" i="16"/>
  <c r="H1589" i="16"/>
  <c r="H1588" i="16"/>
  <c r="H1586" i="16"/>
  <c r="H1585" i="16"/>
  <c r="H1584" i="16"/>
  <c r="H1583" i="16"/>
  <c r="H1582" i="16"/>
  <c r="H1581" i="16"/>
  <c r="H1580" i="16"/>
  <c r="H1579" i="16"/>
  <c r="H1578" i="16"/>
  <c r="H1577" i="16"/>
  <c r="H1576" i="16"/>
  <c r="H1575" i="16"/>
  <c r="H1574" i="16"/>
  <c r="H1573" i="16"/>
  <c r="E1256" i="17"/>
  <c r="H1255" i="17"/>
  <c r="H1256" i="17" s="1"/>
  <c r="G1255" i="17"/>
  <c r="G1256" i="17" s="1"/>
  <c r="D1255" i="17"/>
  <c r="D1256" i="17" s="1"/>
  <c r="P1254" i="17"/>
  <c r="F1254" i="17"/>
  <c r="I1254" i="17" s="1"/>
  <c r="P1253" i="17"/>
  <c r="F1253" i="17"/>
  <c r="I1253" i="17" s="1"/>
  <c r="P1252" i="17"/>
  <c r="I1252" i="17"/>
  <c r="F1252" i="17"/>
  <c r="P1251" i="17"/>
  <c r="I1251" i="17"/>
  <c r="F1251" i="17"/>
  <c r="P1250" i="17"/>
  <c r="F1250" i="17"/>
  <c r="I1250" i="17" s="1"/>
  <c r="P1249" i="17"/>
  <c r="F1249" i="17"/>
  <c r="I1249" i="17" s="1"/>
  <c r="P1248" i="17"/>
  <c r="I1248" i="17"/>
  <c r="F1248" i="17"/>
  <c r="P1247" i="17"/>
  <c r="I1247" i="17"/>
  <c r="F1247" i="17"/>
  <c r="P1246" i="17"/>
  <c r="F1246" i="17"/>
  <c r="I1246" i="17" s="1"/>
  <c r="P1245" i="17"/>
  <c r="F1245" i="17"/>
  <c r="I1245" i="17" s="1"/>
  <c r="P1244" i="17"/>
  <c r="F1244" i="17"/>
  <c r="I1244" i="17" s="1"/>
  <c r="P1243" i="17"/>
  <c r="F1243" i="17"/>
  <c r="I1243" i="17" s="1"/>
  <c r="P1242" i="17"/>
  <c r="F1242" i="17"/>
  <c r="I1242" i="17" s="1"/>
  <c r="P1241" i="17"/>
  <c r="F1241" i="17"/>
  <c r="I1241" i="17" s="1"/>
  <c r="P1240" i="17"/>
  <c r="F1240" i="17"/>
  <c r="I1240" i="17" s="1"/>
  <c r="P1239" i="17"/>
  <c r="I1239" i="17"/>
  <c r="F1239" i="17"/>
  <c r="P1238" i="17"/>
  <c r="F1238" i="17"/>
  <c r="I1238" i="17" s="1"/>
  <c r="P1237" i="17"/>
  <c r="F1237" i="17"/>
  <c r="I1237" i="17" s="1"/>
  <c r="P1236" i="17"/>
  <c r="F1236" i="17"/>
  <c r="I1236" i="17" s="1"/>
  <c r="P1235" i="17"/>
  <c r="I1235" i="17"/>
  <c r="F1235" i="17"/>
  <c r="P1234" i="17"/>
  <c r="F1234" i="17"/>
  <c r="I1234" i="17" s="1"/>
  <c r="P1233" i="17"/>
  <c r="F1233" i="17"/>
  <c r="I1233" i="17" s="1"/>
  <c r="P1232" i="17"/>
  <c r="F1232" i="17"/>
  <c r="I1232" i="17" s="1"/>
  <c r="P1231" i="17"/>
  <c r="F1231" i="17"/>
  <c r="P1230" i="17"/>
  <c r="F1230" i="17"/>
  <c r="I1230" i="17" s="1"/>
  <c r="P1229" i="17"/>
  <c r="F1229" i="17"/>
  <c r="I1229" i="17" s="1"/>
  <c r="P1228" i="17"/>
  <c r="F1228" i="17"/>
  <c r="I1228" i="17" s="1"/>
  <c r="P1227" i="17"/>
  <c r="F1227" i="17"/>
  <c r="I1227" i="17" s="1"/>
  <c r="P1226" i="17"/>
  <c r="F1226" i="17"/>
  <c r="I1226" i="17" s="1"/>
  <c r="P1225" i="17"/>
  <c r="F1225" i="17"/>
  <c r="I1225" i="17" s="1"/>
  <c r="H1224" i="17"/>
  <c r="E1224" i="17"/>
  <c r="D1224" i="17"/>
  <c r="H1223" i="17"/>
  <c r="G1223" i="17"/>
  <c r="G1224" i="17" s="1"/>
  <c r="P1222" i="17"/>
  <c r="F1222" i="17"/>
  <c r="I1222" i="17" s="1"/>
  <c r="P1221" i="17"/>
  <c r="F1221" i="17"/>
  <c r="I1221" i="17" s="1"/>
  <c r="P1220" i="17"/>
  <c r="F1220" i="17"/>
  <c r="I1220" i="17" s="1"/>
  <c r="P1219" i="17"/>
  <c r="F1219" i="17"/>
  <c r="I1219" i="17" s="1"/>
  <c r="P1218" i="17"/>
  <c r="F1218" i="17"/>
  <c r="P1217" i="17"/>
  <c r="I1217" i="17"/>
  <c r="F1217" i="17"/>
  <c r="P1216" i="17"/>
  <c r="I1216" i="17"/>
  <c r="F1216" i="17"/>
  <c r="E1215" i="17"/>
  <c r="H1214" i="17"/>
  <c r="G1214" i="17"/>
  <c r="D1214" i="17"/>
  <c r="P1213" i="17"/>
  <c r="F1213" i="17"/>
  <c r="I1213" i="17" s="1"/>
  <c r="P1212" i="17"/>
  <c r="F1212" i="17"/>
  <c r="I1212" i="17" s="1"/>
  <c r="P1211" i="17"/>
  <c r="F1211" i="17"/>
  <c r="I1211" i="17" s="1"/>
  <c r="P1210" i="17"/>
  <c r="F1210" i="17"/>
  <c r="I1210" i="17" s="1"/>
  <c r="P1209" i="17"/>
  <c r="F1209" i="17"/>
  <c r="I1209" i="17" s="1"/>
  <c r="P1208" i="17"/>
  <c r="F1208" i="17"/>
  <c r="I1208" i="17" s="1"/>
  <c r="P1207" i="17"/>
  <c r="F1207" i="17"/>
  <c r="I1207" i="17" s="1"/>
  <c r="H1206" i="17"/>
  <c r="H1215" i="17" s="1"/>
  <c r="G1206" i="17"/>
  <c r="G1215" i="17" s="1"/>
  <c r="D1206" i="17"/>
  <c r="P1205" i="17"/>
  <c r="F1205" i="17"/>
  <c r="I1205" i="17" s="1"/>
  <c r="P1204" i="17"/>
  <c r="F1204" i="17"/>
  <c r="I1204" i="17" s="1"/>
  <c r="P1203" i="17"/>
  <c r="F1203" i="17"/>
  <c r="I1203" i="17" s="1"/>
  <c r="P1202" i="17"/>
  <c r="F1202" i="17"/>
  <c r="I1202" i="17" s="1"/>
  <c r="P1201" i="17"/>
  <c r="F1201" i="17"/>
  <c r="F2305" i="13"/>
  <c r="F2304" i="13"/>
  <c r="F2306" i="13" s="1"/>
  <c r="F2302" i="13"/>
  <c r="I2302" i="13" s="1"/>
  <c r="F2301" i="13"/>
  <c r="I2301" i="13" s="1"/>
  <c r="F2300" i="13"/>
  <c r="F2298" i="13"/>
  <c r="I2298" i="13" s="1"/>
  <c r="F2297" i="13"/>
  <c r="I2297" i="13" s="1"/>
  <c r="F2296" i="13"/>
  <c r="F2295" i="13"/>
  <c r="I2295" i="13" s="1"/>
  <c r="F2294" i="13"/>
  <c r="I2294" i="13" s="1"/>
  <c r="F2292" i="13"/>
  <c r="I2292" i="13" s="1"/>
  <c r="F2291" i="13"/>
  <c r="F2289" i="13"/>
  <c r="F2288" i="13"/>
  <c r="I2288" i="13" s="1"/>
  <c r="F2287" i="13"/>
  <c r="I2287" i="13" s="1"/>
  <c r="F2286" i="13"/>
  <c r="I2286" i="13" s="1"/>
  <c r="F2284" i="13"/>
  <c r="F2283" i="13"/>
  <c r="F2285" i="13" s="1"/>
  <c r="F2282" i="13"/>
  <c r="F2279" i="13"/>
  <c r="F2276" i="13"/>
  <c r="F2275" i="13"/>
  <c r="F2274" i="13"/>
  <c r="F2272" i="13"/>
  <c r="F2271" i="13"/>
  <c r="I2271" i="13" s="1"/>
  <c r="F2270" i="13"/>
  <c r="F2267" i="13"/>
  <c r="F2266" i="13"/>
  <c r="F2265" i="13"/>
  <c r="F2263" i="13"/>
  <c r="I2263" i="13" s="1"/>
  <c r="F2262" i="13"/>
  <c r="I2262" i="13" s="1"/>
  <c r="F2261" i="13"/>
  <c r="F2260" i="13"/>
  <c r="I2260" i="13" s="1"/>
  <c r="F2259" i="13"/>
  <c r="F2258" i="13"/>
  <c r="I2258" i="13" s="1"/>
  <c r="F2257" i="13"/>
  <c r="F2256" i="13"/>
  <c r="I2256" i="13" s="1"/>
  <c r="F2255" i="13"/>
  <c r="F2251" i="13"/>
  <c r="F2250" i="13"/>
  <c r="I2250" i="13" s="1"/>
  <c r="F2249" i="13"/>
  <c r="F2248" i="13"/>
  <c r="I2248" i="13" s="1"/>
  <c r="F2247" i="13"/>
  <c r="F2246" i="13"/>
  <c r="I2246" i="13" s="1"/>
  <c r="F2245" i="13"/>
  <c r="F2244" i="13"/>
  <c r="I2244" i="13" s="1"/>
  <c r="F2242" i="13"/>
  <c r="F2241" i="13"/>
  <c r="I2241" i="13" s="1"/>
  <c r="F2240" i="13"/>
  <c r="F2239" i="13"/>
  <c r="I2239" i="13" s="1"/>
  <c r="F2236" i="13"/>
  <c r="I2236" i="13" s="1"/>
  <c r="F2235" i="13"/>
  <c r="F2237" i="13" s="1"/>
  <c r="F2234" i="13"/>
  <c r="F2232" i="13"/>
  <c r="I2232" i="13" s="1"/>
  <c r="I2233" i="13" s="1"/>
  <c r="F2231" i="13"/>
  <c r="I2231" i="13" s="1"/>
  <c r="F2230" i="13"/>
  <c r="F2228" i="13"/>
  <c r="F2227" i="13"/>
  <c r="I2227" i="13" s="1"/>
  <c r="F2226" i="13"/>
  <c r="I2226" i="13" s="1"/>
  <c r="F2225" i="13"/>
  <c r="I2225" i="13" s="1"/>
  <c r="F2224" i="13"/>
  <c r="F2223" i="13"/>
  <c r="I2223" i="13" s="1"/>
  <c r="F2222" i="13"/>
  <c r="I2222" i="13" s="1"/>
  <c r="F2220" i="13"/>
  <c r="I2220" i="13" s="1"/>
  <c r="F2219" i="13"/>
  <c r="I2219" i="13" s="1"/>
  <c r="F2218" i="13"/>
  <c r="F2217" i="13"/>
  <c r="I2217" i="13" s="1"/>
  <c r="F2216" i="13"/>
  <c r="F2215" i="13"/>
  <c r="I2215" i="13" s="1"/>
  <c r="F2214" i="13"/>
  <c r="F2212" i="13"/>
  <c r="F2211" i="13"/>
  <c r="I2211" i="13" s="1"/>
  <c r="F2210" i="13"/>
  <c r="F2209" i="13"/>
  <c r="J2306" i="13"/>
  <c r="I2306" i="13"/>
  <c r="I2300" i="13"/>
  <c r="I2296" i="13"/>
  <c r="I2291" i="13"/>
  <c r="I2289" i="13"/>
  <c r="I2284" i="13"/>
  <c r="I2282" i="13"/>
  <c r="I2279" i="13"/>
  <c r="I2276" i="13"/>
  <c r="I2274" i="13"/>
  <c r="I2272" i="13"/>
  <c r="I2270" i="13"/>
  <c r="I2267" i="13"/>
  <c r="I2265" i="13"/>
  <c r="I2261" i="13"/>
  <c r="I2259" i="13"/>
  <c r="I2257" i="13"/>
  <c r="I2255" i="13"/>
  <c r="I2251" i="13"/>
  <c r="I2249" i="13"/>
  <c r="I2247" i="13"/>
  <c r="I2245" i="13"/>
  <c r="I2242" i="13"/>
  <c r="I2240" i="13"/>
  <c r="I2234" i="13"/>
  <c r="I2230" i="13"/>
  <c r="I2228" i="13"/>
  <c r="I2224" i="13"/>
  <c r="I2218" i="13"/>
  <c r="I2216" i="13"/>
  <c r="I2214" i="13"/>
  <c r="I2212" i="13"/>
  <c r="I2210" i="13"/>
  <c r="I2209" i="13"/>
  <c r="F2287" i="1"/>
  <c r="F2288" i="1" s="1"/>
  <c r="E2287" i="1"/>
  <c r="E2288" i="1" s="1"/>
  <c r="I2286" i="1"/>
  <c r="H2286" i="1"/>
  <c r="G2285" i="1"/>
  <c r="J2285" i="1" s="1"/>
  <c r="G2284" i="1"/>
  <c r="I2283" i="1"/>
  <c r="H2283" i="1"/>
  <c r="G2282" i="1"/>
  <c r="J2282" i="1" s="1"/>
  <c r="G2281" i="1"/>
  <c r="J2281" i="1" s="1"/>
  <c r="G2280" i="1"/>
  <c r="I2279" i="1"/>
  <c r="H2279" i="1"/>
  <c r="G2278" i="1"/>
  <c r="J2278" i="1" s="1"/>
  <c r="J2277" i="1"/>
  <c r="G2277" i="1"/>
  <c r="G2276" i="1"/>
  <c r="J2276" i="1" s="1"/>
  <c r="G2275" i="1"/>
  <c r="G2279" i="1" s="1"/>
  <c r="J2279" i="1" s="1"/>
  <c r="G2274" i="1"/>
  <c r="J2274" i="1" s="1"/>
  <c r="I2273" i="1"/>
  <c r="H2273" i="1"/>
  <c r="G2272" i="1"/>
  <c r="J2272" i="1" s="1"/>
  <c r="J2271" i="1"/>
  <c r="G2271" i="1"/>
  <c r="I2270" i="1"/>
  <c r="H2270" i="1"/>
  <c r="J2269" i="1"/>
  <c r="G2269" i="1"/>
  <c r="G2268" i="1"/>
  <c r="J2268" i="1" s="1"/>
  <c r="G2267" i="1"/>
  <c r="J2267" i="1" s="1"/>
  <c r="G2266" i="1"/>
  <c r="J2266" i="1" s="1"/>
  <c r="I2265" i="1"/>
  <c r="H2265" i="1"/>
  <c r="G2264" i="1"/>
  <c r="J2264" i="1" s="1"/>
  <c r="J2263" i="1"/>
  <c r="G2263" i="1"/>
  <c r="G2262" i="1"/>
  <c r="F2260" i="1"/>
  <c r="F2261" i="1" s="1"/>
  <c r="E2260" i="1"/>
  <c r="E2261" i="1" s="1"/>
  <c r="J2259" i="1"/>
  <c r="G2259" i="1"/>
  <c r="I2257" i="1"/>
  <c r="H2257" i="1"/>
  <c r="G2256" i="1"/>
  <c r="J2256" i="1" s="1"/>
  <c r="J2255" i="1"/>
  <c r="G2255" i="1"/>
  <c r="G2254" i="1"/>
  <c r="I2253" i="1"/>
  <c r="H2253" i="1"/>
  <c r="H2258" i="1" s="1"/>
  <c r="G2252" i="1"/>
  <c r="J2252" i="1" s="1"/>
  <c r="J2251" i="1"/>
  <c r="G2251" i="1"/>
  <c r="G2250" i="1"/>
  <c r="I2248" i="1"/>
  <c r="H2248" i="1"/>
  <c r="G2247" i="1"/>
  <c r="J2247" i="1" s="1"/>
  <c r="G2246" i="1"/>
  <c r="J2246" i="1" s="1"/>
  <c r="G2245" i="1"/>
  <c r="J2245" i="1" s="1"/>
  <c r="I2244" i="1"/>
  <c r="I2249" i="1" s="1"/>
  <c r="H2244" i="1"/>
  <c r="G2243" i="1"/>
  <c r="J2243" i="1" s="1"/>
  <c r="J2242" i="1"/>
  <c r="G2242" i="1"/>
  <c r="J2241" i="1"/>
  <c r="G2241" i="1"/>
  <c r="J2240" i="1"/>
  <c r="G2240" i="1"/>
  <c r="G2239" i="1"/>
  <c r="J2239" i="1" s="1"/>
  <c r="J2238" i="1"/>
  <c r="G2238" i="1"/>
  <c r="J2237" i="1"/>
  <c r="G2237" i="1"/>
  <c r="G2236" i="1"/>
  <c r="J2236" i="1" s="1"/>
  <c r="G2235" i="1"/>
  <c r="J2235" i="1" s="1"/>
  <c r="F2233" i="1"/>
  <c r="I2232" i="1"/>
  <c r="H2232" i="1"/>
  <c r="J2231" i="1"/>
  <c r="G2231" i="1"/>
  <c r="G2230" i="1"/>
  <c r="J2230" i="1" s="1"/>
  <c r="G2229" i="1"/>
  <c r="J2229" i="1" s="1"/>
  <c r="G2228" i="1"/>
  <c r="J2228" i="1" s="1"/>
  <c r="G2227" i="1"/>
  <c r="J2227" i="1" s="1"/>
  <c r="G2226" i="1"/>
  <c r="J2226" i="1" s="1"/>
  <c r="G2225" i="1"/>
  <c r="J2225" i="1" s="1"/>
  <c r="G2224" i="1"/>
  <c r="J2224" i="1" s="1"/>
  <c r="I2223" i="1"/>
  <c r="H2223" i="1"/>
  <c r="H2233" i="1" s="1"/>
  <c r="E2223" i="1"/>
  <c r="E2233" i="1" s="1"/>
  <c r="G2222" i="1"/>
  <c r="J2222" i="1" s="1"/>
  <c r="G2221" i="1"/>
  <c r="J2221" i="1" s="1"/>
  <c r="J2220" i="1"/>
  <c r="G2220" i="1"/>
  <c r="G2219" i="1"/>
  <c r="I2217" i="1"/>
  <c r="H2217" i="1"/>
  <c r="E2217" i="1"/>
  <c r="G2216" i="1"/>
  <c r="J2216" i="1" s="1"/>
  <c r="G2215" i="1"/>
  <c r="J2215" i="1" s="1"/>
  <c r="G2214" i="1"/>
  <c r="J2214" i="1" s="1"/>
  <c r="I2213" i="1"/>
  <c r="H2213" i="1"/>
  <c r="F2213" i="1"/>
  <c r="F2218" i="1" s="1"/>
  <c r="F2234" i="1" s="1"/>
  <c r="E2213" i="1"/>
  <c r="G2212" i="1"/>
  <c r="G2211" i="1"/>
  <c r="J2211" i="1" s="1"/>
  <c r="G2210" i="1"/>
  <c r="J2210" i="1" s="1"/>
  <c r="I2209" i="1"/>
  <c r="H2209" i="1"/>
  <c r="E2209" i="1"/>
  <c r="G2208" i="1"/>
  <c r="J2208" i="1" s="1"/>
  <c r="G2207" i="1"/>
  <c r="J2207" i="1" s="1"/>
  <c r="G2206" i="1"/>
  <c r="J2206" i="1" s="1"/>
  <c r="J2205" i="1"/>
  <c r="G2205" i="1"/>
  <c r="G2204" i="1"/>
  <c r="J2204" i="1" s="1"/>
  <c r="J2203" i="1"/>
  <c r="G2203" i="1"/>
  <c r="G2202" i="1"/>
  <c r="G2200" i="1"/>
  <c r="J2200" i="1" s="1"/>
  <c r="I2201" i="1"/>
  <c r="G2198" i="1"/>
  <c r="J2198" i="1" s="1"/>
  <c r="G2197" i="1"/>
  <c r="J2197" i="1" s="1"/>
  <c r="G2196" i="1"/>
  <c r="J2196" i="1" s="1"/>
  <c r="G2195" i="1"/>
  <c r="J2195" i="1" s="1"/>
  <c r="G2194" i="1"/>
  <c r="I2193" i="1"/>
  <c r="H2193" i="1"/>
  <c r="G2192" i="1"/>
  <c r="J2192" i="1" s="1"/>
  <c r="G2191" i="1"/>
  <c r="J2191" i="1" s="1"/>
  <c r="G2190" i="1"/>
  <c r="J2190" i="1" s="1"/>
  <c r="G2189" i="1"/>
  <c r="G2283" i="1" l="1"/>
  <c r="J2283" i="1" s="1"/>
  <c r="G2213" i="1"/>
  <c r="J2213" i="1" s="1"/>
  <c r="F2233" i="13"/>
  <c r="G2193" i="1"/>
  <c r="J2189" i="1"/>
  <c r="E2218" i="1"/>
  <c r="E2234" i="1" s="1"/>
  <c r="E2289" i="1" s="1"/>
  <c r="F2289" i="1"/>
  <c r="I2258" i="1"/>
  <c r="I2260" i="1" s="1"/>
  <c r="I2261" i="1" s="1"/>
  <c r="I2293" i="13"/>
  <c r="K446" i="14"/>
  <c r="F2277" i="13"/>
  <c r="N428" i="14"/>
  <c r="P428" i="14" s="1"/>
  <c r="N430" i="14"/>
  <c r="T475" i="14"/>
  <c r="J2275" i="1"/>
  <c r="I2252" i="13"/>
  <c r="P1223" i="17"/>
  <c r="P1224" i="17" s="1"/>
  <c r="O427" i="14"/>
  <c r="N427" i="14" s="1"/>
  <c r="M427" i="14"/>
  <c r="O429" i="14"/>
  <c r="N429" i="14" s="1"/>
  <c r="Q429" i="14" s="1"/>
  <c r="S429" i="14" s="1"/>
  <c r="M429" i="14"/>
  <c r="P1206" i="17"/>
  <c r="T474" i="14"/>
  <c r="S471" i="14"/>
  <c r="T471" i="14" s="1"/>
  <c r="S477" i="14"/>
  <c r="F2268" i="13"/>
  <c r="D1215" i="17"/>
  <c r="F1223" i="17"/>
  <c r="F1224" i="17" s="1"/>
  <c r="I1224" i="17" s="1"/>
  <c r="E1257" i="17"/>
  <c r="T477" i="14"/>
  <c r="H1603" i="16"/>
  <c r="F2359" i="13"/>
  <c r="F2414" i="13" s="1"/>
  <c r="G2364" i="1"/>
  <c r="J2364" i="1" s="1"/>
  <c r="J2365" i="1" s="1"/>
  <c r="F2385" i="13"/>
  <c r="F2386" i="13" s="1"/>
  <c r="I2385" i="13"/>
  <c r="I2386" i="13" s="1"/>
  <c r="I2414" i="13" s="1"/>
  <c r="G2338" i="1"/>
  <c r="J2322" i="1"/>
  <c r="G2392" i="1"/>
  <c r="J2391" i="1"/>
  <c r="J2392" i="1" s="1"/>
  <c r="S472" i="14"/>
  <c r="T472" i="14" s="1"/>
  <c r="S473" i="14"/>
  <c r="T473" i="14" s="1"/>
  <c r="S469" i="14"/>
  <c r="T469" i="14" s="1"/>
  <c r="T464" i="14"/>
  <c r="S466" i="14"/>
  <c r="T466" i="14" s="1"/>
  <c r="S470" i="14"/>
  <c r="T470" i="14" s="1"/>
  <c r="S467" i="14"/>
  <c r="T467" i="14" s="1"/>
  <c r="S465" i="14"/>
  <c r="T465" i="14" s="1"/>
  <c r="S468" i="14"/>
  <c r="T468" i="14" s="1"/>
  <c r="S463" i="14"/>
  <c r="T463" i="14" s="1"/>
  <c r="S476" i="14"/>
  <c r="T476" i="14" s="1"/>
  <c r="F1317" i="17"/>
  <c r="I1317" i="17" s="1"/>
  <c r="M447" i="14"/>
  <c r="O447" i="14"/>
  <c r="N447" i="14" s="1"/>
  <c r="O455" i="14"/>
  <c r="N455" i="14" s="1"/>
  <c r="M455" i="14"/>
  <c r="M446" i="14"/>
  <c r="O446" i="14"/>
  <c r="N446" i="14" s="1"/>
  <c r="O450" i="14"/>
  <c r="N450" i="14" s="1"/>
  <c r="M450" i="14"/>
  <c r="O454" i="14"/>
  <c r="N454" i="14" s="1"/>
  <c r="M454" i="14"/>
  <c r="O458" i="14"/>
  <c r="N458" i="14" s="1"/>
  <c r="M458" i="14"/>
  <c r="O451" i="14"/>
  <c r="N451" i="14" s="1"/>
  <c r="M451" i="14"/>
  <c r="O459" i="14"/>
  <c r="N459" i="14" s="1"/>
  <c r="M459" i="14"/>
  <c r="M445" i="14"/>
  <c r="O445" i="14"/>
  <c r="N445" i="14" s="1"/>
  <c r="O449" i="14"/>
  <c r="N449" i="14" s="1"/>
  <c r="M449" i="14"/>
  <c r="O453" i="14"/>
  <c r="N453" i="14" s="1"/>
  <c r="M453" i="14"/>
  <c r="O457" i="14"/>
  <c r="N457" i="14" s="1"/>
  <c r="M457" i="14"/>
  <c r="O448" i="14"/>
  <c r="N448" i="14" s="1"/>
  <c r="M448" i="14"/>
  <c r="O452" i="14"/>
  <c r="N452" i="14" s="1"/>
  <c r="M452" i="14"/>
  <c r="O456" i="14"/>
  <c r="N456" i="14" s="1"/>
  <c r="M456" i="14"/>
  <c r="O460" i="14"/>
  <c r="N460" i="14" s="1"/>
  <c r="M460" i="14"/>
  <c r="R429" i="14"/>
  <c r="O433" i="14"/>
  <c r="N433" i="14" s="1"/>
  <c r="M433" i="14"/>
  <c r="O437" i="14"/>
  <c r="N437" i="14" s="1"/>
  <c r="M437" i="14"/>
  <c r="M441" i="14"/>
  <c r="O441" i="14"/>
  <c r="N441" i="14" s="1"/>
  <c r="P430" i="14"/>
  <c r="T430" i="14" s="1"/>
  <c r="R430" i="14"/>
  <c r="Q430" i="14"/>
  <c r="S430" i="14" s="1"/>
  <c r="M432" i="14"/>
  <c r="O432" i="14"/>
  <c r="N432" i="14" s="1"/>
  <c r="M436" i="14"/>
  <c r="O436" i="14"/>
  <c r="N436" i="14" s="1"/>
  <c r="M440" i="14"/>
  <c r="O440" i="14"/>
  <c r="N440" i="14" s="1"/>
  <c r="P427" i="14"/>
  <c r="Q427" i="14"/>
  <c r="S427" i="14" s="1"/>
  <c r="R427" i="14"/>
  <c r="M431" i="14"/>
  <c r="O431" i="14"/>
  <c r="N431" i="14" s="1"/>
  <c r="O435" i="14"/>
  <c r="N435" i="14" s="1"/>
  <c r="M435" i="14"/>
  <c r="M439" i="14"/>
  <c r="O439" i="14"/>
  <c r="N439" i="14" s="1"/>
  <c r="R428" i="14"/>
  <c r="O434" i="14"/>
  <c r="N434" i="14" s="1"/>
  <c r="M434" i="14"/>
  <c r="M438" i="14"/>
  <c r="O438" i="14"/>
  <c r="N438" i="14" s="1"/>
  <c r="M442" i="14"/>
  <c r="O442" i="14"/>
  <c r="N442" i="14" s="1"/>
  <c r="H2287" i="1"/>
  <c r="H2288" i="1" s="1"/>
  <c r="H2249" i="1"/>
  <c r="H2260" i="1" s="1"/>
  <c r="H2261" i="1" s="1"/>
  <c r="H1647" i="16"/>
  <c r="H1599" i="16"/>
  <c r="H1587" i="16"/>
  <c r="P1255" i="17"/>
  <c r="P1256" i="17" s="1"/>
  <c r="F1255" i="17"/>
  <c r="I1255" i="17" s="1"/>
  <c r="P1214" i="17"/>
  <c r="P1215" i="17" s="1"/>
  <c r="I1223" i="17"/>
  <c r="G1257" i="17"/>
  <c r="F1206" i="17"/>
  <c r="F1214" i="17"/>
  <c r="I1214" i="17" s="1"/>
  <c r="H1257" i="17"/>
  <c r="D1257" i="17"/>
  <c r="I1218" i="17"/>
  <c r="I1201" i="17"/>
  <c r="I2299" i="13"/>
  <c r="I2283" i="13"/>
  <c r="I2285" i="13" s="1"/>
  <c r="I2275" i="13"/>
  <c r="I2277" i="13"/>
  <c r="I2273" i="13"/>
  <c r="I2278" i="13" s="1"/>
  <c r="I2266" i="13"/>
  <c r="I2268" i="13" s="1"/>
  <c r="I2235" i="13"/>
  <c r="F2221" i="13"/>
  <c r="I2221" i="13"/>
  <c r="F2213" i="13"/>
  <c r="I2213" i="13"/>
  <c r="F2264" i="13"/>
  <c r="F2269" i="13" s="1"/>
  <c r="F2273" i="13"/>
  <c r="F2278" i="13" s="1"/>
  <c r="I2303" i="13"/>
  <c r="F2229" i="13"/>
  <c r="I2243" i="13"/>
  <c r="F2243" i="13"/>
  <c r="I2264" i="13"/>
  <c r="I2290" i="13"/>
  <c r="F2290" i="13"/>
  <c r="F2293" i="13"/>
  <c r="F2303" i="13"/>
  <c r="F2252" i="13"/>
  <c r="I2229" i="13"/>
  <c r="I2237" i="13"/>
  <c r="F2299" i="13"/>
  <c r="I2287" i="1"/>
  <c r="I2288" i="1" s="1"/>
  <c r="G2273" i="1"/>
  <c r="J2273" i="1" s="1"/>
  <c r="I2218" i="1"/>
  <c r="H2201" i="1"/>
  <c r="H2218" i="1" s="1"/>
  <c r="H2234" i="1" s="1"/>
  <c r="G2223" i="1"/>
  <c r="J2219" i="1"/>
  <c r="G2217" i="1"/>
  <c r="J2217" i="1" s="1"/>
  <c r="J2193" i="1"/>
  <c r="G2201" i="1"/>
  <c r="J2201" i="1" s="1"/>
  <c r="J2194" i="1"/>
  <c r="G2209" i="1"/>
  <c r="J2209" i="1" s="1"/>
  <c r="J2202" i="1"/>
  <c r="G2232" i="1"/>
  <c r="J2232" i="1" s="1"/>
  <c r="G2286" i="1"/>
  <c r="J2286" i="1" s="1"/>
  <c r="J2284" i="1"/>
  <c r="G2253" i="1"/>
  <c r="J2250" i="1"/>
  <c r="G2257" i="1"/>
  <c r="J2257" i="1" s="1"/>
  <c r="J2254" i="1"/>
  <c r="G2265" i="1"/>
  <c r="J2262" i="1"/>
  <c r="G2244" i="1"/>
  <c r="I2233" i="1"/>
  <c r="G2248" i="1"/>
  <c r="J2248" i="1" s="1"/>
  <c r="G2270" i="1"/>
  <c r="J2270" i="1" s="1"/>
  <c r="J2280" i="1"/>
  <c r="I2095" i="1"/>
  <c r="H2095" i="1"/>
  <c r="T429" i="14" l="1"/>
  <c r="I2234" i="1"/>
  <c r="Q428" i="14"/>
  <c r="S428" i="14" s="1"/>
  <c r="T428" i="14" s="1"/>
  <c r="P429" i="14"/>
  <c r="I2253" i="13"/>
  <c r="T427" i="14"/>
  <c r="H1605" i="16"/>
  <c r="G2365" i="1"/>
  <c r="G2393" i="1" s="1"/>
  <c r="J2393" i="1" s="1"/>
  <c r="J2338" i="1"/>
  <c r="P460" i="14"/>
  <c r="R460" i="14"/>
  <c r="Q460" i="14"/>
  <c r="S460" i="14" s="1"/>
  <c r="P452" i="14"/>
  <c r="R452" i="14"/>
  <c r="Q452" i="14"/>
  <c r="P457" i="14"/>
  <c r="R457" i="14"/>
  <c r="Q457" i="14"/>
  <c r="S457" i="14" s="1"/>
  <c r="P449" i="14"/>
  <c r="Q449" i="14"/>
  <c r="S449" i="14" s="1"/>
  <c r="R449" i="14"/>
  <c r="P459" i="14"/>
  <c r="R459" i="14"/>
  <c r="Q459" i="14"/>
  <c r="S459" i="14" s="1"/>
  <c r="P458" i="14"/>
  <c r="R458" i="14"/>
  <c r="Q458" i="14"/>
  <c r="P450" i="14"/>
  <c r="Q450" i="14"/>
  <c r="R450" i="14"/>
  <c r="P455" i="14"/>
  <c r="R455" i="14"/>
  <c r="Q455" i="14"/>
  <c r="T460" i="14"/>
  <c r="P445" i="14"/>
  <c r="R445" i="14"/>
  <c r="Q445" i="14"/>
  <c r="P446" i="14"/>
  <c r="Q446" i="14"/>
  <c r="R446" i="14"/>
  <c r="P447" i="14"/>
  <c r="R447" i="14"/>
  <c r="Q447" i="14"/>
  <c r="T449" i="14"/>
  <c r="P456" i="14"/>
  <c r="R456" i="14"/>
  <c r="Q456" i="14"/>
  <c r="P448" i="14"/>
  <c r="Q448" i="14"/>
  <c r="R448" i="14"/>
  <c r="P453" i="14"/>
  <c r="R453" i="14"/>
  <c r="Q453" i="14"/>
  <c r="P451" i="14"/>
  <c r="Q451" i="14"/>
  <c r="R451" i="14"/>
  <c r="P454" i="14"/>
  <c r="R454" i="14"/>
  <c r="Q454" i="14"/>
  <c r="P434" i="14"/>
  <c r="Q434" i="14"/>
  <c r="R434" i="14"/>
  <c r="P435" i="14"/>
  <c r="Q435" i="14"/>
  <c r="R435" i="14"/>
  <c r="P437" i="14"/>
  <c r="Q437" i="14"/>
  <c r="R437" i="14"/>
  <c r="P432" i="14"/>
  <c r="R432" i="14"/>
  <c r="Q432" i="14"/>
  <c r="P438" i="14"/>
  <c r="Q438" i="14"/>
  <c r="R438" i="14"/>
  <c r="P431" i="14"/>
  <c r="Q431" i="14"/>
  <c r="R431" i="14"/>
  <c r="P441" i="14"/>
  <c r="T441" i="14" s="1"/>
  <c r="R441" i="14"/>
  <c r="Q441" i="14"/>
  <c r="S441" i="14" s="1"/>
  <c r="P442" i="14"/>
  <c r="R442" i="14"/>
  <c r="Q442" i="14"/>
  <c r="P440" i="14"/>
  <c r="Q440" i="14"/>
  <c r="R440" i="14"/>
  <c r="P439" i="14"/>
  <c r="Q439" i="14"/>
  <c r="R439" i="14"/>
  <c r="P436" i="14"/>
  <c r="R436" i="14"/>
  <c r="Q436" i="14"/>
  <c r="S436" i="14" s="1"/>
  <c r="P433" i="14"/>
  <c r="R433" i="14"/>
  <c r="Q433" i="14"/>
  <c r="F2280" i="13"/>
  <c r="F2281" i="13" s="1"/>
  <c r="H2289" i="1"/>
  <c r="I2289" i="1"/>
  <c r="F2238" i="13"/>
  <c r="F1256" i="17"/>
  <c r="I1256" i="17" s="1"/>
  <c r="P1257" i="17"/>
  <c r="F1215" i="17"/>
  <c r="I1215" i="17" s="1"/>
  <c r="I1206" i="17"/>
  <c r="F2307" i="13"/>
  <c r="F2308" i="13" s="1"/>
  <c r="I2307" i="13"/>
  <c r="I2308" i="13" s="1"/>
  <c r="I2269" i="13"/>
  <c r="I2280" i="13" s="1"/>
  <c r="I2281" i="13" s="1"/>
  <c r="I2238" i="13"/>
  <c r="I2254" i="13" s="1"/>
  <c r="F2253" i="13"/>
  <c r="F2254" i="13" s="1"/>
  <c r="G2249" i="1"/>
  <c r="J2244" i="1"/>
  <c r="G2258" i="1"/>
  <c r="J2258" i="1" s="1"/>
  <c r="J2253" i="1"/>
  <c r="G2218" i="1"/>
  <c r="G2287" i="1"/>
  <c r="J2265" i="1"/>
  <c r="G2233" i="1"/>
  <c r="J2233" i="1" s="1"/>
  <c r="J2223" i="1"/>
  <c r="E1499" i="16"/>
  <c r="E1494" i="16"/>
  <c r="E1496" i="16"/>
  <c r="S440" i="14" l="1"/>
  <c r="T440" i="14" s="1"/>
  <c r="F2309" i="13"/>
  <c r="T436" i="14"/>
  <c r="S439" i="14"/>
  <c r="S431" i="14"/>
  <c r="T431" i="14" s="1"/>
  <c r="T457" i="14"/>
  <c r="S433" i="14"/>
  <c r="T433" i="14" s="1"/>
  <c r="T439" i="14"/>
  <c r="S442" i="14"/>
  <c r="T442" i="14" s="1"/>
  <c r="S432" i="14"/>
  <c r="T432" i="14" s="1"/>
  <c r="S454" i="14"/>
  <c r="T454" i="14" s="1"/>
  <c r="S451" i="14"/>
  <c r="T451" i="14" s="1"/>
  <c r="T459" i="14"/>
  <c r="S453" i="14"/>
  <c r="T453" i="14" s="1"/>
  <c r="S448" i="14"/>
  <c r="T448" i="14" s="1"/>
  <c r="S455" i="14"/>
  <c r="T455" i="14" s="1"/>
  <c r="S450" i="14"/>
  <c r="T450" i="14" s="1"/>
  <c r="S456" i="14"/>
  <c r="T456" i="14" s="1"/>
  <c r="S447" i="14"/>
  <c r="T447" i="14" s="1"/>
  <c r="S446" i="14"/>
  <c r="T446" i="14" s="1"/>
  <c r="S445" i="14"/>
  <c r="T445" i="14" s="1"/>
  <c r="S458" i="14"/>
  <c r="T458" i="14" s="1"/>
  <c r="S452" i="14"/>
  <c r="T452" i="14" s="1"/>
  <c r="S437" i="14"/>
  <c r="T437" i="14" s="1"/>
  <c r="S434" i="14"/>
  <c r="T434" i="14" s="1"/>
  <c r="S435" i="14"/>
  <c r="T435" i="14" s="1"/>
  <c r="S438" i="14"/>
  <c r="T438" i="14" s="1"/>
  <c r="I2309" i="13"/>
  <c r="F1257" i="17"/>
  <c r="I1257" i="17" s="1"/>
  <c r="G2260" i="1"/>
  <c r="J2249" i="1"/>
  <c r="G2288" i="1"/>
  <c r="J2287" i="1"/>
  <c r="J2288" i="1" s="1"/>
  <c r="J2218" i="1"/>
  <c r="G2234" i="1"/>
  <c r="L424" i="14"/>
  <c r="K424" i="14" s="1"/>
  <c r="G424" i="14"/>
  <c r="C424" i="14"/>
  <c r="L423" i="14"/>
  <c r="K423" i="14" s="1"/>
  <c r="G423" i="14"/>
  <c r="C423" i="14"/>
  <c r="L422" i="14"/>
  <c r="K422" i="14" s="1"/>
  <c r="G422" i="14"/>
  <c r="C422" i="14"/>
  <c r="L421" i="14"/>
  <c r="K421" i="14" s="1"/>
  <c r="G421" i="14"/>
  <c r="C421" i="14"/>
  <c r="L420" i="14"/>
  <c r="K420" i="14" s="1"/>
  <c r="G420" i="14"/>
  <c r="C420" i="14"/>
  <c r="L419" i="14"/>
  <c r="K419" i="14" s="1"/>
  <c r="G419" i="14"/>
  <c r="C419" i="14"/>
  <c r="L418" i="14"/>
  <c r="K418" i="14" s="1"/>
  <c r="G418" i="14"/>
  <c r="C418" i="14"/>
  <c r="L417" i="14"/>
  <c r="K417" i="14" s="1"/>
  <c r="G417" i="14"/>
  <c r="C417" i="14"/>
  <c r="L416" i="14"/>
  <c r="K416" i="14" s="1"/>
  <c r="G416" i="14"/>
  <c r="C416" i="14"/>
  <c r="L415" i="14"/>
  <c r="K415" i="14" s="1"/>
  <c r="G415" i="14"/>
  <c r="C415" i="14"/>
  <c r="L414" i="14"/>
  <c r="K414" i="14" s="1"/>
  <c r="G414" i="14"/>
  <c r="C414" i="14"/>
  <c r="L413" i="14"/>
  <c r="K413" i="14" s="1"/>
  <c r="G413" i="14"/>
  <c r="C413" i="14"/>
  <c r="L412" i="14"/>
  <c r="K412" i="14" s="1"/>
  <c r="G412" i="14"/>
  <c r="C412" i="14"/>
  <c r="L411" i="14"/>
  <c r="K411" i="14" s="1"/>
  <c r="G411" i="14"/>
  <c r="C411" i="14"/>
  <c r="L410" i="14"/>
  <c r="K410" i="14" s="1"/>
  <c r="G410" i="14"/>
  <c r="C410" i="14"/>
  <c r="L409" i="14"/>
  <c r="K409" i="14" s="1"/>
  <c r="G409" i="14"/>
  <c r="C409" i="14"/>
  <c r="H1564" i="16"/>
  <c r="H1563" i="16"/>
  <c r="H1562" i="16"/>
  <c r="H1561" i="16"/>
  <c r="H1560" i="16"/>
  <c r="H1559" i="16"/>
  <c r="H1558" i="16"/>
  <c r="H1557" i="16"/>
  <c r="H1556" i="16"/>
  <c r="H1555" i="16"/>
  <c r="H1554" i="16"/>
  <c r="H1553" i="16"/>
  <c r="H1552" i="16"/>
  <c r="H1551" i="16"/>
  <c r="H1550" i="16"/>
  <c r="H1549" i="16"/>
  <c r="H1548" i="16"/>
  <c r="H1547" i="16"/>
  <c r="H1546" i="16"/>
  <c r="H1545" i="16"/>
  <c r="H1543" i="16"/>
  <c r="H1542" i="16"/>
  <c r="H1541" i="16"/>
  <c r="H1540" i="16"/>
  <c r="H1539" i="16"/>
  <c r="I1538" i="16"/>
  <c r="H1538" i="16"/>
  <c r="H1537" i="16"/>
  <c r="H1536" i="16"/>
  <c r="H1535" i="16"/>
  <c r="H1534" i="16"/>
  <c r="H1533" i="16"/>
  <c r="H1532" i="16"/>
  <c r="H1531" i="16"/>
  <c r="H1530" i="16"/>
  <c r="H1529" i="16"/>
  <c r="H1528" i="16"/>
  <c r="H1527" i="16"/>
  <c r="H1526" i="16"/>
  <c r="H1525" i="16"/>
  <c r="H1524" i="16"/>
  <c r="I1522" i="16"/>
  <c r="H1520" i="16"/>
  <c r="H1519" i="16"/>
  <c r="H1518" i="16"/>
  <c r="H1516" i="16"/>
  <c r="H1515" i="16"/>
  <c r="H1514" i="16"/>
  <c r="H1513" i="16"/>
  <c r="H1512" i="16"/>
  <c r="H1511" i="16"/>
  <c r="H1510" i="16"/>
  <c r="H1509" i="16"/>
  <c r="H1508" i="16"/>
  <c r="H1507" i="16"/>
  <c r="H1506" i="16"/>
  <c r="H1504" i="16"/>
  <c r="H1503" i="16"/>
  <c r="H1502" i="16"/>
  <c r="H1501" i="16"/>
  <c r="H1500" i="16"/>
  <c r="H1499" i="16"/>
  <c r="H1498" i="16"/>
  <c r="H1497" i="16"/>
  <c r="H1496" i="16"/>
  <c r="H1495" i="16"/>
  <c r="H1494" i="16"/>
  <c r="H1493" i="16"/>
  <c r="H1492" i="16"/>
  <c r="H1491" i="16"/>
  <c r="E1196" i="17"/>
  <c r="D1195" i="17"/>
  <c r="D1196" i="17" s="1"/>
  <c r="P1194" i="17"/>
  <c r="F1194" i="17"/>
  <c r="I1194" i="17" s="1"/>
  <c r="P1193" i="17"/>
  <c r="F1193" i="17"/>
  <c r="I1193" i="17" s="1"/>
  <c r="P1192" i="17"/>
  <c r="F1192" i="17"/>
  <c r="I1192" i="17" s="1"/>
  <c r="P1191" i="17"/>
  <c r="F1191" i="17"/>
  <c r="I1191" i="17" s="1"/>
  <c r="P1190" i="17"/>
  <c r="F1190" i="17"/>
  <c r="I1190" i="17" s="1"/>
  <c r="P1189" i="17"/>
  <c r="P1188" i="17"/>
  <c r="F1188" i="17"/>
  <c r="I1188" i="17" s="1"/>
  <c r="P1187" i="17"/>
  <c r="F1187" i="17"/>
  <c r="I1187" i="17" s="1"/>
  <c r="P1186" i="17"/>
  <c r="F1186" i="17"/>
  <c r="I1186" i="17" s="1"/>
  <c r="P1185" i="17"/>
  <c r="F1185" i="17"/>
  <c r="I1185" i="17" s="1"/>
  <c r="P1184" i="17"/>
  <c r="F1184" i="17"/>
  <c r="I1184" i="17" s="1"/>
  <c r="P1183" i="17"/>
  <c r="P1182" i="17"/>
  <c r="F1182" i="17"/>
  <c r="I1182" i="17" s="1"/>
  <c r="P1181" i="17"/>
  <c r="F1181" i="17"/>
  <c r="I1181" i="17" s="1"/>
  <c r="P1180" i="17"/>
  <c r="F1180" i="17"/>
  <c r="I1180" i="17" s="1"/>
  <c r="P1179" i="17"/>
  <c r="F1179" i="17"/>
  <c r="I1179" i="17" s="1"/>
  <c r="P1178" i="17"/>
  <c r="F1178" i="17"/>
  <c r="I1178" i="17" s="1"/>
  <c r="P1177" i="17"/>
  <c r="F1177" i="17"/>
  <c r="I1177" i="17" s="1"/>
  <c r="P1176" i="17"/>
  <c r="F1176" i="17"/>
  <c r="I1176" i="17" s="1"/>
  <c r="P1175" i="17"/>
  <c r="F1175" i="17"/>
  <c r="I1175" i="17" s="1"/>
  <c r="P1174" i="17"/>
  <c r="I1174" i="17"/>
  <c r="F1174" i="17"/>
  <c r="P1173" i="17"/>
  <c r="F1173" i="17"/>
  <c r="I1173" i="17" s="1"/>
  <c r="P1172" i="17"/>
  <c r="P1171" i="17"/>
  <c r="F1171" i="17"/>
  <c r="P1170" i="17"/>
  <c r="I1170" i="17"/>
  <c r="F1170" i="17"/>
  <c r="P1169" i="17"/>
  <c r="F1169" i="17"/>
  <c r="I1169" i="17" s="1"/>
  <c r="P1168" i="17"/>
  <c r="F1168" i="17"/>
  <c r="I1168" i="17" s="1"/>
  <c r="P1167" i="17"/>
  <c r="F1167" i="17"/>
  <c r="I1167" i="17" s="1"/>
  <c r="P1166" i="17"/>
  <c r="F1166" i="17"/>
  <c r="I1166" i="17" s="1"/>
  <c r="P1165" i="17"/>
  <c r="F1165" i="17"/>
  <c r="I1165" i="17" s="1"/>
  <c r="E1164" i="17"/>
  <c r="D1164" i="17"/>
  <c r="H1163" i="17"/>
  <c r="H1164" i="17" s="1"/>
  <c r="G1163" i="17"/>
  <c r="G1164" i="17" s="1"/>
  <c r="P1162" i="17"/>
  <c r="F1162" i="17"/>
  <c r="I1162" i="17" s="1"/>
  <c r="P1161" i="17"/>
  <c r="F1161" i="17"/>
  <c r="I1161" i="17" s="1"/>
  <c r="P1160" i="17"/>
  <c r="F1160" i="17"/>
  <c r="P1159" i="17"/>
  <c r="I1159" i="17"/>
  <c r="F1159" i="17"/>
  <c r="P1158" i="17"/>
  <c r="F1158" i="17"/>
  <c r="I1158" i="17" s="1"/>
  <c r="P1157" i="17"/>
  <c r="I1157" i="17"/>
  <c r="F1157" i="17"/>
  <c r="P1156" i="17"/>
  <c r="F1156" i="17"/>
  <c r="E1155" i="17"/>
  <c r="E1197" i="17" s="1"/>
  <c r="H1154" i="17"/>
  <c r="G1154" i="17"/>
  <c r="D1154" i="17"/>
  <c r="P1153" i="17"/>
  <c r="F1153" i="17"/>
  <c r="I1153" i="17" s="1"/>
  <c r="P1152" i="17"/>
  <c r="F1152" i="17"/>
  <c r="I1152" i="17" s="1"/>
  <c r="P1151" i="17"/>
  <c r="F1151" i="17"/>
  <c r="I1151" i="17" s="1"/>
  <c r="P1150" i="17"/>
  <c r="I1150" i="17"/>
  <c r="F1150" i="17"/>
  <c r="P1149" i="17"/>
  <c r="F1149" i="17"/>
  <c r="I1149" i="17" s="1"/>
  <c r="P1148" i="17"/>
  <c r="F1148" i="17"/>
  <c r="I1148" i="17" s="1"/>
  <c r="P1147" i="17"/>
  <c r="F1147" i="17"/>
  <c r="I1147" i="17" s="1"/>
  <c r="G1146" i="17"/>
  <c r="D1146" i="17"/>
  <c r="D1155" i="17" s="1"/>
  <c r="P1145" i="17"/>
  <c r="F1145" i="17"/>
  <c r="I1145" i="17" s="1"/>
  <c r="P1144" i="17"/>
  <c r="F1144" i="17"/>
  <c r="I1144" i="17" s="1"/>
  <c r="P1143" i="17"/>
  <c r="F1143" i="17"/>
  <c r="I1143" i="17" s="1"/>
  <c r="P1142" i="17"/>
  <c r="F1142" i="17"/>
  <c r="I1142" i="17" s="1"/>
  <c r="H1146" i="17"/>
  <c r="H1155" i="17" s="1"/>
  <c r="P1141" i="17"/>
  <c r="F2200" i="13"/>
  <c r="F2199" i="13"/>
  <c r="F2201" i="13" s="1"/>
  <c r="F2197" i="13"/>
  <c r="F2196" i="13"/>
  <c r="I2196" i="13" s="1"/>
  <c r="F2195" i="13"/>
  <c r="F2193" i="13"/>
  <c r="F2192" i="13"/>
  <c r="I2192" i="13" s="1"/>
  <c r="F2191" i="13"/>
  <c r="F2190" i="13"/>
  <c r="I2190" i="13" s="1"/>
  <c r="F2189" i="13"/>
  <c r="F2187" i="13"/>
  <c r="I2187" i="13" s="1"/>
  <c r="F2186" i="13"/>
  <c r="I2186" i="13" s="1"/>
  <c r="F2184" i="13"/>
  <c r="F2183" i="13"/>
  <c r="I2183" i="13" s="1"/>
  <c r="F2182" i="13"/>
  <c r="F2181" i="13"/>
  <c r="I2181" i="13" s="1"/>
  <c r="F2179" i="13"/>
  <c r="F2178" i="13"/>
  <c r="I2178" i="13" s="1"/>
  <c r="F2177" i="13"/>
  <c r="F2174" i="13"/>
  <c r="F2171" i="13"/>
  <c r="F2170" i="13"/>
  <c r="I2170" i="13" s="1"/>
  <c r="F2169" i="13"/>
  <c r="F2167" i="13"/>
  <c r="F2166" i="13"/>
  <c r="I2166" i="13" s="1"/>
  <c r="F2165" i="13"/>
  <c r="F2162" i="13"/>
  <c r="F2161" i="13"/>
  <c r="I2161" i="13" s="1"/>
  <c r="F2160" i="13"/>
  <c r="F2158" i="13"/>
  <c r="F2157" i="13"/>
  <c r="I2157" i="13" s="1"/>
  <c r="F2156" i="13"/>
  <c r="F2155" i="13"/>
  <c r="I2155" i="13" s="1"/>
  <c r="F2154" i="13"/>
  <c r="F2153" i="13"/>
  <c r="I2153" i="13" s="1"/>
  <c r="F2152" i="13"/>
  <c r="F2151" i="13"/>
  <c r="I2151" i="13" s="1"/>
  <c r="F2150" i="13"/>
  <c r="F2146" i="13"/>
  <c r="F2145" i="13"/>
  <c r="I2145" i="13" s="1"/>
  <c r="F2144" i="13"/>
  <c r="F2143" i="13"/>
  <c r="I2143" i="13" s="1"/>
  <c r="F2142" i="13"/>
  <c r="F2141" i="13"/>
  <c r="I2141" i="13" s="1"/>
  <c r="F2140" i="13"/>
  <c r="F2139" i="13"/>
  <c r="I2139" i="13" s="1"/>
  <c r="F2137" i="13"/>
  <c r="F2136" i="13"/>
  <c r="I2136" i="13" s="1"/>
  <c r="F2135" i="13"/>
  <c r="F2134" i="13"/>
  <c r="I2134" i="13" s="1"/>
  <c r="F2131" i="13"/>
  <c r="F2130" i="13"/>
  <c r="I2130" i="13" s="1"/>
  <c r="F2129" i="13"/>
  <c r="F2127" i="13"/>
  <c r="F2126" i="13"/>
  <c r="I2126" i="13" s="1"/>
  <c r="F2125" i="13"/>
  <c r="F2123" i="13"/>
  <c r="F2122" i="13"/>
  <c r="I2122" i="13" s="1"/>
  <c r="F2121" i="13"/>
  <c r="F2120" i="13"/>
  <c r="I2120" i="13" s="1"/>
  <c r="F2119" i="13"/>
  <c r="F2118" i="13"/>
  <c r="I2118" i="13" s="1"/>
  <c r="F2117" i="13"/>
  <c r="F2115" i="13"/>
  <c r="F2114" i="13"/>
  <c r="I2114" i="13" s="1"/>
  <c r="F2113" i="13"/>
  <c r="F2112" i="13"/>
  <c r="I2112" i="13" s="1"/>
  <c r="F2111" i="13"/>
  <c r="F2110" i="13"/>
  <c r="I2110" i="13" s="1"/>
  <c r="F2109" i="13"/>
  <c r="F2107" i="13"/>
  <c r="F2106" i="13"/>
  <c r="F2105" i="13"/>
  <c r="F2104" i="13"/>
  <c r="J2201" i="13"/>
  <c r="I2201" i="13"/>
  <c r="I2197" i="13"/>
  <c r="I2195" i="13"/>
  <c r="I2193" i="13"/>
  <c r="I2191" i="13"/>
  <c r="I2189" i="13"/>
  <c r="I2184" i="13"/>
  <c r="I2182" i="13"/>
  <c r="I2179" i="13"/>
  <c r="I2177" i="13"/>
  <c r="I2174" i="13"/>
  <c r="I2171" i="13"/>
  <c r="I2169" i="13"/>
  <c r="I2167" i="13"/>
  <c r="I2165" i="13"/>
  <c r="I2162" i="13"/>
  <c r="I2160" i="13"/>
  <c r="I2158" i="13"/>
  <c r="I2156" i="13"/>
  <c r="I2154" i="13"/>
  <c r="I2152" i="13"/>
  <c r="I2150" i="13"/>
  <c r="I2146" i="13"/>
  <c r="I2144" i="13"/>
  <c r="I2142" i="13"/>
  <c r="I2140" i="13"/>
  <c r="I2137" i="13"/>
  <c r="I2135" i="13"/>
  <c r="I2131" i="13"/>
  <c r="I2129" i="13"/>
  <c r="I2127" i="13"/>
  <c r="I2125" i="13"/>
  <c r="I2123" i="13"/>
  <c r="I2121" i="13"/>
  <c r="I2119" i="13"/>
  <c r="I2117" i="13"/>
  <c r="I2115" i="13"/>
  <c r="I2113" i="13"/>
  <c r="I2111" i="13"/>
  <c r="I2109" i="13"/>
  <c r="I2107" i="13"/>
  <c r="I2106" i="13"/>
  <c r="I2105" i="13"/>
  <c r="I2104" i="13"/>
  <c r="I2108" i="13" s="1"/>
  <c r="F2183" i="1"/>
  <c r="F2184" i="1" s="1"/>
  <c r="E2183" i="1"/>
  <c r="E2184" i="1" s="1"/>
  <c r="I2182" i="1"/>
  <c r="H2182" i="1"/>
  <c r="J2181" i="1"/>
  <c r="G2181" i="1"/>
  <c r="G2180" i="1"/>
  <c r="I2179" i="1"/>
  <c r="H2179" i="1"/>
  <c r="G2178" i="1"/>
  <c r="J2178" i="1" s="1"/>
  <c r="J2177" i="1"/>
  <c r="G2177" i="1"/>
  <c r="G2176" i="1"/>
  <c r="I2175" i="1"/>
  <c r="H2175" i="1"/>
  <c r="G2174" i="1"/>
  <c r="J2174" i="1" s="1"/>
  <c r="J2173" i="1"/>
  <c r="G2173" i="1"/>
  <c r="G2172" i="1"/>
  <c r="J2172" i="1" s="1"/>
  <c r="J2171" i="1"/>
  <c r="G2171" i="1"/>
  <c r="G2170" i="1"/>
  <c r="J2170" i="1" s="1"/>
  <c r="I2169" i="1"/>
  <c r="H2169" i="1"/>
  <c r="G2168" i="1"/>
  <c r="J2168" i="1" s="1"/>
  <c r="J2167" i="1"/>
  <c r="G2167" i="1"/>
  <c r="I2166" i="1"/>
  <c r="H2166" i="1"/>
  <c r="G2165" i="1"/>
  <c r="J2165" i="1" s="1"/>
  <c r="G2164" i="1"/>
  <c r="J2164" i="1" s="1"/>
  <c r="G2163" i="1"/>
  <c r="J2163" i="1" s="1"/>
  <c r="G2162" i="1"/>
  <c r="J2162" i="1" s="1"/>
  <c r="I2161" i="1"/>
  <c r="H2161" i="1"/>
  <c r="G2160" i="1"/>
  <c r="J2160" i="1" s="1"/>
  <c r="J2159" i="1"/>
  <c r="G2159" i="1"/>
  <c r="G2158" i="1"/>
  <c r="F2156" i="1"/>
  <c r="F2157" i="1" s="1"/>
  <c r="E2156" i="1"/>
  <c r="E2157" i="1" s="1"/>
  <c r="J2155" i="1"/>
  <c r="G2155" i="1"/>
  <c r="I2154" i="1"/>
  <c r="I2153" i="1"/>
  <c r="H2153" i="1"/>
  <c r="G2152" i="1"/>
  <c r="J2152" i="1" s="1"/>
  <c r="J2151" i="1"/>
  <c r="G2151" i="1"/>
  <c r="G2150" i="1"/>
  <c r="I2149" i="1"/>
  <c r="H2149" i="1"/>
  <c r="H2154" i="1" s="1"/>
  <c r="G2148" i="1"/>
  <c r="J2148" i="1" s="1"/>
  <c r="J2147" i="1"/>
  <c r="G2147" i="1"/>
  <c r="G2146" i="1"/>
  <c r="I2144" i="1"/>
  <c r="H2144" i="1"/>
  <c r="G2143" i="1"/>
  <c r="J2143" i="1" s="1"/>
  <c r="G2142" i="1"/>
  <c r="J2142" i="1" s="1"/>
  <c r="J2141" i="1"/>
  <c r="G2141" i="1"/>
  <c r="I2140" i="1"/>
  <c r="I2145" i="1" s="1"/>
  <c r="H2140" i="1"/>
  <c r="G2139" i="1"/>
  <c r="J2139" i="1" s="1"/>
  <c r="J2138" i="1"/>
  <c r="G2138" i="1"/>
  <c r="J2137" i="1"/>
  <c r="G2137" i="1"/>
  <c r="J2136" i="1"/>
  <c r="G2136" i="1"/>
  <c r="J2135" i="1"/>
  <c r="G2135" i="1"/>
  <c r="J2134" i="1"/>
  <c r="G2134" i="1"/>
  <c r="G2133" i="1"/>
  <c r="J2133" i="1" s="1"/>
  <c r="G2132" i="1"/>
  <c r="J2132" i="1" s="1"/>
  <c r="G2131" i="1"/>
  <c r="J2131" i="1" s="1"/>
  <c r="F2129" i="1"/>
  <c r="I2128" i="1"/>
  <c r="H2128" i="1"/>
  <c r="J2127" i="1"/>
  <c r="G2127" i="1"/>
  <c r="G2126" i="1"/>
  <c r="J2126" i="1" s="1"/>
  <c r="G2125" i="1"/>
  <c r="J2125" i="1" s="1"/>
  <c r="J2124" i="1"/>
  <c r="G2124" i="1"/>
  <c r="J2123" i="1"/>
  <c r="G2123" i="1"/>
  <c r="G2122" i="1"/>
  <c r="J2122" i="1" s="1"/>
  <c r="G2121" i="1"/>
  <c r="J2121" i="1" s="1"/>
  <c r="J2120" i="1"/>
  <c r="G2120" i="1"/>
  <c r="I2119" i="1"/>
  <c r="I2129" i="1" s="1"/>
  <c r="H2119" i="1"/>
  <c r="E2119" i="1"/>
  <c r="E2129" i="1" s="1"/>
  <c r="G2118" i="1"/>
  <c r="J2118" i="1" s="1"/>
  <c r="G2117" i="1"/>
  <c r="J2117" i="1" s="1"/>
  <c r="J2116" i="1"/>
  <c r="G2116" i="1"/>
  <c r="G2115" i="1"/>
  <c r="I2113" i="1"/>
  <c r="H2113" i="1"/>
  <c r="E2113" i="1"/>
  <c r="G2112" i="1"/>
  <c r="J2112" i="1" s="1"/>
  <c r="G2111" i="1"/>
  <c r="J2111" i="1" s="1"/>
  <c r="G2110" i="1"/>
  <c r="J2110" i="1" s="1"/>
  <c r="I2109" i="1"/>
  <c r="H2109" i="1"/>
  <c r="F2109" i="1"/>
  <c r="F2114" i="1" s="1"/>
  <c r="E2109" i="1"/>
  <c r="G2108" i="1"/>
  <c r="G2107" i="1"/>
  <c r="J2107" i="1" s="1"/>
  <c r="G2106" i="1"/>
  <c r="G2109" i="1" s="1"/>
  <c r="J2109" i="1" s="1"/>
  <c r="I2105" i="1"/>
  <c r="H2105" i="1"/>
  <c r="E2105" i="1"/>
  <c r="J2104" i="1"/>
  <c r="G2104" i="1"/>
  <c r="J2103" i="1"/>
  <c r="G2103" i="1"/>
  <c r="G2102" i="1"/>
  <c r="J2102" i="1" s="1"/>
  <c r="G2101" i="1"/>
  <c r="J2101" i="1" s="1"/>
  <c r="G2100" i="1"/>
  <c r="J2100" i="1" s="1"/>
  <c r="G2099" i="1"/>
  <c r="J2099" i="1" s="1"/>
  <c r="G2098" i="1"/>
  <c r="I2097" i="1"/>
  <c r="H2097" i="1"/>
  <c r="G2096" i="1"/>
  <c r="J2096" i="1" s="1"/>
  <c r="G2095" i="1"/>
  <c r="J2095" i="1" s="1"/>
  <c r="J2094" i="1"/>
  <c r="G2094" i="1"/>
  <c r="J2093" i="1"/>
  <c r="G2093" i="1"/>
  <c r="G2092" i="1"/>
  <c r="J2092" i="1" s="1"/>
  <c r="G2091" i="1"/>
  <c r="J2091" i="1" s="1"/>
  <c r="J2090" i="1"/>
  <c r="G2090" i="1"/>
  <c r="I2089" i="1"/>
  <c r="H2089" i="1"/>
  <c r="G2088" i="1"/>
  <c r="J2088" i="1" s="1"/>
  <c r="G2087" i="1"/>
  <c r="J2087" i="1" s="1"/>
  <c r="G2086" i="1"/>
  <c r="J2086" i="1" s="1"/>
  <c r="J2085" i="1"/>
  <c r="G2085" i="1"/>
  <c r="G2089" i="1" l="1"/>
  <c r="J2089" i="1" s="1"/>
  <c r="H2114" i="1"/>
  <c r="E2114" i="1"/>
  <c r="E2130" i="1" s="1"/>
  <c r="E2185" i="1" s="1"/>
  <c r="H2145" i="1"/>
  <c r="F2130" i="1"/>
  <c r="F2185" i="1" s="1"/>
  <c r="H2129" i="1"/>
  <c r="I2138" i="13"/>
  <c r="F2108" i="13"/>
  <c r="H1565" i="16"/>
  <c r="H1521" i="16"/>
  <c r="G2261" i="1"/>
  <c r="G2289" i="1" s="1"/>
  <c r="J2289" i="1" s="1"/>
  <c r="J2260" i="1"/>
  <c r="J2261" i="1" s="1"/>
  <c r="J2234" i="1"/>
  <c r="P1195" i="17"/>
  <c r="P1196" i="17" s="1"/>
  <c r="I2188" i="13"/>
  <c r="I2156" i="1"/>
  <c r="I2157" i="1" s="1"/>
  <c r="H2130" i="1"/>
  <c r="H1517" i="16"/>
  <c r="H1505" i="16"/>
  <c r="M415" i="14"/>
  <c r="O415" i="14"/>
  <c r="N415" i="14" s="1"/>
  <c r="O423" i="14"/>
  <c r="N423" i="14" s="1"/>
  <c r="M423" i="14"/>
  <c r="M410" i="14"/>
  <c r="O410" i="14"/>
  <c r="N410" i="14" s="1"/>
  <c r="O414" i="14"/>
  <c r="N414" i="14" s="1"/>
  <c r="M414" i="14"/>
  <c r="M418" i="14"/>
  <c r="O418" i="14"/>
  <c r="N418" i="14" s="1"/>
  <c r="O422" i="14"/>
  <c r="N422" i="14" s="1"/>
  <c r="M422" i="14"/>
  <c r="O411" i="14"/>
  <c r="N411" i="14" s="1"/>
  <c r="M411" i="14"/>
  <c r="M419" i="14"/>
  <c r="O419" i="14"/>
  <c r="N419" i="14" s="1"/>
  <c r="M409" i="14"/>
  <c r="O409" i="14"/>
  <c r="N409" i="14" s="1"/>
  <c r="O413" i="14"/>
  <c r="N413" i="14" s="1"/>
  <c r="M413" i="14"/>
  <c r="M417" i="14"/>
  <c r="O417" i="14"/>
  <c r="N417" i="14" s="1"/>
  <c r="O421" i="14"/>
  <c r="N421" i="14" s="1"/>
  <c r="M421" i="14"/>
  <c r="O412" i="14"/>
  <c r="N412" i="14" s="1"/>
  <c r="M412" i="14"/>
  <c r="O416" i="14"/>
  <c r="N416" i="14" s="1"/>
  <c r="M416" i="14"/>
  <c r="O420" i="14"/>
  <c r="N420" i="14" s="1"/>
  <c r="M420" i="14"/>
  <c r="O424" i="14"/>
  <c r="N424" i="14" s="1"/>
  <c r="M424" i="14"/>
  <c r="G1155" i="17"/>
  <c r="P1146" i="17"/>
  <c r="D1197" i="17"/>
  <c r="F1141" i="17"/>
  <c r="F1163" i="17"/>
  <c r="I1163" i="17" s="1"/>
  <c r="I1156" i="17"/>
  <c r="G1195" i="17"/>
  <c r="G1196" i="17" s="1"/>
  <c r="F1154" i="17"/>
  <c r="I1154" i="17" s="1"/>
  <c r="P1154" i="17"/>
  <c r="P1163" i="17"/>
  <c r="P1164" i="17" s="1"/>
  <c r="I1160" i="17"/>
  <c r="F1172" i="17"/>
  <c r="I1172" i="17" s="1"/>
  <c r="H1195" i="17"/>
  <c r="H1196" i="17" s="1"/>
  <c r="H1197" i="17" s="1"/>
  <c r="F1183" i="17"/>
  <c r="I1183" i="17" s="1"/>
  <c r="F1189" i="17"/>
  <c r="I1189" i="17" s="1"/>
  <c r="I2198" i="13"/>
  <c r="I2194" i="13"/>
  <c r="I2180" i="13"/>
  <c r="I2172" i="13"/>
  <c r="I2168" i="13"/>
  <c r="I2163" i="13"/>
  <c r="I2116" i="13"/>
  <c r="F2116" i="13"/>
  <c r="F2132" i="13"/>
  <c r="I2159" i="13"/>
  <c r="F2172" i="13"/>
  <c r="F2180" i="13"/>
  <c r="F2198" i="13"/>
  <c r="F2124" i="13"/>
  <c r="F2128" i="13"/>
  <c r="F2138" i="13"/>
  <c r="I2124" i="13"/>
  <c r="I2128" i="13"/>
  <c r="I2132" i="13"/>
  <c r="I2147" i="13"/>
  <c r="I2148" i="13" s="1"/>
  <c r="F2147" i="13"/>
  <c r="F2163" i="13"/>
  <c r="F2168" i="13"/>
  <c r="F2173" i="13" s="1"/>
  <c r="I2185" i="13"/>
  <c r="F2185" i="13"/>
  <c r="F2194" i="13"/>
  <c r="F2159" i="13"/>
  <c r="F2188" i="13"/>
  <c r="G2144" i="1"/>
  <c r="J2144" i="1" s="1"/>
  <c r="I2114" i="1"/>
  <c r="I2130" i="1" s="1"/>
  <c r="J2106" i="1"/>
  <c r="G2119" i="1"/>
  <c r="J2115" i="1"/>
  <c r="G2128" i="1"/>
  <c r="J2128" i="1" s="1"/>
  <c r="G2105" i="1"/>
  <c r="J2105" i="1" s="1"/>
  <c r="J2098" i="1"/>
  <c r="G2097" i="1"/>
  <c r="J2097" i="1" s="1"/>
  <c r="G2113" i="1"/>
  <c r="J2113" i="1" s="1"/>
  <c r="H2156" i="1"/>
  <c r="H2157" i="1" s="1"/>
  <c r="G2149" i="1"/>
  <c r="J2146" i="1"/>
  <c r="G2153" i="1"/>
  <c r="J2153" i="1" s="1"/>
  <c r="J2150" i="1"/>
  <c r="G2169" i="1"/>
  <c r="J2169" i="1" s="1"/>
  <c r="G2175" i="1"/>
  <c r="J2175" i="1" s="1"/>
  <c r="G2140" i="1"/>
  <c r="H2183" i="1"/>
  <c r="H2184" i="1" s="1"/>
  <c r="H2185" i="1" s="1"/>
  <c r="G2179" i="1"/>
  <c r="J2179" i="1" s="1"/>
  <c r="J2176" i="1"/>
  <c r="G2161" i="1"/>
  <c r="J2158" i="1"/>
  <c r="I2183" i="1"/>
  <c r="I2184" i="1" s="1"/>
  <c r="G2166" i="1"/>
  <c r="J2166" i="1" s="1"/>
  <c r="G2182" i="1"/>
  <c r="J2182" i="1" s="1"/>
  <c r="J2180" i="1"/>
  <c r="E1454" i="16"/>
  <c r="E1451" i="16"/>
  <c r="E1452" i="16"/>
  <c r="I2202" i="13" l="1"/>
  <c r="I2203" i="13" s="1"/>
  <c r="I2173" i="13"/>
  <c r="H1523" i="16"/>
  <c r="I2164" i="13"/>
  <c r="I2175" i="13" s="1"/>
  <c r="I2176" i="13" s="1"/>
  <c r="P1155" i="17"/>
  <c r="P424" i="14"/>
  <c r="R424" i="14"/>
  <c r="Q424" i="14"/>
  <c r="P416" i="14"/>
  <c r="Q416" i="14"/>
  <c r="R416" i="14"/>
  <c r="P421" i="14"/>
  <c r="R421" i="14"/>
  <c r="Q421" i="14"/>
  <c r="S421" i="14" s="1"/>
  <c r="P413" i="14"/>
  <c r="T413" i="14" s="1"/>
  <c r="Q413" i="14"/>
  <c r="S413" i="14" s="1"/>
  <c r="R413" i="14"/>
  <c r="P422" i="14"/>
  <c r="R422" i="14"/>
  <c r="Q422" i="14"/>
  <c r="P414" i="14"/>
  <c r="Q414" i="14"/>
  <c r="R414" i="14"/>
  <c r="P423" i="14"/>
  <c r="R423" i="14"/>
  <c r="Q423" i="14"/>
  <c r="P419" i="14"/>
  <c r="Q419" i="14"/>
  <c r="R419" i="14"/>
  <c r="P417" i="14"/>
  <c r="Q417" i="14"/>
  <c r="R417" i="14"/>
  <c r="P409" i="14"/>
  <c r="R409" i="14"/>
  <c r="Q409" i="14"/>
  <c r="P418" i="14"/>
  <c r="Q418" i="14"/>
  <c r="R418" i="14"/>
  <c r="P410" i="14"/>
  <c r="Q410" i="14"/>
  <c r="R410" i="14"/>
  <c r="P415" i="14"/>
  <c r="R415" i="14"/>
  <c r="Q415" i="14"/>
  <c r="P420" i="14"/>
  <c r="R420" i="14"/>
  <c r="Q420" i="14"/>
  <c r="P412" i="14"/>
  <c r="Q412" i="14"/>
  <c r="R412" i="14"/>
  <c r="P411" i="14"/>
  <c r="Q411" i="14"/>
  <c r="S411" i="14" s="1"/>
  <c r="R411" i="14"/>
  <c r="G1197" i="17"/>
  <c r="P1197" i="17"/>
  <c r="F1195" i="17"/>
  <c r="F1164" i="17"/>
  <c r="I1164" i="17" s="1"/>
  <c r="F1146" i="17"/>
  <c r="I1141" i="17"/>
  <c r="F2133" i="13"/>
  <c r="I2133" i="13"/>
  <c r="I2149" i="13" s="1"/>
  <c r="I2204" i="13" s="1"/>
  <c r="F2148" i="13"/>
  <c r="F2202" i="13"/>
  <c r="F2203" i="13" s="1"/>
  <c r="F2164" i="13"/>
  <c r="F2175" i="13" s="1"/>
  <c r="F2176" i="13" s="1"/>
  <c r="G2183" i="1"/>
  <c r="J2161" i="1"/>
  <c r="J2149" i="1"/>
  <c r="G2154" i="1"/>
  <c r="J2154" i="1" s="1"/>
  <c r="I2185" i="1"/>
  <c r="G2114" i="1"/>
  <c r="G2145" i="1"/>
  <c r="J2140" i="1"/>
  <c r="G2129" i="1"/>
  <c r="J2129" i="1" s="1"/>
  <c r="J2119" i="1"/>
  <c r="H1081" i="17"/>
  <c r="G1081" i="17"/>
  <c r="I1883" i="1"/>
  <c r="H1883" i="1"/>
  <c r="L406" i="14"/>
  <c r="K406" i="14" s="1"/>
  <c r="G406" i="14"/>
  <c r="C406" i="14"/>
  <c r="L405" i="14"/>
  <c r="K405" i="14" s="1"/>
  <c r="G405" i="14"/>
  <c r="C405" i="14"/>
  <c r="L404" i="14"/>
  <c r="K404" i="14" s="1"/>
  <c r="G404" i="14"/>
  <c r="C404" i="14"/>
  <c r="L403" i="14"/>
  <c r="K403" i="14" s="1"/>
  <c r="G403" i="14"/>
  <c r="C403" i="14"/>
  <c r="L402" i="14"/>
  <c r="K402" i="14" s="1"/>
  <c r="G402" i="14"/>
  <c r="C402" i="14"/>
  <c r="L401" i="14"/>
  <c r="K401" i="14" s="1"/>
  <c r="G401" i="14"/>
  <c r="C401" i="14"/>
  <c r="L400" i="14"/>
  <c r="K400" i="14" s="1"/>
  <c r="G400" i="14"/>
  <c r="C400" i="14"/>
  <c r="L399" i="14"/>
  <c r="K399" i="14" s="1"/>
  <c r="G399" i="14"/>
  <c r="C399" i="14"/>
  <c r="L398" i="14"/>
  <c r="K398" i="14" s="1"/>
  <c r="G398" i="14"/>
  <c r="C398" i="14"/>
  <c r="L397" i="14"/>
  <c r="K397" i="14" s="1"/>
  <c r="G397" i="14"/>
  <c r="C397" i="14"/>
  <c r="L396" i="14"/>
  <c r="K396" i="14" s="1"/>
  <c r="G396" i="14"/>
  <c r="C396" i="14"/>
  <c r="L395" i="14"/>
  <c r="K395" i="14" s="1"/>
  <c r="G395" i="14"/>
  <c r="C395" i="14"/>
  <c r="L394" i="14"/>
  <c r="K394" i="14" s="1"/>
  <c r="G394" i="14"/>
  <c r="C394" i="14"/>
  <c r="L393" i="14"/>
  <c r="K393" i="14" s="1"/>
  <c r="G393" i="14"/>
  <c r="C393" i="14"/>
  <c r="L392" i="14"/>
  <c r="K392" i="14" s="1"/>
  <c r="G392" i="14"/>
  <c r="C392" i="14"/>
  <c r="L391" i="14"/>
  <c r="K391" i="14" s="1"/>
  <c r="G391" i="14"/>
  <c r="C391" i="14"/>
  <c r="L388" i="14"/>
  <c r="K388" i="14" s="1"/>
  <c r="G388" i="14"/>
  <c r="C388" i="14"/>
  <c r="L387" i="14"/>
  <c r="K387" i="14" s="1"/>
  <c r="G387" i="14"/>
  <c r="C387" i="14"/>
  <c r="L386" i="14"/>
  <c r="K386" i="14" s="1"/>
  <c r="G386" i="14"/>
  <c r="C386" i="14"/>
  <c r="L385" i="14"/>
  <c r="K385" i="14" s="1"/>
  <c r="G385" i="14"/>
  <c r="C385" i="14"/>
  <c r="L384" i="14"/>
  <c r="K384" i="14" s="1"/>
  <c r="G384" i="14"/>
  <c r="C384" i="14"/>
  <c r="L383" i="14"/>
  <c r="K383" i="14" s="1"/>
  <c r="G383" i="14"/>
  <c r="C383" i="14"/>
  <c r="L382" i="14"/>
  <c r="K382" i="14" s="1"/>
  <c r="G382" i="14"/>
  <c r="C382" i="14"/>
  <c r="L381" i="14"/>
  <c r="K381" i="14" s="1"/>
  <c r="G381" i="14"/>
  <c r="C381" i="14"/>
  <c r="L380" i="14"/>
  <c r="K380" i="14" s="1"/>
  <c r="G380" i="14"/>
  <c r="C380" i="14"/>
  <c r="L379" i="14"/>
  <c r="K379" i="14" s="1"/>
  <c r="G379" i="14"/>
  <c r="C379" i="14"/>
  <c r="L378" i="14"/>
  <c r="K378" i="14" s="1"/>
  <c r="G378" i="14"/>
  <c r="C378" i="14"/>
  <c r="L377" i="14"/>
  <c r="K377" i="14"/>
  <c r="O377" i="14" s="1"/>
  <c r="N377" i="14" s="1"/>
  <c r="G377" i="14"/>
  <c r="C377" i="14"/>
  <c r="L376" i="14"/>
  <c r="K376" i="14" s="1"/>
  <c r="G376" i="14"/>
  <c r="C376" i="14"/>
  <c r="M375" i="14"/>
  <c r="L375" i="14"/>
  <c r="K375" i="14"/>
  <c r="O375" i="14" s="1"/>
  <c r="G375" i="14"/>
  <c r="C375" i="14"/>
  <c r="L374" i="14"/>
  <c r="K374" i="14" s="1"/>
  <c r="G374" i="14"/>
  <c r="C374" i="14"/>
  <c r="L373" i="14"/>
  <c r="K373" i="14"/>
  <c r="O373" i="14" s="1"/>
  <c r="N373" i="14" s="1"/>
  <c r="G373" i="14"/>
  <c r="C373" i="14"/>
  <c r="L370" i="14"/>
  <c r="K370" i="14" s="1"/>
  <c r="G370" i="14"/>
  <c r="C370" i="14"/>
  <c r="L369" i="14"/>
  <c r="K369" i="14" s="1"/>
  <c r="G369" i="14"/>
  <c r="C369" i="14"/>
  <c r="L368" i="14"/>
  <c r="K368" i="14" s="1"/>
  <c r="G368" i="14"/>
  <c r="C368" i="14"/>
  <c r="L367" i="14"/>
  <c r="K367" i="14" s="1"/>
  <c r="G367" i="14"/>
  <c r="C367" i="14"/>
  <c r="L366" i="14"/>
  <c r="K366" i="14" s="1"/>
  <c r="G366" i="14"/>
  <c r="C366" i="14"/>
  <c r="L365" i="14"/>
  <c r="K365" i="14" s="1"/>
  <c r="G365" i="14"/>
  <c r="C365" i="14"/>
  <c r="L364" i="14"/>
  <c r="K364" i="14" s="1"/>
  <c r="G364" i="14"/>
  <c r="C364" i="14"/>
  <c r="G363" i="14"/>
  <c r="L363" i="14"/>
  <c r="K363" i="14" s="1"/>
  <c r="G362" i="14"/>
  <c r="L362" i="14"/>
  <c r="K362" i="14" s="1"/>
  <c r="L361" i="14"/>
  <c r="K361" i="14" s="1"/>
  <c r="G361" i="14"/>
  <c r="C361" i="14"/>
  <c r="L360" i="14"/>
  <c r="K360" i="14" s="1"/>
  <c r="G360" i="14"/>
  <c r="C360" i="14"/>
  <c r="L359" i="14"/>
  <c r="K359" i="14" s="1"/>
  <c r="G359" i="14"/>
  <c r="C359" i="14"/>
  <c r="L358" i="14"/>
  <c r="K358" i="14" s="1"/>
  <c r="G358" i="14"/>
  <c r="C358" i="14"/>
  <c r="L357" i="14"/>
  <c r="K357" i="14" s="1"/>
  <c r="G357" i="14"/>
  <c r="C357" i="14"/>
  <c r="L356" i="14"/>
  <c r="K356" i="14" s="1"/>
  <c r="O356" i="14" s="1"/>
  <c r="N356" i="14" s="1"/>
  <c r="G356" i="14"/>
  <c r="C356" i="14"/>
  <c r="L355" i="14"/>
  <c r="K355" i="14" s="1"/>
  <c r="M355" i="14" s="1"/>
  <c r="G355" i="14"/>
  <c r="C355" i="14"/>
  <c r="H1129" i="17"/>
  <c r="F1129" i="17" s="1"/>
  <c r="I1129" i="17" s="1"/>
  <c r="G1129" i="17"/>
  <c r="H1123" i="17"/>
  <c r="F1123" i="17" s="1"/>
  <c r="I1123" i="17" s="1"/>
  <c r="G1123" i="17"/>
  <c r="H1120" i="17"/>
  <c r="G1120" i="17"/>
  <c r="H1116" i="17"/>
  <c r="G1116" i="17"/>
  <c r="H1112" i="17"/>
  <c r="G1112" i="17"/>
  <c r="H2071" i="1"/>
  <c r="G1135" i="17"/>
  <c r="G1136" i="17" s="1"/>
  <c r="E1136" i="17"/>
  <c r="D1135" i="17"/>
  <c r="D1136" i="17" s="1"/>
  <c r="P1134" i="17"/>
  <c r="F1134" i="17"/>
  <c r="I1134" i="17" s="1"/>
  <c r="P1133" i="17"/>
  <c r="F1133" i="17"/>
  <c r="I1133" i="17" s="1"/>
  <c r="P1132" i="17"/>
  <c r="I1132" i="17"/>
  <c r="F1132" i="17"/>
  <c r="P1131" i="17"/>
  <c r="F1131" i="17"/>
  <c r="I1131" i="17" s="1"/>
  <c r="P1130" i="17"/>
  <c r="F1130" i="17"/>
  <c r="I1130" i="17" s="1"/>
  <c r="P1129" i="17"/>
  <c r="P1128" i="17"/>
  <c r="F1128" i="17"/>
  <c r="I1128" i="17" s="1"/>
  <c r="P1127" i="17"/>
  <c r="F1127" i="17"/>
  <c r="I1127" i="17" s="1"/>
  <c r="P1126" i="17"/>
  <c r="F1126" i="17"/>
  <c r="I1126" i="17" s="1"/>
  <c r="P1125" i="17"/>
  <c r="F1125" i="17"/>
  <c r="I1125" i="17" s="1"/>
  <c r="P1124" i="17"/>
  <c r="F1124" i="17"/>
  <c r="I1124" i="17" s="1"/>
  <c r="P1123" i="17"/>
  <c r="P1122" i="17"/>
  <c r="F1122" i="17"/>
  <c r="I1122" i="17" s="1"/>
  <c r="P1121" i="17"/>
  <c r="F1121" i="17"/>
  <c r="I1121" i="17" s="1"/>
  <c r="P1120" i="17"/>
  <c r="F1120" i="17"/>
  <c r="I1120" i="17" s="1"/>
  <c r="P1119" i="17"/>
  <c r="F1119" i="17"/>
  <c r="I1119" i="17" s="1"/>
  <c r="P1118" i="17"/>
  <c r="F1118" i="17"/>
  <c r="I1118" i="17" s="1"/>
  <c r="P1117" i="17"/>
  <c r="F1117" i="17"/>
  <c r="I1117" i="17" s="1"/>
  <c r="P1116" i="17"/>
  <c r="F1116" i="17"/>
  <c r="I1116" i="17" s="1"/>
  <c r="P1115" i="17"/>
  <c r="F1115" i="17"/>
  <c r="I1115" i="17" s="1"/>
  <c r="P1114" i="17"/>
  <c r="F1114" i="17"/>
  <c r="I1114" i="17" s="1"/>
  <c r="P1113" i="17"/>
  <c r="F1113" i="17"/>
  <c r="I1113" i="17" s="1"/>
  <c r="P1112" i="17"/>
  <c r="F1112" i="17"/>
  <c r="I1112" i="17" s="1"/>
  <c r="P1111" i="17"/>
  <c r="F1111" i="17"/>
  <c r="P1110" i="17"/>
  <c r="I1110" i="17"/>
  <c r="F1110" i="17"/>
  <c r="P1109" i="17"/>
  <c r="F1109" i="17"/>
  <c r="P1108" i="17"/>
  <c r="F1108" i="17"/>
  <c r="I1108" i="17" s="1"/>
  <c r="P1107" i="17"/>
  <c r="F1107" i="17"/>
  <c r="I1107" i="17" s="1"/>
  <c r="P1106" i="17"/>
  <c r="I1106" i="17"/>
  <c r="F1106" i="17"/>
  <c r="P1105" i="17"/>
  <c r="F1105" i="17"/>
  <c r="I1105" i="17" s="1"/>
  <c r="E1104" i="17"/>
  <c r="D1104" i="17"/>
  <c r="H1103" i="17"/>
  <c r="H1104" i="17" s="1"/>
  <c r="G1103" i="17"/>
  <c r="G1104" i="17" s="1"/>
  <c r="P1102" i="17"/>
  <c r="I1102" i="17"/>
  <c r="F1102" i="17"/>
  <c r="P1101" i="17"/>
  <c r="F1101" i="17"/>
  <c r="I1101" i="17" s="1"/>
  <c r="P1100" i="17"/>
  <c r="F1100" i="17"/>
  <c r="P1099" i="17"/>
  <c r="I1099" i="17"/>
  <c r="F1099" i="17"/>
  <c r="P1098" i="17"/>
  <c r="F1098" i="17"/>
  <c r="I1098" i="17" s="1"/>
  <c r="P1097" i="17"/>
  <c r="F1097" i="17"/>
  <c r="I1097" i="17" s="1"/>
  <c r="P1096" i="17"/>
  <c r="F1096" i="17"/>
  <c r="F1103" i="17" s="1"/>
  <c r="I1103" i="17" s="1"/>
  <c r="E1095" i="17"/>
  <c r="H1094" i="17"/>
  <c r="G1094" i="17"/>
  <c r="D1094" i="17"/>
  <c r="P1093" i="17"/>
  <c r="F1093" i="17"/>
  <c r="I1093" i="17" s="1"/>
  <c r="P1092" i="17"/>
  <c r="I1092" i="17"/>
  <c r="F1092" i="17"/>
  <c r="P1091" i="17"/>
  <c r="F1091" i="17"/>
  <c r="I1091" i="17" s="1"/>
  <c r="P1090" i="17"/>
  <c r="F1090" i="17"/>
  <c r="I1090" i="17" s="1"/>
  <c r="P1089" i="17"/>
  <c r="F1089" i="17"/>
  <c r="I1089" i="17" s="1"/>
  <c r="P1088" i="17"/>
  <c r="F1088" i="17"/>
  <c r="I1088" i="17" s="1"/>
  <c r="P1087" i="17"/>
  <c r="F1087" i="17"/>
  <c r="I1087" i="17" s="1"/>
  <c r="H1086" i="17"/>
  <c r="G1086" i="17"/>
  <c r="D1086" i="17"/>
  <c r="P1085" i="17"/>
  <c r="F1085" i="17"/>
  <c r="I1085" i="17" s="1"/>
  <c r="P1084" i="17"/>
  <c r="F1084" i="17"/>
  <c r="I1084" i="17" s="1"/>
  <c r="P1083" i="17"/>
  <c r="I1083" i="17"/>
  <c r="F1083" i="17"/>
  <c r="P1082" i="17"/>
  <c r="F1082" i="17"/>
  <c r="I1082" i="17" s="1"/>
  <c r="P1081" i="17"/>
  <c r="F1081" i="17"/>
  <c r="I1081" i="17" s="1"/>
  <c r="F2095" i="13"/>
  <c r="F2094" i="13"/>
  <c r="F2092" i="13"/>
  <c r="F2091" i="13"/>
  <c r="I2091" i="13" s="1"/>
  <c r="F2090" i="13"/>
  <c r="F2088" i="13"/>
  <c r="F2087" i="13"/>
  <c r="I2087" i="13" s="1"/>
  <c r="F2086" i="13"/>
  <c r="F2085" i="13"/>
  <c r="I2085" i="13" s="1"/>
  <c r="F2084" i="13"/>
  <c r="I2084" i="13" s="1"/>
  <c r="F2082" i="13"/>
  <c r="F2081" i="13"/>
  <c r="I2081" i="13" s="1"/>
  <c r="F2079" i="13"/>
  <c r="F2078" i="13"/>
  <c r="I2078" i="13" s="1"/>
  <c r="F2077" i="13"/>
  <c r="F2076" i="13"/>
  <c r="I2076" i="13" s="1"/>
  <c r="F2074" i="13"/>
  <c r="F2073" i="13"/>
  <c r="I2073" i="13" s="1"/>
  <c r="F2072" i="13"/>
  <c r="F2069" i="13"/>
  <c r="F2066" i="13"/>
  <c r="F2065" i="13"/>
  <c r="I2065" i="13" s="1"/>
  <c r="F2064" i="13"/>
  <c r="F2062" i="13"/>
  <c r="F2061" i="13"/>
  <c r="I2061" i="13" s="1"/>
  <c r="F2060" i="13"/>
  <c r="F2057" i="13"/>
  <c r="F2056" i="13"/>
  <c r="I2056" i="13" s="1"/>
  <c r="F2055" i="13"/>
  <c r="F2053" i="13"/>
  <c r="F2052" i="13"/>
  <c r="I2052" i="13" s="1"/>
  <c r="F2051" i="13"/>
  <c r="F2050" i="13"/>
  <c r="I2050" i="13" s="1"/>
  <c r="F2049" i="13"/>
  <c r="F2048" i="13"/>
  <c r="I2048" i="13" s="1"/>
  <c r="F2047" i="13"/>
  <c r="F2046" i="13"/>
  <c r="I2046" i="13" s="1"/>
  <c r="F2045" i="13"/>
  <c r="F2041" i="13"/>
  <c r="F2040" i="13"/>
  <c r="I2040" i="13" s="1"/>
  <c r="F2039" i="13"/>
  <c r="F2038" i="13"/>
  <c r="I2038" i="13" s="1"/>
  <c r="F2037" i="13"/>
  <c r="F2036" i="13"/>
  <c r="I2036" i="13" s="1"/>
  <c r="F2035" i="13"/>
  <c r="F2034" i="13"/>
  <c r="I2034" i="13" s="1"/>
  <c r="F2032" i="13"/>
  <c r="F2031" i="13"/>
  <c r="I2031" i="13" s="1"/>
  <c r="F2030" i="13"/>
  <c r="F2029" i="13"/>
  <c r="I2029" i="13" s="1"/>
  <c r="I2033" i="13" s="1"/>
  <c r="F2026" i="13"/>
  <c r="F2025" i="13"/>
  <c r="I2025" i="13" s="1"/>
  <c r="F2024" i="13"/>
  <c r="F2022" i="13"/>
  <c r="I2022" i="13" s="1"/>
  <c r="F2021" i="13"/>
  <c r="I2021" i="13" s="1"/>
  <c r="F2020" i="13"/>
  <c r="F2018" i="13"/>
  <c r="F2017" i="13"/>
  <c r="I2017" i="13" s="1"/>
  <c r="F2016" i="13"/>
  <c r="F2015" i="13"/>
  <c r="I2015" i="13" s="1"/>
  <c r="F2014" i="13"/>
  <c r="F2013" i="13"/>
  <c r="I2013" i="13" s="1"/>
  <c r="F2012" i="13"/>
  <c r="F2010" i="13"/>
  <c r="F2009" i="13"/>
  <c r="I2009" i="13" s="1"/>
  <c r="F2008" i="13"/>
  <c r="F2007" i="13"/>
  <c r="I2007" i="13" s="1"/>
  <c r="F2006" i="13"/>
  <c r="F2005" i="13"/>
  <c r="I2005" i="13" s="1"/>
  <c r="F2004" i="13"/>
  <c r="F2002" i="13"/>
  <c r="F2001" i="13"/>
  <c r="F2000" i="13"/>
  <c r="F1999" i="13"/>
  <c r="J2096" i="13"/>
  <c r="I2096" i="13"/>
  <c r="F2096" i="13"/>
  <c r="I2092" i="13"/>
  <c r="I2090" i="13"/>
  <c r="I2088" i="13"/>
  <c r="I2086" i="13"/>
  <c r="I2082" i="13"/>
  <c r="I2079" i="13"/>
  <c r="I2077" i="13"/>
  <c r="I2074" i="13"/>
  <c r="I2072" i="13"/>
  <c r="I2069" i="13"/>
  <c r="I2066" i="13"/>
  <c r="I2064" i="13"/>
  <c r="I2062" i="13"/>
  <c r="I2060" i="13"/>
  <c r="I2057" i="13"/>
  <c r="I2055" i="13"/>
  <c r="I2053" i="13"/>
  <c r="I2051" i="13"/>
  <c r="I2049" i="13"/>
  <c r="I2047" i="13"/>
  <c r="I2045" i="13"/>
  <c r="I2041" i="13"/>
  <c r="I2039" i="13"/>
  <c r="I2037" i="13"/>
  <c r="I2035" i="13"/>
  <c r="I2032" i="13"/>
  <c r="I2030" i="13"/>
  <c r="I2026" i="13"/>
  <c r="I2024" i="13"/>
  <c r="I2020" i="13"/>
  <c r="I2018" i="13"/>
  <c r="I2016" i="13"/>
  <c r="I2014" i="13"/>
  <c r="I2012" i="13"/>
  <c r="I2010" i="13"/>
  <c r="I2008" i="13"/>
  <c r="I2006" i="13"/>
  <c r="I2004" i="13"/>
  <c r="I2002" i="13"/>
  <c r="I2001" i="13"/>
  <c r="I2000" i="13"/>
  <c r="I1999" i="13"/>
  <c r="F2003" i="13"/>
  <c r="H1482" i="16"/>
  <c r="H1481" i="16"/>
  <c r="H1480" i="16"/>
  <c r="H1479" i="16"/>
  <c r="H1478" i="16"/>
  <c r="H1477" i="16"/>
  <c r="H1476" i="16"/>
  <c r="H1475" i="16"/>
  <c r="H1474" i="16"/>
  <c r="H1473" i="16"/>
  <c r="H1472" i="16"/>
  <c r="H1471" i="16"/>
  <c r="H1470" i="16"/>
  <c r="H1469" i="16"/>
  <c r="H1468" i="16"/>
  <c r="H1467" i="16"/>
  <c r="H1466" i="16"/>
  <c r="H1465" i="16"/>
  <c r="H1464" i="16"/>
  <c r="H1463" i="16"/>
  <c r="H1461" i="16"/>
  <c r="H1460" i="16"/>
  <c r="H1459" i="16"/>
  <c r="H1458" i="16"/>
  <c r="H1457" i="16"/>
  <c r="H1456" i="16"/>
  <c r="I1456" i="16"/>
  <c r="H1455" i="16"/>
  <c r="H1454" i="16"/>
  <c r="H1453" i="16"/>
  <c r="H1452" i="16"/>
  <c r="H1451" i="16"/>
  <c r="H1450" i="16"/>
  <c r="H1449" i="16"/>
  <c r="H1448" i="16"/>
  <c r="H1447" i="16"/>
  <c r="H1446" i="16"/>
  <c r="H1445" i="16"/>
  <c r="H1444" i="16"/>
  <c r="H1443" i="16"/>
  <c r="H1442" i="16"/>
  <c r="I1440" i="16"/>
  <c r="H1438" i="16"/>
  <c r="H1437" i="16"/>
  <c r="H1436" i="16"/>
  <c r="H1434" i="16"/>
  <c r="H1433" i="16"/>
  <c r="H1432" i="16"/>
  <c r="H1431" i="16"/>
  <c r="H1430" i="16"/>
  <c r="H1429" i="16"/>
  <c r="H1428" i="16"/>
  <c r="H1427" i="16"/>
  <c r="H1426" i="16"/>
  <c r="H1425" i="16"/>
  <c r="H1424" i="16"/>
  <c r="H1422" i="16"/>
  <c r="H1421" i="16"/>
  <c r="H1420" i="16"/>
  <c r="H1419" i="16"/>
  <c r="H1418" i="16"/>
  <c r="H1417" i="16"/>
  <c r="H1416" i="16"/>
  <c r="H1415" i="16"/>
  <c r="H1414" i="16"/>
  <c r="H1413" i="16"/>
  <c r="H1412" i="16"/>
  <c r="H1411" i="16"/>
  <c r="H1410" i="16"/>
  <c r="H1409" i="16"/>
  <c r="F1990" i="13"/>
  <c r="F1989" i="13"/>
  <c r="F1987" i="13"/>
  <c r="F1986" i="13"/>
  <c r="I1986" i="13" s="1"/>
  <c r="F1985" i="13"/>
  <c r="F1983" i="13"/>
  <c r="F1982" i="13"/>
  <c r="I1982" i="13" s="1"/>
  <c r="F1981" i="13"/>
  <c r="F1980" i="13"/>
  <c r="I1980" i="13" s="1"/>
  <c r="F1979" i="13"/>
  <c r="I1979" i="13" s="1"/>
  <c r="F1977" i="13"/>
  <c r="F1976" i="13"/>
  <c r="I1976" i="13" s="1"/>
  <c r="F1974" i="13"/>
  <c r="F1973" i="13"/>
  <c r="I1973" i="13" s="1"/>
  <c r="F1972" i="13"/>
  <c r="F1971" i="13"/>
  <c r="I1971" i="13" s="1"/>
  <c r="F1969" i="13"/>
  <c r="F1968" i="13"/>
  <c r="I1968" i="13" s="1"/>
  <c r="F1967" i="13"/>
  <c r="F1964" i="13"/>
  <c r="F1961" i="13"/>
  <c r="F1960" i="13"/>
  <c r="I1960" i="13" s="1"/>
  <c r="F1959" i="13"/>
  <c r="F1957" i="13"/>
  <c r="F1956" i="13"/>
  <c r="I1956" i="13" s="1"/>
  <c r="F1955" i="13"/>
  <c r="F1952" i="13"/>
  <c r="F1951" i="13"/>
  <c r="I1951" i="13" s="1"/>
  <c r="F1950" i="13"/>
  <c r="I1950" i="13" s="1"/>
  <c r="F1948" i="13"/>
  <c r="F1947" i="13"/>
  <c r="I1947" i="13" s="1"/>
  <c r="F1946" i="13"/>
  <c r="F1945" i="13"/>
  <c r="I1945" i="13" s="1"/>
  <c r="F1944" i="13"/>
  <c r="F1943" i="13"/>
  <c r="I1943" i="13" s="1"/>
  <c r="F1942" i="13"/>
  <c r="F1941" i="13"/>
  <c r="I1941" i="13" s="1"/>
  <c r="F1940" i="13"/>
  <c r="F1936" i="13"/>
  <c r="F1935" i="13"/>
  <c r="I1935" i="13" s="1"/>
  <c r="F1934" i="13"/>
  <c r="F1933" i="13"/>
  <c r="I1933" i="13" s="1"/>
  <c r="F1932" i="13"/>
  <c r="F1931" i="13"/>
  <c r="I1931" i="13" s="1"/>
  <c r="F1930" i="13"/>
  <c r="F1929" i="13"/>
  <c r="I1929" i="13" s="1"/>
  <c r="F1927" i="13"/>
  <c r="F1926" i="13"/>
  <c r="I1926" i="13" s="1"/>
  <c r="F1925" i="13"/>
  <c r="F1924" i="13"/>
  <c r="I1924" i="13" s="1"/>
  <c r="F1921" i="13"/>
  <c r="F1920" i="13"/>
  <c r="I1920" i="13" s="1"/>
  <c r="F1919" i="13"/>
  <c r="F1917" i="13"/>
  <c r="I1917" i="13" s="1"/>
  <c r="F1916" i="13"/>
  <c r="I1916" i="13" s="1"/>
  <c r="F1915" i="13"/>
  <c r="I1915" i="13" s="1"/>
  <c r="F1913" i="13"/>
  <c r="F1912" i="13"/>
  <c r="I1912" i="13" s="1"/>
  <c r="F1911" i="13"/>
  <c r="F1910" i="13"/>
  <c r="I1910" i="13" s="1"/>
  <c r="F1909" i="13"/>
  <c r="F1908" i="13"/>
  <c r="I1908" i="13" s="1"/>
  <c r="F1907" i="13"/>
  <c r="F1905" i="13"/>
  <c r="F1904" i="13"/>
  <c r="I1904" i="13" s="1"/>
  <c r="F1903" i="13"/>
  <c r="I1903" i="13" s="1"/>
  <c r="F1902" i="13"/>
  <c r="I1902" i="13" s="1"/>
  <c r="F1901" i="13"/>
  <c r="F1900" i="13"/>
  <c r="I1900" i="13" s="1"/>
  <c r="F1899" i="13"/>
  <c r="F1897" i="13"/>
  <c r="F1896" i="13"/>
  <c r="I1896" i="13" s="1"/>
  <c r="F1895" i="13"/>
  <c r="F1894" i="13"/>
  <c r="J1991" i="13"/>
  <c r="I1991" i="13"/>
  <c r="F1991" i="13"/>
  <c r="I1987" i="13"/>
  <c r="I1985" i="13"/>
  <c r="I1983" i="13"/>
  <c r="I1981" i="13"/>
  <c r="I1977" i="13"/>
  <c r="I1974" i="13"/>
  <c r="I1972" i="13"/>
  <c r="I1969" i="13"/>
  <c r="I1967" i="13"/>
  <c r="I1964" i="13"/>
  <c r="I1961" i="13"/>
  <c r="I1959" i="13"/>
  <c r="I1957" i="13"/>
  <c r="I1955" i="13"/>
  <c r="I1952" i="13"/>
  <c r="I1948" i="13"/>
  <c r="I1946" i="13"/>
  <c r="I1944" i="13"/>
  <c r="I1942" i="13"/>
  <c r="I1940" i="13"/>
  <c r="I1936" i="13"/>
  <c r="I1934" i="13"/>
  <c r="I1932" i="13"/>
  <c r="I1930" i="13"/>
  <c r="I1927" i="13"/>
  <c r="I1925" i="13"/>
  <c r="I1921" i="13"/>
  <c r="I1919" i="13"/>
  <c r="I1913" i="13"/>
  <c r="I1911" i="13"/>
  <c r="I1909" i="13"/>
  <c r="I1907" i="13"/>
  <c r="I1905" i="13"/>
  <c r="I1901" i="13"/>
  <c r="I1897" i="13"/>
  <c r="I1895" i="13"/>
  <c r="F2079" i="1"/>
  <c r="F2080" i="1" s="1"/>
  <c r="E2079" i="1"/>
  <c r="E2080" i="1" s="1"/>
  <c r="I2078" i="1"/>
  <c r="H2078" i="1"/>
  <c r="J2077" i="1"/>
  <c r="G2077" i="1"/>
  <c r="G2076" i="1"/>
  <c r="I2075" i="1"/>
  <c r="H2075" i="1"/>
  <c r="G2074" i="1"/>
  <c r="J2074" i="1" s="1"/>
  <c r="J2073" i="1"/>
  <c r="G2073" i="1"/>
  <c r="G2072" i="1"/>
  <c r="G2075" i="1" s="1"/>
  <c r="J2075" i="1" s="1"/>
  <c r="I2071" i="1"/>
  <c r="G2070" i="1"/>
  <c r="J2070" i="1" s="1"/>
  <c r="G2069" i="1"/>
  <c r="J2069" i="1" s="1"/>
  <c r="G2068" i="1"/>
  <c r="J2068" i="1" s="1"/>
  <c r="J2067" i="1"/>
  <c r="G2067" i="1"/>
  <c r="G2066" i="1"/>
  <c r="J2066" i="1" s="1"/>
  <c r="I2065" i="1"/>
  <c r="H2065" i="1"/>
  <c r="G2064" i="1"/>
  <c r="J2064" i="1" s="1"/>
  <c r="G2063" i="1"/>
  <c r="J2063" i="1" s="1"/>
  <c r="I2062" i="1"/>
  <c r="H2062" i="1"/>
  <c r="J2061" i="1"/>
  <c r="G2061" i="1"/>
  <c r="G2060" i="1"/>
  <c r="J2060" i="1" s="1"/>
  <c r="J2059" i="1"/>
  <c r="G2059" i="1"/>
  <c r="G2058" i="1"/>
  <c r="J2058" i="1" s="1"/>
  <c r="I2057" i="1"/>
  <c r="H2057" i="1"/>
  <c r="G2056" i="1"/>
  <c r="J2056" i="1" s="1"/>
  <c r="G2055" i="1"/>
  <c r="J2055" i="1" s="1"/>
  <c r="G2054" i="1"/>
  <c r="F2053" i="1"/>
  <c r="F2052" i="1"/>
  <c r="E2052" i="1"/>
  <c r="E2053" i="1" s="1"/>
  <c r="J2051" i="1"/>
  <c r="G2051" i="1"/>
  <c r="I2049" i="1"/>
  <c r="H2049" i="1"/>
  <c r="G2048" i="1"/>
  <c r="J2048" i="1" s="1"/>
  <c r="J2047" i="1"/>
  <c r="G2047" i="1"/>
  <c r="G2046" i="1"/>
  <c r="I2045" i="1"/>
  <c r="H2045" i="1"/>
  <c r="G2044" i="1"/>
  <c r="J2044" i="1" s="1"/>
  <c r="G2043" i="1"/>
  <c r="J2043" i="1" s="1"/>
  <c r="G2042" i="1"/>
  <c r="I2040" i="1"/>
  <c r="H2040" i="1"/>
  <c r="G2039" i="1"/>
  <c r="J2039" i="1" s="1"/>
  <c r="G2038" i="1"/>
  <c r="J2038" i="1" s="1"/>
  <c r="J2037" i="1"/>
  <c r="G2037" i="1"/>
  <c r="I2036" i="1"/>
  <c r="I2041" i="1" s="1"/>
  <c r="H2036" i="1"/>
  <c r="J2035" i="1"/>
  <c r="G2035" i="1"/>
  <c r="J2034" i="1"/>
  <c r="G2034" i="1"/>
  <c r="J2033" i="1"/>
  <c r="G2033" i="1"/>
  <c r="J2032" i="1"/>
  <c r="G2032" i="1"/>
  <c r="J2031" i="1"/>
  <c r="G2031" i="1"/>
  <c r="G2030" i="1"/>
  <c r="J2030" i="1" s="1"/>
  <c r="G2029" i="1"/>
  <c r="J2029" i="1" s="1"/>
  <c r="G2028" i="1"/>
  <c r="G2027" i="1"/>
  <c r="J2027" i="1" s="1"/>
  <c r="F2025" i="1"/>
  <c r="I2024" i="1"/>
  <c r="H2024" i="1"/>
  <c r="H2025" i="1" s="1"/>
  <c r="G2023" i="1"/>
  <c r="J2023" i="1" s="1"/>
  <c r="J2022" i="1"/>
  <c r="G2022" i="1"/>
  <c r="G2021" i="1"/>
  <c r="J2021" i="1" s="1"/>
  <c r="G2020" i="1"/>
  <c r="J2020" i="1" s="1"/>
  <c r="G2019" i="1"/>
  <c r="J2019" i="1" s="1"/>
  <c r="G2018" i="1"/>
  <c r="J2018" i="1" s="1"/>
  <c r="G2017" i="1"/>
  <c r="J2017" i="1" s="1"/>
  <c r="J2016" i="1"/>
  <c r="G2016" i="1"/>
  <c r="I2015" i="1"/>
  <c r="I2025" i="1" s="1"/>
  <c r="H2015" i="1"/>
  <c r="E2015" i="1"/>
  <c r="E2025" i="1" s="1"/>
  <c r="G2014" i="1"/>
  <c r="J2014" i="1" s="1"/>
  <c r="J2013" i="1"/>
  <c r="G2013" i="1"/>
  <c r="G2012" i="1"/>
  <c r="J2012" i="1" s="1"/>
  <c r="J2011" i="1"/>
  <c r="G2011" i="1"/>
  <c r="F2010" i="1"/>
  <c r="F2026" i="1" s="1"/>
  <c r="F2081" i="1" s="1"/>
  <c r="I2009" i="1"/>
  <c r="H2009" i="1"/>
  <c r="E2009" i="1"/>
  <c r="J2008" i="1"/>
  <c r="G2008" i="1"/>
  <c r="G2007" i="1"/>
  <c r="J2007" i="1" s="1"/>
  <c r="G2006" i="1"/>
  <c r="G2009" i="1" s="1"/>
  <c r="J2009" i="1" s="1"/>
  <c r="I2005" i="1"/>
  <c r="H2005" i="1"/>
  <c r="F2005" i="1"/>
  <c r="E2005" i="1"/>
  <c r="G2004" i="1"/>
  <c r="G2003" i="1"/>
  <c r="J2003" i="1" s="1"/>
  <c r="G2002" i="1"/>
  <c r="J2002" i="1" s="1"/>
  <c r="I2001" i="1"/>
  <c r="H2001" i="1"/>
  <c r="E2001" i="1"/>
  <c r="E2010" i="1" s="1"/>
  <c r="E2026" i="1" s="1"/>
  <c r="E2081" i="1" s="1"/>
  <c r="J2000" i="1"/>
  <c r="G2000" i="1"/>
  <c r="G1999" i="1"/>
  <c r="J1999" i="1" s="1"/>
  <c r="J1998" i="1"/>
  <c r="G1998" i="1"/>
  <c r="G1997" i="1"/>
  <c r="J1997" i="1" s="1"/>
  <c r="G1996" i="1"/>
  <c r="J1996" i="1" s="1"/>
  <c r="G1995" i="1"/>
  <c r="J1995" i="1" s="1"/>
  <c r="G1994" i="1"/>
  <c r="J1994" i="1" s="1"/>
  <c r="I1993" i="1"/>
  <c r="H1993" i="1"/>
  <c r="G1992" i="1"/>
  <c r="J1992" i="1" s="1"/>
  <c r="G1991" i="1"/>
  <c r="J1991" i="1" s="1"/>
  <c r="J1990" i="1"/>
  <c r="G1990" i="1"/>
  <c r="G1989" i="1"/>
  <c r="J1989" i="1" s="1"/>
  <c r="J1988" i="1"/>
  <c r="G1988" i="1"/>
  <c r="G1987" i="1"/>
  <c r="J1987" i="1" s="1"/>
  <c r="G1986" i="1"/>
  <c r="J1986" i="1" s="1"/>
  <c r="I1985" i="1"/>
  <c r="H1985" i="1"/>
  <c r="G1984" i="1"/>
  <c r="J1984" i="1" s="1"/>
  <c r="G1983" i="1"/>
  <c r="J1983" i="1" s="1"/>
  <c r="G1982" i="1"/>
  <c r="J1982" i="1" s="1"/>
  <c r="G1981" i="1"/>
  <c r="J1981" i="1" s="1"/>
  <c r="F1975" i="1"/>
  <c r="F1976" i="1" s="1"/>
  <c r="E1975" i="1"/>
  <c r="E1976" i="1" s="1"/>
  <c r="I1974" i="1"/>
  <c r="H1974" i="1"/>
  <c r="J1973" i="1"/>
  <c r="G1973" i="1"/>
  <c r="G1972" i="1"/>
  <c r="I1971" i="1"/>
  <c r="H1971" i="1"/>
  <c r="G1970" i="1"/>
  <c r="J1970" i="1" s="1"/>
  <c r="G1969" i="1"/>
  <c r="J1969" i="1" s="1"/>
  <c r="G1968" i="1"/>
  <c r="J1968" i="1" s="1"/>
  <c r="I1967" i="1"/>
  <c r="H1967" i="1"/>
  <c r="G1966" i="1"/>
  <c r="J1966" i="1" s="1"/>
  <c r="G1965" i="1"/>
  <c r="J1965" i="1" s="1"/>
  <c r="G1964" i="1"/>
  <c r="J1964" i="1" s="1"/>
  <c r="J1963" i="1"/>
  <c r="G1963" i="1"/>
  <c r="G1962" i="1"/>
  <c r="J1962" i="1" s="1"/>
  <c r="I1961" i="1"/>
  <c r="H1961" i="1"/>
  <c r="G1960" i="1"/>
  <c r="J1960" i="1" s="1"/>
  <c r="G1959" i="1"/>
  <c r="G1961" i="1" s="1"/>
  <c r="J1961" i="1" s="1"/>
  <c r="I1958" i="1"/>
  <c r="H1958" i="1"/>
  <c r="G1957" i="1"/>
  <c r="J1957" i="1" s="1"/>
  <c r="G1956" i="1"/>
  <c r="J1956" i="1" s="1"/>
  <c r="J1955" i="1"/>
  <c r="G1955" i="1"/>
  <c r="G1954" i="1"/>
  <c r="J1954" i="1" s="1"/>
  <c r="I1953" i="1"/>
  <c r="H1953" i="1"/>
  <c r="G1952" i="1"/>
  <c r="J1952" i="1" s="1"/>
  <c r="J1951" i="1"/>
  <c r="G1951" i="1"/>
  <c r="G1950" i="1"/>
  <c r="F1948" i="1"/>
  <c r="F1949" i="1" s="1"/>
  <c r="E1948" i="1"/>
  <c r="E1949" i="1" s="1"/>
  <c r="G1947" i="1"/>
  <c r="J1947" i="1" s="1"/>
  <c r="I1945" i="1"/>
  <c r="H1945" i="1"/>
  <c r="G1944" i="1"/>
  <c r="J1944" i="1" s="1"/>
  <c r="G1943" i="1"/>
  <c r="J1943" i="1" s="1"/>
  <c r="G1942" i="1"/>
  <c r="I1941" i="1"/>
  <c r="H1941" i="1"/>
  <c r="H1946" i="1" s="1"/>
  <c r="G1940" i="1"/>
  <c r="J1939" i="1"/>
  <c r="G1939" i="1"/>
  <c r="G1938" i="1"/>
  <c r="J1938" i="1" s="1"/>
  <c r="I1936" i="1"/>
  <c r="H1936" i="1"/>
  <c r="G1935" i="1"/>
  <c r="J1935" i="1" s="1"/>
  <c r="G1934" i="1"/>
  <c r="J1934" i="1" s="1"/>
  <c r="G1933" i="1"/>
  <c r="J1933" i="1" s="1"/>
  <c r="I1932" i="1"/>
  <c r="H1932" i="1"/>
  <c r="G1931" i="1"/>
  <c r="J1931" i="1" s="1"/>
  <c r="G1930" i="1"/>
  <c r="J1930" i="1" s="1"/>
  <c r="G1929" i="1"/>
  <c r="J1929" i="1" s="1"/>
  <c r="G1928" i="1"/>
  <c r="J1928" i="1" s="1"/>
  <c r="G1927" i="1"/>
  <c r="J1927" i="1" s="1"/>
  <c r="G1926" i="1"/>
  <c r="J1926" i="1" s="1"/>
  <c r="G1925" i="1"/>
  <c r="J1925" i="1" s="1"/>
  <c r="G1924" i="1"/>
  <c r="J1924" i="1" s="1"/>
  <c r="J1923" i="1"/>
  <c r="G1923" i="1"/>
  <c r="F1921" i="1"/>
  <c r="I1920" i="1"/>
  <c r="H1920" i="1"/>
  <c r="G1919" i="1"/>
  <c r="J1919" i="1" s="1"/>
  <c r="G1918" i="1"/>
  <c r="J1918" i="1" s="1"/>
  <c r="G1917" i="1"/>
  <c r="J1917" i="1" s="1"/>
  <c r="J1916" i="1"/>
  <c r="G1916" i="1"/>
  <c r="J1915" i="1"/>
  <c r="G1915" i="1"/>
  <c r="G1914" i="1"/>
  <c r="J1914" i="1" s="1"/>
  <c r="G1913" i="1"/>
  <c r="J1913" i="1" s="1"/>
  <c r="J1912" i="1"/>
  <c r="G1912" i="1"/>
  <c r="I1911" i="1"/>
  <c r="H1911" i="1"/>
  <c r="H1921" i="1" s="1"/>
  <c r="E1911" i="1"/>
  <c r="E1921" i="1" s="1"/>
  <c r="G1910" i="1"/>
  <c r="J1910" i="1" s="1"/>
  <c r="G1909" i="1"/>
  <c r="J1909" i="1" s="1"/>
  <c r="G1908" i="1"/>
  <c r="J1908" i="1" s="1"/>
  <c r="G1907" i="1"/>
  <c r="I1905" i="1"/>
  <c r="H1905" i="1"/>
  <c r="E1905" i="1"/>
  <c r="G1904" i="1"/>
  <c r="J1904" i="1" s="1"/>
  <c r="G1903" i="1"/>
  <c r="J1903" i="1" s="1"/>
  <c r="J1902" i="1"/>
  <c r="G1902" i="1"/>
  <c r="I1901" i="1"/>
  <c r="H1901" i="1"/>
  <c r="F1901" i="1"/>
  <c r="F1906" i="1" s="1"/>
  <c r="F1922" i="1" s="1"/>
  <c r="F1977" i="1" s="1"/>
  <c r="E1901" i="1"/>
  <c r="G1900" i="1"/>
  <c r="G1899" i="1"/>
  <c r="J1899" i="1" s="1"/>
  <c r="G1898" i="1"/>
  <c r="G1901" i="1" s="1"/>
  <c r="J1901" i="1" s="1"/>
  <c r="I1897" i="1"/>
  <c r="H1897" i="1"/>
  <c r="E1897" i="1"/>
  <c r="E1906" i="1" s="1"/>
  <c r="E1922" i="1" s="1"/>
  <c r="E1977" i="1" s="1"/>
  <c r="J1896" i="1"/>
  <c r="G1896" i="1"/>
  <c r="J1895" i="1"/>
  <c r="G1895" i="1"/>
  <c r="G1894" i="1"/>
  <c r="J1894" i="1" s="1"/>
  <c r="G1893" i="1"/>
  <c r="J1893" i="1" s="1"/>
  <c r="G1892" i="1"/>
  <c r="J1892" i="1" s="1"/>
  <c r="G1891" i="1"/>
  <c r="J1891" i="1" s="1"/>
  <c r="G1890" i="1"/>
  <c r="G1888" i="1"/>
  <c r="J1888" i="1" s="1"/>
  <c r="G1887" i="1"/>
  <c r="J1887" i="1" s="1"/>
  <c r="J1886" i="1"/>
  <c r="G1886" i="1"/>
  <c r="G1885" i="1"/>
  <c r="J1885" i="1" s="1"/>
  <c r="G1884" i="1"/>
  <c r="J1884" i="1" s="1"/>
  <c r="I1889" i="1"/>
  <c r="H1889" i="1"/>
  <c r="G1883" i="1"/>
  <c r="J1883" i="1" s="1"/>
  <c r="G1882" i="1"/>
  <c r="J1882" i="1" s="1"/>
  <c r="I1881" i="1"/>
  <c r="H1881" i="1"/>
  <c r="J1880" i="1"/>
  <c r="G1880" i="1"/>
  <c r="J1879" i="1"/>
  <c r="G1879" i="1"/>
  <c r="G1878" i="1"/>
  <c r="J1878" i="1" s="1"/>
  <c r="G1877" i="1"/>
  <c r="J1877" i="1" s="1"/>
  <c r="I1946" i="1" l="1"/>
  <c r="J1959" i="1"/>
  <c r="G1967" i="1"/>
  <c r="J1967" i="1" s="1"/>
  <c r="G2005" i="1"/>
  <c r="J2005" i="1" s="1"/>
  <c r="J2006" i="1"/>
  <c r="G2040" i="1"/>
  <c r="J2040" i="1" s="1"/>
  <c r="O374" i="14"/>
  <c r="N374" i="14" s="1"/>
  <c r="M374" i="14"/>
  <c r="O376" i="14"/>
  <c r="N376" i="14" s="1"/>
  <c r="M376" i="14"/>
  <c r="J1898" i="1"/>
  <c r="I1921" i="1"/>
  <c r="G2024" i="1"/>
  <c r="J2024" i="1" s="1"/>
  <c r="I2050" i="1"/>
  <c r="G1971" i="1"/>
  <c r="J1971" i="1" s="1"/>
  <c r="F1104" i="17"/>
  <c r="I1104" i="17" s="1"/>
  <c r="D1137" i="17"/>
  <c r="I2052" i="1"/>
  <c r="I2053" i="1" s="1"/>
  <c r="G2071" i="1"/>
  <c r="J2071" i="1" s="1"/>
  <c r="I1096" i="17"/>
  <c r="I1100" i="17"/>
  <c r="S416" i="14"/>
  <c r="T416" i="14" s="1"/>
  <c r="H2050" i="1"/>
  <c r="D1095" i="17"/>
  <c r="P1103" i="17"/>
  <c r="P1104" i="17" s="1"/>
  <c r="H1135" i="17"/>
  <c r="H1136" i="17" s="1"/>
  <c r="M373" i="14"/>
  <c r="N375" i="14"/>
  <c r="M377" i="14"/>
  <c r="S418" i="14"/>
  <c r="I1937" i="13"/>
  <c r="E1137" i="17"/>
  <c r="H2079" i="1"/>
  <c r="H2080" i="1" s="1"/>
  <c r="T411" i="14"/>
  <c r="T421" i="14"/>
  <c r="S424" i="14"/>
  <c r="T424" i="14" s="1"/>
  <c r="H1423" i="16"/>
  <c r="H1439" i="16"/>
  <c r="P1086" i="17"/>
  <c r="F2149" i="13"/>
  <c r="F2204" i="13" s="1"/>
  <c r="T418" i="14"/>
  <c r="S412" i="14"/>
  <c r="T412" i="14" s="1"/>
  <c r="S409" i="14"/>
  <c r="T409" i="14" s="1"/>
  <c r="S417" i="14"/>
  <c r="T417" i="14" s="1"/>
  <c r="S422" i="14"/>
  <c r="T422" i="14" s="1"/>
  <c r="S420" i="14"/>
  <c r="T420" i="14" s="1"/>
  <c r="S415" i="14"/>
  <c r="T415" i="14" s="1"/>
  <c r="S410" i="14"/>
  <c r="T410" i="14" s="1"/>
  <c r="S419" i="14"/>
  <c r="T419" i="14" s="1"/>
  <c r="S423" i="14"/>
  <c r="T423" i="14" s="1"/>
  <c r="S414" i="14"/>
  <c r="T414" i="14" s="1"/>
  <c r="F1155" i="17"/>
  <c r="I1155" i="17" s="1"/>
  <c r="I1146" i="17"/>
  <c r="I1195" i="17"/>
  <c r="F1196" i="17"/>
  <c r="J2145" i="1"/>
  <c r="G2156" i="1"/>
  <c r="J2114" i="1"/>
  <c r="G2130" i="1"/>
  <c r="G2184" i="1"/>
  <c r="J2183" i="1"/>
  <c r="J2184" i="1" s="1"/>
  <c r="H2010" i="1"/>
  <c r="H2026" i="1" s="1"/>
  <c r="I2010" i="1"/>
  <c r="I2026" i="1" s="1"/>
  <c r="H1906" i="1"/>
  <c r="H1922" i="1" s="1"/>
  <c r="F1906" i="13"/>
  <c r="O393" i="14"/>
  <c r="N393" i="14" s="1"/>
  <c r="M393" i="14"/>
  <c r="M405" i="14"/>
  <c r="O405" i="14"/>
  <c r="N405" i="14" s="1"/>
  <c r="O392" i="14"/>
  <c r="N392" i="14" s="1"/>
  <c r="M392" i="14"/>
  <c r="M396" i="14"/>
  <c r="O396" i="14"/>
  <c r="N396" i="14" s="1"/>
  <c r="O400" i="14"/>
  <c r="N400" i="14" s="1"/>
  <c r="M400" i="14"/>
  <c r="O404" i="14"/>
  <c r="N404" i="14" s="1"/>
  <c r="M404" i="14"/>
  <c r="M397" i="14"/>
  <c r="O397" i="14"/>
  <c r="N397" i="14" s="1"/>
  <c r="M401" i="14"/>
  <c r="O401" i="14"/>
  <c r="N401" i="14" s="1"/>
  <c r="O391" i="14"/>
  <c r="N391" i="14" s="1"/>
  <c r="M391" i="14"/>
  <c r="O395" i="14"/>
  <c r="N395" i="14" s="1"/>
  <c r="M395" i="14"/>
  <c r="M399" i="14"/>
  <c r="O399" i="14"/>
  <c r="N399" i="14" s="1"/>
  <c r="O403" i="14"/>
  <c r="N403" i="14" s="1"/>
  <c r="M403" i="14"/>
  <c r="O394" i="14"/>
  <c r="N394" i="14" s="1"/>
  <c r="M394" i="14"/>
  <c r="M398" i="14"/>
  <c r="O398" i="14"/>
  <c r="N398" i="14" s="1"/>
  <c r="M402" i="14"/>
  <c r="O402" i="14"/>
  <c r="N402" i="14" s="1"/>
  <c r="O406" i="14"/>
  <c r="N406" i="14" s="1"/>
  <c r="M406" i="14"/>
  <c r="P373" i="14"/>
  <c r="Q373" i="14"/>
  <c r="S373" i="14" s="1"/>
  <c r="R373" i="14"/>
  <c r="P377" i="14"/>
  <c r="R377" i="14"/>
  <c r="Q377" i="14"/>
  <c r="O379" i="14"/>
  <c r="N379" i="14" s="1"/>
  <c r="M379" i="14"/>
  <c r="O383" i="14"/>
  <c r="N383" i="14" s="1"/>
  <c r="M383" i="14"/>
  <c r="M387" i="14"/>
  <c r="O387" i="14"/>
  <c r="N387" i="14" s="1"/>
  <c r="P374" i="14"/>
  <c r="Q374" i="14"/>
  <c r="R374" i="14"/>
  <c r="M378" i="14"/>
  <c r="O378" i="14"/>
  <c r="N378" i="14" s="1"/>
  <c r="M382" i="14"/>
  <c r="O382" i="14"/>
  <c r="N382" i="14" s="1"/>
  <c r="M386" i="14"/>
  <c r="O386" i="14"/>
  <c r="N386" i="14" s="1"/>
  <c r="T373" i="14"/>
  <c r="P375" i="14"/>
  <c r="Q375" i="14"/>
  <c r="S375" i="14" s="1"/>
  <c r="T375" i="14" s="1"/>
  <c r="R375" i="14"/>
  <c r="O381" i="14"/>
  <c r="N381" i="14" s="1"/>
  <c r="M381" i="14"/>
  <c r="O385" i="14"/>
  <c r="N385" i="14" s="1"/>
  <c r="M385" i="14"/>
  <c r="P376" i="14"/>
  <c r="T376" i="14" s="1"/>
  <c r="R376" i="14"/>
  <c r="Q376" i="14"/>
  <c r="S376" i="14" s="1"/>
  <c r="M380" i="14"/>
  <c r="O380" i="14"/>
  <c r="N380" i="14" s="1"/>
  <c r="O384" i="14"/>
  <c r="N384" i="14" s="1"/>
  <c r="M384" i="14"/>
  <c r="M388" i="14"/>
  <c r="O388" i="14"/>
  <c r="N388" i="14" s="1"/>
  <c r="O357" i="14"/>
  <c r="N357" i="14" s="1"/>
  <c r="M357" i="14"/>
  <c r="O358" i="14"/>
  <c r="N358" i="14" s="1"/>
  <c r="M358" i="14"/>
  <c r="O365" i="14"/>
  <c r="N365" i="14" s="1"/>
  <c r="M365" i="14"/>
  <c r="O363" i="14"/>
  <c r="M363" i="14"/>
  <c r="O364" i="14"/>
  <c r="N364" i="14" s="1"/>
  <c r="M364" i="14"/>
  <c r="P356" i="14"/>
  <c r="R356" i="14"/>
  <c r="Q356" i="14"/>
  <c r="P357" i="14"/>
  <c r="R357" i="14"/>
  <c r="Q357" i="14"/>
  <c r="S357" i="14" s="1"/>
  <c r="O360" i="14"/>
  <c r="N360" i="14" s="1"/>
  <c r="M360" i="14"/>
  <c r="M362" i="14"/>
  <c r="O362" i="14"/>
  <c r="N362" i="14" s="1"/>
  <c r="O367" i="14"/>
  <c r="N367" i="14" s="1"/>
  <c r="M367" i="14"/>
  <c r="O369" i="14"/>
  <c r="N369" i="14" s="1"/>
  <c r="M369" i="14"/>
  <c r="O361" i="14"/>
  <c r="N361" i="14" s="1"/>
  <c r="M361" i="14"/>
  <c r="O368" i="14"/>
  <c r="N368" i="14" s="1"/>
  <c r="M368" i="14"/>
  <c r="O359" i="14"/>
  <c r="N359" i="14" s="1"/>
  <c r="M359" i="14"/>
  <c r="O366" i="14"/>
  <c r="N366" i="14" s="1"/>
  <c r="M366" i="14"/>
  <c r="O370" i="14"/>
  <c r="N370" i="14" s="1"/>
  <c r="M370" i="14"/>
  <c r="O355" i="14"/>
  <c r="N355" i="14" s="1"/>
  <c r="M356" i="14"/>
  <c r="C362" i="14"/>
  <c r="C363" i="14"/>
  <c r="I2079" i="1"/>
  <c r="I2080" i="1" s="1"/>
  <c r="I2081" i="1" s="1"/>
  <c r="G2065" i="1"/>
  <c r="J2065" i="1" s="1"/>
  <c r="I2083" i="13"/>
  <c r="F1135" i="17"/>
  <c r="I1135" i="17" s="1"/>
  <c r="G1095" i="17"/>
  <c r="G1137" i="17" s="1"/>
  <c r="F1094" i="17"/>
  <c r="I1094" i="17" s="1"/>
  <c r="P1094" i="17"/>
  <c r="P1095" i="17" s="1"/>
  <c r="F1086" i="17"/>
  <c r="I1086" i="17" s="1"/>
  <c r="H1095" i="17"/>
  <c r="H1137" i="17" s="1"/>
  <c r="P1135" i="17"/>
  <c r="P1136" i="17" s="1"/>
  <c r="I1109" i="17"/>
  <c r="H1975" i="1"/>
  <c r="H1976" i="1" s="1"/>
  <c r="I2054" i="13"/>
  <c r="I2011" i="13"/>
  <c r="F2011" i="13"/>
  <c r="I2003" i="13"/>
  <c r="F2089" i="13"/>
  <c r="I2019" i="13"/>
  <c r="I2023" i="13"/>
  <c r="I2027" i="13"/>
  <c r="I2042" i="13"/>
  <c r="I2043" i="13" s="1"/>
  <c r="F2042" i="13"/>
  <c r="F2054" i="13"/>
  <c r="F2058" i="13"/>
  <c r="I2063" i="13"/>
  <c r="I2067" i="13"/>
  <c r="I2075" i="13"/>
  <c r="I2080" i="13"/>
  <c r="F2080" i="13"/>
  <c r="I2089" i="13"/>
  <c r="I2093" i="13"/>
  <c r="F2019" i="13"/>
  <c r="F2023" i="13"/>
  <c r="F2027" i="13"/>
  <c r="F2033" i="13"/>
  <c r="I2058" i="13"/>
  <c r="F2063" i="13"/>
  <c r="F2067" i="13"/>
  <c r="F2075" i="13"/>
  <c r="F2083" i="13"/>
  <c r="F2093" i="13"/>
  <c r="H2041" i="1"/>
  <c r="H2052" i="1" s="1"/>
  <c r="H2053" i="1" s="1"/>
  <c r="H2081" i="1" s="1"/>
  <c r="H1435" i="16"/>
  <c r="H1441" i="16" s="1"/>
  <c r="H1483" i="16"/>
  <c r="H1937" i="1"/>
  <c r="H1948" i="1" s="1"/>
  <c r="H1949" i="1" s="1"/>
  <c r="I1988" i="13"/>
  <c r="I1984" i="13"/>
  <c r="I1970" i="13"/>
  <c r="I1962" i="13"/>
  <c r="I1958" i="13"/>
  <c r="I1963" i="13" s="1"/>
  <c r="I1953" i="13"/>
  <c r="I1922" i="13"/>
  <c r="I1914" i="13"/>
  <c r="F1898" i="13"/>
  <c r="I1894" i="13"/>
  <c r="I1898" i="13" s="1"/>
  <c r="I1899" i="13"/>
  <c r="I1906" i="13" s="1"/>
  <c r="F1914" i="13"/>
  <c r="F1918" i="13"/>
  <c r="F1922" i="13"/>
  <c r="I1928" i="13"/>
  <c r="I1938" i="13" s="1"/>
  <c r="F1928" i="13"/>
  <c r="I1949" i="13"/>
  <c r="F1962" i="13"/>
  <c r="F1970" i="13"/>
  <c r="F1988" i="13"/>
  <c r="F1953" i="13"/>
  <c r="F1958" i="13"/>
  <c r="F1963" i="13" s="1"/>
  <c r="I1975" i="13"/>
  <c r="F1975" i="13"/>
  <c r="F1984" i="13"/>
  <c r="I1918" i="13"/>
  <c r="F1937" i="13"/>
  <c r="F1949" i="13"/>
  <c r="I1978" i="13"/>
  <c r="F1978" i="13"/>
  <c r="G2015" i="1"/>
  <c r="G1985" i="1"/>
  <c r="G1993" i="1"/>
  <c r="J1993" i="1" s="1"/>
  <c r="G2001" i="1"/>
  <c r="J2001" i="1" s="1"/>
  <c r="G2078" i="1"/>
  <c r="J2078" i="1" s="1"/>
  <c r="J2076" i="1"/>
  <c r="G2045" i="1"/>
  <c r="G2049" i="1"/>
  <c r="J2049" i="1" s="1"/>
  <c r="J2046" i="1"/>
  <c r="G2057" i="1"/>
  <c r="J2054" i="1"/>
  <c r="G2036" i="1"/>
  <c r="J2028" i="1"/>
  <c r="G2062" i="1"/>
  <c r="J2062" i="1" s="1"/>
  <c r="J2042" i="1"/>
  <c r="J2072" i="1"/>
  <c r="I1937" i="1"/>
  <c r="I1948" i="1" s="1"/>
  <c r="I1949" i="1" s="1"/>
  <c r="G1936" i="1"/>
  <c r="J1936" i="1" s="1"/>
  <c r="I1906" i="1"/>
  <c r="I1922" i="1" s="1"/>
  <c r="G1974" i="1"/>
  <c r="J1974" i="1" s="1"/>
  <c r="J1972" i="1"/>
  <c r="G1889" i="1"/>
  <c r="J1889" i="1" s="1"/>
  <c r="G1911" i="1"/>
  <c r="J1907" i="1"/>
  <c r="G1920" i="1"/>
  <c r="J1920" i="1" s="1"/>
  <c r="G1881" i="1"/>
  <c r="G1897" i="1"/>
  <c r="J1897" i="1" s="1"/>
  <c r="J1890" i="1"/>
  <c r="G1905" i="1"/>
  <c r="J1905" i="1" s="1"/>
  <c r="J1940" i="1"/>
  <c r="G1941" i="1"/>
  <c r="G1945" i="1"/>
  <c r="J1945" i="1" s="1"/>
  <c r="J1942" i="1"/>
  <c r="G1953" i="1"/>
  <c r="J1950" i="1"/>
  <c r="G1932" i="1"/>
  <c r="I1975" i="1"/>
  <c r="I1976" i="1" s="1"/>
  <c r="G1958" i="1"/>
  <c r="J1958" i="1" s="1"/>
  <c r="F2043" i="13" l="1"/>
  <c r="H1977" i="1"/>
  <c r="I1196" i="17"/>
  <c r="F1197" i="17"/>
  <c r="I1197" i="17" s="1"/>
  <c r="G2157" i="1"/>
  <c r="G2185" i="1" s="1"/>
  <c r="J2185" i="1" s="1"/>
  <c r="J2156" i="1"/>
  <c r="J2157" i="1" s="1"/>
  <c r="J2130" i="1"/>
  <c r="P398" i="14"/>
  <c r="T398" i="14" s="1"/>
  <c r="R398" i="14"/>
  <c r="Q398" i="14"/>
  <c r="S398" i="14" s="1"/>
  <c r="P405" i="14"/>
  <c r="Q405" i="14"/>
  <c r="R405" i="14"/>
  <c r="P406" i="14"/>
  <c r="T406" i="14" s="1"/>
  <c r="R406" i="14"/>
  <c r="Q406" i="14"/>
  <c r="S406" i="14" s="1"/>
  <c r="P403" i="14"/>
  <c r="Q403" i="14"/>
  <c r="R403" i="14"/>
  <c r="P395" i="14"/>
  <c r="Q395" i="14"/>
  <c r="S395" i="14" s="1"/>
  <c r="T395" i="14" s="1"/>
  <c r="R395" i="14"/>
  <c r="P404" i="14"/>
  <c r="Q404" i="14"/>
  <c r="R404" i="14"/>
  <c r="P401" i="14"/>
  <c r="R401" i="14"/>
  <c r="Q401" i="14"/>
  <c r="S401" i="14" s="1"/>
  <c r="P396" i="14"/>
  <c r="Q396" i="14"/>
  <c r="R396" i="14"/>
  <c r="P402" i="14"/>
  <c r="T402" i="14" s="1"/>
  <c r="R402" i="14"/>
  <c r="Q402" i="14"/>
  <c r="S402" i="14" s="1"/>
  <c r="P399" i="14"/>
  <c r="Q399" i="14"/>
  <c r="R399" i="14"/>
  <c r="P397" i="14"/>
  <c r="R397" i="14"/>
  <c r="Q397" i="14"/>
  <c r="S397" i="14" s="1"/>
  <c r="P394" i="14"/>
  <c r="Q394" i="14"/>
  <c r="R394" i="14"/>
  <c r="P391" i="14"/>
  <c r="Q391" i="14"/>
  <c r="R391" i="14"/>
  <c r="P400" i="14"/>
  <c r="Q400" i="14"/>
  <c r="R400" i="14"/>
  <c r="P392" i="14"/>
  <c r="Q392" i="14"/>
  <c r="R392" i="14"/>
  <c r="P393" i="14"/>
  <c r="R393" i="14"/>
  <c r="Q393" i="14"/>
  <c r="P379" i="14"/>
  <c r="Q379" i="14"/>
  <c r="R379" i="14"/>
  <c r="P384" i="14"/>
  <c r="R384" i="14"/>
  <c r="Q384" i="14"/>
  <c r="P385" i="14"/>
  <c r="R385" i="14"/>
  <c r="Q385" i="14"/>
  <c r="S385" i="14" s="1"/>
  <c r="P386" i="14"/>
  <c r="Q386" i="14"/>
  <c r="R386" i="14"/>
  <c r="P378" i="14"/>
  <c r="R378" i="14"/>
  <c r="Q378" i="14"/>
  <c r="S378" i="14" s="1"/>
  <c r="S374" i="14"/>
  <c r="T374" i="14" s="1"/>
  <c r="S377" i="14"/>
  <c r="T377" i="14" s="1"/>
  <c r="P383" i="14"/>
  <c r="R383" i="14"/>
  <c r="Q383" i="14"/>
  <c r="P388" i="14"/>
  <c r="T388" i="14" s="1"/>
  <c r="R388" i="14"/>
  <c r="Q388" i="14"/>
  <c r="S388" i="14" s="1"/>
  <c r="P380" i="14"/>
  <c r="R380" i="14"/>
  <c r="Q380" i="14"/>
  <c r="P381" i="14"/>
  <c r="Q381" i="14"/>
  <c r="R381" i="14"/>
  <c r="P382" i="14"/>
  <c r="R382" i="14"/>
  <c r="Q382" i="14"/>
  <c r="S382" i="14" s="1"/>
  <c r="T382" i="14" s="1"/>
  <c r="P387" i="14"/>
  <c r="R387" i="14"/>
  <c r="Q387" i="14"/>
  <c r="S356" i="14"/>
  <c r="T356" i="14" s="1"/>
  <c r="T357" i="14"/>
  <c r="P366" i="14"/>
  <c r="R366" i="14"/>
  <c r="Q366" i="14"/>
  <c r="P368" i="14"/>
  <c r="R368" i="14"/>
  <c r="Q368" i="14"/>
  <c r="P367" i="14"/>
  <c r="R367" i="14"/>
  <c r="Q367" i="14"/>
  <c r="R360" i="14"/>
  <c r="Q360" i="14"/>
  <c r="P360" i="14"/>
  <c r="P364" i="14"/>
  <c r="R364" i="14"/>
  <c r="Q364" i="14"/>
  <c r="P369" i="14"/>
  <c r="R369" i="14"/>
  <c r="Q369" i="14"/>
  <c r="S369" i="14" s="1"/>
  <c r="T369" i="14" s="1"/>
  <c r="Q362" i="14"/>
  <c r="P362" i="14"/>
  <c r="R362" i="14"/>
  <c r="R355" i="14"/>
  <c r="Q355" i="14"/>
  <c r="P355" i="14"/>
  <c r="P365" i="14"/>
  <c r="R365" i="14"/>
  <c r="Q365" i="14"/>
  <c r="P370" i="14"/>
  <c r="R370" i="14"/>
  <c r="Q370" i="14"/>
  <c r="S370" i="14" s="1"/>
  <c r="R359" i="14"/>
  <c r="Q359" i="14"/>
  <c r="P359" i="14"/>
  <c r="R361" i="14"/>
  <c r="Q361" i="14"/>
  <c r="P361" i="14"/>
  <c r="N363" i="14"/>
  <c r="R358" i="14"/>
  <c r="Q358" i="14"/>
  <c r="P358" i="14"/>
  <c r="F1136" i="17"/>
  <c r="I1136" i="17" s="1"/>
  <c r="F1095" i="17"/>
  <c r="I1095" i="17" s="1"/>
  <c r="P1137" i="17"/>
  <c r="I1992" i="13"/>
  <c r="I1993" i="13" s="1"/>
  <c r="F2097" i="13"/>
  <c r="F2098" i="13" s="1"/>
  <c r="I2059" i="13"/>
  <c r="I2028" i="13"/>
  <c r="I2044" i="13" s="1"/>
  <c r="F2028" i="13"/>
  <c r="F2044" i="13" s="1"/>
  <c r="F2059" i="13"/>
  <c r="I2097" i="13"/>
  <c r="I2098" i="13" s="1"/>
  <c r="F2068" i="13"/>
  <c r="I2068" i="13"/>
  <c r="I1954" i="13"/>
  <c r="I1965" i="13" s="1"/>
  <c r="I1966" i="13" s="1"/>
  <c r="F1923" i="13"/>
  <c r="I1923" i="13"/>
  <c r="I1939" i="13" s="1"/>
  <c r="F1992" i="13"/>
  <c r="F1993" i="13" s="1"/>
  <c r="F1938" i="13"/>
  <c r="F1954" i="13"/>
  <c r="F1965" i="13" s="1"/>
  <c r="F1966" i="13" s="1"/>
  <c r="G2041" i="1"/>
  <c r="J2036" i="1"/>
  <c r="J1985" i="1"/>
  <c r="G2010" i="1"/>
  <c r="G2079" i="1"/>
  <c r="J2057" i="1"/>
  <c r="G2050" i="1"/>
  <c r="J2050" i="1" s="1"/>
  <c r="J2045" i="1"/>
  <c r="G2025" i="1"/>
  <c r="J2025" i="1" s="1"/>
  <c r="J2015" i="1"/>
  <c r="G1975" i="1"/>
  <c r="J1953" i="1"/>
  <c r="I1977" i="1"/>
  <c r="G1906" i="1"/>
  <c r="J1881" i="1"/>
  <c r="G1937" i="1"/>
  <c r="J1932" i="1"/>
  <c r="J1941" i="1"/>
  <c r="G1946" i="1"/>
  <c r="J1946" i="1" s="1"/>
  <c r="G1921" i="1"/>
  <c r="J1921" i="1" s="1"/>
  <c r="J1911" i="1"/>
  <c r="E1384" i="16"/>
  <c r="E1386" i="16"/>
  <c r="H1386" i="16" s="1"/>
  <c r="E1347" i="16"/>
  <c r="E1346" i="16"/>
  <c r="H1346" i="16" s="1"/>
  <c r="I1779" i="1"/>
  <c r="H1779" i="1"/>
  <c r="H1400" i="16"/>
  <c r="H1399" i="16"/>
  <c r="H1398" i="16"/>
  <c r="H1397" i="16"/>
  <c r="H1396" i="16"/>
  <c r="H1395" i="16"/>
  <c r="H1394" i="16"/>
  <c r="H1393" i="16"/>
  <c r="H1392" i="16"/>
  <c r="H1391" i="16"/>
  <c r="H1390" i="16"/>
  <c r="H1389" i="16"/>
  <c r="H1388" i="16"/>
  <c r="H1387" i="16"/>
  <c r="H1385" i="16"/>
  <c r="H1384" i="16"/>
  <c r="H1383" i="16"/>
  <c r="H1382" i="16"/>
  <c r="H1381" i="16"/>
  <c r="H1379" i="16"/>
  <c r="H1378" i="16"/>
  <c r="H1377" i="16"/>
  <c r="H1376" i="16"/>
  <c r="H1375" i="16"/>
  <c r="H1374" i="16"/>
  <c r="H1373" i="16"/>
  <c r="H1372" i="16"/>
  <c r="H1371" i="16"/>
  <c r="H1370" i="16"/>
  <c r="H1369" i="16"/>
  <c r="H1368" i="16"/>
  <c r="H1367" i="16"/>
  <c r="H1366" i="16"/>
  <c r="H1365" i="16"/>
  <c r="H1364" i="16"/>
  <c r="H1363" i="16"/>
  <c r="H1362" i="16"/>
  <c r="H1361" i="16"/>
  <c r="H1360" i="16"/>
  <c r="I1358" i="16"/>
  <c r="H1356" i="16"/>
  <c r="H1355" i="16"/>
  <c r="H1354" i="16"/>
  <c r="H1352" i="16"/>
  <c r="H1351" i="16"/>
  <c r="H1350" i="16"/>
  <c r="H1349" i="16"/>
  <c r="H1348" i="16"/>
  <c r="H1347" i="16"/>
  <c r="H1345" i="16"/>
  <c r="H1344" i="16"/>
  <c r="H1343" i="16"/>
  <c r="H1342" i="16"/>
  <c r="H1340" i="16"/>
  <c r="H1339" i="16"/>
  <c r="H1338" i="16"/>
  <c r="H1337" i="16"/>
  <c r="H1336" i="16"/>
  <c r="H1335" i="16"/>
  <c r="H1334" i="16"/>
  <c r="H1333" i="16"/>
  <c r="H1332" i="16"/>
  <c r="H1331" i="16"/>
  <c r="H1330" i="16"/>
  <c r="H1329" i="16"/>
  <c r="H1328" i="16"/>
  <c r="H1327" i="16"/>
  <c r="E1076" i="17"/>
  <c r="H1075" i="17"/>
  <c r="H1076" i="17" s="1"/>
  <c r="G1075" i="17"/>
  <c r="G1076" i="17" s="1"/>
  <c r="D1075" i="17"/>
  <c r="D1076" i="17" s="1"/>
  <c r="P1074" i="17"/>
  <c r="F1074" i="17"/>
  <c r="I1074" i="17" s="1"/>
  <c r="P1073" i="17"/>
  <c r="F1073" i="17"/>
  <c r="I1073" i="17" s="1"/>
  <c r="P1072" i="17"/>
  <c r="F1072" i="17"/>
  <c r="I1072" i="17" s="1"/>
  <c r="P1071" i="17"/>
  <c r="F1071" i="17"/>
  <c r="I1071" i="17" s="1"/>
  <c r="P1070" i="17"/>
  <c r="F1070" i="17"/>
  <c r="I1070" i="17" s="1"/>
  <c r="P1069" i="17"/>
  <c r="F1069" i="17"/>
  <c r="I1069" i="17" s="1"/>
  <c r="P1068" i="17"/>
  <c r="F1068" i="17"/>
  <c r="I1068" i="17" s="1"/>
  <c r="P1067" i="17"/>
  <c r="F1067" i="17"/>
  <c r="I1067" i="17" s="1"/>
  <c r="P1066" i="17"/>
  <c r="F1066" i="17"/>
  <c r="I1066" i="17" s="1"/>
  <c r="P1065" i="17"/>
  <c r="F1065" i="17"/>
  <c r="I1065" i="17" s="1"/>
  <c r="P1064" i="17"/>
  <c r="I1064" i="17"/>
  <c r="F1064" i="17"/>
  <c r="P1063" i="17"/>
  <c r="F1063" i="17"/>
  <c r="I1063" i="17" s="1"/>
  <c r="P1062" i="17"/>
  <c r="F1062" i="17"/>
  <c r="I1062" i="17" s="1"/>
  <c r="P1061" i="17"/>
  <c r="F1061" i="17"/>
  <c r="I1061" i="17" s="1"/>
  <c r="P1060" i="17"/>
  <c r="F1060" i="17"/>
  <c r="I1060" i="17" s="1"/>
  <c r="P1059" i="17"/>
  <c r="F1059" i="17"/>
  <c r="I1059" i="17" s="1"/>
  <c r="P1058" i="17"/>
  <c r="F1058" i="17"/>
  <c r="I1058" i="17" s="1"/>
  <c r="P1057" i="17"/>
  <c r="F1057" i="17"/>
  <c r="I1057" i="17" s="1"/>
  <c r="P1056" i="17"/>
  <c r="F1056" i="17"/>
  <c r="I1056" i="17" s="1"/>
  <c r="P1055" i="17"/>
  <c r="F1055" i="17"/>
  <c r="I1055" i="17" s="1"/>
  <c r="P1054" i="17"/>
  <c r="F1054" i="17"/>
  <c r="I1054" i="17" s="1"/>
  <c r="P1053" i="17"/>
  <c r="F1053" i="17"/>
  <c r="I1053" i="17" s="1"/>
  <c r="P1052" i="17"/>
  <c r="F1052" i="17"/>
  <c r="I1052" i="17" s="1"/>
  <c r="P1051" i="17"/>
  <c r="F1051" i="17"/>
  <c r="P1050" i="17"/>
  <c r="F1050" i="17"/>
  <c r="I1050" i="17" s="1"/>
  <c r="P1049" i="17"/>
  <c r="F1049" i="17"/>
  <c r="I1049" i="17" s="1"/>
  <c r="P1048" i="17"/>
  <c r="F1048" i="17"/>
  <c r="I1048" i="17" s="1"/>
  <c r="P1047" i="17"/>
  <c r="F1047" i="17"/>
  <c r="I1047" i="17" s="1"/>
  <c r="P1046" i="17"/>
  <c r="F1046" i="17"/>
  <c r="I1046" i="17" s="1"/>
  <c r="P1045" i="17"/>
  <c r="F1045" i="17"/>
  <c r="I1045" i="17" s="1"/>
  <c r="E1044" i="17"/>
  <c r="D1044" i="17"/>
  <c r="H1043" i="17"/>
  <c r="H1044" i="17" s="1"/>
  <c r="G1043" i="17"/>
  <c r="G1044" i="17" s="1"/>
  <c r="P1042" i="17"/>
  <c r="I1042" i="17"/>
  <c r="F1042" i="17"/>
  <c r="P1041" i="17"/>
  <c r="F1041" i="17"/>
  <c r="I1041" i="17" s="1"/>
  <c r="P1040" i="17"/>
  <c r="F1040" i="17"/>
  <c r="P1039" i="17"/>
  <c r="I1039" i="17"/>
  <c r="F1039" i="17"/>
  <c r="P1038" i="17"/>
  <c r="F1038" i="17"/>
  <c r="I1038" i="17" s="1"/>
  <c r="P1037" i="17"/>
  <c r="I1037" i="17"/>
  <c r="F1037" i="17"/>
  <c r="P1036" i="17"/>
  <c r="F1036" i="17"/>
  <c r="I1036" i="17" s="1"/>
  <c r="E1035" i="17"/>
  <c r="H1034" i="17"/>
  <c r="G1034" i="17"/>
  <c r="D1034" i="17"/>
  <c r="P1033" i="17"/>
  <c r="F1033" i="17"/>
  <c r="I1033" i="17" s="1"/>
  <c r="P1032" i="17"/>
  <c r="F1032" i="17"/>
  <c r="I1032" i="17" s="1"/>
  <c r="P1031" i="17"/>
  <c r="F1031" i="17"/>
  <c r="I1031" i="17" s="1"/>
  <c r="P1030" i="17"/>
  <c r="I1030" i="17"/>
  <c r="F1030" i="17"/>
  <c r="P1029" i="17"/>
  <c r="F1029" i="17"/>
  <c r="I1029" i="17" s="1"/>
  <c r="P1028" i="17"/>
  <c r="F1028" i="17"/>
  <c r="I1028" i="17" s="1"/>
  <c r="P1027" i="17"/>
  <c r="F1027" i="17"/>
  <c r="I1027" i="17" s="1"/>
  <c r="G1026" i="17"/>
  <c r="D1026" i="17"/>
  <c r="D1035" i="17" s="1"/>
  <c r="P1025" i="17"/>
  <c r="I1025" i="17"/>
  <c r="F1025" i="17"/>
  <c r="H1026" i="17"/>
  <c r="P1024" i="17"/>
  <c r="P1023" i="17"/>
  <c r="I1023" i="17"/>
  <c r="F1023" i="17"/>
  <c r="P1022" i="17"/>
  <c r="F1022" i="17"/>
  <c r="I1022" i="17" s="1"/>
  <c r="P1021" i="17"/>
  <c r="F1021" i="17"/>
  <c r="I1021" i="17" s="1"/>
  <c r="F1878" i="13"/>
  <c r="F1877" i="13"/>
  <c r="I1877" i="13" s="1"/>
  <c r="F1876" i="13"/>
  <c r="F1875" i="13"/>
  <c r="F1874" i="13"/>
  <c r="I1874" i="13" s="1"/>
  <c r="F1872" i="13"/>
  <c r="I1872" i="13" s="1"/>
  <c r="F1871" i="13"/>
  <c r="I1871" i="13" s="1"/>
  <c r="F1869" i="13"/>
  <c r="F1868" i="13"/>
  <c r="I1868" i="13" s="1"/>
  <c r="F1867" i="13"/>
  <c r="F1866" i="13"/>
  <c r="F1864" i="13"/>
  <c r="F1863" i="13"/>
  <c r="I1863" i="13" s="1"/>
  <c r="F1862" i="13"/>
  <c r="F1885" i="13"/>
  <c r="F1884" i="13"/>
  <c r="F1882" i="13"/>
  <c r="F1881" i="13"/>
  <c r="I1881" i="13" s="1"/>
  <c r="F1880" i="13"/>
  <c r="I1875" i="13"/>
  <c r="I1866" i="13"/>
  <c r="F1859" i="13"/>
  <c r="I1859" i="13" s="1"/>
  <c r="F1856" i="13"/>
  <c r="F1855" i="13"/>
  <c r="I1855" i="13" s="1"/>
  <c r="F1854" i="13"/>
  <c r="F1852" i="13"/>
  <c r="F1851" i="13"/>
  <c r="I1851" i="13" s="1"/>
  <c r="F1850" i="13"/>
  <c r="I1850" i="13" s="1"/>
  <c r="F1847" i="13"/>
  <c r="F1846" i="13"/>
  <c r="I1846" i="13" s="1"/>
  <c r="F1845" i="13"/>
  <c r="I1845" i="13" s="1"/>
  <c r="F1843" i="13"/>
  <c r="F1842" i="13"/>
  <c r="I1842" i="13" s="1"/>
  <c r="F1841" i="13"/>
  <c r="I1841" i="13" s="1"/>
  <c r="F1840" i="13"/>
  <c r="I1840" i="13" s="1"/>
  <c r="F1839" i="13"/>
  <c r="I1839" i="13" s="1"/>
  <c r="F1838" i="13"/>
  <c r="I1838" i="13" s="1"/>
  <c r="F1837" i="13"/>
  <c r="I1837" i="13" s="1"/>
  <c r="F1836" i="13"/>
  <c r="I1836" i="13" s="1"/>
  <c r="F1835" i="13"/>
  <c r="F1831" i="13"/>
  <c r="F1830" i="13"/>
  <c r="I1830" i="13" s="1"/>
  <c r="F1829" i="13"/>
  <c r="F1828" i="13"/>
  <c r="I1828" i="13" s="1"/>
  <c r="F1827" i="13"/>
  <c r="F1826" i="13"/>
  <c r="I1826" i="13" s="1"/>
  <c r="F1825" i="13"/>
  <c r="F1824" i="13"/>
  <c r="I1824" i="13" s="1"/>
  <c r="F1822" i="13"/>
  <c r="F1821" i="13"/>
  <c r="I1821" i="13" s="1"/>
  <c r="F1820" i="13"/>
  <c r="I1820" i="13" s="1"/>
  <c r="F1819" i="13"/>
  <c r="I1819" i="13" s="1"/>
  <c r="F1816" i="13"/>
  <c r="I1816" i="13" s="1"/>
  <c r="F1815" i="13"/>
  <c r="I1815" i="13" s="1"/>
  <c r="F1814" i="13"/>
  <c r="I1814" i="13" s="1"/>
  <c r="F1812" i="13"/>
  <c r="F1811" i="13"/>
  <c r="I1811" i="13" s="1"/>
  <c r="F1810" i="13"/>
  <c r="F1808" i="13"/>
  <c r="F1807" i="13"/>
  <c r="I1807" i="13" s="1"/>
  <c r="F1806" i="13"/>
  <c r="F1805" i="13"/>
  <c r="I1805" i="13" s="1"/>
  <c r="F1804" i="13"/>
  <c r="F1803" i="13"/>
  <c r="I1803" i="13" s="1"/>
  <c r="F1802" i="13"/>
  <c r="F1800" i="13"/>
  <c r="I1800" i="13" s="1"/>
  <c r="F1799" i="13"/>
  <c r="I1799" i="13" s="1"/>
  <c r="F1798" i="13"/>
  <c r="F1797" i="13"/>
  <c r="I1797" i="13" s="1"/>
  <c r="F1796" i="13"/>
  <c r="F1795" i="13"/>
  <c r="I1795" i="13" s="1"/>
  <c r="F1794" i="13"/>
  <c r="F1792" i="13"/>
  <c r="I1792" i="13" s="1"/>
  <c r="F1791" i="13"/>
  <c r="F1790" i="13"/>
  <c r="I1790" i="13" s="1"/>
  <c r="F1789" i="13"/>
  <c r="J1886" i="13"/>
  <c r="I1886" i="13"/>
  <c r="F1886" i="13"/>
  <c r="I1882" i="13"/>
  <c r="I1880" i="13"/>
  <c r="I1878" i="13"/>
  <c r="I1876" i="13"/>
  <c r="I1869" i="13"/>
  <c r="I1867" i="13"/>
  <c r="I1864" i="13"/>
  <c r="I1862" i="13"/>
  <c r="I1856" i="13"/>
  <c r="I1854" i="13"/>
  <c r="I1852" i="13"/>
  <c r="I1847" i="13"/>
  <c r="I1843" i="13"/>
  <c r="I1835" i="13"/>
  <c r="I1831" i="13"/>
  <c r="I1829" i="13"/>
  <c r="I1827" i="13"/>
  <c r="I1825" i="13"/>
  <c r="I1822" i="13"/>
  <c r="I1812" i="13"/>
  <c r="I1810" i="13"/>
  <c r="I1808" i="13"/>
  <c r="I1806" i="13"/>
  <c r="I1804" i="13"/>
  <c r="I1802" i="13"/>
  <c r="I1798" i="13"/>
  <c r="I1796" i="13"/>
  <c r="I1794" i="13"/>
  <c r="I1789" i="13"/>
  <c r="F1871" i="1"/>
  <c r="F1872" i="1" s="1"/>
  <c r="E1871" i="1"/>
  <c r="E1872" i="1" s="1"/>
  <c r="I1870" i="1"/>
  <c r="H1870" i="1"/>
  <c r="G1869" i="1"/>
  <c r="J1869" i="1" s="1"/>
  <c r="G1868" i="1"/>
  <c r="I1867" i="1"/>
  <c r="H1867" i="1"/>
  <c r="G1866" i="1"/>
  <c r="J1866" i="1" s="1"/>
  <c r="G1865" i="1"/>
  <c r="J1865" i="1" s="1"/>
  <c r="G1864" i="1"/>
  <c r="I1863" i="1"/>
  <c r="H1863" i="1"/>
  <c r="G1862" i="1"/>
  <c r="J1862" i="1" s="1"/>
  <c r="G1861" i="1"/>
  <c r="J1861" i="1" s="1"/>
  <c r="G1860" i="1"/>
  <c r="J1860" i="1" s="1"/>
  <c r="G1859" i="1"/>
  <c r="J1859" i="1" s="1"/>
  <c r="G1858" i="1"/>
  <c r="J1858" i="1" s="1"/>
  <c r="I1857" i="1"/>
  <c r="H1857" i="1"/>
  <c r="G1856" i="1"/>
  <c r="J1856" i="1" s="1"/>
  <c r="J1855" i="1"/>
  <c r="G1855" i="1"/>
  <c r="G1857" i="1" s="1"/>
  <c r="J1857" i="1" s="1"/>
  <c r="I1854" i="1"/>
  <c r="H1854" i="1"/>
  <c r="G1853" i="1"/>
  <c r="J1853" i="1" s="1"/>
  <c r="G1852" i="1"/>
  <c r="J1852" i="1" s="1"/>
  <c r="G1851" i="1"/>
  <c r="J1851" i="1" s="1"/>
  <c r="J1850" i="1"/>
  <c r="G1850" i="1"/>
  <c r="I1849" i="1"/>
  <c r="H1849" i="1"/>
  <c r="J1848" i="1"/>
  <c r="G1848" i="1"/>
  <c r="J1847" i="1"/>
  <c r="G1847" i="1"/>
  <c r="G1846" i="1"/>
  <c r="F1844" i="1"/>
  <c r="F1845" i="1" s="1"/>
  <c r="E1844" i="1"/>
  <c r="E1845" i="1" s="1"/>
  <c r="J1843" i="1"/>
  <c r="G1843" i="1"/>
  <c r="I1841" i="1"/>
  <c r="H1841" i="1"/>
  <c r="J1840" i="1"/>
  <c r="G1840" i="1"/>
  <c r="J1839" i="1"/>
  <c r="G1839" i="1"/>
  <c r="G1838" i="1"/>
  <c r="I1837" i="1"/>
  <c r="I1842" i="1" s="1"/>
  <c r="H1837" i="1"/>
  <c r="G1836" i="1"/>
  <c r="J1836" i="1" s="1"/>
  <c r="J1835" i="1"/>
  <c r="G1835" i="1"/>
  <c r="G1834" i="1"/>
  <c r="I1832" i="1"/>
  <c r="H1832" i="1"/>
  <c r="G1831" i="1"/>
  <c r="J1831" i="1" s="1"/>
  <c r="J1830" i="1"/>
  <c r="G1830" i="1"/>
  <c r="G1829" i="1"/>
  <c r="I1828" i="1"/>
  <c r="H1828" i="1"/>
  <c r="G1827" i="1"/>
  <c r="J1827" i="1" s="1"/>
  <c r="J1826" i="1"/>
  <c r="G1826" i="1"/>
  <c r="G1825" i="1"/>
  <c r="J1825" i="1" s="1"/>
  <c r="J1824" i="1"/>
  <c r="G1824" i="1"/>
  <c r="G1823" i="1"/>
  <c r="J1823" i="1" s="1"/>
  <c r="G1822" i="1"/>
  <c r="J1822" i="1" s="1"/>
  <c r="G1821" i="1"/>
  <c r="J1821" i="1" s="1"/>
  <c r="G1820" i="1"/>
  <c r="G1819" i="1"/>
  <c r="J1819" i="1" s="1"/>
  <c r="F1817" i="1"/>
  <c r="I1816" i="1"/>
  <c r="H1816" i="1"/>
  <c r="G1815" i="1"/>
  <c r="J1815" i="1" s="1"/>
  <c r="G1814" i="1"/>
  <c r="J1814" i="1" s="1"/>
  <c r="G1813" i="1"/>
  <c r="J1813" i="1" s="1"/>
  <c r="G1812" i="1"/>
  <c r="J1812" i="1" s="1"/>
  <c r="J1811" i="1"/>
  <c r="G1811" i="1"/>
  <c r="G1810" i="1"/>
  <c r="J1810" i="1" s="1"/>
  <c r="G1809" i="1"/>
  <c r="J1809" i="1" s="1"/>
  <c r="G1808" i="1"/>
  <c r="J1808" i="1" s="1"/>
  <c r="I1807" i="1"/>
  <c r="I1817" i="1" s="1"/>
  <c r="H1807" i="1"/>
  <c r="E1807" i="1"/>
  <c r="E1817" i="1" s="1"/>
  <c r="G1806" i="1"/>
  <c r="J1806" i="1" s="1"/>
  <c r="G1805" i="1"/>
  <c r="J1805" i="1" s="1"/>
  <c r="G1804" i="1"/>
  <c r="J1804" i="1" s="1"/>
  <c r="G1803" i="1"/>
  <c r="I1801" i="1"/>
  <c r="H1801" i="1"/>
  <c r="E1801" i="1"/>
  <c r="J1800" i="1"/>
  <c r="G1800" i="1"/>
  <c r="G1799" i="1"/>
  <c r="J1799" i="1" s="1"/>
  <c r="G1798" i="1"/>
  <c r="J1798" i="1" s="1"/>
  <c r="I1797" i="1"/>
  <c r="H1797" i="1"/>
  <c r="F1797" i="1"/>
  <c r="F1802" i="1" s="1"/>
  <c r="F1818" i="1" s="1"/>
  <c r="F1873" i="1" s="1"/>
  <c r="E1797" i="1"/>
  <c r="G1796" i="1"/>
  <c r="G1795" i="1"/>
  <c r="J1795" i="1" s="1"/>
  <c r="G1794" i="1"/>
  <c r="I1793" i="1"/>
  <c r="H1793" i="1"/>
  <c r="E1793" i="1"/>
  <c r="E1802" i="1" s="1"/>
  <c r="E1818" i="1" s="1"/>
  <c r="E1873" i="1" s="1"/>
  <c r="G1792" i="1"/>
  <c r="J1792" i="1" s="1"/>
  <c r="J1791" i="1"/>
  <c r="G1791" i="1"/>
  <c r="J1790" i="1"/>
  <c r="G1790" i="1"/>
  <c r="G1789" i="1"/>
  <c r="J1789" i="1" s="1"/>
  <c r="G1788" i="1"/>
  <c r="J1788" i="1" s="1"/>
  <c r="J1787" i="1"/>
  <c r="G1787" i="1"/>
  <c r="J1786" i="1"/>
  <c r="G1786" i="1"/>
  <c r="G1784" i="1"/>
  <c r="J1784" i="1" s="1"/>
  <c r="G1783" i="1"/>
  <c r="J1783" i="1" s="1"/>
  <c r="J1782" i="1"/>
  <c r="G1782" i="1"/>
  <c r="J1781" i="1"/>
  <c r="G1781" i="1"/>
  <c r="G1780" i="1"/>
  <c r="J1780" i="1" s="1"/>
  <c r="H1785" i="1"/>
  <c r="G1778" i="1"/>
  <c r="J1778" i="1" s="1"/>
  <c r="I1777" i="1"/>
  <c r="H1777" i="1"/>
  <c r="G1776" i="1"/>
  <c r="J1776" i="1" s="1"/>
  <c r="J1775" i="1"/>
  <c r="G1775" i="1"/>
  <c r="G1774" i="1"/>
  <c r="J1774" i="1" s="1"/>
  <c r="G1773" i="1"/>
  <c r="G1777" i="1" s="1"/>
  <c r="G1797" i="1" l="1"/>
  <c r="J1797" i="1" s="1"/>
  <c r="J1794" i="1"/>
  <c r="G1837" i="1"/>
  <c r="J1834" i="1"/>
  <c r="H1802" i="1"/>
  <c r="G1867" i="1"/>
  <c r="J1867" i="1" s="1"/>
  <c r="J1864" i="1"/>
  <c r="E1077" i="17"/>
  <c r="S365" i="14"/>
  <c r="S364" i="14"/>
  <c r="S366" i="14"/>
  <c r="T366" i="14" s="1"/>
  <c r="S384" i="14"/>
  <c r="H1842" i="1"/>
  <c r="F1793" i="13"/>
  <c r="I1823" i="13"/>
  <c r="H1035" i="17"/>
  <c r="D1077" i="17"/>
  <c r="I1994" i="13"/>
  <c r="T365" i="14"/>
  <c r="S367" i="14"/>
  <c r="T367" i="14" s="1"/>
  <c r="S387" i="14"/>
  <c r="S383" i="14"/>
  <c r="T383" i="14" s="1"/>
  <c r="T384" i="14"/>
  <c r="S393" i="14"/>
  <c r="T393" i="14" s="1"/>
  <c r="S392" i="14"/>
  <c r="T392" i="14" s="1"/>
  <c r="T370" i="14"/>
  <c r="T378" i="14"/>
  <c r="T397" i="14"/>
  <c r="T401" i="14"/>
  <c r="H1341" i="16"/>
  <c r="H1357" i="16"/>
  <c r="H1401" i="16"/>
  <c r="F1939" i="13"/>
  <c r="F1994" i="13" s="1"/>
  <c r="T364" i="14"/>
  <c r="T385" i="14"/>
  <c r="S386" i="14"/>
  <c r="T386" i="14" s="1"/>
  <c r="T387" i="14"/>
  <c r="S404" i="14"/>
  <c r="T404" i="14" s="1"/>
  <c r="S396" i="14"/>
  <c r="T396" i="14" s="1"/>
  <c r="S405" i="14"/>
  <c r="T405" i="14" s="1"/>
  <c r="S400" i="14"/>
  <c r="T400" i="14" s="1"/>
  <c r="S391" i="14"/>
  <c r="T391" i="14" s="1"/>
  <c r="S394" i="14"/>
  <c r="T394" i="14" s="1"/>
  <c r="S399" i="14"/>
  <c r="T399" i="14" s="1"/>
  <c r="S403" i="14"/>
  <c r="T403" i="14" s="1"/>
  <c r="S381" i="14"/>
  <c r="T381" i="14" s="1"/>
  <c r="S379" i="14"/>
  <c r="T379" i="14" s="1"/>
  <c r="S380" i="14"/>
  <c r="T380" i="14" s="1"/>
  <c r="S362" i="14"/>
  <c r="T362" i="14" s="1"/>
  <c r="S359" i="14"/>
  <c r="T359" i="14" s="1"/>
  <c r="S358" i="14"/>
  <c r="T358" i="14" s="1"/>
  <c r="S361" i="14"/>
  <c r="T361" i="14" s="1"/>
  <c r="S360" i="14"/>
  <c r="T360" i="14" s="1"/>
  <c r="P363" i="14"/>
  <c r="R363" i="14"/>
  <c r="Q363" i="14"/>
  <c r="S355" i="14"/>
  <c r="T355" i="14" s="1"/>
  <c r="S368" i="14"/>
  <c r="T368" i="14" s="1"/>
  <c r="F1137" i="17"/>
  <c r="I1137" i="17" s="1"/>
  <c r="I2070" i="13"/>
  <c r="I2071" i="13" s="1"/>
  <c r="I2099" i="13" s="1"/>
  <c r="F2070" i="13"/>
  <c r="F2071" i="13" s="1"/>
  <c r="F2099" i="13" s="1"/>
  <c r="G2080" i="1"/>
  <c r="J2079" i="1"/>
  <c r="J2080" i="1" s="1"/>
  <c r="G2026" i="1"/>
  <c r="J2010" i="1"/>
  <c r="J2041" i="1"/>
  <c r="G2052" i="1"/>
  <c r="J1937" i="1"/>
  <c r="G1948" i="1"/>
  <c r="J1906" i="1"/>
  <c r="G1922" i="1"/>
  <c r="G1976" i="1"/>
  <c r="J1975" i="1"/>
  <c r="J1976" i="1" s="1"/>
  <c r="H1353" i="16"/>
  <c r="H1359" i="16" s="1"/>
  <c r="P1026" i="17"/>
  <c r="I1873" i="13"/>
  <c r="I1833" i="1"/>
  <c r="I1844" i="1" s="1"/>
  <c r="I1845" i="1" s="1"/>
  <c r="H1833" i="1"/>
  <c r="H1844" i="1" s="1"/>
  <c r="H1845" i="1" s="1"/>
  <c r="P1075" i="17"/>
  <c r="P1076" i="17" s="1"/>
  <c r="P1034" i="17"/>
  <c r="G1035" i="17"/>
  <c r="G1077" i="17" s="1"/>
  <c r="F1043" i="17"/>
  <c r="I1043" i="17" s="1"/>
  <c r="F1024" i="17"/>
  <c r="I1024" i="17" s="1"/>
  <c r="P1043" i="17"/>
  <c r="P1044" i="17" s="1"/>
  <c r="H1077" i="17"/>
  <c r="F1034" i="17"/>
  <c r="I1034" i="17" s="1"/>
  <c r="I1040" i="17"/>
  <c r="F1075" i="17"/>
  <c r="I1075" i="17" s="1"/>
  <c r="I1883" i="13"/>
  <c r="I1865" i="13"/>
  <c r="I1857" i="13"/>
  <c r="I1853" i="13"/>
  <c r="I1848" i="13"/>
  <c r="F1801" i="13"/>
  <c r="I1801" i="13"/>
  <c r="I1791" i="13"/>
  <c r="I1793" i="13" s="1"/>
  <c r="I1879" i="13"/>
  <c r="I1809" i="13"/>
  <c r="I1813" i="13"/>
  <c r="I1817" i="13"/>
  <c r="I1832" i="13"/>
  <c r="I1833" i="13" s="1"/>
  <c r="F1832" i="13"/>
  <c r="I1844" i="13"/>
  <c r="I1849" i="13" s="1"/>
  <c r="F1857" i="13"/>
  <c r="F1865" i="13"/>
  <c r="F1883" i="13"/>
  <c r="F1848" i="13"/>
  <c r="F1853" i="13"/>
  <c r="I1870" i="13"/>
  <c r="F1870" i="13"/>
  <c r="F1879" i="13"/>
  <c r="F1809" i="13"/>
  <c r="F1813" i="13"/>
  <c r="F1817" i="13"/>
  <c r="F1823" i="13"/>
  <c r="F1844" i="13"/>
  <c r="F1849" i="13" s="1"/>
  <c r="F1873" i="13"/>
  <c r="G1807" i="1"/>
  <c r="J1807" i="1" s="1"/>
  <c r="H1817" i="1"/>
  <c r="H1818" i="1" s="1"/>
  <c r="J1777" i="1"/>
  <c r="G1841" i="1"/>
  <c r="J1841" i="1" s="1"/>
  <c r="J1838" i="1"/>
  <c r="G1801" i="1"/>
  <c r="J1801" i="1" s="1"/>
  <c r="J1803" i="1"/>
  <c r="G1816" i="1"/>
  <c r="J1816" i="1" s="1"/>
  <c r="I1785" i="1"/>
  <c r="I1802" i="1" s="1"/>
  <c r="I1818" i="1" s="1"/>
  <c r="J1773" i="1"/>
  <c r="G1779" i="1"/>
  <c r="J1779" i="1" s="1"/>
  <c r="G1870" i="1"/>
  <c r="J1870" i="1" s="1"/>
  <c r="J1868" i="1"/>
  <c r="G1793" i="1"/>
  <c r="J1793" i="1" s="1"/>
  <c r="G1832" i="1"/>
  <c r="J1832" i="1" s="1"/>
  <c r="J1829" i="1"/>
  <c r="G1849" i="1"/>
  <c r="J1846" i="1"/>
  <c r="G1842" i="1"/>
  <c r="J1842" i="1" s="1"/>
  <c r="J1837" i="1"/>
  <c r="H1871" i="1"/>
  <c r="H1872" i="1" s="1"/>
  <c r="G1854" i="1"/>
  <c r="J1854" i="1" s="1"/>
  <c r="G1828" i="1"/>
  <c r="J1820" i="1"/>
  <c r="I1871" i="1"/>
  <c r="I1872" i="1" s="1"/>
  <c r="G1863" i="1"/>
  <c r="J1863" i="1" s="1"/>
  <c r="E344" i="14"/>
  <c r="D344" i="14"/>
  <c r="D345" i="14"/>
  <c r="E340" i="14"/>
  <c r="I338" i="14"/>
  <c r="H338" i="14"/>
  <c r="H964" i="17"/>
  <c r="G964" i="17"/>
  <c r="I1675" i="1"/>
  <c r="H1675" i="1"/>
  <c r="D327" i="14"/>
  <c r="I1858" i="13" l="1"/>
  <c r="P1035" i="17"/>
  <c r="S363" i="14"/>
  <c r="T363" i="14" s="1"/>
  <c r="J2026" i="1"/>
  <c r="G2053" i="1"/>
  <c r="G2081" i="1" s="1"/>
  <c r="J2081" i="1" s="1"/>
  <c r="J2052" i="1"/>
  <c r="J2053" i="1" s="1"/>
  <c r="J1922" i="1"/>
  <c r="G1949" i="1"/>
  <c r="G1977" i="1" s="1"/>
  <c r="J1977" i="1" s="1"/>
  <c r="J1948" i="1"/>
  <c r="J1949" i="1" s="1"/>
  <c r="F1026" i="17"/>
  <c r="F1035" i="17" s="1"/>
  <c r="I1035" i="17" s="1"/>
  <c r="F1076" i="17"/>
  <c r="F1044" i="17"/>
  <c r="I1044" i="17" s="1"/>
  <c r="P1077" i="17"/>
  <c r="I1887" i="13"/>
  <c r="I1888" i="13" s="1"/>
  <c r="I1860" i="13"/>
  <c r="I1861" i="13" s="1"/>
  <c r="F1818" i="13"/>
  <c r="I1818" i="13"/>
  <c r="I1834" i="13" s="1"/>
  <c r="F1858" i="13"/>
  <c r="F1860" i="13" s="1"/>
  <c r="F1861" i="13" s="1"/>
  <c r="F1833" i="13"/>
  <c r="F1887" i="13"/>
  <c r="F1888" i="13" s="1"/>
  <c r="I1873" i="1"/>
  <c r="H1873" i="1"/>
  <c r="G1785" i="1"/>
  <c r="J1785" i="1" s="1"/>
  <c r="G1871" i="1"/>
  <c r="J1849" i="1"/>
  <c r="G1817" i="1"/>
  <c r="J1817" i="1" s="1"/>
  <c r="G1833" i="1"/>
  <c r="J1828" i="1"/>
  <c r="D326" i="14"/>
  <c r="I326" i="14"/>
  <c r="H326" i="14"/>
  <c r="G326" i="14" s="1"/>
  <c r="I320" i="14"/>
  <c r="L352" i="14"/>
  <c r="K352" i="14" s="1"/>
  <c r="G352" i="14"/>
  <c r="C352" i="14"/>
  <c r="L351" i="14"/>
  <c r="K351" i="14" s="1"/>
  <c r="G351" i="14"/>
  <c r="C351" i="14"/>
  <c r="L350" i="14"/>
  <c r="K350" i="14" s="1"/>
  <c r="G350" i="14"/>
  <c r="C350" i="14"/>
  <c r="L349" i="14"/>
  <c r="K349" i="14" s="1"/>
  <c r="G349" i="14"/>
  <c r="C349" i="14"/>
  <c r="L348" i="14"/>
  <c r="K348" i="14" s="1"/>
  <c r="G348" i="14"/>
  <c r="C348" i="14"/>
  <c r="L347" i="14"/>
  <c r="K347" i="14" s="1"/>
  <c r="G347" i="14"/>
  <c r="C347" i="14"/>
  <c r="L346" i="14"/>
  <c r="K346" i="14" s="1"/>
  <c r="G346" i="14"/>
  <c r="C346" i="14"/>
  <c r="L345" i="14"/>
  <c r="K345" i="14" s="1"/>
  <c r="G345" i="14"/>
  <c r="C345" i="14"/>
  <c r="L344" i="14"/>
  <c r="K344" i="14" s="1"/>
  <c r="G344" i="14"/>
  <c r="C344" i="14"/>
  <c r="L343" i="14"/>
  <c r="K343" i="14" s="1"/>
  <c r="G343" i="14"/>
  <c r="C343" i="14"/>
  <c r="L342" i="14"/>
  <c r="K342" i="14" s="1"/>
  <c r="G342" i="14"/>
  <c r="C342" i="14"/>
  <c r="L341" i="14"/>
  <c r="K341" i="14" s="1"/>
  <c r="G341" i="14"/>
  <c r="C341" i="14"/>
  <c r="L340" i="14"/>
  <c r="K340" i="14" s="1"/>
  <c r="G340" i="14"/>
  <c r="C340" i="14"/>
  <c r="L339" i="14"/>
  <c r="K339" i="14" s="1"/>
  <c r="G339" i="14"/>
  <c r="C339" i="14"/>
  <c r="L338" i="14"/>
  <c r="K338" i="14" s="1"/>
  <c r="G338" i="14"/>
  <c r="C338" i="14"/>
  <c r="L337" i="14"/>
  <c r="K337" i="14" s="1"/>
  <c r="G337" i="14"/>
  <c r="C337" i="14"/>
  <c r="L334" i="14"/>
  <c r="K334" i="14" s="1"/>
  <c r="G334" i="14"/>
  <c r="C334" i="14"/>
  <c r="L333" i="14"/>
  <c r="K333" i="14" s="1"/>
  <c r="G333" i="14"/>
  <c r="C333" i="14"/>
  <c r="L332" i="14"/>
  <c r="K332" i="14" s="1"/>
  <c r="G332" i="14"/>
  <c r="C332" i="14"/>
  <c r="L331" i="14"/>
  <c r="K331" i="14" s="1"/>
  <c r="G331" i="14"/>
  <c r="C331" i="14"/>
  <c r="L330" i="14"/>
  <c r="K330" i="14" s="1"/>
  <c r="G330" i="14"/>
  <c r="C330" i="14"/>
  <c r="L329" i="14"/>
  <c r="K329" i="14" s="1"/>
  <c r="G329" i="14"/>
  <c r="C329" i="14"/>
  <c r="L328" i="14"/>
  <c r="K328" i="14" s="1"/>
  <c r="G328" i="14"/>
  <c r="C328" i="14"/>
  <c r="L327" i="14"/>
  <c r="K327" i="14" s="1"/>
  <c r="G327" i="14"/>
  <c r="C327" i="14"/>
  <c r="L326" i="14"/>
  <c r="K326" i="14" s="1"/>
  <c r="C326" i="14"/>
  <c r="L325" i="14"/>
  <c r="K325" i="14" s="1"/>
  <c r="G325" i="14"/>
  <c r="C325" i="14"/>
  <c r="L324" i="14"/>
  <c r="K324" i="14" s="1"/>
  <c r="G324" i="14"/>
  <c r="C324" i="14"/>
  <c r="L323" i="14"/>
  <c r="K323" i="14" s="1"/>
  <c r="G323" i="14"/>
  <c r="C323" i="14"/>
  <c r="L322" i="14"/>
  <c r="K322" i="14" s="1"/>
  <c r="G322" i="14"/>
  <c r="C322" i="14"/>
  <c r="L321" i="14"/>
  <c r="K321" i="14" s="1"/>
  <c r="G321" i="14"/>
  <c r="C321" i="14"/>
  <c r="L320" i="14"/>
  <c r="K320" i="14" s="1"/>
  <c r="G320" i="14"/>
  <c r="C320" i="14"/>
  <c r="L319" i="14"/>
  <c r="K319" i="14" s="1"/>
  <c r="G319" i="14"/>
  <c r="C319" i="14"/>
  <c r="E1302" i="16"/>
  <c r="H1302" i="16" s="1"/>
  <c r="H1318" i="16"/>
  <c r="H1317" i="16"/>
  <c r="H1316" i="16"/>
  <c r="H1315" i="16"/>
  <c r="H1314" i="16"/>
  <c r="H1313" i="16"/>
  <c r="H1312" i="16"/>
  <c r="H1311" i="16"/>
  <c r="H1310" i="16"/>
  <c r="H1309" i="16"/>
  <c r="H1308" i="16"/>
  <c r="H1307" i="16"/>
  <c r="H1306" i="16"/>
  <c r="H1305" i="16"/>
  <c r="H1304" i="16"/>
  <c r="H1303" i="16"/>
  <c r="H1301" i="16"/>
  <c r="H1300" i="16"/>
  <c r="H1299" i="16"/>
  <c r="H1297" i="16"/>
  <c r="H1296" i="16"/>
  <c r="H1295" i="16"/>
  <c r="H1294" i="16"/>
  <c r="H1293" i="16"/>
  <c r="H1292" i="16"/>
  <c r="H1291" i="16"/>
  <c r="H1290" i="16"/>
  <c r="H1289" i="16"/>
  <c r="H1288" i="16"/>
  <c r="H1287" i="16"/>
  <c r="H1286" i="16"/>
  <c r="H1285" i="16"/>
  <c r="H1284" i="16"/>
  <c r="H1283" i="16"/>
  <c r="H1282" i="16"/>
  <c r="H1281" i="16"/>
  <c r="H1280" i="16"/>
  <c r="H1279" i="16"/>
  <c r="H1278" i="16"/>
  <c r="I1276" i="16"/>
  <c r="H1274" i="16"/>
  <c r="H1273" i="16"/>
  <c r="H1272" i="16"/>
  <c r="H1275" i="16" s="1"/>
  <c r="H1270" i="16"/>
  <c r="H1269" i="16"/>
  <c r="H1268" i="16"/>
  <c r="H1267" i="16"/>
  <c r="H1266" i="16"/>
  <c r="H1265" i="16"/>
  <c r="H1264" i="16"/>
  <c r="H1263" i="16"/>
  <c r="H1262" i="16"/>
  <c r="H1261" i="16"/>
  <c r="H1260" i="16"/>
  <c r="H1258" i="16"/>
  <c r="H1257" i="16"/>
  <c r="H1256" i="16"/>
  <c r="H1255" i="16"/>
  <c r="H1254" i="16"/>
  <c r="H1253" i="16"/>
  <c r="H1252" i="16"/>
  <c r="H1251" i="16"/>
  <c r="H1250" i="16"/>
  <c r="H1249" i="16"/>
  <c r="H1248" i="16"/>
  <c r="H1247" i="16"/>
  <c r="H1246" i="16"/>
  <c r="H1245" i="16"/>
  <c r="E1016" i="17"/>
  <c r="H1015" i="17"/>
  <c r="H1016" i="17" s="1"/>
  <c r="G1015" i="17"/>
  <c r="G1016" i="17" s="1"/>
  <c r="D1015" i="17"/>
  <c r="D1016" i="17" s="1"/>
  <c r="P1014" i="17"/>
  <c r="F1014" i="17"/>
  <c r="I1014" i="17" s="1"/>
  <c r="P1013" i="17"/>
  <c r="F1013" i="17"/>
  <c r="I1013" i="17" s="1"/>
  <c r="P1012" i="17"/>
  <c r="I1012" i="17"/>
  <c r="F1012" i="17"/>
  <c r="P1011" i="17"/>
  <c r="F1011" i="17"/>
  <c r="I1011" i="17" s="1"/>
  <c r="P1010" i="17"/>
  <c r="I1010" i="17"/>
  <c r="F1010" i="17"/>
  <c r="P1009" i="17"/>
  <c r="F1009" i="17"/>
  <c r="I1009" i="17" s="1"/>
  <c r="P1008" i="17"/>
  <c r="F1008" i="17"/>
  <c r="I1008" i="17" s="1"/>
  <c r="P1007" i="17"/>
  <c r="F1007" i="17"/>
  <c r="I1007" i="17" s="1"/>
  <c r="P1006" i="17"/>
  <c r="I1006" i="17"/>
  <c r="F1006" i="17"/>
  <c r="P1005" i="17"/>
  <c r="F1005" i="17"/>
  <c r="I1005" i="17" s="1"/>
  <c r="P1004" i="17"/>
  <c r="F1004" i="17"/>
  <c r="I1004" i="17" s="1"/>
  <c r="P1003" i="17"/>
  <c r="F1003" i="17"/>
  <c r="I1003" i="17" s="1"/>
  <c r="P1002" i="17"/>
  <c r="I1002" i="17"/>
  <c r="F1002" i="17"/>
  <c r="P1001" i="17"/>
  <c r="F1001" i="17"/>
  <c r="I1001" i="17" s="1"/>
  <c r="P1000" i="17"/>
  <c r="F1000" i="17"/>
  <c r="I1000" i="17" s="1"/>
  <c r="P999" i="17"/>
  <c r="F999" i="17"/>
  <c r="I999" i="17" s="1"/>
  <c r="P998" i="17"/>
  <c r="F998" i="17"/>
  <c r="I998" i="17" s="1"/>
  <c r="P997" i="17"/>
  <c r="F997" i="17"/>
  <c r="I997" i="17" s="1"/>
  <c r="P996" i="17"/>
  <c r="F996" i="17"/>
  <c r="I996" i="17" s="1"/>
  <c r="P995" i="17"/>
  <c r="F995" i="17"/>
  <c r="I995" i="17" s="1"/>
  <c r="P994" i="17"/>
  <c r="F994" i="17"/>
  <c r="I994" i="17" s="1"/>
  <c r="P993" i="17"/>
  <c r="F993" i="17"/>
  <c r="I993" i="17" s="1"/>
  <c r="P992" i="17"/>
  <c r="F992" i="17"/>
  <c r="I992" i="17" s="1"/>
  <c r="P991" i="17"/>
  <c r="F991" i="17"/>
  <c r="P990" i="17"/>
  <c r="F990" i="17"/>
  <c r="I990" i="17" s="1"/>
  <c r="P989" i="17"/>
  <c r="F989" i="17"/>
  <c r="I989" i="17" s="1"/>
  <c r="P988" i="17"/>
  <c r="F988" i="17"/>
  <c r="I988" i="17" s="1"/>
  <c r="P987" i="17"/>
  <c r="F987" i="17"/>
  <c r="I987" i="17" s="1"/>
  <c r="P986" i="17"/>
  <c r="I986" i="17"/>
  <c r="F986" i="17"/>
  <c r="P985" i="17"/>
  <c r="F985" i="17"/>
  <c r="I985" i="17" s="1"/>
  <c r="E984" i="17"/>
  <c r="D984" i="17"/>
  <c r="H983" i="17"/>
  <c r="H984" i="17" s="1"/>
  <c r="G983" i="17"/>
  <c r="G984" i="17" s="1"/>
  <c r="P982" i="17"/>
  <c r="F982" i="17"/>
  <c r="I982" i="17" s="1"/>
  <c r="P981" i="17"/>
  <c r="F981" i="17"/>
  <c r="I981" i="17" s="1"/>
  <c r="P980" i="17"/>
  <c r="F980" i="17"/>
  <c r="I980" i="17" s="1"/>
  <c r="P979" i="17"/>
  <c r="F979" i="17"/>
  <c r="I979" i="17" s="1"/>
  <c r="P978" i="17"/>
  <c r="F978" i="17"/>
  <c r="I978" i="17" s="1"/>
  <c r="P977" i="17"/>
  <c r="F977" i="17"/>
  <c r="I977" i="17" s="1"/>
  <c r="P976" i="17"/>
  <c r="F976" i="17"/>
  <c r="I976" i="17" s="1"/>
  <c r="E975" i="17"/>
  <c r="H974" i="17"/>
  <c r="G974" i="17"/>
  <c r="D974" i="17"/>
  <c r="P973" i="17"/>
  <c r="F973" i="17"/>
  <c r="I973" i="17" s="1"/>
  <c r="P972" i="17"/>
  <c r="F972" i="17"/>
  <c r="I972" i="17" s="1"/>
  <c r="P971" i="17"/>
  <c r="F971" i="17"/>
  <c r="I971" i="17" s="1"/>
  <c r="P970" i="17"/>
  <c r="F970" i="17"/>
  <c r="I970" i="17" s="1"/>
  <c r="P969" i="17"/>
  <c r="F969" i="17"/>
  <c r="I969" i="17" s="1"/>
  <c r="P968" i="17"/>
  <c r="F968" i="17"/>
  <c r="I968" i="17" s="1"/>
  <c r="P967" i="17"/>
  <c r="F967" i="17"/>
  <c r="H966" i="17"/>
  <c r="H975" i="17" s="1"/>
  <c r="G966" i="17"/>
  <c r="D966" i="17"/>
  <c r="D975" i="17" s="1"/>
  <c r="P965" i="17"/>
  <c r="F965" i="17"/>
  <c r="I965" i="17" s="1"/>
  <c r="P964" i="17"/>
  <c r="F964" i="17"/>
  <c r="I964" i="17" s="1"/>
  <c r="P963" i="17"/>
  <c r="F963" i="17"/>
  <c r="I963" i="17" s="1"/>
  <c r="P962" i="17"/>
  <c r="I962" i="17"/>
  <c r="F962" i="17"/>
  <c r="P961" i="17"/>
  <c r="F961" i="17"/>
  <c r="I961" i="17" s="1"/>
  <c r="L302" i="14"/>
  <c r="K302" i="14" s="1"/>
  <c r="F1772" i="13"/>
  <c r="I1772" i="13" s="1"/>
  <c r="F1780" i="13"/>
  <c r="F1779" i="13"/>
  <c r="F1781" i="13" s="1"/>
  <c r="F1777" i="13"/>
  <c r="F1776" i="13"/>
  <c r="I1776" i="13" s="1"/>
  <c r="F1775" i="13"/>
  <c r="F1773" i="13"/>
  <c r="I1773" i="13" s="1"/>
  <c r="F1771" i="13"/>
  <c r="F1770" i="13"/>
  <c r="I1770" i="13" s="1"/>
  <c r="F1769" i="13"/>
  <c r="I1769" i="13" s="1"/>
  <c r="F1767" i="13"/>
  <c r="I1767" i="13" s="1"/>
  <c r="F1766" i="13"/>
  <c r="I1766" i="13" s="1"/>
  <c r="F1764" i="13"/>
  <c r="I1764" i="13" s="1"/>
  <c r="F1763" i="13"/>
  <c r="F1762" i="13"/>
  <c r="F1761" i="13"/>
  <c r="I1761" i="13" s="1"/>
  <c r="F1759" i="13"/>
  <c r="F1758" i="13"/>
  <c r="F1757" i="13"/>
  <c r="F1754" i="13"/>
  <c r="I1754" i="13" s="1"/>
  <c r="F1751" i="13"/>
  <c r="F1750" i="13"/>
  <c r="I1750" i="13" s="1"/>
  <c r="F1749" i="13"/>
  <c r="F1747" i="13"/>
  <c r="I1747" i="13" s="1"/>
  <c r="F1746" i="13"/>
  <c r="I1746" i="13" s="1"/>
  <c r="F1745" i="13"/>
  <c r="I1745" i="13" s="1"/>
  <c r="F1742" i="13"/>
  <c r="F1741" i="13"/>
  <c r="I1741" i="13" s="1"/>
  <c r="F1740" i="13"/>
  <c r="F1738" i="13"/>
  <c r="I1738" i="13" s="1"/>
  <c r="F1737" i="13"/>
  <c r="I1737" i="13" s="1"/>
  <c r="F1736" i="13"/>
  <c r="I1736" i="13" s="1"/>
  <c r="F1735" i="13"/>
  <c r="I1735" i="13" s="1"/>
  <c r="F1734" i="13"/>
  <c r="I1734" i="13" s="1"/>
  <c r="F1733" i="13"/>
  <c r="I1733" i="13" s="1"/>
  <c r="F1732" i="13"/>
  <c r="I1732" i="13" s="1"/>
  <c r="F1731" i="13"/>
  <c r="I1731" i="13" s="1"/>
  <c r="F1730" i="13"/>
  <c r="F1726" i="13"/>
  <c r="I1726" i="13" s="1"/>
  <c r="F1725" i="13"/>
  <c r="I1725" i="13" s="1"/>
  <c r="F1724" i="13"/>
  <c r="F1723" i="13"/>
  <c r="I1723" i="13" s="1"/>
  <c r="F1722" i="13"/>
  <c r="F1721" i="13"/>
  <c r="I1721" i="13" s="1"/>
  <c r="F1720" i="13"/>
  <c r="I1720" i="13" s="1"/>
  <c r="F1719" i="13"/>
  <c r="I1719" i="13" s="1"/>
  <c r="F1717" i="13"/>
  <c r="I1717" i="13" s="1"/>
  <c r="F1716" i="13"/>
  <c r="I1716" i="13" s="1"/>
  <c r="F1715" i="13"/>
  <c r="F1714" i="13"/>
  <c r="I1714" i="13" s="1"/>
  <c r="F1711" i="13"/>
  <c r="F1710" i="13"/>
  <c r="I1710" i="13" s="1"/>
  <c r="F1709" i="13"/>
  <c r="F1707" i="13"/>
  <c r="F1706" i="13"/>
  <c r="I1706" i="13" s="1"/>
  <c r="F1705" i="13"/>
  <c r="I1705" i="13" s="1"/>
  <c r="F1703" i="13"/>
  <c r="F1702" i="13"/>
  <c r="I1702" i="13" s="1"/>
  <c r="F1701" i="13"/>
  <c r="F1700" i="13"/>
  <c r="I1700" i="13" s="1"/>
  <c r="F1699" i="13"/>
  <c r="F1698" i="13"/>
  <c r="I1698" i="13" s="1"/>
  <c r="F1697" i="13"/>
  <c r="F1695" i="13"/>
  <c r="I1695" i="13" s="1"/>
  <c r="F1694" i="13"/>
  <c r="I1694" i="13" s="1"/>
  <c r="F1693" i="13"/>
  <c r="F1692" i="13"/>
  <c r="I1692" i="13" s="1"/>
  <c r="F1691" i="13"/>
  <c r="F1690" i="13"/>
  <c r="I1690" i="13" s="1"/>
  <c r="F1689" i="13"/>
  <c r="F1687" i="13"/>
  <c r="F1686" i="13"/>
  <c r="F1685" i="13"/>
  <c r="I1685" i="13" s="1"/>
  <c r="F1684" i="13"/>
  <c r="J1781" i="13"/>
  <c r="I1781" i="13"/>
  <c r="I1777" i="13"/>
  <c r="I1775" i="13"/>
  <c r="I1771" i="13"/>
  <c r="I1763" i="13"/>
  <c r="I1762" i="13"/>
  <c r="I1759" i="13"/>
  <c r="I1758" i="13"/>
  <c r="I1757" i="13"/>
  <c r="I1751" i="13"/>
  <c r="I1749" i="13"/>
  <c r="I1742" i="13"/>
  <c r="I1740" i="13"/>
  <c r="I1730" i="13"/>
  <c r="I1724" i="13"/>
  <c r="I1722" i="13"/>
  <c r="I1715" i="13"/>
  <c r="I1711" i="13"/>
  <c r="I1709" i="13"/>
  <c r="I1707" i="13"/>
  <c r="I1708" i="13" s="1"/>
  <c r="I1703" i="13"/>
  <c r="I1701" i="13"/>
  <c r="I1699" i="13"/>
  <c r="I1697" i="13"/>
  <c r="I1693" i="13"/>
  <c r="I1691" i="13"/>
  <c r="I1689" i="13"/>
  <c r="I1687" i="13"/>
  <c r="I1686" i="13"/>
  <c r="I1684" i="13"/>
  <c r="F1767" i="1"/>
  <c r="F1768" i="1" s="1"/>
  <c r="E1767" i="1"/>
  <c r="E1768" i="1" s="1"/>
  <c r="I1766" i="1"/>
  <c r="H1766" i="1"/>
  <c r="J1765" i="1"/>
  <c r="G1765" i="1"/>
  <c r="J1764" i="1"/>
  <c r="G1764" i="1"/>
  <c r="G1766" i="1" s="1"/>
  <c r="J1766" i="1" s="1"/>
  <c r="I1763" i="1"/>
  <c r="H1763" i="1"/>
  <c r="G1762" i="1"/>
  <c r="J1762" i="1" s="1"/>
  <c r="G1761" i="1"/>
  <c r="J1760" i="1"/>
  <c r="G1760" i="1"/>
  <c r="I1759" i="1"/>
  <c r="H1759" i="1"/>
  <c r="G1758" i="1"/>
  <c r="J1758" i="1" s="1"/>
  <c r="J1757" i="1"/>
  <c r="G1757" i="1"/>
  <c r="G1756" i="1"/>
  <c r="J1756" i="1" s="1"/>
  <c r="G1755" i="1"/>
  <c r="J1755" i="1" s="1"/>
  <c r="G1754" i="1"/>
  <c r="J1754" i="1" s="1"/>
  <c r="I1753" i="1"/>
  <c r="H1753" i="1"/>
  <c r="G1752" i="1"/>
  <c r="J1752" i="1" s="1"/>
  <c r="G1751" i="1"/>
  <c r="I1750" i="1"/>
  <c r="H1750" i="1"/>
  <c r="G1749" i="1"/>
  <c r="J1749" i="1" s="1"/>
  <c r="G1748" i="1"/>
  <c r="J1748" i="1" s="1"/>
  <c r="G1747" i="1"/>
  <c r="J1747" i="1" s="1"/>
  <c r="J1746" i="1"/>
  <c r="G1746" i="1"/>
  <c r="I1745" i="1"/>
  <c r="H1745" i="1"/>
  <c r="J1744" i="1"/>
  <c r="G1744" i="1"/>
  <c r="G1743" i="1"/>
  <c r="J1742" i="1"/>
  <c r="G1742" i="1"/>
  <c r="F1740" i="1"/>
  <c r="F1741" i="1" s="1"/>
  <c r="E1740" i="1"/>
  <c r="E1741" i="1" s="1"/>
  <c r="J1739" i="1"/>
  <c r="G1739" i="1"/>
  <c r="I1737" i="1"/>
  <c r="H1737" i="1"/>
  <c r="G1736" i="1"/>
  <c r="J1736" i="1" s="1"/>
  <c r="J1735" i="1"/>
  <c r="G1735" i="1"/>
  <c r="G1734" i="1"/>
  <c r="J1734" i="1" s="1"/>
  <c r="I1733" i="1"/>
  <c r="H1733" i="1"/>
  <c r="H1738" i="1" s="1"/>
  <c r="G1732" i="1"/>
  <c r="J1732" i="1" s="1"/>
  <c r="G1731" i="1"/>
  <c r="J1731" i="1" s="1"/>
  <c r="J1730" i="1"/>
  <c r="G1730" i="1"/>
  <c r="I1728" i="1"/>
  <c r="H1728" i="1"/>
  <c r="G1727" i="1"/>
  <c r="J1727" i="1" s="1"/>
  <c r="G1726" i="1"/>
  <c r="J1726" i="1" s="1"/>
  <c r="G1725" i="1"/>
  <c r="I1724" i="1"/>
  <c r="I1729" i="1" s="1"/>
  <c r="H1724" i="1"/>
  <c r="J1723" i="1"/>
  <c r="G1723" i="1"/>
  <c r="G1722" i="1"/>
  <c r="J1722" i="1" s="1"/>
  <c r="G1721" i="1"/>
  <c r="J1721" i="1" s="1"/>
  <c r="G1720" i="1"/>
  <c r="J1720" i="1" s="1"/>
  <c r="J1719" i="1"/>
  <c r="G1719" i="1"/>
  <c r="G1718" i="1"/>
  <c r="J1718" i="1" s="1"/>
  <c r="G1717" i="1"/>
  <c r="J1717" i="1" s="1"/>
  <c r="G1716" i="1"/>
  <c r="J1716" i="1" s="1"/>
  <c r="G1715" i="1"/>
  <c r="F1713" i="1"/>
  <c r="I1712" i="1"/>
  <c r="H1712" i="1"/>
  <c r="G1711" i="1"/>
  <c r="J1711" i="1" s="1"/>
  <c r="G1710" i="1"/>
  <c r="J1710" i="1" s="1"/>
  <c r="G1709" i="1"/>
  <c r="J1709" i="1" s="1"/>
  <c r="G1708" i="1"/>
  <c r="J1708" i="1" s="1"/>
  <c r="G1707" i="1"/>
  <c r="J1707" i="1" s="1"/>
  <c r="G1706" i="1"/>
  <c r="J1706" i="1" s="1"/>
  <c r="G1705" i="1"/>
  <c r="J1705" i="1" s="1"/>
  <c r="G1704" i="1"/>
  <c r="J1704" i="1" s="1"/>
  <c r="I1703" i="1"/>
  <c r="I1713" i="1" s="1"/>
  <c r="H1703" i="1"/>
  <c r="E1703" i="1"/>
  <c r="E1713" i="1" s="1"/>
  <c r="G1702" i="1"/>
  <c r="J1702" i="1" s="1"/>
  <c r="G1701" i="1"/>
  <c r="J1701" i="1" s="1"/>
  <c r="G1700" i="1"/>
  <c r="J1700" i="1" s="1"/>
  <c r="G1699" i="1"/>
  <c r="I1697" i="1"/>
  <c r="H1697" i="1"/>
  <c r="E1697" i="1"/>
  <c r="G1696" i="1"/>
  <c r="J1696" i="1" s="1"/>
  <c r="G1695" i="1"/>
  <c r="J1695" i="1" s="1"/>
  <c r="G1694" i="1"/>
  <c r="J1694" i="1" s="1"/>
  <c r="J1693" i="1"/>
  <c r="I1693" i="1"/>
  <c r="H1693" i="1"/>
  <c r="F1693" i="1"/>
  <c r="F1698" i="1" s="1"/>
  <c r="F1714" i="1" s="1"/>
  <c r="F1769" i="1" s="1"/>
  <c r="E1693" i="1"/>
  <c r="G1692" i="1"/>
  <c r="G1691" i="1"/>
  <c r="J1691" i="1" s="1"/>
  <c r="J1690" i="1"/>
  <c r="G1690" i="1"/>
  <c r="G1693" i="1" s="1"/>
  <c r="I1689" i="1"/>
  <c r="H1689" i="1"/>
  <c r="E1689" i="1"/>
  <c r="G1688" i="1"/>
  <c r="J1688" i="1" s="1"/>
  <c r="J1687" i="1"/>
  <c r="G1687" i="1"/>
  <c r="G1686" i="1"/>
  <c r="J1686" i="1" s="1"/>
  <c r="G1685" i="1"/>
  <c r="J1685" i="1" s="1"/>
  <c r="G1684" i="1"/>
  <c r="J1684" i="1" s="1"/>
  <c r="G1683" i="1"/>
  <c r="J1683" i="1" s="1"/>
  <c r="G1682" i="1"/>
  <c r="G1680" i="1"/>
  <c r="J1680" i="1" s="1"/>
  <c r="G1679" i="1"/>
  <c r="J1679" i="1" s="1"/>
  <c r="G1678" i="1"/>
  <c r="J1678" i="1" s="1"/>
  <c r="J1677" i="1"/>
  <c r="G1677" i="1"/>
  <c r="G1676" i="1"/>
  <c r="J1676" i="1" s="1"/>
  <c r="I1681" i="1"/>
  <c r="G1674" i="1"/>
  <c r="I1673" i="1"/>
  <c r="H1673" i="1"/>
  <c r="G1672" i="1"/>
  <c r="J1672" i="1" s="1"/>
  <c r="J1671" i="1"/>
  <c r="G1671" i="1"/>
  <c r="G1670" i="1"/>
  <c r="J1670" i="1" s="1"/>
  <c r="J1669" i="1"/>
  <c r="G1669" i="1"/>
  <c r="G1673" i="1" s="1"/>
  <c r="G1689" i="1" l="1"/>
  <c r="J1689" i="1" s="1"/>
  <c r="O321" i="14"/>
  <c r="N321" i="14" s="1"/>
  <c r="M321" i="14"/>
  <c r="O302" i="14"/>
  <c r="M302" i="14"/>
  <c r="O319" i="14"/>
  <c r="N319" i="14" s="1"/>
  <c r="M319" i="14"/>
  <c r="O323" i="14"/>
  <c r="N323" i="14" s="1"/>
  <c r="M323" i="14"/>
  <c r="I1738" i="1"/>
  <c r="G1737" i="1"/>
  <c r="J1737" i="1" s="1"/>
  <c r="E1017" i="17"/>
  <c r="E1698" i="1"/>
  <c r="E1714" i="1" s="1"/>
  <c r="E1769" i="1" s="1"/>
  <c r="G1745" i="1"/>
  <c r="I1688" i="13"/>
  <c r="F1688" i="13"/>
  <c r="I1718" i="13"/>
  <c r="I1765" i="13"/>
  <c r="G1802" i="1"/>
  <c r="F1834" i="13"/>
  <c r="F1889" i="13" s="1"/>
  <c r="I1889" i="13"/>
  <c r="I1026" i="17"/>
  <c r="I1076" i="17"/>
  <c r="F1077" i="17"/>
  <c r="I1077" i="17" s="1"/>
  <c r="G1844" i="1"/>
  <c r="J1833" i="1"/>
  <c r="J1802" i="1"/>
  <c r="G1818" i="1"/>
  <c r="G1872" i="1"/>
  <c r="J1871" i="1"/>
  <c r="J1872" i="1" s="1"/>
  <c r="G975" i="17"/>
  <c r="H1259" i="16"/>
  <c r="O339" i="14"/>
  <c r="N339" i="14" s="1"/>
  <c r="M339" i="14"/>
  <c r="O343" i="14"/>
  <c r="N343" i="14" s="1"/>
  <c r="M343" i="14"/>
  <c r="O347" i="14"/>
  <c r="N347" i="14" s="1"/>
  <c r="M347" i="14"/>
  <c r="O351" i="14"/>
  <c r="N351" i="14" s="1"/>
  <c r="M351" i="14"/>
  <c r="O338" i="14"/>
  <c r="N338" i="14" s="1"/>
  <c r="M338" i="14"/>
  <c r="O342" i="14"/>
  <c r="N342" i="14" s="1"/>
  <c r="M342" i="14"/>
  <c r="O346" i="14"/>
  <c r="N346" i="14" s="1"/>
  <c r="M346" i="14"/>
  <c r="O350" i="14"/>
  <c r="N350" i="14" s="1"/>
  <c r="M350" i="14"/>
  <c r="O337" i="14"/>
  <c r="N337" i="14" s="1"/>
  <c r="M337" i="14"/>
  <c r="O341" i="14"/>
  <c r="N341" i="14" s="1"/>
  <c r="M341" i="14"/>
  <c r="O345" i="14"/>
  <c r="N345" i="14" s="1"/>
  <c r="M345" i="14"/>
  <c r="O349" i="14"/>
  <c r="N349" i="14" s="1"/>
  <c r="M349" i="14"/>
  <c r="O340" i="14"/>
  <c r="N340" i="14" s="1"/>
  <c r="M340" i="14"/>
  <c r="O344" i="14"/>
  <c r="N344" i="14" s="1"/>
  <c r="M344" i="14"/>
  <c r="M348" i="14"/>
  <c r="O348" i="14"/>
  <c r="N348" i="14" s="1"/>
  <c r="M352" i="14"/>
  <c r="O352" i="14"/>
  <c r="N352" i="14" s="1"/>
  <c r="O322" i="14"/>
  <c r="N322" i="14" s="1"/>
  <c r="P322" i="14" s="1"/>
  <c r="M322" i="14"/>
  <c r="O320" i="14"/>
  <c r="N320" i="14" s="1"/>
  <c r="P320" i="14" s="1"/>
  <c r="M320" i="14"/>
  <c r="M325" i="14"/>
  <c r="O325" i="14"/>
  <c r="N325" i="14" s="1"/>
  <c r="O333" i="14"/>
  <c r="N333" i="14" s="1"/>
  <c r="M333" i="14"/>
  <c r="O324" i="14"/>
  <c r="N324" i="14" s="1"/>
  <c r="M324" i="14"/>
  <c r="M328" i="14"/>
  <c r="O328" i="14"/>
  <c r="N328" i="14" s="1"/>
  <c r="O332" i="14"/>
  <c r="N332" i="14" s="1"/>
  <c r="M332" i="14"/>
  <c r="P319" i="14"/>
  <c r="R319" i="14"/>
  <c r="Q319" i="14"/>
  <c r="S319" i="14" s="1"/>
  <c r="T319" i="14" s="1"/>
  <c r="P323" i="14"/>
  <c r="Q323" i="14"/>
  <c r="R323" i="14"/>
  <c r="M329" i="14"/>
  <c r="O329" i="14"/>
  <c r="N329" i="14" s="1"/>
  <c r="P321" i="14"/>
  <c r="Q321" i="14"/>
  <c r="S321" i="14" s="1"/>
  <c r="R321" i="14"/>
  <c r="M327" i="14"/>
  <c r="O327" i="14"/>
  <c r="N327" i="14" s="1"/>
  <c r="O331" i="14"/>
  <c r="N331" i="14" s="1"/>
  <c r="M331" i="14"/>
  <c r="R322" i="14"/>
  <c r="O326" i="14"/>
  <c r="N326" i="14" s="1"/>
  <c r="M326" i="14"/>
  <c r="M330" i="14"/>
  <c r="O330" i="14"/>
  <c r="N330" i="14" s="1"/>
  <c r="M334" i="14"/>
  <c r="O334" i="14"/>
  <c r="N334" i="14" s="1"/>
  <c r="G1728" i="1"/>
  <c r="J1728" i="1" s="1"/>
  <c r="P1015" i="17"/>
  <c r="H1319" i="16"/>
  <c r="H1271" i="16"/>
  <c r="F974" i="17"/>
  <c r="I974" i="17" s="1"/>
  <c r="P974" i="17"/>
  <c r="I967" i="17"/>
  <c r="P966" i="17"/>
  <c r="P1016" i="17"/>
  <c r="H1017" i="17"/>
  <c r="F966" i="17"/>
  <c r="D1017" i="17"/>
  <c r="P983" i="17"/>
  <c r="P984" i="17" s="1"/>
  <c r="F983" i="17"/>
  <c r="I983" i="17" s="1"/>
  <c r="G1017" i="17"/>
  <c r="F1015" i="17"/>
  <c r="I1015" i="17" s="1"/>
  <c r="I1778" i="13"/>
  <c r="I1774" i="13"/>
  <c r="I1748" i="13"/>
  <c r="F1696" i="13"/>
  <c r="I1696" i="13"/>
  <c r="I1704" i="13"/>
  <c r="I1712" i="13"/>
  <c r="I1739" i="13"/>
  <c r="I1743" i="13"/>
  <c r="F1748" i="13"/>
  <c r="I1768" i="13"/>
  <c r="F1778" i="13"/>
  <c r="F1765" i="13"/>
  <c r="F1704" i="13"/>
  <c r="F1708" i="13"/>
  <c r="F1712" i="13"/>
  <c r="I1727" i="13"/>
  <c r="I1728" i="13" s="1"/>
  <c r="F1727" i="13"/>
  <c r="F1743" i="13"/>
  <c r="I1752" i="13"/>
  <c r="I1753" i="13" s="1"/>
  <c r="I1760" i="13"/>
  <c r="F1718" i="13"/>
  <c r="F1739" i="13"/>
  <c r="F1752" i="13"/>
  <c r="F1760" i="13"/>
  <c r="F1768" i="13"/>
  <c r="F1774" i="13"/>
  <c r="I1767" i="1"/>
  <c r="I1768" i="1" s="1"/>
  <c r="G1753" i="1"/>
  <c r="J1753" i="1" s="1"/>
  <c r="J1673" i="1"/>
  <c r="H1681" i="1"/>
  <c r="H1698" i="1" s="1"/>
  <c r="I1698" i="1"/>
  <c r="I1714" i="1" s="1"/>
  <c r="J1674" i="1"/>
  <c r="J1682" i="1"/>
  <c r="G1703" i="1"/>
  <c r="J1745" i="1"/>
  <c r="G1675" i="1"/>
  <c r="J1675" i="1" s="1"/>
  <c r="G1697" i="1"/>
  <c r="J1697" i="1" s="1"/>
  <c r="J1725" i="1"/>
  <c r="J1743" i="1"/>
  <c r="J1751" i="1"/>
  <c r="G1759" i="1"/>
  <c r="J1759" i="1" s="1"/>
  <c r="J1699" i="1"/>
  <c r="H1729" i="1"/>
  <c r="H1740" i="1" s="1"/>
  <c r="H1741" i="1" s="1"/>
  <c r="G1750" i="1"/>
  <c r="J1750" i="1" s="1"/>
  <c r="H1713" i="1"/>
  <c r="G1712" i="1"/>
  <c r="J1712" i="1" s="1"/>
  <c r="G1724" i="1"/>
  <c r="J1715" i="1"/>
  <c r="G1733" i="1"/>
  <c r="H1767" i="1"/>
  <c r="H1768" i="1" s="1"/>
  <c r="G1763" i="1"/>
  <c r="J1763" i="1" s="1"/>
  <c r="J1761" i="1"/>
  <c r="I1740" i="1"/>
  <c r="I1741" i="1" s="1"/>
  <c r="Q322" i="14" l="1"/>
  <c r="T321" i="14"/>
  <c r="S323" i="14"/>
  <c r="T323" i="14" s="1"/>
  <c r="H1277" i="16"/>
  <c r="G1845" i="1"/>
  <c r="G1873" i="1" s="1"/>
  <c r="J1873" i="1" s="1"/>
  <c r="J1844" i="1"/>
  <c r="J1845" i="1" s="1"/>
  <c r="J1818" i="1"/>
  <c r="I1713" i="13"/>
  <c r="I1729" i="13" s="1"/>
  <c r="P352" i="14"/>
  <c r="R352" i="14"/>
  <c r="Q352" i="14"/>
  <c r="S352" i="14" s="1"/>
  <c r="P344" i="14"/>
  <c r="R344" i="14"/>
  <c r="Q344" i="14"/>
  <c r="P349" i="14"/>
  <c r="Q349" i="14"/>
  <c r="R349" i="14"/>
  <c r="P341" i="14"/>
  <c r="Q341" i="14"/>
  <c r="R341" i="14"/>
  <c r="P350" i="14"/>
  <c r="R350" i="14"/>
  <c r="Q350" i="14"/>
  <c r="P342" i="14"/>
  <c r="Q342" i="14"/>
  <c r="R342" i="14"/>
  <c r="P351" i="14"/>
  <c r="Q351" i="14"/>
  <c r="R351" i="14"/>
  <c r="P343" i="14"/>
  <c r="Q343" i="14"/>
  <c r="R343" i="14"/>
  <c r="P348" i="14"/>
  <c r="R348" i="14"/>
  <c r="Q348" i="14"/>
  <c r="S348" i="14" s="1"/>
  <c r="P340" i="14"/>
  <c r="Q340" i="14"/>
  <c r="R340" i="14"/>
  <c r="P345" i="14"/>
  <c r="R345" i="14"/>
  <c r="Q345" i="14"/>
  <c r="P337" i="14"/>
  <c r="R337" i="14"/>
  <c r="Q337" i="14"/>
  <c r="P346" i="14"/>
  <c r="R346" i="14"/>
  <c r="Q346" i="14"/>
  <c r="S346" i="14" s="1"/>
  <c r="P338" i="14"/>
  <c r="Q338" i="14"/>
  <c r="R338" i="14"/>
  <c r="P347" i="14"/>
  <c r="Q347" i="14"/>
  <c r="R347" i="14"/>
  <c r="P339" i="14"/>
  <c r="R339" i="14"/>
  <c r="Q339" i="14"/>
  <c r="R320" i="14"/>
  <c r="Q320" i="14"/>
  <c r="S320" i="14"/>
  <c r="T320" i="14" s="1"/>
  <c r="P333" i="14"/>
  <c r="Q333" i="14"/>
  <c r="S333" i="14" s="1"/>
  <c r="T333" i="14" s="1"/>
  <c r="R333" i="14"/>
  <c r="S322" i="14"/>
  <c r="T322" i="14" s="1"/>
  <c r="P331" i="14"/>
  <c r="Q331" i="14"/>
  <c r="S331" i="14" s="1"/>
  <c r="R331" i="14"/>
  <c r="P329" i="14"/>
  <c r="R329" i="14"/>
  <c r="Q329" i="14"/>
  <c r="P325" i="14"/>
  <c r="R325" i="14"/>
  <c r="Q325" i="14"/>
  <c r="P330" i="14"/>
  <c r="R330" i="14"/>
  <c r="Q330" i="14"/>
  <c r="P334" i="14"/>
  <c r="R334" i="14"/>
  <c r="Q334" i="14"/>
  <c r="P327" i="14"/>
  <c r="Q327" i="14"/>
  <c r="R327" i="14"/>
  <c r="P332" i="14"/>
  <c r="R332" i="14"/>
  <c r="Q332" i="14"/>
  <c r="P324" i="14"/>
  <c r="Q324" i="14"/>
  <c r="R324" i="14"/>
  <c r="P326" i="14"/>
  <c r="Q326" i="14"/>
  <c r="R326" i="14"/>
  <c r="P328" i="14"/>
  <c r="R328" i="14"/>
  <c r="Q328" i="14"/>
  <c r="F1744" i="13"/>
  <c r="P975" i="17"/>
  <c r="P1017" i="17"/>
  <c r="F1016" i="17"/>
  <c r="I966" i="17"/>
  <c r="F975" i="17"/>
  <c r="I975" i="17" s="1"/>
  <c r="F984" i="17"/>
  <c r="I984" i="17" s="1"/>
  <c r="I1782" i="13"/>
  <c r="I1783" i="13" s="1"/>
  <c r="F1713" i="13"/>
  <c r="F1753" i="13"/>
  <c r="F1755" i="13" s="1"/>
  <c r="F1756" i="13" s="1"/>
  <c r="F1782" i="13"/>
  <c r="F1783" i="13" s="1"/>
  <c r="I1744" i="13"/>
  <c r="I1755" i="13" s="1"/>
  <c r="I1756" i="13" s="1"/>
  <c r="F1728" i="13"/>
  <c r="H1714" i="1"/>
  <c r="H1769" i="1" s="1"/>
  <c r="G1738" i="1"/>
  <c r="J1738" i="1" s="1"/>
  <c r="J1733" i="1"/>
  <c r="J1724" i="1"/>
  <c r="G1729" i="1"/>
  <c r="G1767" i="1"/>
  <c r="I1769" i="1"/>
  <c r="J1703" i="1"/>
  <c r="G1713" i="1"/>
  <c r="J1713" i="1" s="1"/>
  <c r="G1681" i="1"/>
  <c r="I1589" i="1"/>
  <c r="H1589" i="1"/>
  <c r="I1571" i="1"/>
  <c r="H1571" i="1"/>
  <c r="H1236" i="16"/>
  <c r="H1235" i="16"/>
  <c r="H1234" i="16"/>
  <c r="H1233" i="16"/>
  <c r="H1232" i="16"/>
  <c r="H1231" i="16"/>
  <c r="H1230" i="16"/>
  <c r="H1229" i="16"/>
  <c r="H1228" i="16"/>
  <c r="H1227" i="16"/>
  <c r="H1226" i="16"/>
  <c r="H1225" i="16"/>
  <c r="H1224" i="16"/>
  <c r="H1223" i="16"/>
  <c r="H1222" i="16"/>
  <c r="H1221" i="16"/>
  <c r="H1220" i="16"/>
  <c r="H1219" i="16"/>
  <c r="H1218" i="16"/>
  <c r="H1217" i="16"/>
  <c r="H1215" i="16"/>
  <c r="H1214" i="16"/>
  <c r="H1213" i="16"/>
  <c r="H1212" i="16"/>
  <c r="H1211" i="16"/>
  <c r="H1210" i="16"/>
  <c r="H1209" i="16"/>
  <c r="H1208" i="16"/>
  <c r="H1207" i="16"/>
  <c r="H1206" i="16"/>
  <c r="H1205" i="16"/>
  <c r="H1204" i="16"/>
  <c r="H1203" i="16"/>
  <c r="H1202" i="16"/>
  <c r="H1201" i="16"/>
  <c r="H1200" i="16"/>
  <c r="H1199" i="16"/>
  <c r="H1198" i="16"/>
  <c r="H1197" i="16"/>
  <c r="H1196" i="16"/>
  <c r="I1194" i="16"/>
  <c r="H1192" i="16"/>
  <c r="H1191" i="16"/>
  <c r="H1190" i="16"/>
  <c r="H1188" i="16"/>
  <c r="H1187" i="16"/>
  <c r="H1186" i="16"/>
  <c r="H1185" i="16"/>
  <c r="H1184" i="16"/>
  <c r="H1183" i="16"/>
  <c r="H1182" i="16"/>
  <c r="H1181" i="16"/>
  <c r="H1180" i="16"/>
  <c r="H1179" i="16"/>
  <c r="H1178" i="16"/>
  <c r="H1176" i="16"/>
  <c r="H1175" i="16"/>
  <c r="H1174" i="16"/>
  <c r="H1173" i="16"/>
  <c r="H1172" i="16"/>
  <c r="H1171" i="16"/>
  <c r="H1170" i="16"/>
  <c r="H1169" i="16"/>
  <c r="H1168" i="16"/>
  <c r="H1167" i="16"/>
  <c r="H1166" i="16"/>
  <c r="H1165" i="16"/>
  <c r="H1164" i="16"/>
  <c r="H1163" i="16"/>
  <c r="E956" i="17"/>
  <c r="H955" i="17"/>
  <c r="H956" i="17" s="1"/>
  <c r="G955" i="17"/>
  <c r="G956" i="17" s="1"/>
  <c r="D955" i="17"/>
  <c r="D956" i="17" s="1"/>
  <c r="P954" i="17"/>
  <c r="F954" i="17"/>
  <c r="I954" i="17" s="1"/>
  <c r="P953" i="17"/>
  <c r="F953" i="17"/>
  <c r="I953" i="17" s="1"/>
  <c r="P952" i="17"/>
  <c r="F952" i="17"/>
  <c r="I952" i="17" s="1"/>
  <c r="P951" i="17"/>
  <c r="F951" i="17"/>
  <c r="I951" i="17" s="1"/>
  <c r="P950" i="17"/>
  <c r="I950" i="17"/>
  <c r="F950" i="17"/>
  <c r="P949" i="17"/>
  <c r="F949" i="17"/>
  <c r="I949" i="17" s="1"/>
  <c r="P948" i="17"/>
  <c r="I948" i="17"/>
  <c r="F948" i="17"/>
  <c r="P947" i="17"/>
  <c r="F947" i="17"/>
  <c r="I947" i="17" s="1"/>
  <c r="P946" i="17"/>
  <c r="F946" i="17"/>
  <c r="I946" i="17" s="1"/>
  <c r="P945" i="17"/>
  <c r="F945" i="17"/>
  <c r="I945" i="17" s="1"/>
  <c r="P944" i="17"/>
  <c r="F944" i="17"/>
  <c r="I944" i="17" s="1"/>
  <c r="P943" i="17"/>
  <c r="F943" i="17"/>
  <c r="I943" i="17" s="1"/>
  <c r="P942" i="17"/>
  <c r="I942" i="17"/>
  <c r="F942" i="17"/>
  <c r="P941" i="17"/>
  <c r="F941" i="17"/>
  <c r="I941" i="17" s="1"/>
  <c r="P940" i="17"/>
  <c r="F940" i="17"/>
  <c r="I940" i="17" s="1"/>
  <c r="P939" i="17"/>
  <c r="F939" i="17"/>
  <c r="I939" i="17" s="1"/>
  <c r="P938" i="17"/>
  <c r="F938" i="17"/>
  <c r="I938" i="17" s="1"/>
  <c r="P937" i="17"/>
  <c r="F937" i="17"/>
  <c r="I937" i="17" s="1"/>
  <c r="P936" i="17"/>
  <c r="F936" i="17"/>
  <c r="I936" i="17" s="1"/>
  <c r="P935" i="17"/>
  <c r="F935" i="17"/>
  <c r="I935" i="17" s="1"/>
  <c r="P934" i="17"/>
  <c r="F934" i="17"/>
  <c r="I934" i="17" s="1"/>
  <c r="P933" i="17"/>
  <c r="F933" i="17"/>
  <c r="I933" i="17" s="1"/>
  <c r="P932" i="17"/>
  <c r="F932" i="17"/>
  <c r="I932" i="17" s="1"/>
  <c r="P931" i="17"/>
  <c r="F931" i="17"/>
  <c r="P930" i="17"/>
  <c r="F930" i="17"/>
  <c r="I930" i="17" s="1"/>
  <c r="P929" i="17"/>
  <c r="F929" i="17"/>
  <c r="I929" i="17" s="1"/>
  <c r="P928" i="17"/>
  <c r="F928" i="17"/>
  <c r="I928" i="17" s="1"/>
  <c r="P927" i="17"/>
  <c r="F927" i="17"/>
  <c r="I927" i="17" s="1"/>
  <c r="P926" i="17"/>
  <c r="F926" i="17"/>
  <c r="I926" i="17" s="1"/>
  <c r="P925" i="17"/>
  <c r="F925" i="17"/>
  <c r="I925" i="17" s="1"/>
  <c r="E924" i="17"/>
  <c r="D924" i="17"/>
  <c r="H923" i="17"/>
  <c r="H924" i="17" s="1"/>
  <c r="G923" i="17"/>
  <c r="G924" i="17" s="1"/>
  <c r="P922" i="17"/>
  <c r="I922" i="17"/>
  <c r="F922" i="17"/>
  <c r="P921" i="17"/>
  <c r="F921" i="17"/>
  <c r="I921" i="17" s="1"/>
  <c r="P920" i="17"/>
  <c r="F920" i="17"/>
  <c r="I920" i="17" s="1"/>
  <c r="P919" i="17"/>
  <c r="I919" i="17"/>
  <c r="F919" i="17"/>
  <c r="P918" i="17"/>
  <c r="F918" i="17"/>
  <c r="I918" i="17" s="1"/>
  <c r="P917" i="17"/>
  <c r="F917" i="17"/>
  <c r="P916" i="17"/>
  <c r="F916" i="17"/>
  <c r="I916" i="17" s="1"/>
  <c r="E915" i="17"/>
  <c r="H914" i="17"/>
  <c r="G914" i="17"/>
  <c r="D914" i="17"/>
  <c r="P913" i="17"/>
  <c r="F913" i="17"/>
  <c r="I913" i="17" s="1"/>
  <c r="P912" i="17"/>
  <c r="F912" i="17"/>
  <c r="I912" i="17" s="1"/>
  <c r="P911" i="17"/>
  <c r="F911" i="17"/>
  <c r="I911" i="17" s="1"/>
  <c r="P910" i="17"/>
  <c r="I910" i="17"/>
  <c r="F910" i="17"/>
  <c r="P909" i="17"/>
  <c r="F909" i="17"/>
  <c r="I909" i="17" s="1"/>
  <c r="P908" i="17"/>
  <c r="F908" i="17"/>
  <c r="I908" i="17" s="1"/>
  <c r="P907" i="17"/>
  <c r="F907" i="17"/>
  <c r="H906" i="17"/>
  <c r="H915" i="17" s="1"/>
  <c r="G906" i="17"/>
  <c r="D906" i="17"/>
  <c r="D915" i="17" s="1"/>
  <c r="P905" i="17"/>
  <c r="I905" i="17"/>
  <c r="F905" i="17"/>
  <c r="P904" i="17"/>
  <c r="F904" i="17"/>
  <c r="I904" i="17" s="1"/>
  <c r="P903" i="17"/>
  <c r="F903" i="17"/>
  <c r="I903" i="17" s="1"/>
  <c r="P902" i="17"/>
  <c r="I902" i="17"/>
  <c r="F902" i="17"/>
  <c r="P901" i="17"/>
  <c r="F901" i="17"/>
  <c r="I901" i="17" s="1"/>
  <c r="F1675" i="13"/>
  <c r="F1674" i="13"/>
  <c r="F1672" i="13"/>
  <c r="F1671" i="13"/>
  <c r="I1671" i="13" s="1"/>
  <c r="F1670" i="13"/>
  <c r="F1668" i="13"/>
  <c r="F1667" i="13"/>
  <c r="I1667" i="13" s="1"/>
  <c r="F1666" i="13"/>
  <c r="F1665" i="13"/>
  <c r="I1665" i="13" s="1"/>
  <c r="F1664" i="13"/>
  <c r="I1664" i="13" s="1"/>
  <c r="F1662" i="13"/>
  <c r="I1662" i="13" s="1"/>
  <c r="F1661" i="13"/>
  <c r="I1661" i="13" s="1"/>
  <c r="F1659" i="13"/>
  <c r="F1658" i="13"/>
  <c r="F1657" i="13"/>
  <c r="I1657" i="13" s="1"/>
  <c r="F1656" i="13"/>
  <c r="I1656" i="13" s="1"/>
  <c r="F1654" i="13"/>
  <c r="F1653" i="13"/>
  <c r="F1652" i="13"/>
  <c r="F1649" i="13"/>
  <c r="F1646" i="13"/>
  <c r="F1645" i="13"/>
  <c r="F1644" i="13"/>
  <c r="F1642" i="13"/>
  <c r="F1641" i="13"/>
  <c r="F1640" i="13"/>
  <c r="F1637" i="13"/>
  <c r="I1637" i="13" s="1"/>
  <c r="F1636" i="13"/>
  <c r="I1636" i="13" s="1"/>
  <c r="F1635" i="13"/>
  <c r="I1635" i="13" s="1"/>
  <c r="F1633" i="13"/>
  <c r="I1633" i="13" s="1"/>
  <c r="F1632" i="13"/>
  <c r="I1632" i="13" s="1"/>
  <c r="F1631" i="13"/>
  <c r="F1630" i="13"/>
  <c r="F1629" i="13"/>
  <c r="F1628" i="13"/>
  <c r="F1627" i="13"/>
  <c r="I1627" i="13" s="1"/>
  <c r="F1626" i="13"/>
  <c r="F1625" i="13"/>
  <c r="F1621" i="13"/>
  <c r="F1620" i="13"/>
  <c r="F1619" i="13"/>
  <c r="F1618" i="13"/>
  <c r="F1617" i="13"/>
  <c r="F1616" i="13"/>
  <c r="F1615" i="13"/>
  <c r="I1615" i="13" s="1"/>
  <c r="F1614" i="13"/>
  <c r="F1612" i="13"/>
  <c r="I1612" i="13" s="1"/>
  <c r="F1611" i="13"/>
  <c r="I1611" i="13" s="1"/>
  <c r="F1610" i="13"/>
  <c r="F1609" i="13"/>
  <c r="F1606" i="13"/>
  <c r="F1605" i="13"/>
  <c r="F1604" i="13"/>
  <c r="F1602" i="13"/>
  <c r="F1601" i="13"/>
  <c r="I1601" i="13" s="1"/>
  <c r="F1600" i="13"/>
  <c r="F1598" i="13"/>
  <c r="F1597" i="13"/>
  <c r="F1596" i="13"/>
  <c r="F1595" i="13"/>
  <c r="F1594" i="13"/>
  <c r="F1593" i="13"/>
  <c r="F1592" i="13"/>
  <c r="F1590" i="13"/>
  <c r="F1589" i="13"/>
  <c r="F1588" i="13"/>
  <c r="F1587" i="13"/>
  <c r="F1586" i="13"/>
  <c r="F1585" i="13"/>
  <c r="F1584" i="13"/>
  <c r="F1582" i="13"/>
  <c r="F1581" i="13"/>
  <c r="I1581" i="13" s="1"/>
  <c r="F1580" i="13"/>
  <c r="I1580" i="13" s="1"/>
  <c r="F1579" i="13"/>
  <c r="J1676" i="13"/>
  <c r="I1676" i="13"/>
  <c r="F1676" i="13"/>
  <c r="I1672" i="13"/>
  <c r="I1670" i="13"/>
  <c r="I1668" i="13"/>
  <c r="I1666" i="13"/>
  <c r="I1659" i="13"/>
  <c r="I1658" i="13"/>
  <c r="I1654" i="13"/>
  <c r="I1653" i="13"/>
  <c r="I1652" i="13"/>
  <c r="I1649" i="13"/>
  <c r="I1646" i="13"/>
  <c r="I1645" i="13"/>
  <c r="I1644" i="13"/>
  <c r="I1642" i="13"/>
  <c r="I1641" i="13"/>
  <c r="I1640" i="13"/>
  <c r="I1631" i="13"/>
  <c r="I1630" i="13"/>
  <c r="I1629" i="13"/>
  <c r="I1628" i="13"/>
  <c r="I1626" i="13"/>
  <c r="I1625" i="13"/>
  <c r="I1621" i="13"/>
  <c r="I1620" i="13"/>
  <c r="I1619" i="13"/>
  <c r="I1618" i="13"/>
  <c r="I1617" i="13"/>
  <c r="I1616" i="13"/>
  <c r="I1610" i="13"/>
  <c r="I1609" i="13"/>
  <c r="I1606" i="13"/>
  <c r="I1605" i="13"/>
  <c r="I1604" i="13"/>
  <c r="I1602" i="13"/>
  <c r="I1600" i="13"/>
  <c r="I1598" i="13"/>
  <c r="I1597" i="13"/>
  <c r="I1596" i="13"/>
  <c r="I1595" i="13"/>
  <c r="I1594" i="13"/>
  <c r="I1593" i="13"/>
  <c r="I1592" i="13"/>
  <c r="I1590" i="13"/>
  <c r="I1589" i="13"/>
  <c r="I1588" i="13"/>
  <c r="I1587" i="13"/>
  <c r="I1586" i="13"/>
  <c r="I1585" i="13"/>
  <c r="I1584" i="13"/>
  <c r="I1582" i="13"/>
  <c r="I1579" i="13"/>
  <c r="F1663" i="1"/>
  <c r="F1664" i="1" s="1"/>
  <c r="E1663" i="1"/>
  <c r="E1664" i="1" s="1"/>
  <c r="I1662" i="1"/>
  <c r="H1662" i="1"/>
  <c r="G1661" i="1"/>
  <c r="J1661" i="1" s="1"/>
  <c r="G1660" i="1"/>
  <c r="I1659" i="1"/>
  <c r="H1659" i="1"/>
  <c r="G1658" i="1"/>
  <c r="J1658" i="1" s="1"/>
  <c r="G1657" i="1"/>
  <c r="J1656" i="1"/>
  <c r="G1656" i="1"/>
  <c r="I1655" i="1"/>
  <c r="H1655" i="1"/>
  <c r="G1654" i="1"/>
  <c r="J1654" i="1" s="1"/>
  <c r="G1653" i="1"/>
  <c r="J1653" i="1" s="1"/>
  <c r="G1652" i="1"/>
  <c r="J1652" i="1" s="1"/>
  <c r="G1651" i="1"/>
  <c r="J1651" i="1" s="1"/>
  <c r="G1650" i="1"/>
  <c r="J1650" i="1" s="1"/>
  <c r="I1649" i="1"/>
  <c r="H1649" i="1"/>
  <c r="G1648" i="1"/>
  <c r="J1648" i="1" s="1"/>
  <c r="G1647" i="1"/>
  <c r="G1649" i="1" s="1"/>
  <c r="J1649" i="1" s="1"/>
  <c r="I1646" i="1"/>
  <c r="H1646" i="1"/>
  <c r="G1645" i="1"/>
  <c r="J1645" i="1" s="1"/>
  <c r="G1644" i="1"/>
  <c r="J1644" i="1" s="1"/>
  <c r="G1643" i="1"/>
  <c r="J1643" i="1" s="1"/>
  <c r="G1642" i="1"/>
  <c r="G1646" i="1" s="1"/>
  <c r="J1646" i="1" s="1"/>
  <c r="I1641" i="1"/>
  <c r="H1641" i="1"/>
  <c r="G1640" i="1"/>
  <c r="J1640" i="1" s="1"/>
  <c r="G1639" i="1"/>
  <c r="J1639" i="1" s="1"/>
  <c r="G1638" i="1"/>
  <c r="E1637" i="1"/>
  <c r="F1636" i="1"/>
  <c r="F1637" i="1" s="1"/>
  <c r="E1636" i="1"/>
  <c r="G1635" i="1"/>
  <c r="J1635" i="1" s="1"/>
  <c r="I1633" i="1"/>
  <c r="H1633" i="1"/>
  <c r="G1632" i="1"/>
  <c r="J1632" i="1" s="1"/>
  <c r="G1631" i="1"/>
  <c r="J1631" i="1" s="1"/>
  <c r="G1630" i="1"/>
  <c r="I1629" i="1"/>
  <c r="I1634" i="1" s="1"/>
  <c r="H1629" i="1"/>
  <c r="H1634" i="1" s="1"/>
  <c r="G1628" i="1"/>
  <c r="G1627" i="1"/>
  <c r="J1627" i="1" s="1"/>
  <c r="G1626" i="1"/>
  <c r="J1626" i="1" s="1"/>
  <c r="I1624" i="1"/>
  <c r="H1624" i="1"/>
  <c r="G1623" i="1"/>
  <c r="J1623" i="1" s="1"/>
  <c r="G1622" i="1"/>
  <c r="J1622" i="1" s="1"/>
  <c r="G1621" i="1"/>
  <c r="I1620" i="1"/>
  <c r="I1625" i="1" s="1"/>
  <c r="H1620" i="1"/>
  <c r="J1619" i="1"/>
  <c r="G1619" i="1"/>
  <c r="G1618" i="1"/>
  <c r="J1618" i="1" s="1"/>
  <c r="J1617" i="1"/>
  <c r="G1617" i="1"/>
  <c r="G1616" i="1"/>
  <c r="J1616" i="1" s="1"/>
  <c r="J1615" i="1"/>
  <c r="G1615" i="1"/>
  <c r="G1614" i="1"/>
  <c r="J1614" i="1" s="1"/>
  <c r="G1613" i="1"/>
  <c r="J1613" i="1" s="1"/>
  <c r="G1612" i="1"/>
  <c r="J1612" i="1" s="1"/>
  <c r="G1611" i="1"/>
  <c r="F1609" i="1"/>
  <c r="I1608" i="1"/>
  <c r="H1608" i="1"/>
  <c r="G1607" i="1"/>
  <c r="J1607" i="1" s="1"/>
  <c r="G1606" i="1"/>
  <c r="J1606" i="1" s="1"/>
  <c r="G1605" i="1"/>
  <c r="J1605" i="1" s="1"/>
  <c r="G1604" i="1"/>
  <c r="J1604" i="1" s="1"/>
  <c r="J1603" i="1"/>
  <c r="G1603" i="1"/>
  <c r="G1602" i="1"/>
  <c r="J1602" i="1" s="1"/>
  <c r="G1601" i="1"/>
  <c r="J1601" i="1" s="1"/>
  <c r="G1600" i="1"/>
  <c r="J1600" i="1" s="1"/>
  <c r="I1599" i="1"/>
  <c r="H1599" i="1"/>
  <c r="E1599" i="1"/>
  <c r="E1609" i="1" s="1"/>
  <c r="G1598" i="1"/>
  <c r="J1598" i="1" s="1"/>
  <c r="G1597" i="1"/>
  <c r="J1597" i="1" s="1"/>
  <c r="G1596" i="1"/>
  <c r="J1595" i="1"/>
  <c r="G1595" i="1"/>
  <c r="I1593" i="1"/>
  <c r="H1593" i="1"/>
  <c r="E1593" i="1"/>
  <c r="G1592" i="1"/>
  <c r="J1592" i="1" s="1"/>
  <c r="G1591" i="1"/>
  <c r="J1591" i="1" s="1"/>
  <c r="J1590" i="1"/>
  <c r="G1590" i="1"/>
  <c r="F1589" i="1"/>
  <c r="F1594" i="1" s="1"/>
  <c r="F1610" i="1" s="1"/>
  <c r="F1665" i="1" s="1"/>
  <c r="E1589" i="1"/>
  <c r="G1588" i="1"/>
  <c r="G1587" i="1"/>
  <c r="J1587" i="1" s="1"/>
  <c r="G1586" i="1"/>
  <c r="I1585" i="1"/>
  <c r="H1585" i="1"/>
  <c r="E1585" i="1"/>
  <c r="J1584" i="1"/>
  <c r="G1584" i="1"/>
  <c r="G1583" i="1"/>
  <c r="J1583" i="1" s="1"/>
  <c r="G1582" i="1"/>
  <c r="J1582" i="1" s="1"/>
  <c r="G1581" i="1"/>
  <c r="J1581" i="1" s="1"/>
  <c r="J1580" i="1"/>
  <c r="G1580" i="1"/>
  <c r="G1579" i="1"/>
  <c r="J1579" i="1" s="1"/>
  <c r="G1578" i="1"/>
  <c r="J1578" i="1" s="1"/>
  <c r="I1577" i="1"/>
  <c r="H1577" i="1"/>
  <c r="G1576" i="1"/>
  <c r="J1576" i="1" s="1"/>
  <c r="G1575" i="1"/>
  <c r="J1575" i="1" s="1"/>
  <c r="G1574" i="1"/>
  <c r="J1574" i="1" s="1"/>
  <c r="G1573" i="1"/>
  <c r="J1573" i="1" s="1"/>
  <c r="G1572" i="1"/>
  <c r="J1572" i="1" s="1"/>
  <c r="G1571" i="1"/>
  <c r="J1571" i="1" s="1"/>
  <c r="J1570" i="1"/>
  <c r="G1570" i="1"/>
  <c r="I1569" i="1"/>
  <c r="I1594" i="1" s="1"/>
  <c r="H1569" i="1"/>
  <c r="J1568" i="1"/>
  <c r="G1568" i="1"/>
  <c r="G1567" i="1"/>
  <c r="J1567" i="1" s="1"/>
  <c r="G1566" i="1"/>
  <c r="J1566" i="1" s="1"/>
  <c r="G1565" i="1"/>
  <c r="J1565" i="1" s="1"/>
  <c r="T348" i="14" l="1"/>
  <c r="G1629" i="1"/>
  <c r="J1647" i="1"/>
  <c r="S332" i="14"/>
  <c r="T331" i="14"/>
  <c r="S339" i="14"/>
  <c r="T339" i="14" s="1"/>
  <c r="S347" i="14"/>
  <c r="S337" i="14"/>
  <c r="T337" i="14" s="1"/>
  <c r="T347" i="14"/>
  <c r="T352" i="14"/>
  <c r="G1593" i="1"/>
  <c r="J1593" i="1" s="1"/>
  <c r="I1609" i="1"/>
  <c r="J1642" i="1"/>
  <c r="E957" i="17"/>
  <c r="T332" i="14"/>
  <c r="H1177" i="16"/>
  <c r="H1193" i="16"/>
  <c r="T346" i="14"/>
  <c r="S344" i="14"/>
  <c r="T344" i="14" s="1"/>
  <c r="S342" i="14"/>
  <c r="T342" i="14" s="1"/>
  <c r="S351" i="14"/>
  <c r="T351" i="14" s="1"/>
  <c r="S349" i="14"/>
  <c r="T349" i="14" s="1"/>
  <c r="S338" i="14"/>
  <c r="T338" i="14" s="1"/>
  <c r="S345" i="14"/>
  <c r="T345" i="14" s="1"/>
  <c r="S340" i="14"/>
  <c r="T340" i="14" s="1"/>
  <c r="S343" i="14"/>
  <c r="T343" i="14" s="1"/>
  <c r="S350" i="14"/>
  <c r="T350" i="14" s="1"/>
  <c r="S341" i="14"/>
  <c r="T341" i="14" s="1"/>
  <c r="S327" i="14"/>
  <c r="T327" i="14" s="1"/>
  <c r="S326" i="14"/>
  <c r="T326" i="14" s="1"/>
  <c r="S324" i="14"/>
  <c r="T324" i="14" s="1"/>
  <c r="S325" i="14"/>
  <c r="T325" i="14" s="1"/>
  <c r="S328" i="14"/>
  <c r="T328" i="14" s="1"/>
  <c r="S334" i="14"/>
  <c r="T334" i="14" s="1"/>
  <c r="S330" i="14"/>
  <c r="T330" i="14" s="1"/>
  <c r="S329" i="14"/>
  <c r="T329" i="14" s="1"/>
  <c r="I1784" i="13"/>
  <c r="I1016" i="17"/>
  <c r="F1017" i="17"/>
  <c r="I1017" i="17" s="1"/>
  <c r="F1729" i="13"/>
  <c r="F1784" i="13" s="1"/>
  <c r="G1740" i="1"/>
  <c r="J1729" i="1"/>
  <c r="G1768" i="1"/>
  <c r="J1767" i="1"/>
  <c r="J1768" i="1" s="1"/>
  <c r="J1681" i="1"/>
  <c r="G1698" i="1"/>
  <c r="H1237" i="16"/>
  <c r="I1663" i="13"/>
  <c r="I1660" i="13"/>
  <c r="I1610" i="1"/>
  <c r="I1613" i="13"/>
  <c r="H1189" i="16"/>
  <c r="H1195" i="16" s="1"/>
  <c r="P955" i="17"/>
  <c r="P956" i="17" s="1"/>
  <c r="F923" i="17"/>
  <c r="I923" i="17" s="1"/>
  <c r="F914" i="17"/>
  <c r="I914" i="17" s="1"/>
  <c r="G915" i="17"/>
  <c r="G957" i="17" s="1"/>
  <c r="P914" i="17"/>
  <c r="I907" i="17"/>
  <c r="H957" i="17"/>
  <c r="P906" i="17"/>
  <c r="P915" i="17" s="1"/>
  <c r="F906" i="17"/>
  <c r="I917" i="17"/>
  <c r="D957" i="17"/>
  <c r="P923" i="17"/>
  <c r="P924" i="17" s="1"/>
  <c r="F955" i="17"/>
  <c r="I955" i="17" s="1"/>
  <c r="I1669" i="13"/>
  <c r="I1655" i="13"/>
  <c r="I1647" i="13"/>
  <c r="I1638" i="13"/>
  <c r="I1599" i="13"/>
  <c r="I1591" i="13"/>
  <c r="I1583" i="13"/>
  <c r="I1603" i="13"/>
  <c r="I1607" i="13"/>
  <c r="I1614" i="13"/>
  <c r="I1622" i="13" s="1"/>
  <c r="F1622" i="13"/>
  <c r="I1634" i="13"/>
  <c r="I1643" i="13"/>
  <c r="I1648" i="13" s="1"/>
  <c r="F1583" i="13"/>
  <c r="F1591" i="13"/>
  <c r="I1673" i="13"/>
  <c r="F1599" i="13"/>
  <c r="F1603" i="13"/>
  <c r="F1607" i="13"/>
  <c r="F1613" i="13"/>
  <c r="F1634" i="13"/>
  <c r="F1638" i="13"/>
  <c r="F1643" i="13"/>
  <c r="F1647" i="13"/>
  <c r="F1655" i="13"/>
  <c r="F1660" i="13"/>
  <c r="F1663" i="13"/>
  <c r="F1669" i="13"/>
  <c r="F1673" i="13"/>
  <c r="J1628" i="1"/>
  <c r="H1594" i="1"/>
  <c r="G1589" i="1"/>
  <c r="J1589" i="1" s="1"/>
  <c r="J1586" i="1"/>
  <c r="G1624" i="1"/>
  <c r="J1624" i="1" s="1"/>
  <c r="J1621" i="1"/>
  <c r="G1585" i="1"/>
  <c r="J1585" i="1" s="1"/>
  <c r="E1594" i="1"/>
  <c r="E1610" i="1" s="1"/>
  <c r="E1665" i="1" s="1"/>
  <c r="G1577" i="1"/>
  <c r="J1577" i="1" s="1"/>
  <c r="G1599" i="1"/>
  <c r="J1596" i="1"/>
  <c r="I1636" i="1"/>
  <c r="I1637" i="1" s="1"/>
  <c r="G1633" i="1"/>
  <c r="J1633" i="1" s="1"/>
  <c r="J1630" i="1"/>
  <c r="G1569" i="1"/>
  <c r="H1625" i="1"/>
  <c r="H1636" i="1" s="1"/>
  <c r="H1637" i="1" s="1"/>
  <c r="H1663" i="1"/>
  <c r="H1664" i="1" s="1"/>
  <c r="G1659" i="1"/>
  <c r="J1659" i="1" s="1"/>
  <c r="H1609" i="1"/>
  <c r="G1608" i="1"/>
  <c r="J1608" i="1" s="1"/>
  <c r="G1620" i="1"/>
  <c r="J1611" i="1"/>
  <c r="J1629" i="1"/>
  <c r="G1641" i="1"/>
  <c r="J1638" i="1"/>
  <c r="I1663" i="1"/>
  <c r="I1664" i="1" s="1"/>
  <c r="G1662" i="1"/>
  <c r="J1662" i="1" s="1"/>
  <c r="J1660" i="1"/>
  <c r="G1655" i="1"/>
  <c r="J1655" i="1" s="1"/>
  <c r="J1657" i="1"/>
  <c r="E1495" i="1"/>
  <c r="I1677" i="13" l="1"/>
  <c r="I1678" i="13" s="1"/>
  <c r="I1623" i="13"/>
  <c r="G1741" i="1"/>
  <c r="J1740" i="1"/>
  <c r="J1741" i="1" s="1"/>
  <c r="J1698" i="1"/>
  <c r="G1714" i="1"/>
  <c r="I1639" i="13"/>
  <c r="F924" i="17"/>
  <c r="I924" i="17" s="1"/>
  <c r="F956" i="17"/>
  <c r="I906" i="17"/>
  <c r="F915" i="17"/>
  <c r="I915" i="17" s="1"/>
  <c r="P957" i="17"/>
  <c r="F1648" i="13"/>
  <c r="F1639" i="13"/>
  <c r="I1608" i="13"/>
  <c r="I1624" i="13" s="1"/>
  <c r="F1623" i="13"/>
  <c r="F1608" i="13"/>
  <c r="F1677" i="13"/>
  <c r="F1678" i="13" s="1"/>
  <c r="I1650" i="13"/>
  <c r="I1651" i="13" s="1"/>
  <c r="I1679" i="13" s="1"/>
  <c r="I1665" i="1"/>
  <c r="H1610" i="1"/>
  <c r="H1665" i="1" s="1"/>
  <c r="J1569" i="1"/>
  <c r="G1594" i="1"/>
  <c r="G1625" i="1"/>
  <c r="J1620" i="1"/>
  <c r="G1634" i="1"/>
  <c r="J1634" i="1" s="1"/>
  <c r="J1599" i="1"/>
  <c r="G1609" i="1"/>
  <c r="J1609" i="1" s="1"/>
  <c r="G1663" i="1"/>
  <c r="J1641" i="1"/>
  <c r="E1144" i="16"/>
  <c r="F1650" i="13" l="1"/>
  <c r="F1651" i="13" s="1"/>
  <c r="F1624" i="13"/>
  <c r="G1769" i="1"/>
  <c r="J1769" i="1" s="1"/>
  <c r="J1714" i="1"/>
  <c r="I956" i="17"/>
  <c r="F957" i="17"/>
  <c r="I957" i="17" s="1"/>
  <c r="F1679" i="13"/>
  <c r="G1664" i="1"/>
  <c r="J1663" i="1"/>
  <c r="J1664" i="1" s="1"/>
  <c r="J1625" i="1"/>
  <c r="G1636" i="1"/>
  <c r="J1594" i="1"/>
  <c r="G1610" i="1"/>
  <c r="L316" i="14"/>
  <c r="K316" i="14" s="1"/>
  <c r="G316" i="14"/>
  <c r="C316" i="14"/>
  <c r="L315" i="14"/>
  <c r="K315" i="14" s="1"/>
  <c r="G315" i="14"/>
  <c r="C315" i="14"/>
  <c r="L314" i="14"/>
  <c r="K314" i="14" s="1"/>
  <c r="G314" i="14"/>
  <c r="C314" i="14"/>
  <c r="L313" i="14"/>
  <c r="K313" i="14" s="1"/>
  <c r="G313" i="14"/>
  <c r="C313" i="14"/>
  <c r="L312" i="14"/>
  <c r="K312" i="14" s="1"/>
  <c r="G312" i="14"/>
  <c r="C312" i="14"/>
  <c r="L311" i="14"/>
  <c r="K311" i="14" s="1"/>
  <c r="G311" i="14"/>
  <c r="C311" i="14"/>
  <c r="L310" i="14"/>
  <c r="K310" i="14" s="1"/>
  <c r="G310" i="14"/>
  <c r="C310" i="14"/>
  <c r="L309" i="14"/>
  <c r="K309" i="14" s="1"/>
  <c r="G309" i="14"/>
  <c r="C309" i="14"/>
  <c r="L308" i="14"/>
  <c r="K308" i="14" s="1"/>
  <c r="G308" i="14"/>
  <c r="C308" i="14"/>
  <c r="L307" i="14"/>
  <c r="K307" i="14" s="1"/>
  <c r="G307" i="14"/>
  <c r="C307" i="14"/>
  <c r="L306" i="14"/>
  <c r="K306" i="14" s="1"/>
  <c r="G306" i="14"/>
  <c r="C306" i="14"/>
  <c r="L305" i="14"/>
  <c r="K305" i="14" s="1"/>
  <c r="G305" i="14"/>
  <c r="C305" i="14"/>
  <c r="L304" i="14"/>
  <c r="K304" i="14" s="1"/>
  <c r="G304" i="14"/>
  <c r="C304" i="14"/>
  <c r="L303" i="14"/>
  <c r="K303" i="14" s="1"/>
  <c r="M303" i="14" s="1"/>
  <c r="G303" i="14"/>
  <c r="C303" i="14"/>
  <c r="G302" i="14"/>
  <c r="L301" i="14"/>
  <c r="K301" i="14"/>
  <c r="M301" i="14" s="1"/>
  <c r="G301" i="14"/>
  <c r="C301" i="14"/>
  <c r="H1154" i="16"/>
  <c r="H1153" i="16"/>
  <c r="H1152" i="16"/>
  <c r="H1151" i="16"/>
  <c r="H1150" i="16"/>
  <c r="H1149" i="16"/>
  <c r="H1148" i="16"/>
  <c r="H1147" i="16"/>
  <c r="H1146" i="16"/>
  <c r="H1145" i="16"/>
  <c r="H1144" i="16"/>
  <c r="H1143" i="16"/>
  <c r="H1142" i="16"/>
  <c r="H1141" i="16"/>
  <c r="H1140" i="16"/>
  <c r="H1139" i="16"/>
  <c r="H1138" i="16"/>
  <c r="H1137" i="16"/>
  <c r="H1136" i="16"/>
  <c r="H1135" i="16"/>
  <c r="H1133" i="16"/>
  <c r="H1132" i="16"/>
  <c r="H1131" i="16"/>
  <c r="H1130" i="16"/>
  <c r="H1129" i="16"/>
  <c r="H1128" i="16"/>
  <c r="H1127" i="16"/>
  <c r="H1126" i="16"/>
  <c r="H1125" i="16"/>
  <c r="H1124" i="16"/>
  <c r="H1123" i="16"/>
  <c r="H1122" i="16"/>
  <c r="H1121" i="16"/>
  <c r="H1120" i="16"/>
  <c r="H1119" i="16"/>
  <c r="H1118" i="16"/>
  <c r="H1117" i="16"/>
  <c r="H1116" i="16"/>
  <c r="H1115" i="16"/>
  <c r="H1114" i="16"/>
  <c r="I1112" i="16"/>
  <c r="H1110" i="16"/>
  <c r="H1109" i="16"/>
  <c r="H1108" i="16"/>
  <c r="H1106" i="16"/>
  <c r="H1105" i="16"/>
  <c r="H1104" i="16"/>
  <c r="H1103" i="16"/>
  <c r="H1102" i="16"/>
  <c r="H1101" i="16"/>
  <c r="H1100" i="16"/>
  <c r="H1099" i="16"/>
  <c r="H1098" i="16"/>
  <c r="H1097" i="16"/>
  <c r="H1096" i="16"/>
  <c r="H1094" i="16"/>
  <c r="H1093" i="16"/>
  <c r="H1092" i="16"/>
  <c r="H1091" i="16"/>
  <c r="H1090" i="16"/>
  <c r="H1089" i="16"/>
  <c r="H1088" i="16"/>
  <c r="H1087" i="16"/>
  <c r="H1086" i="16"/>
  <c r="H1085" i="16"/>
  <c r="H1084" i="16"/>
  <c r="H1083" i="16"/>
  <c r="H1082" i="16"/>
  <c r="H1081" i="16"/>
  <c r="E896" i="17"/>
  <c r="G895" i="17"/>
  <c r="G896" i="17" s="1"/>
  <c r="D895" i="17"/>
  <c r="D896" i="17" s="1"/>
  <c r="P894" i="17"/>
  <c r="F894" i="17"/>
  <c r="I894" i="17" s="1"/>
  <c r="P893" i="17"/>
  <c r="F893" i="17"/>
  <c r="I893" i="17" s="1"/>
  <c r="P892" i="17"/>
  <c r="I892" i="17"/>
  <c r="F892" i="17"/>
  <c r="P891" i="17"/>
  <c r="F891" i="17"/>
  <c r="I891" i="17" s="1"/>
  <c r="P890" i="17"/>
  <c r="F890" i="17"/>
  <c r="I890" i="17" s="1"/>
  <c r="P889" i="17"/>
  <c r="P888" i="17"/>
  <c r="F888" i="17"/>
  <c r="I888" i="17" s="1"/>
  <c r="P887" i="17"/>
  <c r="F887" i="17"/>
  <c r="I887" i="17" s="1"/>
  <c r="P886" i="17"/>
  <c r="F886" i="17"/>
  <c r="I886" i="17" s="1"/>
  <c r="P885" i="17"/>
  <c r="F885" i="17"/>
  <c r="I885" i="17" s="1"/>
  <c r="P884" i="17"/>
  <c r="F884" i="17"/>
  <c r="I884" i="17" s="1"/>
  <c r="H895" i="17"/>
  <c r="H896" i="17" s="1"/>
  <c r="P883" i="17"/>
  <c r="P882" i="17"/>
  <c r="F882" i="17"/>
  <c r="I882" i="17" s="1"/>
  <c r="P881" i="17"/>
  <c r="F881" i="17"/>
  <c r="I881" i="17" s="1"/>
  <c r="P880" i="17"/>
  <c r="F880" i="17"/>
  <c r="I880" i="17" s="1"/>
  <c r="P879" i="17"/>
  <c r="F879" i="17"/>
  <c r="I879" i="17" s="1"/>
  <c r="P878" i="17"/>
  <c r="F878" i="17"/>
  <c r="I878" i="17" s="1"/>
  <c r="P877" i="17"/>
  <c r="F877" i="17"/>
  <c r="I877" i="17" s="1"/>
  <c r="P876" i="17"/>
  <c r="F876" i="17"/>
  <c r="I876" i="17" s="1"/>
  <c r="P875" i="17"/>
  <c r="I875" i="17"/>
  <c r="F875" i="17"/>
  <c r="P874" i="17"/>
  <c r="F874" i="17"/>
  <c r="I874" i="17" s="1"/>
  <c r="P873" i="17"/>
  <c r="I873" i="17"/>
  <c r="F873" i="17"/>
  <c r="P872" i="17"/>
  <c r="F872" i="17"/>
  <c r="I872" i="17" s="1"/>
  <c r="P871" i="17"/>
  <c r="F871" i="17"/>
  <c r="P870" i="17"/>
  <c r="I870" i="17"/>
  <c r="F870" i="17"/>
  <c r="P869" i="17"/>
  <c r="F869" i="17"/>
  <c r="I869" i="17" s="1"/>
  <c r="P868" i="17"/>
  <c r="F868" i="17"/>
  <c r="I868" i="17" s="1"/>
  <c r="P867" i="17"/>
  <c r="I867" i="17"/>
  <c r="F867" i="17"/>
  <c r="P866" i="17"/>
  <c r="F866" i="17"/>
  <c r="I866" i="17" s="1"/>
  <c r="P865" i="17"/>
  <c r="E864" i="17"/>
  <c r="D864" i="17"/>
  <c r="H863" i="17"/>
  <c r="H864" i="17" s="1"/>
  <c r="G863" i="17"/>
  <c r="G864" i="17" s="1"/>
  <c r="P862" i="17"/>
  <c r="F862" i="17"/>
  <c r="I862" i="17" s="1"/>
  <c r="P861" i="17"/>
  <c r="F861" i="17"/>
  <c r="I861" i="17" s="1"/>
  <c r="P860" i="17"/>
  <c r="I860" i="17"/>
  <c r="F860" i="17"/>
  <c r="P859" i="17"/>
  <c r="I859" i="17"/>
  <c r="F859" i="17"/>
  <c r="P858" i="17"/>
  <c r="F858" i="17"/>
  <c r="I858" i="17" s="1"/>
  <c r="P857" i="17"/>
  <c r="F857" i="17"/>
  <c r="I857" i="17" s="1"/>
  <c r="P856" i="17"/>
  <c r="F856" i="17"/>
  <c r="I856" i="17" s="1"/>
  <c r="E855" i="17"/>
  <c r="E897" i="17" s="1"/>
  <c r="H854" i="17"/>
  <c r="G854" i="17"/>
  <c r="D854" i="17"/>
  <c r="P853" i="17"/>
  <c r="F853" i="17"/>
  <c r="I853" i="17" s="1"/>
  <c r="P852" i="17"/>
  <c r="F852" i="17"/>
  <c r="I852" i="17" s="1"/>
  <c r="P851" i="17"/>
  <c r="F851" i="17"/>
  <c r="I851" i="17" s="1"/>
  <c r="P850" i="17"/>
  <c r="I850" i="17"/>
  <c r="F850" i="17"/>
  <c r="P849" i="17"/>
  <c r="I849" i="17"/>
  <c r="F849" i="17"/>
  <c r="P848" i="17"/>
  <c r="F848" i="17"/>
  <c r="I848" i="17" s="1"/>
  <c r="P847" i="17"/>
  <c r="F847" i="17"/>
  <c r="H846" i="17"/>
  <c r="H855" i="17" s="1"/>
  <c r="G846" i="17"/>
  <c r="D846" i="17"/>
  <c r="D855" i="17" s="1"/>
  <c r="P845" i="17"/>
  <c r="F845" i="17"/>
  <c r="I845" i="17" s="1"/>
  <c r="P844" i="17"/>
  <c r="F844" i="17"/>
  <c r="I844" i="17" s="1"/>
  <c r="P843" i="17"/>
  <c r="F843" i="17"/>
  <c r="I843" i="17" s="1"/>
  <c r="P842" i="17"/>
  <c r="F842" i="17"/>
  <c r="I842" i="17" s="1"/>
  <c r="P841" i="17"/>
  <c r="F841" i="17"/>
  <c r="F1570" i="13"/>
  <c r="F1569" i="13"/>
  <c r="F1567" i="13"/>
  <c r="F1566" i="13"/>
  <c r="I1566" i="13" s="1"/>
  <c r="F1565" i="13"/>
  <c r="F1563" i="13"/>
  <c r="F1562" i="13"/>
  <c r="I1562" i="13" s="1"/>
  <c r="F1561" i="13"/>
  <c r="F1560" i="13"/>
  <c r="I1560" i="13" s="1"/>
  <c r="F1559" i="13"/>
  <c r="I1559" i="13" s="1"/>
  <c r="F1557" i="13"/>
  <c r="F1556" i="13"/>
  <c r="I1556" i="13" s="1"/>
  <c r="F1554" i="13"/>
  <c r="F1553" i="13"/>
  <c r="I1553" i="13" s="1"/>
  <c r="F1552" i="13"/>
  <c r="F1551" i="13"/>
  <c r="I1551" i="13" s="1"/>
  <c r="F1549" i="13"/>
  <c r="F1548" i="13"/>
  <c r="I1548" i="13" s="1"/>
  <c r="F1547" i="13"/>
  <c r="F1544" i="13"/>
  <c r="F1541" i="13"/>
  <c r="F1540" i="13"/>
  <c r="I1540" i="13" s="1"/>
  <c r="F1539" i="13"/>
  <c r="F1537" i="13"/>
  <c r="I1537" i="13" s="1"/>
  <c r="F1536" i="13"/>
  <c r="I1536" i="13" s="1"/>
  <c r="F1535" i="13"/>
  <c r="F1532" i="13"/>
  <c r="F1531" i="13"/>
  <c r="I1531" i="13" s="1"/>
  <c r="F1530" i="13"/>
  <c r="F1528" i="13"/>
  <c r="F1527" i="13"/>
  <c r="I1527" i="13" s="1"/>
  <c r="F1526" i="13"/>
  <c r="F1525" i="13"/>
  <c r="I1525" i="13" s="1"/>
  <c r="F1524" i="13"/>
  <c r="F1523" i="13"/>
  <c r="I1523" i="13" s="1"/>
  <c r="F1522" i="13"/>
  <c r="F1521" i="13"/>
  <c r="I1521" i="13" s="1"/>
  <c r="F1520" i="13"/>
  <c r="F1516" i="13"/>
  <c r="F1515" i="13"/>
  <c r="I1515" i="13" s="1"/>
  <c r="F1514" i="13"/>
  <c r="F1513" i="13"/>
  <c r="I1513" i="13" s="1"/>
  <c r="F1512" i="13"/>
  <c r="F1511" i="13"/>
  <c r="I1511" i="13" s="1"/>
  <c r="F1510" i="13"/>
  <c r="I1510" i="13" s="1"/>
  <c r="F1509" i="13"/>
  <c r="I1509" i="13" s="1"/>
  <c r="F1507" i="13"/>
  <c r="F1506" i="13"/>
  <c r="I1506" i="13" s="1"/>
  <c r="F1505" i="13"/>
  <c r="F1504" i="13"/>
  <c r="I1504" i="13" s="1"/>
  <c r="F1501" i="13"/>
  <c r="F1500" i="13"/>
  <c r="I1500" i="13" s="1"/>
  <c r="F1499" i="13"/>
  <c r="F1497" i="13"/>
  <c r="F1496" i="13"/>
  <c r="I1496" i="13" s="1"/>
  <c r="F1495" i="13"/>
  <c r="F1493" i="13"/>
  <c r="F1492" i="13"/>
  <c r="I1492" i="13" s="1"/>
  <c r="F1491" i="13"/>
  <c r="F1490" i="13"/>
  <c r="I1490" i="13" s="1"/>
  <c r="F1489" i="13"/>
  <c r="F1488" i="13"/>
  <c r="I1488" i="13" s="1"/>
  <c r="F1487" i="13"/>
  <c r="F1485" i="13"/>
  <c r="F1484" i="13"/>
  <c r="I1484" i="13" s="1"/>
  <c r="F1483" i="13"/>
  <c r="F1482" i="13"/>
  <c r="I1482" i="13" s="1"/>
  <c r="F1481" i="13"/>
  <c r="F1480" i="13"/>
  <c r="I1480" i="13" s="1"/>
  <c r="F1479" i="13"/>
  <c r="F1477" i="13"/>
  <c r="F1476" i="13"/>
  <c r="F1475" i="13"/>
  <c r="F1474" i="13"/>
  <c r="J1571" i="13"/>
  <c r="I1571" i="13"/>
  <c r="F1571" i="13"/>
  <c r="I1567" i="13"/>
  <c r="I1565" i="13"/>
  <c r="I1563" i="13"/>
  <c r="I1561" i="13"/>
  <c r="I1557" i="13"/>
  <c r="I1554" i="13"/>
  <c r="I1552" i="13"/>
  <c r="I1549" i="13"/>
  <c r="I1547" i="13"/>
  <c r="I1544" i="13"/>
  <c r="I1541" i="13"/>
  <c r="I1539" i="13"/>
  <c r="I1535" i="13"/>
  <c r="I1532" i="13"/>
  <c r="I1530" i="13"/>
  <c r="I1528" i="13"/>
  <c r="I1526" i="13"/>
  <c r="I1524" i="13"/>
  <c r="I1522" i="13"/>
  <c r="I1520" i="13"/>
  <c r="I1516" i="13"/>
  <c r="I1514" i="13"/>
  <c r="I1512" i="13"/>
  <c r="I1507" i="13"/>
  <c r="I1505" i="13"/>
  <c r="I1501" i="13"/>
  <c r="I1499" i="13"/>
  <c r="I1497" i="13"/>
  <c r="I1495" i="13"/>
  <c r="I1493" i="13"/>
  <c r="I1491" i="13"/>
  <c r="I1489" i="13"/>
  <c r="I1487" i="13"/>
  <c r="I1485" i="13"/>
  <c r="I1483" i="13"/>
  <c r="I1481" i="13"/>
  <c r="I1479" i="13"/>
  <c r="I1477" i="13"/>
  <c r="I1476" i="13"/>
  <c r="I1475" i="13"/>
  <c r="I1474" i="13"/>
  <c r="F1559" i="1"/>
  <c r="F1560" i="1" s="1"/>
  <c r="E1559" i="1"/>
  <c r="E1560" i="1" s="1"/>
  <c r="I1558" i="1"/>
  <c r="H1558" i="1"/>
  <c r="G1557" i="1"/>
  <c r="J1557" i="1" s="1"/>
  <c r="G1556" i="1"/>
  <c r="G1558" i="1" s="1"/>
  <c r="J1558" i="1" s="1"/>
  <c r="I1555" i="1"/>
  <c r="H1555" i="1"/>
  <c r="G1554" i="1"/>
  <c r="J1554" i="1" s="1"/>
  <c r="G1553" i="1"/>
  <c r="J1553" i="1" s="1"/>
  <c r="G1552" i="1"/>
  <c r="G1555" i="1" s="1"/>
  <c r="J1555" i="1" s="1"/>
  <c r="I1551" i="1"/>
  <c r="H1551" i="1"/>
  <c r="G1550" i="1"/>
  <c r="J1550" i="1" s="1"/>
  <c r="G1549" i="1"/>
  <c r="J1549" i="1" s="1"/>
  <c r="G1548" i="1"/>
  <c r="J1548" i="1" s="1"/>
  <c r="G1547" i="1"/>
  <c r="J1547" i="1" s="1"/>
  <c r="G1546" i="1"/>
  <c r="J1546" i="1" s="1"/>
  <c r="I1545" i="1"/>
  <c r="H1545" i="1"/>
  <c r="G1544" i="1"/>
  <c r="J1544" i="1" s="1"/>
  <c r="G1543" i="1"/>
  <c r="J1543" i="1" s="1"/>
  <c r="I1542" i="1"/>
  <c r="H1542" i="1"/>
  <c r="G1541" i="1"/>
  <c r="J1541" i="1" s="1"/>
  <c r="G1540" i="1"/>
  <c r="J1540" i="1" s="1"/>
  <c r="G1539" i="1"/>
  <c r="J1539" i="1" s="1"/>
  <c r="G1538" i="1"/>
  <c r="J1538" i="1" s="1"/>
  <c r="I1537" i="1"/>
  <c r="H1537" i="1"/>
  <c r="H1559" i="1" s="1"/>
  <c r="H1560" i="1" s="1"/>
  <c r="G1536" i="1"/>
  <c r="J1536" i="1" s="1"/>
  <c r="G1535" i="1"/>
  <c r="J1535" i="1" s="1"/>
  <c r="G1534" i="1"/>
  <c r="G1537" i="1" s="1"/>
  <c r="F1532" i="1"/>
  <c r="F1533" i="1" s="1"/>
  <c r="E1532" i="1"/>
  <c r="E1533" i="1" s="1"/>
  <c r="G1531" i="1"/>
  <c r="J1531" i="1" s="1"/>
  <c r="G1528" i="1"/>
  <c r="J1528" i="1" s="1"/>
  <c r="I1529" i="1"/>
  <c r="H1529" i="1"/>
  <c r="G1527" i="1"/>
  <c r="G1526" i="1"/>
  <c r="J1526" i="1" s="1"/>
  <c r="I1525" i="1"/>
  <c r="H1525" i="1"/>
  <c r="G1524" i="1"/>
  <c r="J1524" i="1" s="1"/>
  <c r="G1523" i="1"/>
  <c r="J1523" i="1" s="1"/>
  <c r="G1522" i="1"/>
  <c r="I1520" i="1"/>
  <c r="G1519" i="1"/>
  <c r="J1519" i="1" s="1"/>
  <c r="H1520" i="1"/>
  <c r="G1517" i="1"/>
  <c r="I1516" i="1"/>
  <c r="H1516" i="1"/>
  <c r="G1515" i="1"/>
  <c r="J1515" i="1" s="1"/>
  <c r="J1514" i="1"/>
  <c r="G1514" i="1"/>
  <c r="G1513" i="1"/>
  <c r="J1513" i="1" s="1"/>
  <c r="J1512" i="1"/>
  <c r="G1512" i="1"/>
  <c r="G1511" i="1"/>
  <c r="J1511" i="1" s="1"/>
  <c r="G1510" i="1"/>
  <c r="J1510" i="1" s="1"/>
  <c r="G1509" i="1"/>
  <c r="J1509" i="1" s="1"/>
  <c r="G1508" i="1"/>
  <c r="J1508" i="1" s="1"/>
  <c r="G1507" i="1"/>
  <c r="J1507" i="1" s="1"/>
  <c r="F1505" i="1"/>
  <c r="E1505" i="1"/>
  <c r="C16" i="15" s="1"/>
  <c r="I1504" i="1"/>
  <c r="H1504" i="1"/>
  <c r="G1503" i="1"/>
  <c r="J1503" i="1" s="1"/>
  <c r="G1502" i="1"/>
  <c r="J1502" i="1" s="1"/>
  <c r="J1501" i="1"/>
  <c r="G1501" i="1"/>
  <c r="G1500" i="1"/>
  <c r="J1500" i="1" s="1"/>
  <c r="G1499" i="1"/>
  <c r="J1499" i="1" s="1"/>
  <c r="G1498" i="1"/>
  <c r="J1498" i="1" s="1"/>
  <c r="G1497" i="1"/>
  <c r="J1497" i="1" s="1"/>
  <c r="G1496" i="1"/>
  <c r="I1495" i="1"/>
  <c r="H1495" i="1"/>
  <c r="G1494" i="1"/>
  <c r="J1494" i="1" s="1"/>
  <c r="G1493" i="1"/>
  <c r="J1493" i="1" s="1"/>
  <c r="G1492" i="1"/>
  <c r="J1492" i="1" s="1"/>
  <c r="G1491" i="1"/>
  <c r="J1491" i="1" s="1"/>
  <c r="I1489" i="1"/>
  <c r="H1489" i="1"/>
  <c r="E1489" i="1"/>
  <c r="J1488" i="1"/>
  <c r="G1488" i="1"/>
  <c r="G1487" i="1"/>
  <c r="J1487" i="1" s="1"/>
  <c r="G1486" i="1"/>
  <c r="I1485" i="1"/>
  <c r="H1485" i="1"/>
  <c r="F1485" i="1"/>
  <c r="F1490" i="1" s="1"/>
  <c r="F1506" i="1" s="1"/>
  <c r="F1561" i="1" s="1"/>
  <c r="E1485" i="1"/>
  <c r="G1484" i="1"/>
  <c r="G1483" i="1"/>
  <c r="J1483" i="1" s="1"/>
  <c r="G1482" i="1"/>
  <c r="J1482" i="1" s="1"/>
  <c r="I1481" i="1"/>
  <c r="H1481" i="1"/>
  <c r="E1481" i="1"/>
  <c r="G1480" i="1"/>
  <c r="J1480" i="1" s="1"/>
  <c r="G1479" i="1"/>
  <c r="J1479" i="1" s="1"/>
  <c r="G1478" i="1"/>
  <c r="J1478" i="1" s="1"/>
  <c r="G1477" i="1"/>
  <c r="J1477" i="1" s="1"/>
  <c r="G1476" i="1"/>
  <c r="J1476" i="1" s="1"/>
  <c r="G1475" i="1"/>
  <c r="J1475" i="1" s="1"/>
  <c r="G1474" i="1"/>
  <c r="G1481" i="1" s="1"/>
  <c r="J1481" i="1" s="1"/>
  <c r="I1473" i="1"/>
  <c r="H1473" i="1"/>
  <c r="G1472" i="1"/>
  <c r="J1472" i="1" s="1"/>
  <c r="G1471" i="1"/>
  <c r="J1471" i="1" s="1"/>
  <c r="G1470" i="1"/>
  <c r="J1470" i="1" s="1"/>
  <c r="J1469" i="1"/>
  <c r="G1469" i="1"/>
  <c r="J1468" i="1"/>
  <c r="G1468" i="1"/>
  <c r="G1467" i="1"/>
  <c r="J1467" i="1" s="1"/>
  <c r="G1466" i="1"/>
  <c r="I1465" i="1"/>
  <c r="I1490" i="1" s="1"/>
  <c r="H1465" i="1"/>
  <c r="H1490" i="1" s="1"/>
  <c r="G1464" i="1"/>
  <c r="J1464" i="1" s="1"/>
  <c r="G1463" i="1"/>
  <c r="J1463" i="1" s="1"/>
  <c r="J1462" i="1"/>
  <c r="G1462" i="1"/>
  <c r="J1461" i="1"/>
  <c r="G1461" i="1"/>
  <c r="G1465" i="1" s="1"/>
  <c r="I1558" i="13" l="1"/>
  <c r="G1489" i="1"/>
  <c r="J1489" i="1" s="1"/>
  <c r="G1529" i="1"/>
  <c r="J1529" i="1" s="1"/>
  <c r="P854" i="17"/>
  <c r="J1474" i="1"/>
  <c r="G1485" i="1"/>
  <c r="J1485" i="1" s="1"/>
  <c r="H1521" i="1"/>
  <c r="F1478" i="13"/>
  <c r="E1490" i="1"/>
  <c r="I1521" i="1"/>
  <c r="I1508" i="13"/>
  <c r="H1111" i="16"/>
  <c r="H1095" i="16"/>
  <c r="J1610" i="1"/>
  <c r="G1637" i="1"/>
  <c r="G1665" i="1" s="1"/>
  <c r="J1665" i="1" s="1"/>
  <c r="J1636" i="1"/>
  <c r="J1637" i="1" s="1"/>
  <c r="E1506" i="1"/>
  <c r="E1561" i="1" s="1"/>
  <c r="I1505" i="1"/>
  <c r="I1506" i="1" s="1"/>
  <c r="H1505" i="1"/>
  <c r="G1495" i="1"/>
  <c r="H1107" i="16"/>
  <c r="G1545" i="1"/>
  <c r="J1545" i="1" s="1"/>
  <c r="O307" i="14"/>
  <c r="N307" i="14" s="1"/>
  <c r="M307" i="14"/>
  <c r="O311" i="14"/>
  <c r="N311" i="14" s="1"/>
  <c r="M311" i="14"/>
  <c r="O306" i="14"/>
  <c r="N306" i="14" s="1"/>
  <c r="M306" i="14"/>
  <c r="M310" i="14"/>
  <c r="O310" i="14"/>
  <c r="N310" i="14" s="1"/>
  <c r="M305" i="14"/>
  <c r="O305" i="14"/>
  <c r="N305" i="14" s="1"/>
  <c r="M309" i="14"/>
  <c r="O309" i="14"/>
  <c r="N309" i="14" s="1"/>
  <c r="O313" i="14"/>
  <c r="N313" i="14" s="1"/>
  <c r="M313" i="14"/>
  <c r="M315" i="14"/>
  <c r="O315" i="14"/>
  <c r="N315" i="14" s="1"/>
  <c r="O314" i="14"/>
  <c r="N314" i="14" s="1"/>
  <c r="M314" i="14"/>
  <c r="O304" i="14"/>
  <c r="N304" i="14" s="1"/>
  <c r="M304" i="14"/>
  <c r="O308" i="14"/>
  <c r="N308" i="14" s="1"/>
  <c r="M308" i="14"/>
  <c r="M312" i="14"/>
  <c r="O312" i="14"/>
  <c r="N312" i="14" s="1"/>
  <c r="O316" i="14"/>
  <c r="N316" i="14" s="1"/>
  <c r="M316" i="14"/>
  <c r="O301" i="14"/>
  <c r="N301" i="14" s="1"/>
  <c r="C302" i="14"/>
  <c r="N302" i="14" s="1"/>
  <c r="P302" i="14" s="1"/>
  <c r="O303" i="14"/>
  <c r="N303" i="14" s="1"/>
  <c r="H1155" i="16"/>
  <c r="H1113" i="16"/>
  <c r="P895" i="17"/>
  <c r="P896" i="17" s="1"/>
  <c r="F854" i="17"/>
  <c r="I854" i="17" s="1"/>
  <c r="G855" i="17"/>
  <c r="G897" i="17" s="1"/>
  <c r="I847" i="17"/>
  <c r="F846" i="17"/>
  <c r="I846" i="17" s="1"/>
  <c r="F855" i="17"/>
  <c r="I855" i="17" s="1"/>
  <c r="H897" i="17"/>
  <c r="D897" i="17"/>
  <c r="I841" i="17"/>
  <c r="F863" i="17"/>
  <c r="I863" i="17" s="1"/>
  <c r="F864" i="17"/>
  <c r="I864" i="17" s="1"/>
  <c r="P846" i="17"/>
  <c r="P863" i="17"/>
  <c r="P864" i="17" s="1"/>
  <c r="F865" i="17"/>
  <c r="I865" i="17" s="1"/>
  <c r="F883" i="17"/>
  <c r="I883" i="17" s="1"/>
  <c r="F889" i="17"/>
  <c r="I889" i="17" s="1"/>
  <c r="I1533" i="13"/>
  <c r="I1529" i="13"/>
  <c r="I1486" i="13"/>
  <c r="F1486" i="13"/>
  <c r="I1478" i="13"/>
  <c r="F1494" i="13"/>
  <c r="F1498" i="13"/>
  <c r="F1502" i="13"/>
  <c r="F1508" i="13"/>
  <c r="F1538" i="13"/>
  <c r="F1542" i="13"/>
  <c r="F1550" i="13"/>
  <c r="F1558" i="13"/>
  <c r="F1564" i="13"/>
  <c r="F1568" i="13"/>
  <c r="I1502" i="13"/>
  <c r="I1517" i="13"/>
  <c r="I1518" i="13" s="1"/>
  <c r="F1517" i="13"/>
  <c r="F1529" i="13"/>
  <c r="F1533" i="13"/>
  <c r="I1538" i="13"/>
  <c r="I1542" i="13"/>
  <c r="I1550" i="13"/>
  <c r="I1555" i="13"/>
  <c r="F1555" i="13"/>
  <c r="I1564" i="13"/>
  <c r="I1568" i="13"/>
  <c r="I1494" i="13"/>
  <c r="I1498" i="13"/>
  <c r="I1559" i="1"/>
  <c r="I1560" i="1" s="1"/>
  <c r="H1530" i="1"/>
  <c r="H1532" i="1" s="1"/>
  <c r="H1533" i="1" s="1"/>
  <c r="J1527" i="1"/>
  <c r="I1530" i="1"/>
  <c r="I1532" i="1" s="1"/>
  <c r="I1533" i="1" s="1"/>
  <c r="G1525" i="1"/>
  <c r="G1530" i="1" s="1"/>
  <c r="J1530" i="1" s="1"/>
  <c r="G1504" i="1"/>
  <c r="J1504" i="1" s="1"/>
  <c r="H1506" i="1"/>
  <c r="J1465" i="1"/>
  <c r="G1473" i="1"/>
  <c r="J1473" i="1" s="1"/>
  <c r="J1495" i="1"/>
  <c r="J1525" i="1"/>
  <c r="J1537" i="1"/>
  <c r="J1517" i="1"/>
  <c r="J1496" i="1"/>
  <c r="J1522" i="1"/>
  <c r="J1466" i="1"/>
  <c r="J1486" i="1"/>
  <c r="G1516" i="1"/>
  <c r="J1534" i="1"/>
  <c r="G1551" i="1"/>
  <c r="J1551" i="1" s="1"/>
  <c r="G1518" i="1"/>
  <c r="J1518" i="1" s="1"/>
  <c r="J1556" i="1"/>
  <c r="G1542" i="1"/>
  <c r="J1542" i="1" s="1"/>
  <c r="J1552" i="1"/>
  <c r="D284" i="14"/>
  <c r="E286" i="14"/>
  <c r="G1505" i="1" l="1"/>
  <c r="J1505" i="1" s="1"/>
  <c r="P855" i="17"/>
  <c r="H1561" i="1"/>
  <c r="F1503" i="13"/>
  <c r="P312" i="14"/>
  <c r="R312" i="14"/>
  <c r="Q312" i="14"/>
  <c r="R301" i="14"/>
  <c r="Q301" i="14"/>
  <c r="S301" i="14" s="1"/>
  <c r="P301" i="14"/>
  <c r="T301" i="14" s="1"/>
  <c r="P304" i="14"/>
  <c r="R304" i="14"/>
  <c r="Q304" i="14"/>
  <c r="P305" i="14"/>
  <c r="R305" i="14"/>
  <c r="Q305" i="14"/>
  <c r="S305" i="14" s="1"/>
  <c r="P311" i="14"/>
  <c r="T311" i="14" s="1"/>
  <c r="Q311" i="14"/>
  <c r="S311" i="14" s="1"/>
  <c r="R311" i="14"/>
  <c r="P314" i="14"/>
  <c r="R314" i="14"/>
  <c r="Q314" i="14"/>
  <c r="P313" i="14"/>
  <c r="R313" i="14"/>
  <c r="Q313" i="14"/>
  <c r="T305" i="14"/>
  <c r="P306" i="14"/>
  <c r="Q306" i="14"/>
  <c r="R306" i="14"/>
  <c r="Q303" i="14"/>
  <c r="P303" i="14"/>
  <c r="R303" i="14"/>
  <c r="P316" i="14"/>
  <c r="Q316" i="14"/>
  <c r="R316" i="14"/>
  <c r="P308" i="14"/>
  <c r="Q308" i="14"/>
  <c r="R308" i="14"/>
  <c r="P315" i="14"/>
  <c r="R315" i="14"/>
  <c r="Q315" i="14"/>
  <c r="P309" i="14"/>
  <c r="Q309" i="14"/>
  <c r="R309" i="14"/>
  <c r="P310" i="14"/>
  <c r="R310" i="14"/>
  <c r="Q310" i="14"/>
  <c r="P307" i="14"/>
  <c r="R307" i="14"/>
  <c r="Q307" i="14"/>
  <c r="F895" i="17"/>
  <c r="P897" i="17"/>
  <c r="F1572" i="13"/>
  <c r="F1573" i="13" s="1"/>
  <c r="I1534" i="13"/>
  <c r="F1518" i="13"/>
  <c r="I1503" i="13"/>
  <c r="I1519" i="13" s="1"/>
  <c r="I1572" i="13"/>
  <c r="I1573" i="13" s="1"/>
  <c r="F1534" i="13"/>
  <c r="F1543" i="13"/>
  <c r="I1543" i="13"/>
  <c r="I1561" i="1"/>
  <c r="G1490" i="1"/>
  <c r="G1506" i="1" s="1"/>
  <c r="J1516" i="1"/>
  <c r="G1559" i="1"/>
  <c r="G1520" i="1"/>
  <c r="J1520" i="1" s="1"/>
  <c r="J1490" i="1"/>
  <c r="H1423" i="1"/>
  <c r="I1414" i="1"/>
  <c r="H1414" i="1"/>
  <c r="I1415" i="1"/>
  <c r="H1415" i="1"/>
  <c r="S303" i="14" l="1"/>
  <c r="T303" i="14" s="1"/>
  <c r="S315" i="14"/>
  <c r="T315" i="14" s="1"/>
  <c r="S314" i="14"/>
  <c r="T314" i="14" s="1"/>
  <c r="S312" i="14"/>
  <c r="T312" i="14" s="1"/>
  <c r="S309" i="14"/>
  <c r="T309" i="14" s="1"/>
  <c r="S306" i="14"/>
  <c r="T306" i="14" s="1"/>
  <c r="F1519" i="13"/>
  <c r="I1545" i="13"/>
  <c r="I1546" i="13" s="1"/>
  <c r="I1574" i="13" s="1"/>
  <c r="S307" i="14"/>
  <c r="T307" i="14" s="1"/>
  <c r="S304" i="14"/>
  <c r="T304" i="14" s="1"/>
  <c r="S308" i="14"/>
  <c r="T308" i="14" s="1"/>
  <c r="S313" i="14"/>
  <c r="T313" i="14" s="1"/>
  <c r="Q302" i="14"/>
  <c r="R302" i="14"/>
  <c r="S316" i="14"/>
  <c r="T316" i="14" s="1"/>
  <c r="S310" i="14"/>
  <c r="T310" i="14" s="1"/>
  <c r="I895" i="17"/>
  <c r="F896" i="17"/>
  <c r="F1545" i="13"/>
  <c r="F1546" i="13" s="1"/>
  <c r="F1574" i="13" s="1"/>
  <c r="J1506" i="1"/>
  <c r="G1560" i="1"/>
  <c r="J1559" i="1"/>
  <c r="J1560" i="1" s="1"/>
  <c r="G1521" i="1"/>
  <c r="H829" i="17"/>
  <c r="G829" i="17"/>
  <c r="H823" i="17"/>
  <c r="G823" i="17"/>
  <c r="P811" i="17"/>
  <c r="L811" i="17"/>
  <c r="L871" i="17" s="1"/>
  <c r="L931" i="17" s="1"/>
  <c r="L991" i="17" s="1"/>
  <c r="L1051" i="17" s="1"/>
  <c r="L1111" i="17" s="1"/>
  <c r="L1171" i="17" s="1"/>
  <c r="L1231" i="17" s="1"/>
  <c r="L1291" i="17" s="1"/>
  <c r="K811" i="17"/>
  <c r="K871" i="17" s="1"/>
  <c r="F811" i="17"/>
  <c r="H805" i="17"/>
  <c r="G805" i="17"/>
  <c r="S302" i="14" l="1"/>
  <c r="T302" i="14" s="1"/>
  <c r="K931" i="17"/>
  <c r="Q871" i="17"/>
  <c r="J871" i="17"/>
  <c r="N871" i="17" s="1"/>
  <c r="I896" i="17"/>
  <c r="F897" i="17"/>
  <c r="I897" i="17" s="1"/>
  <c r="J1521" i="1"/>
  <c r="G1532" i="1"/>
  <c r="J811" i="17"/>
  <c r="N811" i="17" s="1"/>
  <c r="Q811" i="17"/>
  <c r="E1014" i="16"/>
  <c r="Q931" i="17" l="1"/>
  <c r="K991" i="17"/>
  <c r="J931" i="17"/>
  <c r="N931" i="17" s="1"/>
  <c r="G1533" i="1"/>
  <c r="G1561" i="1" s="1"/>
  <c r="J1561" i="1" s="1"/>
  <c r="J1532" i="1"/>
  <c r="J1533" i="1" s="1"/>
  <c r="L298" i="14"/>
  <c r="K298" i="14" s="1"/>
  <c r="G298" i="14"/>
  <c r="C298" i="14"/>
  <c r="L297" i="14"/>
  <c r="K297" i="14" s="1"/>
  <c r="G297" i="14"/>
  <c r="C297" i="14"/>
  <c r="L296" i="14"/>
  <c r="K296" i="14" s="1"/>
  <c r="G296" i="14"/>
  <c r="C296" i="14"/>
  <c r="L295" i="14"/>
  <c r="K295" i="14" s="1"/>
  <c r="G295" i="14"/>
  <c r="C295" i="14"/>
  <c r="L294" i="14"/>
  <c r="K294" i="14" s="1"/>
  <c r="G294" i="14"/>
  <c r="C294" i="14"/>
  <c r="L293" i="14"/>
  <c r="K293" i="14" s="1"/>
  <c r="G293" i="14"/>
  <c r="C293" i="14"/>
  <c r="L292" i="14"/>
  <c r="K292" i="14" s="1"/>
  <c r="G292" i="14"/>
  <c r="C292" i="14"/>
  <c r="L291" i="14"/>
  <c r="K291" i="14" s="1"/>
  <c r="G291" i="14"/>
  <c r="C291" i="14"/>
  <c r="L290" i="14"/>
  <c r="K290" i="14" s="1"/>
  <c r="G290" i="14"/>
  <c r="C290" i="14"/>
  <c r="L289" i="14"/>
  <c r="K289" i="14" s="1"/>
  <c r="G289" i="14"/>
  <c r="C289" i="14"/>
  <c r="L288" i="14"/>
  <c r="K288" i="14" s="1"/>
  <c r="G288" i="14"/>
  <c r="C288" i="14"/>
  <c r="L287" i="14"/>
  <c r="K287" i="14" s="1"/>
  <c r="G287" i="14"/>
  <c r="C287" i="14"/>
  <c r="L286" i="14"/>
  <c r="K286" i="14" s="1"/>
  <c r="G286" i="14"/>
  <c r="C286" i="14"/>
  <c r="L285" i="14"/>
  <c r="K285" i="14" s="1"/>
  <c r="G285" i="14"/>
  <c r="C285" i="14"/>
  <c r="L284" i="14"/>
  <c r="K284" i="14" s="1"/>
  <c r="G284" i="14"/>
  <c r="C284" i="14"/>
  <c r="L283" i="14"/>
  <c r="K283" i="14" s="1"/>
  <c r="G283" i="14"/>
  <c r="C283" i="14"/>
  <c r="Q991" i="17" l="1"/>
  <c r="K1051" i="17"/>
  <c r="J991" i="17"/>
  <c r="N991" i="17" s="1"/>
  <c r="O285" i="14"/>
  <c r="N285" i="14" s="1"/>
  <c r="M285" i="14"/>
  <c r="M293" i="14"/>
  <c r="O293" i="14"/>
  <c r="N293" i="14" s="1"/>
  <c r="O288" i="14"/>
  <c r="N288" i="14" s="1"/>
  <c r="M288" i="14"/>
  <c r="O292" i="14"/>
  <c r="N292" i="14" s="1"/>
  <c r="M292" i="14"/>
  <c r="O296" i="14"/>
  <c r="N296" i="14" s="1"/>
  <c r="M296" i="14"/>
  <c r="O289" i="14"/>
  <c r="N289" i="14" s="1"/>
  <c r="M289" i="14"/>
  <c r="O284" i="14"/>
  <c r="N284" i="14" s="1"/>
  <c r="M284" i="14"/>
  <c r="O283" i="14"/>
  <c r="N283" i="14" s="1"/>
  <c r="M283" i="14"/>
  <c r="O287" i="14"/>
  <c r="N287" i="14" s="1"/>
  <c r="M287" i="14"/>
  <c r="O291" i="14"/>
  <c r="N291" i="14" s="1"/>
  <c r="M291" i="14"/>
  <c r="O295" i="14"/>
  <c r="N295" i="14" s="1"/>
  <c r="M295" i="14"/>
  <c r="O297" i="14"/>
  <c r="N297" i="14" s="1"/>
  <c r="M297" i="14"/>
  <c r="O286" i="14"/>
  <c r="N286" i="14" s="1"/>
  <c r="M286" i="14"/>
  <c r="O290" i="14"/>
  <c r="N290" i="14" s="1"/>
  <c r="M290" i="14"/>
  <c r="O294" i="14"/>
  <c r="N294" i="14" s="1"/>
  <c r="M294" i="14"/>
  <c r="O298" i="14"/>
  <c r="N298" i="14" s="1"/>
  <c r="M298" i="14"/>
  <c r="H1072" i="16"/>
  <c r="H1071" i="16"/>
  <c r="H1070" i="16"/>
  <c r="H1069" i="16"/>
  <c r="H1068" i="16"/>
  <c r="H1067" i="16"/>
  <c r="H1066" i="16"/>
  <c r="H1065" i="16"/>
  <c r="H1064" i="16"/>
  <c r="H1063" i="16"/>
  <c r="H1062" i="16"/>
  <c r="H1061" i="16"/>
  <c r="H1060" i="16"/>
  <c r="H1059" i="16"/>
  <c r="H1058" i="16"/>
  <c r="H1057" i="16"/>
  <c r="H1056" i="16"/>
  <c r="H1055" i="16"/>
  <c r="H1054" i="16"/>
  <c r="H1053" i="16"/>
  <c r="H1051" i="16"/>
  <c r="H1050" i="16"/>
  <c r="H1049" i="16"/>
  <c r="H1048" i="16"/>
  <c r="H1047" i="16"/>
  <c r="H1046" i="16"/>
  <c r="H1045" i="16"/>
  <c r="H1044" i="16"/>
  <c r="H1043" i="16"/>
  <c r="H1042" i="16"/>
  <c r="H1041" i="16"/>
  <c r="H1040" i="16"/>
  <c r="H1039" i="16"/>
  <c r="H1038" i="16"/>
  <c r="H1037" i="16"/>
  <c r="H1036" i="16"/>
  <c r="H1035" i="16"/>
  <c r="H1034" i="16"/>
  <c r="H1033" i="16"/>
  <c r="H1032" i="16"/>
  <c r="I1030" i="16"/>
  <c r="H1028" i="16"/>
  <c r="H1027" i="16"/>
  <c r="H1026" i="16"/>
  <c r="H1024" i="16"/>
  <c r="H1023" i="16"/>
  <c r="H1022" i="16"/>
  <c r="H1021" i="16"/>
  <c r="H1020" i="16"/>
  <c r="H1019" i="16"/>
  <c r="H1018" i="16"/>
  <c r="H1017" i="16"/>
  <c r="H1016" i="16"/>
  <c r="H1015" i="16"/>
  <c r="H1014" i="16"/>
  <c r="H1012" i="16"/>
  <c r="H1011" i="16"/>
  <c r="H1010" i="16"/>
  <c r="H1009" i="16"/>
  <c r="H1008" i="16"/>
  <c r="H1007" i="16"/>
  <c r="H1006" i="16"/>
  <c r="H1005" i="16"/>
  <c r="H1004" i="16"/>
  <c r="H1003" i="16"/>
  <c r="H1002" i="16"/>
  <c r="H1001" i="16"/>
  <c r="H1000" i="16"/>
  <c r="H999" i="16"/>
  <c r="E836" i="17"/>
  <c r="E837" i="17" s="1"/>
  <c r="H835" i="17"/>
  <c r="H836" i="17" s="1"/>
  <c r="G835" i="17"/>
  <c r="G836" i="17" s="1"/>
  <c r="D835" i="17"/>
  <c r="D836" i="17" s="1"/>
  <c r="P834" i="17"/>
  <c r="F834" i="17"/>
  <c r="I834" i="17" s="1"/>
  <c r="P833" i="17"/>
  <c r="F833" i="17"/>
  <c r="I833" i="17" s="1"/>
  <c r="P832" i="17"/>
  <c r="F832" i="17"/>
  <c r="I832" i="17" s="1"/>
  <c r="P831" i="17"/>
  <c r="F831" i="17"/>
  <c r="I831" i="17" s="1"/>
  <c r="P830" i="17"/>
  <c r="F830" i="17"/>
  <c r="I830" i="17" s="1"/>
  <c r="P829" i="17"/>
  <c r="F829" i="17"/>
  <c r="I829" i="17" s="1"/>
  <c r="P828" i="17"/>
  <c r="F828" i="17"/>
  <c r="I828" i="17" s="1"/>
  <c r="P827" i="17"/>
  <c r="F827" i="17"/>
  <c r="I827" i="17" s="1"/>
  <c r="P826" i="17"/>
  <c r="F826" i="17"/>
  <c r="I826" i="17" s="1"/>
  <c r="P825" i="17"/>
  <c r="F825" i="17"/>
  <c r="I825" i="17" s="1"/>
  <c r="P824" i="17"/>
  <c r="F824" i="17"/>
  <c r="I824" i="17" s="1"/>
  <c r="P823" i="17"/>
  <c r="F823" i="17"/>
  <c r="I823" i="17" s="1"/>
  <c r="P822" i="17"/>
  <c r="F822" i="17"/>
  <c r="I822" i="17" s="1"/>
  <c r="P821" i="17"/>
  <c r="F821" i="17"/>
  <c r="I821" i="17" s="1"/>
  <c r="P820" i="17"/>
  <c r="F820" i="17"/>
  <c r="I820" i="17" s="1"/>
  <c r="P819" i="17"/>
  <c r="F819" i="17"/>
  <c r="I819" i="17" s="1"/>
  <c r="P818" i="17"/>
  <c r="F818" i="17"/>
  <c r="I818" i="17" s="1"/>
  <c r="P817" i="17"/>
  <c r="F817" i="17"/>
  <c r="I817" i="17" s="1"/>
  <c r="P816" i="17"/>
  <c r="F816" i="17"/>
  <c r="I816" i="17" s="1"/>
  <c r="P815" i="17"/>
  <c r="F815" i="17"/>
  <c r="I815" i="17" s="1"/>
  <c r="P814" i="17"/>
  <c r="F814" i="17"/>
  <c r="I814" i="17" s="1"/>
  <c r="P813" i="17"/>
  <c r="F813" i="17"/>
  <c r="I813" i="17" s="1"/>
  <c r="P812" i="17"/>
  <c r="F812" i="17"/>
  <c r="I812" i="17" s="1"/>
  <c r="P810" i="17"/>
  <c r="I810" i="17"/>
  <c r="F810" i="17"/>
  <c r="P809" i="17"/>
  <c r="F809" i="17"/>
  <c r="I809" i="17" s="1"/>
  <c r="P808" i="17"/>
  <c r="F808" i="17"/>
  <c r="I808" i="17" s="1"/>
  <c r="P807" i="17"/>
  <c r="F807" i="17"/>
  <c r="I807" i="17" s="1"/>
  <c r="P806" i="17"/>
  <c r="F806" i="17"/>
  <c r="I806" i="17" s="1"/>
  <c r="P805" i="17"/>
  <c r="F805" i="17"/>
  <c r="I805" i="17" s="1"/>
  <c r="E804" i="17"/>
  <c r="D804" i="17"/>
  <c r="H803" i="17"/>
  <c r="H804" i="17" s="1"/>
  <c r="G803" i="17"/>
  <c r="G804" i="17" s="1"/>
  <c r="P802" i="17"/>
  <c r="F802" i="17"/>
  <c r="I802" i="17" s="1"/>
  <c r="P801" i="17"/>
  <c r="F801" i="17"/>
  <c r="I801" i="17" s="1"/>
  <c r="P800" i="17"/>
  <c r="F800" i="17"/>
  <c r="I800" i="17" s="1"/>
  <c r="P799" i="17"/>
  <c r="F799" i="17"/>
  <c r="I799" i="17" s="1"/>
  <c r="P798" i="17"/>
  <c r="F798" i="17"/>
  <c r="I798" i="17" s="1"/>
  <c r="P797" i="17"/>
  <c r="F797" i="17"/>
  <c r="I797" i="17" s="1"/>
  <c r="P796" i="17"/>
  <c r="F796" i="17"/>
  <c r="E795" i="17"/>
  <c r="H794" i="17"/>
  <c r="G794" i="17"/>
  <c r="D794" i="17"/>
  <c r="P793" i="17"/>
  <c r="I793" i="17"/>
  <c r="F793" i="17"/>
  <c r="P792" i="17"/>
  <c r="F792" i="17"/>
  <c r="I792" i="17" s="1"/>
  <c r="P791" i="17"/>
  <c r="F791" i="17"/>
  <c r="I791" i="17" s="1"/>
  <c r="P790" i="17"/>
  <c r="F790" i="17"/>
  <c r="I790" i="17" s="1"/>
  <c r="P789" i="17"/>
  <c r="F789" i="17"/>
  <c r="I789" i="17" s="1"/>
  <c r="P788" i="17"/>
  <c r="F788" i="17"/>
  <c r="I788" i="17" s="1"/>
  <c r="P787" i="17"/>
  <c r="F787" i="17"/>
  <c r="I787" i="17" s="1"/>
  <c r="H786" i="17"/>
  <c r="G786" i="17"/>
  <c r="D786" i="17"/>
  <c r="D795" i="17" s="1"/>
  <c r="P785" i="17"/>
  <c r="F785" i="17"/>
  <c r="I785" i="17" s="1"/>
  <c r="P784" i="17"/>
  <c r="F784" i="17"/>
  <c r="I784" i="17" s="1"/>
  <c r="P783" i="17"/>
  <c r="I783" i="17"/>
  <c r="F783" i="17"/>
  <c r="P782" i="17"/>
  <c r="F782" i="17"/>
  <c r="I782" i="17" s="1"/>
  <c r="P781" i="17"/>
  <c r="F781" i="17"/>
  <c r="F1465" i="13"/>
  <c r="F1464" i="13"/>
  <c r="F1462" i="13"/>
  <c r="F1461" i="13"/>
  <c r="I1461" i="13" s="1"/>
  <c r="F1460" i="13"/>
  <c r="F1458" i="13"/>
  <c r="F1457" i="13"/>
  <c r="I1457" i="13" s="1"/>
  <c r="F1456" i="13"/>
  <c r="F1455" i="13"/>
  <c r="I1455" i="13" s="1"/>
  <c r="F1454" i="13"/>
  <c r="F1452" i="13"/>
  <c r="F1451" i="13"/>
  <c r="I1451" i="13" s="1"/>
  <c r="F1449" i="13"/>
  <c r="F1448" i="13"/>
  <c r="F1447" i="13"/>
  <c r="I1447" i="13" s="1"/>
  <c r="F1446" i="13"/>
  <c r="I1446" i="13" s="1"/>
  <c r="F1444" i="13"/>
  <c r="F1443" i="13"/>
  <c r="F1442" i="13"/>
  <c r="F1439" i="13"/>
  <c r="F1436" i="13"/>
  <c r="F1435" i="13"/>
  <c r="F1434" i="13"/>
  <c r="F1432" i="13"/>
  <c r="F1431" i="13"/>
  <c r="I1431" i="13" s="1"/>
  <c r="F1430" i="13"/>
  <c r="F1427" i="13"/>
  <c r="I1427" i="13" s="1"/>
  <c r="F1426" i="13"/>
  <c r="I1426" i="13" s="1"/>
  <c r="F1425" i="13"/>
  <c r="F1423" i="13"/>
  <c r="F1422" i="13"/>
  <c r="I1422" i="13" s="1"/>
  <c r="F1421" i="13"/>
  <c r="F1420" i="13"/>
  <c r="I1420" i="13" s="1"/>
  <c r="F1419" i="13"/>
  <c r="F1418" i="13"/>
  <c r="I1418" i="13" s="1"/>
  <c r="F1417" i="13"/>
  <c r="F1416" i="13"/>
  <c r="I1416" i="13" s="1"/>
  <c r="F1415" i="13"/>
  <c r="F1411" i="13"/>
  <c r="F1410" i="13"/>
  <c r="I1410" i="13" s="1"/>
  <c r="F1409" i="13"/>
  <c r="F1408" i="13"/>
  <c r="I1408" i="13" s="1"/>
  <c r="F1407" i="13"/>
  <c r="F1406" i="13"/>
  <c r="I1406" i="13" s="1"/>
  <c r="F1405" i="13"/>
  <c r="I1405" i="13" s="1"/>
  <c r="F1404" i="13"/>
  <c r="I1404" i="13" s="1"/>
  <c r="F1402" i="13"/>
  <c r="F1401" i="13"/>
  <c r="I1401" i="13" s="1"/>
  <c r="F1400" i="13"/>
  <c r="F1399" i="13"/>
  <c r="I1399" i="13" s="1"/>
  <c r="F1396" i="13"/>
  <c r="F1395" i="13"/>
  <c r="I1395" i="13" s="1"/>
  <c r="F1394" i="13"/>
  <c r="F1392" i="13"/>
  <c r="F1391" i="13"/>
  <c r="I1391" i="13" s="1"/>
  <c r="F1390" i="13"/>
  <c r="F1388" i="13"/>
  <c r="F1387" i="13"/>
  <c r="I1387" i="13" s="1"/>
  <c r="F1386" i="13"/>
  <c r="F1385" i="13"/>
  <c r="I1385" i="13" s="1"/>
  <c r="F1384" i="13"/>
  <c r="F1383" i="13"/>
  <c r="I1383" i="13" s="1"/>
  <c r="F1382" i="13"/>
  <c r="F1380" i="13"/>
  <c r="F1379" i="13"/>
  <c r="I1379" i="13" s="1"/>
  <c r="F1378" i="13"/>
  <c r="F1377" i="13"/>
  <c r="I1377" i="13" s="1"/>
  <c r="F1376" i="13"/>
  <c r="F1375" i="13"/>
  <c r="I1375" i="13" s="1"/>
  <c r="F1374" i="13"/>
  <c r="F1372" i="13"/>
  <c r="F1371" i="13"/>
  <c r="I1371" i="13" s="1"/>
  <c r="F1370" i="13"/>
  <c r="F1369" i="13"/>
  <c r="J1466" i="13"/>
  <c r="I1466" i="13"/>
  <c r="F1466" i="13"/>
  <c r="I1462" i="13"/>
  <c r="I1460" i="13"/>
  <c r="I1458" i="13"/>
  <c r="I1456" i="13"/>
  <c r="I1454" i="13"/>
  <c r="I1452" i="13"/>
  <c r="I1449" i="13"/>
  <c r="I1448" i="13"/>
  <c r="I1444" i="13"/>
  <c r="I1443" i="13"/>
  <c r="I1442" i="13"/>
  <c r="I1439" i="13"/>
  <c r="I1436" i="13"/>
  <c r="I1435" i="13"/>
  <c r="I1434" i="13"/>
  <c r="I1432" i="13"/>
  <c r="I1430" i="13"/>
  <c r="I1425" i="13"/>
  <c r="I1423" i="13"/>
  <c r="I1421" i="13"/>
  <c r="I1419" i="13"/>
  <c r="I1417" i="13"/>
  <c r="I1415" i="13"/>
  <c r="I1411" i="13"/>
  <c r="I1409" i="13"/>
  <c r="I1407" i="13"/>
  <c r="I1402" i="13"/>
  <c r="I1400" i="13"/>
  <c r="I1396" i="13"/>
  <c r="I1394" i="13"/>
  <c r="I1392" i="13"/>
  <c r="I1390" i="13"/>
  <c r="I1388" i="13"/>
  <c r="I1386" i="13"/>
  <c r="I1384" i="13"/>
  <c r="I1382" i="13"/>
  <c r="I1380" i="13"/>
  <c r="I1378" i="13"/>
  <c r="I1376" i="13"/>
  <c r="I1374" i="13"/>
  <c r="I1372" i="13"/>
  <c r="I1370" i="13"/>
  <c r="I1369" i="13"/>
  <c r="F1455" i="1"/>
  <c r="F1456" i="1" s="1"/>
  <c r="E1455" i="1"/>
  <c r="E1456" i="1" s="1"/>
  <c r="I1454" i="1"/>
  <c r="H1454" i="1"/>
  <c r="G1453" i="1"/>
  <c r="J1453" i="1" s="1"/>
  <c r="G1452" i="1"/>
  <c r="I1451" i="1"/>
  <c r="H1451" i="1"/>
  <c r="G1450" i="1"/>
  <c r="J1450" i="1" s="1"/>
  <c r="G1449" i="1"/>
  <c r="J1449" i="1" s="1"/>
  <c r="G1448" i="1"/>
  <c r="J1448" i="1" s="1"/>
  <c r="I1447" i="1"/>
  <c r="H1447" i="1"/>
  <c r="G1446" i="1"/>
  <c r="J1446" i="1" s="1"/>
  <c r="G1445" i="1"/>
  <c r="J1445" i="1" s="1"/>
  <c r="G1444" i="1"/>
  <c r="J1444" i="1" s="1"/>
  <c r="G1443" i="1"/>
  <c r="J1443" i="1" s="1"/>
  <c r="G1442" i="1"/>
  <c r="J1442" i="1" s="1"/>
  <c r="I1441" i="1"/>
  <c r="H1441" i="1"/>
  <c r="J1440" i="1"/>
  <c r="G1440" i="1"/>
  <c r="G1439" i="1"/>
  <c r="I1438" i="1"/>
  <c r="H1438" i="1"/>
  <c r="G1437" i="1"/>
  <c r="J1437" i="1" s="1"/>
  <c r="G1436" i="1"/>
  <c r="J1436" i="1" s="1"/>
  <c r="G1435" i="1"/>
  <c r="J1435" i="1" s="1"/>
  <c r="J1434" i="1"/>
  <c r="G1434" i="1"/>
  <c r="I1433" i="1"/>
  <c r="H1433" i="1"/>
  <c r="G1432" i="1"/>
  <c r="J1432" i="1" s="1"/>
  <c r="G1431" i="1"/>
  <c r="J1431" i="1" s="1"/>
  <c r="G1430" i="1"/>
  <c r="F1428" i="1"/>
  <c r="F1429" i="1" s="1"/>
  <c r="E1428" i="1"/>
  <c r="E1429" i="1" s="1"/>
  <c r="J1427" i="1"/>
  <c r="G1427" i="1"/>
  <c r="I1425" i="1"/>
  <c r="H1425" i="1"/>
  <c r="J1424" i="1"/>
  <c r="G1424" i="1"/>
  <c r="G1423" i="1"/>
  <c r="J1423" i="1" s="1"/>
  <c r="G1422" i="1"/>
  <c r="I1421" i="1"/>
  <c r="H1421" i="1"/>
  <c r="G1420" i="1"/>
  <c r="J1420" i="1" s="1"/>
  <c r="J1419" i="1"/>
  <c r="G1419" i="1"/>
  <c r="G1418" i="1"/>
  <c r="J1418" i="1" s="1"/>
  <c r="I1416" i="1"/>
  <c r="H1416" i="1"/>
  <c r="G1415" i="1"/>
  <c r="J1415" i="1" s="1"/>
  <c r="G1414" i="1"/>
  <c r="J1414" i="1" s="1"/>
  <c r="G1413" i="1"/>
  <c r="I1412" i="1"/>
  <c r="H1412" i="1"/>
  <c r="G1411" i="1"/>
  <c r="J1411" i="1" s="1"/>
  <c r="G1410" i="1"/>
  <c r="J1410" i="1" s="1"/>
  <c r="G1409" i="1"/>
  <c r="J1409" i="1" s="1"/>
  <c r="G1408" i="1"/>
  <c r="J1408" i="1" s="1"/>
  <c r="G1407" i="1"/>
  <c r="J1407" i="1" s="1"/>
  <c r="G1406" i="1"/>
  <c r="J1406" i="1" s="1"/>
  <c r="G1405" i="1"/>
  <c r="J1405" i="1" s="1"/>
  <c r="G1404" i="1"/>
  <c r="J1404" i="1" s="1"/>
  <c r="G1403" i="1"/>
  <c r="J1403" i="1" s="1"/>
  <c r="F1401" i="1"/>
  <c r="E1401" i="1"/>
  <c r="I1400" i="1"/>
  <c r="H1400" i="1"/>
  <c r="H1401" i="1" s="1"/>
  <c r="G1399" i="1"/>
  <c r="J1399" i="1" s="1"/>
  <c r="G1398" i="1"/>
  <c r="J1398" i="1" s="1"/>
  <c r="G1397" i="1"/>
  <c r="J1397" i="1" s="1"/>
  <c r="J1396" i="1"/>
  <c r="G1396" i="1"/>
  <c r="G1395" i="1"/>
  <c r="J1395" i="1" s="1"/>
  <c r="J1394" i="1"/>
  <c r="G1394" i="1"/>
  <c r="G1393" i="1"/>
  <c r="J1393" i="1" s="1"/>
  <c r="G1392" i="1"/>
  <c r="J1392" i="1" s="1"/>
  <c r="I1391" i="1"/>
  <c r="H1391" i="1"/>
  <c r="J1390" i="1"/>
  <c r="G1390" i="1"/>
  <c r="G1389" i="1"/>
  <c r="J1389" i="1" s="1"/>
  <c r="J1388" i="1"/>
  <c r="G1388" i="1"/>
  <c r="G1387" i="1"/>
  <c r="J1387" i="1" s="1"/>
  <c r="I1385" i="1"/>
  <c r="H1385" i="1"/>
  <c r="E1385" i="1"/>
  <c r="G1384" i="1"/>
  <c r="J1384" i="1" s="1"/>
  <c r="G1383" i="1"/>
  <c r="J1383" i="1" s="1"/>
  <c r="G1382" i="1"/>
  <c r="J1382" i="1" s="1"/>
  <c r="I1381" i="1"/>
  <c r="H1381" i="1"/>
  <c r="F1381" i="1"/>
  <c r="F1386" i="1" s="1"/>
  <c r="F1402" i="1" s="1"/>
  <c r="F1457" i="1" s="1"/>
  <c r="E1381" i="1"/>
  <c r="G1380" i="1"/>
  <c r="G1379" i="1"/>
  <c r="J1379" i="1" s="1"/>
  <c r="J1378" i="1"/>
  <c r="G1378" i="1"/>
  <c r="G1381" i="1" s="1"/>
  <c r="J1381" i="1" s="1"/>
  <c r="I1377" i="1"/>
  <c r="H1377" i="1"/>
  <c r="E1377" i="1"/>
  <c r="G1376" i="1"/>
  <c r="J1376" i="1" s="1"/>
  <c r="J1375" i="1"/>
  <c r="G1375" i="1"/>
  <c r="G1374" i="1"/>
  <c r="J1374" i="1" s="1"/>
  <c r="G1373" i="1"/>
  <c r="J1373" i="1" s="1"/>
  <c r="G1372" i="1"/>
  <c r="J1372" i="1" s="1"/>
  <c r="G1371" i="1"/>
  <c r="J1371" i="1" s="1"/>
  <c r="G1370" i="1"/>
  <c r="G1368" i="1"/>
  <c r="J1368" i="1" s="1"/>
  <c r="G1367" i="1"/>
  <c r="J1367" i="1" s="1"/>
  <c r="G1366" i="1"/>
  <c r="J1366" i="1" s="1"/>
  <c r="G1365" i="1"/>
  <c r="J1365" i="1" s="1"/>
  <c r="G1364" i="1"/>
  <c r="J1364" i="1" s="1"/>
  <c r="I1369" i="1"/>
  <c r="G1362" i="1"/>
  <c r="I1361" i="1"/>
  <c r="H1361" i="1"/>
  <c r="G1360" i="1"/>
  <c r="J1360" i="1" s="1"/>
  <c r="G1359" i="1"/>
  <c r="J1359" i="1" s="1"/>
  <c r="J1358" i="1"/>
  <c r="G1358" i="1"/>
  <c r="G1357" i="1"/>
  <c r="J1357" i="1" s="1"/>
  <c r="E1386" i="1" l="1"/>
  <c r="E1402" i="1" s="1"/>
  <c r="E1457" i="1" s="1"/>
  <c r="I1426" i="1"/>
  <c r="I1455" i="1"/>
  <c r="I1456" i="1" s="1"/>
  <c r="K1111" i="17"/>
  <c r="Q1051" i="17"/>
  <c r="J1051" i="17"/>
  <c r="N1051" i="17" s="1"/>
  <c r="I1403" i="13"/>
  <c r="H1029" i="16"/>
  <c r="H795" i="17"/>
  <c r="G1421" i="1"/>
  <c r="H1426" i="1"/>
  <c r="I1417" i="1"/>
  <c r="I1428" i="1" s="1"/>
  <c r="I1429" i="1" s="1"/>
  <c r="H1417" i="1"/>
  <c r="P803" i="17"/>
  <c r="P804" i="17" s="1"/>
  <c r="P786" i="17"/>
  <c r="I1450" i="13"/>
  <c r="H1013" i="16"/>
  <c r="H1025" i="16"/>
  <c r="H1073" i="16"/>
  <c r="P293" i="14"/>
  <c r="Q293" i="14"/>
  <c r="S293" i="14" s="1"/>
  <c r="T293" i="14" s="1"/>
  <c r="R293" i="14"/>
  <c r="P298" i="14"/>
  <c r="Q298" i="14"/>
  <c r="R298" i="14"/>
  <c r="P290" i="14"/>
  <c r="Q290" i="14"/>
  <c r="R290" i="14"/>
  <c r="P297" i="14"/>
  <c r="T297" i="14" s="1"/>
  <c r="R297" i="14"/>
  <c r="Q297" i="14"/>
  <c r="S297" i="14" s="1"/>
  <c r="P291" i="14"/>
  <c r="R291" i="14"/>
  <c r="Q291" i="14"/>
  <c r="P283" i="14"/>
  <c r="Q283" i="14"/>
  <c r="R283" i="14"/>
  <c r="P289" i="14"/>
  <c r="Q289" i="14"/>
  <c r="R289" i="14"/>
  <c r="P292" i="14"/>
  <c r="T292" i="14" s="1"/>
  <c r="R292" i="14"/>
  <c r="Q292" i="14"/>
  <c r="S292" i="14" s="1"/>
  <c r="P294" i="14"/>
  <c r="T294" i="14" s="1"/>
  <c r="R294" i="14"/>
  <c r="Q294" i="14"/>
  <c r="S294" i="14" s="1"/>
  <c r="P286" i="14"/>
  <c r="Q286" i="14"/>
  <c r="R286" i="14"/>
  <c r="P295" i="14"/>
  <c r="R295" i="14"/>
  <c r="Q295" i="14"/>
  <c r="P287" i="14"/>
  <c r="Q287" i="14"/>
  <c r="R287" i="14"/>
  <c r="P284" i="14"/>
  <c r="Q284" i="14"/>
  <c r="R284" i="14"/>
  <c r="P296" i="14"/>
  <c r="R296" i="14"/>
  <c r="Q296" i="14"/>
  <c r="P288" i="14"/>
  <c r="Q288" i="14"/>
  <c r="R288" i="14"/>
  <c r="P285" i="14"/>
  <c r="Q285" i="14"/>
  <c r="R285" i="14"/>
  <c r="F835" i="17"/>
  <c r="I835" i="17" s="1"/>
  <c r="F803" i="17"/>
  <c r="I803" i="17" s="1"/>
  <c r="G795" i="17"/>
  <c r="H837" i="17"/>
  <c r="D837" i="17"/>
  <c r="F786" i="17"/>
  <c r="I781" i="17"/>
  <c r="P794" i="17"/>
  <c r="P835" i="17"/>
  <c r="P836" i="17" s="1"/>
  <c r="G837" i="17"/>
  <c r="F794" i="17"/>
  <c r="I794" i="17" s="1"/>
  <c r="I796" i="17"/>
  <c r="I1463" i="13"/>
  <c r="I1459" i="13"/>
  <c r="I1433" i="13"/>
  <c r="I1428" i="13"/>
  <c r="I1424" i="13"/>
  <c r="I1429" i="13" s="1"/>
  <c r="I1389" i="13"/>
  <c r="I1373" i="13"/>
  <c r="I1381" i="13"/>
  <c r="F1381" i="13"/>
  <c r="F1403" i="13"/>
  <c r="F1450" i="13"/>
  <c r="I1453" i="13"/>
  <c r="F1463" i="13"/>
  <c r="F1373" i="13"/>
  <c r="I1393" i="13"/>
  <c r="I1397" i="13"/>
  <c r="I1412" i="13"/>
  <c r="I1413" i="13" s="1"/>
  <c r="F1412" i="13"/>
  <c r="F1428" i="13"/>
  <c r="F1433" i="13"/>
  <c r="I1445" i="13"/>
  <c r="I1467" i="13" s="1"/>
  <c r="I1468" i="13" s="1"/>
  <c r="F1389" i="13"/>
  <c r="F1393" i="13"/>
  <c r="F1397" i="13"/>
  <c r="F1424" i="13"/>
  <c r="F1429" i="13" s="1"/>
  <c r="I1437" i="13"/>
  <c r="F1437" i="13"/>
  <c r="F1445" i="13"/>
  <c r="F1453" i="13"/>
  <c r="F1459" i="13"/>
  <c r="H1428" i="1"/>
  <c r="H1429" i="1" s="1"/>
  <c r="I1401" i="1"/>
  <c r="J1362" i="1"/>
  <c r="G1385" i="1"/>
  <c r="J1385" i="1" s="1"/>
  <c r="G1391" i="1"/>
  <c r="G1433" i="1"/>
  <c r="J1430" i="1"/>
  <c r="G1416" i="1"/>
  <c r="J1416" i="1" s="1"/>
  <c r="J1413" i="1"/>
  <c r="J1421" i="1"/>
  <c r="G1361" i="1"/>
  <c r="G1363" i="1"/>
  <c r="J1363" i="1" s="1"/>
  <c r="H1369" i="1"/>
  <c r="H1386" i="1" s="1"/>
  <c r="H1402" i="1" s="1"/>
  <c r="G1377" i="1"/>
  <c r="J1377" i="1" s="1"/>
  <c r="J1370" i="1"/>
  <c r="G1400" i="1"/>
  <c r="J1400" i="1" s="1"/>
  <c r="G1441" i="1"/>
  <c r="J1441" i="1" s="1"/>
  <c r="J1439" i="1"/>
  <c r="I1386" i="1"/>
  <c r="I1402" i="1" s="1"/>
  <c r="G1438" i="1"/>
  <c r="J1438" i="1" s="1"/>
  <c r="G1454" i="1"/>
  <c r="J1454" i="1" s="1"/>
  <c r="J1452" i="1"/>
  <c r="G1412" i="1"/>
  <c r="G1451" i="1"/>
  <c r="J1451" i="1" s="1"/>
  <c r="G1425" i="1"/>
  <c r="J1425" i="1" s="1"/>
  <c r="J1422" i="1"/>
  <c r="H1455" i="1"/>
  <c r="H1456" i="1" s="1"/>
  <c r="G1447" i="1"/>
  <c r="J1447" i="1" s="1"/>
  <c r="E974" i="16"/>
  <c r="H974" i="16" s="1"/>
  <c r="I1259" i="1"/>
  <c r="H1259" i="1"/>
  <c r="H990" i="16"/>
  <c r="H989" i="16"/>
  <c r="H988" i="16"/>
  <c r="H987" i="16"/>
  <c r="H986" i="16"/>
  <c r="H985" i="16"/>
  <c r="H984" i="16"/>
  <c r="H983" i="16"/>
  <c r="H982" i="16"/>
  <c r="H981" i="16"/>
  <c r="H980" i="16"/>
  <c r="H979" i="16"/>
  <c r="H978" i="16"/>
  <c r="H977" i="16"/>
  <c r="H976" i="16"/>
  <c r="H975" i="16"/>
  <c r="H973" i="16"/>
  <c r="H972" i="16"/>
  <c r="H971" i="16"/>
  <c r="H969" i="16"/>
  <c r="H968" i="16"/>
  <c r="H967" i="16"/>
  <c r="H966" i="16"/>
  <c r="H965" i="16"/>
  <c r="H964" i="16"/>
  <c r="H963" i="16"/>
  <c r="H962" i="16"/>
  <c r="H961" i="16"/>
  <c r="H960" i="16"/>
  <c r="H959" i="16"/>
  <c r="H958" i="16"/>
  <c r="H957" i="16"/>
  <c r="H956" i="16"/>
  <c r="H955" i="16"/>
  <c r="H954" i="16"/>
  <c r="H953" i="16"/>
  <c r="H952" i="16"/>
  <c r="H951" i="16"/>
  <c r="H950" i="16"/>
  <c r="I948" i="16"/>
  <c r="H946" i="16"/>
  <c r="H945" i="16"/>
  <c r="H944" i="16"/>
  <c r="H942" i="16"/>
  <c r="H941" i="16"/>
  <c r="H940" i="16"/>
  <c r="H939" i="16"/>
  <c r="H938" i="16"/>
  <c r="H937" i="16"/>
  <c r="H936" i="16"/>
  <c r="H935" i="16"/>
  <c r="H934" i="16"/>
  <c r="H933" i="16"/>
  <c r="H932" i="16"/>
  <c r="H930" i="16"/>
  <c r="H929" i="16"/>
  <c r="H928" i="16"/>
  <c r="H927" i="16"/>
  <c r="H926" i="16"/>
  <c r="H925" i="16"/>
  <c r="H924" i="16"/>
  <c r="H923" i="16"/>
  <c r="H922" i="16"/>
  <c r="H921" i="16"/>
  <c r="H920" i="16"/>
  <c r="H919" i="16"/>
  <c r="H918" i="16"/>
  <c r="H917" i="16"/>
  <c r="E776" i="17"/>
  <c r="H775" i="17"/>
  <c r="H776" i="17" s="1"/>
  <c r="G775" i="17"/>
  <c r="G776" i="17" s="1"/>
  <c r="D775" i="17"/>
  <c r="D776" i="17" s="1"/>
  <c r="P774" i="17"/>
  <c r="F774" i="17"/>
  <c r="I774" i="17" s="1"/>
  <c r="P773" i="17"/>
  <c r="F773" i="17"/>
  <c r="I773" i="17" s="1"/>
  <c r="P772" i="17"/>
  <c r="I772" i="17"/>
  <c r="F772" i="17"/>
  <c r="P771" i="17"/>
  <c r="F771" i="17"/>
  <c r="I771" i="17" s="1"/>
  <c r="P770" i="17"/>
  <c r="F770" i="17"/>
  <c r="I770" i="17" s="1"/>
  <c r="P769" i="17"/>
  <c r="I769" i="17"/>
  <c r="F769" i="17"/>
  <c r="P768" i="17"/>
  <c r="F768" i="17"/>
  <c r="I768" i="17" s="1"/>
  <c r="P767" i="17"/>
  <c r="I767" i="17"/>
  <c r="F767" i="17"/>
  <c r="P766" i="17"/>
  <c r="F766" i="17"/>
  <c r="I766" i="17" s="1"/>
  <c r="P765" i="17"/>
  <c r="F765" i="17"/>
  <c r="I765" i="17" s="1"/>
  <c r="P764" i="17"/>
  <c r="I764" i="17"/>
  <c r="F764" i="17"/>
  <c r="P763" i="17"/>
  <c r="F763" i="17"/>
  <c r="I763" i="17" s="1"/>
  <c r="P762" i="17"/>
  <c r="F762" i="17"/>
  <c r="I762" i="17" s="1"/>
  <c r="P761" i="17"/>
  <c r="F761" i="17"/>
  <c r="I761" i="17" s="1"/>
  <c r="P760" i="17"/>
  <c r="F760" i="17"/>
  <c r="I760" i="17" s="1"/>
  <c r="P759" i="17"/>
  <c r="F759" i="17"/>
  <c r="I759" i="17" s="1"/>
  <c r="P758" i="17"/>
  <c r="F758" i="17"/>
  <c r="I758" i="17" s="1"/>
  <c r="P757" i="17"/>
  <c r="F757" i="17"/>
  <c r="I757" i="17" s="1"/>
  <c r="P756" i="17"/>
  <c r="F756" i="17"/>
  <c r="I756" i="17" s="1"/>
  <c r="P755" i="17"/>
  <c r="I755" i="17"/>
  <c r="F755" i="17"/>
  <c r="P754" i="17"/>
  <c r="F754" i="17"/>
  <c r="I754" i="17" s="1"/>
  <c r="P753" i="17"/>
  <c r="F753" i="17"/>
  <c r="I753" i="17" s="1"/>
  <c r="P752" i="17"/>
  <c r="F752" i="17"/>
  <c r="I752" i="17" s="1"/>
  <c r="P751" i="17"/>
  <c r="F751" i="17"/>
  <c r="I751" i="17" s="1"/>
  <c r="P750" i="17"/>
  <c r="F750" i="17"/>
  <c r="I750" i="17" s="1"/>
  <c r="P749" i="17"/>
  <c r="F749" i="17"/>
  <c r="I749" i="17" s="1"/>
  <c r="P748" i="17"/>
  <c r="F748" i="17"/>
  <c r="I748" i="17" s="1"/>
  <c r="P747" i="17"/>
  <c r="I747" i="17"/>
  <c r="F747" i="17"/>
  <c r="P746" i="17"/>
  <c r="F746" i="17"/>
  <c r="I746" i="17" s="1"/>
  <c r="E745" i="17"/>
  <c r="D745" i="17"/>
  <c r="H744" i="17"/>
  <c r="H745" i="17" s="1"/>
  <c r="G744" i="17"/>
  <c r="G745" i="17" s="1"/>
  <c r="P743" i="17"/>
  <c r="F743" i="17"/>
  <c r="I743" i="17" s="1"/>
  <c r="P742" i="17"/>
  <c r="F742" i="17"/>
  <c r="I742" i="17" s="1"/>
  <c r="P741" i="17"/>
  <c r="F741" i="17"/>
  <c r="I741" i="17" s="1"/>
  <c r="P740" i="17"/>
  <c r="F740" i="17"/>
  <c r="I740" i="17" s="1"/>
  <c r="P739" i="17"/>
  <c r="F739" i="17"/>
  <c r="I739" i="17" s="1"/>
  <c r="P738" i="17"/>
  <c r="F738" i="17"/>
  <c r="I738" i="17" s="1"/>
  <c r="P737" i="17"/>
  <c r="F737" i="17"/>
  <c r="E736" i="17"/>
  <c r="E777" i="17" s="1"/>
  <c r="H735" i="17"/>
  <c r="G735" i="17"/>
  <c r="D735" i="17"/>
  <c r="P734" i="17"/>
  <c r="F734" i="17"/>
  <c r="I734" i="17" s="1"/>
  <c r="P733" i="17"/>
  <c r="F733" i="17"/>
  <c r="I733" i="17" s="1"/>
  <c r="P732" i="17"/>
  <c r="F732" i="17"/>
  <c r="I732" i="17" s="1"/>
  <c r="P731" i="17"/>
  <c r="F731" i="17"/>
  <c r="I731" i="17" s="1"/>
  <c r="P730" i="17"/>
  <c r="F730" i="17"/>
  <c r="I730" i="17" s="1"/>
  <c r="P729" i="17"/>
  <c r="I729" i="17"/>
  <c r="F729" i="17"/>
  <c r="P728" i="17"/>
  <c r="F728" i="17"/>
  <c r="I728" i="17" s="1"/>
  <c r="H727" i="17"/>
  <c r="G727" i="17"/>
  <c r="D727" i="17"/>
  <c r="D736" i="17" s="1"/>
  <c r="P726" i="17"/>
  <c r="F726" i="17"/>
  <c r="I726" i="17" s="1"/>
  <c r="P725" i="17"/>
  <c r="F725" i="17"/>
  <c r="I725" i="17" s="1"/>
  <c r="P724" i="17"/>
  <c r="F724" i="17"/>
  <c r="I724" i="17" s="1"/>
  <c r="P723" i="17"/>
  <c r="F723" i="17"/>
  <c r="I723" i="17" s="1"/>
  <c r="P722" i="17"/>
  <c r="F722" i="17"/>
  <c r="I722" i="17" s="1"/>
  <c r="F1360" i="13"/>
  <c r="F1361" i="13" s="1"/>
  <c r="F1359" i="13"/>
  <c r="F1357" i="13"/>
  <c r="I1357" i="13" s="1"/>
  <c r="F1356" i="13"/>
  <c r="I1356" i="13" s="1"/>
  <c r="F1355" i="13"/>
  <c r="I1355" i="13" s="1"/>
  <c r="F1353" i="13"/>
  <c r="F1352" i="13"/>
  <c r="I1352" i="13" s="1"/>
  <c r="F1351" i="13"/>
  <c r="F1350" i="13"/>
  <c r="I1350" i="13" s="1"/>
  <c r="F1349" i="13"/>
  <c r="F1344" i="13"/>
  <c r="F1343" i="13"/>
  <c r="F1342" i="13"/>
  <c r="F1341" i="13"/>
  <c r="I1341" i="13" s="1"/>
  <c r="F1339" i="13"/>
  <c r="F1338" i="13"/>
  <c r="F1337" i="13"/>
  <c r="F1334" i="13"/>
  <c r="I1334" i="13" s="1"/>
  <c r="F1331" i="13"/>
  <c r="F1330" i="13"/>
  <c r="I1330" i="13" s="1"/>
  <c r="F1329" i="13"/>
  <c r="F1327" i="13"/>
  <c r="F1326" i="13"/>
  <c r="I1326" i="13" s="1"/>
  <c r="F1325" i="13"/>
  <c r="F1322" i="13"/>
  <c r="I1322" i="13" s="1"/>
  <c r="F1321" i="13"/>
  <c r="I1321" i="13" s="1"/>
  <c r="F1320" i="13"/>
  <c r="F1318" i="13"/>
  <c r="F1317" i="13"/>
  <c r="I1317" i="13" s="1"/>
  <c r="F1316" i="13"/>
  <c r="F1315" i="13"/>
  <c r="I1315" i="13" s="1"/>
  <c r="F1314" i="13"/>
  <c r="F1313" i="13"/>
  <c r="I1313" i="13" s="1"/>
  <c r="F1312" i="13"/>
  <c r="F1311" i="13"/>
  <c r="I1311" i="13" s="1"/>
  <c r="F1310" i="13"/>
  <c r="F1306" i="13"/>
  <c r="F1305" i="13"/>
  <c r="I1305" i="13" s="1"/>
  <c r="F1304" i="13"/>
  <c r="F1303" i="13"/>
  <c r="I1303" i="13" s="1"/>
  <c r="F1302" i="13"/>
  <c r="F1301" i="13"/>
  <c r="I1301" i="13" s="1"/>
  <c r="F1300" i="13"/>
  <c r="F1299" i="13"/>
  <c r="I1299" i="13" s="1"/>
  <c r="F1297" i="13"/>
  <c r="F1296" i="13"/>
  <c r="I1296" i="13" s="1"/>
  <c r="F1295" i="13"/>
  <c r="F1294" i="13"/>
  <c r="I1294" i="13" s="1"/>
  <c r="F1291" i="13"/>
  <c r="F1290" i="13"/>
  <c r="I1290" i="13" s="1"/>
  <c r="F1289" i="13"/>
  <c r="F1287" i="13"/>
  <c r="F1286" i="13"/>
  <c r="I1286" i="13" s="1"/>
  <c r="F1285" i="13"/>
  <c r="F1283" i="13"/>
  <c r="F1282" i="13"/>
  <c r="I1282" i="13" s="1"/>
  <c r="F1281" i="13"/>
  <c r="F1280" i="13"/>
  <c r="I1280" i="13" s="1"/>
  <c r="F1279" i="13"/>
  <c r="F1278" i="13"/>
  <c r="I1278" i="13" s="1"/>
  <c r="F1277" i="13"/>
  <c r="F1275" i="13"/>
  <c r="F1274" i="13"/>
  <c r="I1274" i="13" s="1"/>
  <c r="F1273" i="13"/>
  <c r="F1272" i="13"/>
  <c r="I1272" i="13" s="1"/>
  <c r="F1271" i="13"/>
  <c r="F1270" i="13"/>
  <c r="I1270" i="13" s="1"/>
  <c r="F1269" i="13"/>
  <c r="F1267" i="13"/>
  <c r="F1266" i="13"/>
  <c r="I1266" i="13" s="1"/>
  <c r="F1265" i="13"/>
  <c r="F1264" i="13"/>
  <c r="J1361" i="13"/>
  <c r="I1361" i="13"/>
  <c r="I1353" i="13"/>
  <c r="I1351" i="13"/>
  <c r="I1349" i="13"/>
  <c r="F1346" i="13"/>
  <c r="I1346" i="13" s="1"/>
  <c r="I1344" i="13"/>
  <c r="I1343" i="13"/>
  <c r="I1342" i="13"/>
  <c r="I1339" i="13"/>
  <c r="I1338" i="13"/>
  <c r="I1337" i="13"/>
  <c r="I1331" i="13"/>
  <c r="I1329" i="13"/>
  <c r="I1327" i="13"/>
  <c r="I1325" i="13"/>
  <c r="I1320" i="13"/>
  <c r="I1318" i="13"/>
  <c r="I1316" i="13"/>
  <c r="I1314" i="13"/>
  <c r="I1312" i="13"/>
  <c r="I1310" i="13"/>
  <c r="I1306" i="13"/>
  <c r="I1304" i="13"/>
  <c r="I1302" i="13"/>
  <c r="I1300" i="13"/>
  <c r="I1297" i="13"/>
  <c r="I1295" i="13"/>
  <c r="I1291" i="13"/>
  <c r="I1289" i="13"/>
  <c r="I1287" i="13"/>
  <c r="I1285" i="13"/>
  <c r="I1283" i="13"/>
  <c r="I1281" i="13"/>
  <c r="I1279" i="13"/>
  <c r="I1277" i="13"/>
  <c r="I1275" i="13"/>
  <c r="I1273" i="13"/>
  <c r="I1271" i="13"/>
  <c r="I1269" i="13"/>
  <c r="I1267" i="13"/>
  <c r="I1265" i="13"/>
  <c r="I1264" i="13"/>
  <c r="F1351" i="1"/>
  <c r="F1352" i="1" s="1"/>
  <c r="E1351" i="1"/>
  <c r="E1352" i="1" s="1"/>
  <c r="I1350" i="1"/>
  <c r="H1350" i="1"/>
  <c r="G1349" i="1"/>
  <c r="J1349" i="1" s="1"/>
  <c r="G1348" i="1"/>
  <c r="G1350" i="1" s="1"/>
  <c r="J1350" i="1" s="1"/>
  <c r="I1347" i="1"/>
  <c r="H1347" i="1"/>
  <c r="G1346" i="1"/>
  <c r="J1346" i="1" s="1"/>
  <c r="J1345" i="1"/>
  <c r="G1345" i="1"/>
  <c r="G1344" i="1"/>
  <c r="G1347" i="1" s="1"/>
  <c r="J1347" i="1" s="1"/>
  <c r="I1343" i="1"/>
  <c r="H1343" i="1"/>
  <c r="G1342" i="1"/>
  <c r="J1342" i="1" s="1"/>
  <c r="G1341" i="1"/>
  <c r="J1341" i="1" s="1"/>
  <c r="G1340" i="1"/>
  <c r="J1340" i="1" s="1"/>
  <c r="G1339" i="1"/>
  <c r="G1338" i="1"/>
  <c r="J1338" i="1" s="1"/>
  <c r="I1337" i="1"/>
  <c r="H1337" i="1"/>
  <c r="F1347" i="13" s="1"/>
  <c r="I1347" i="13" s="1"/>
  <c r="G1336" i="1"/>
  <c r="J1336" i="1" s="1"/>
  <c r="G1335" i="1"/>
  <c r="G1337" i="1" s="1"/>
  <c r="J1337" i="1" s="1"/>
  <c r="I1334" i="1"/>
  <c r="H1334" i="1"/>
  <c r="G1333" i="1"/>
  <c r="J1333" i="1" s="1"/>
  <c r="G1332" i="1"/>
  <c r="J1332" i="1" s="1"/>
  <c r="G1331" i="1"/>
  <c r="J1331" i="1" s="1"/>
  <c r="G1330" i="1"/>
  <c r="J1330" i="1" s="1"/>
  <c r="I1329" i="1"/>
  <c r="H1329" i="1"/>
  <c r="G1328" i="1"/>
  <c r="J1328" i="1" s="1"/>
  <c r="G1327" i="1"/>
  <c r="J1327" i="1" s="1"/>
  <c r="J1326" i="1"/>
  <c r="G1326" i="1"/>
  <c r="F1324" i="1"/>
  <c r="F1325" i="1" s="1"/>
  <c r="E1324" i="1"/>
  <c r="E1325" i="1" s="1"/>
  <c r="G1323" i="1"/>
  <c r="J1323" i="1" s="1"/>
  <c r="I1321" i="1"/>
  <c r="H1321" i="1"/>
  <c r="G1320" i="1"/>
  <c r="J1320" i="1" s="1"/>
  <c r="G1319" i="1"/>
  <c r="J1319" i="1" s="1"/>
  <c r="J1318" i="1"/>
  <c r="G1318" i="1"/>
  <c r="I1317" i="1"/>
  <c r="H1317" i="1"/>
  <c r="G1316" i="1"/>
  <c r="J1316" i="1" s="1"/>
  <c r="G1315" i="1"/>
  <c r="J1315" i="1" s="1"/>
  <c r="G1314" i="1"/>
  <c r="I1312" i="1"/>
  <c r="H1312" i="1"/>
  <c r="G1311" i="1"/>
  <c r="J1311" i="1" s="1"/>
  <c r="G1310" i="1"/>
  <c r="J1310" i="1" s="1"/>
  <c r="G1309" i="1"/>
  <c r="I1308" i="1"/>
  <c r="H1308" i="1"/>
  <c r="G1307" i="1"/>
  <c r="J1307" i="1" s="1"/>
  <c r="G1306" i="1"/>
  <c r="J1306" i="1" s="1"/>
  <c r="G1305" i="1"/>
  <c r="J1305" i="1" s="1"/>
  <c r="J1304" i="1"/>
  <c r="G1304" i="1"/>
  <c r="G1303" i="1"/>
  <c r="J1303" i="1" s="1"/>
  <c r="G1302" i="1"/>
  <c r="J1302" i="1" s="1"/>
  <c r="G1301" i="1"/>
  <c r="J1301" i="1" s="1"/>
  <c r="G1300" i="1"/>
  <c r="J1300" i="1" s="1"/>
  <c r="G1299" i="1"/>
  <c r="J1299" i="1" s="1"/>
  <c r="F1297" i="1"/>
  <c r="E1297" i="1"/>
  <c r="I1296" i="1"/>
  <c r="H1296" i="1"/>
  <c r="H1297" i="1" s="1"/>
  <c r="G1295" i="1"/>
  <c r="J1295" i="1" s="1"/>
  <c r="G1294" i="1"/>
  <c r="J1294" i="1" s="1"/>
  <c r="G1293" i="1"/>
  <c r="J1293" i="1" s="1"/>
  <c r="G1292" i="1"/>
  <c r="J1292" i="1" s="1"/>
  <c r="G1291" i="1"/>
  <c r="J1291" i="1" s="1"/>
  <c r="G1290" i="1"/>
  <c r="J1290" i="1" s="1"/>
  <c r="G1289" i="1"/>
  <c r="J1289" i="1" s="1"/>
  <c r="G1288" i="1"/>
  <c r="J1288" i="1" s="1"/>
  <c r="I1287" i="1"/>
  <c r="I1297" i="1" s="1"/>
  <c r="H1287" i="1"/>
  <c r="J1286" i="1"/>
  <c r="G1286" i="1"/>
  <c r="G1285" i="1"/>
  <c r="J1285" i="1" s="1"/>
  <c r="G1284" i="1"/>
  <c r="J1284" i="1" s="1"/>
  <c r="G1283" i="1"/>
  <c r="J1283" i="1" s="1"/>
  <c r="I1281" i="1"/>
  <c r="H1281" i="1"/>
  <c r="E1281" i="1"/>
  <c r="G1280" i="1"/>
  <c r="G1279" i="1"/>
  <c r="J1279" i="1" s="1"/>
  <c r="J1278" i="1"/>
  <c r="G1278" i="1"/>
  <c r="I1277" i="1"/>
  <c r="H1277" i="1"/>
  <c r="F1277" i="1"/>
  <c r="F1282" i="1" s="1"/>
  <c r="F1298" i="1" s="1"/>
  <c r="E1277" i="1"/>
  <c r="G1276" i="1"/>
  <c r="G1275" i="1"/>
  <c r="J1275" i="1" s="1"/>
  <c r="G1274" i="1"/>
  <c r="G1277" i="1" s="1"/>
  <c r="J1277" i="1" s="1"/>
  <c r="I1273" i="1"/>
  <c r="H1273" i="1"/>
  <c r="E1273" i="1"/>
  <c r="G1272" i="1"/>
  <c r="J1272" i="1" s="1"/>
  <c r="G1271" i="1"/>
  <c r="J1271" i="1" s="1"/>
  <c r="G1270" i="1"/>
  <c r="J1270" i="1" s="1"/>
  <c r="G1269" i="1"/>
  <c r="J1269" i="1" s="1"/>
  <c r="G1268" i="1"/>
  <c r="J1268" i="1" s="1"/>
  <c r="G1267" i="1"/>
  <c r="J1267" i="1" s="1"/>
  <c r="G1266" i="1"/>
  <c r="I1265" i="1"/>
  <c r="H1265" i="1"/>
  <c r="H1282" i="1" s="1"/>
  <c r="G1264" i="1"/>
  <c r="J1264" i="1" s="1"/>
  <c r="G1263" i="1"/>
  <c r="J1263" i="1" s="1"/>
  <c r="J1262" i="1"/>
  <c r="G1262" i="1"/>
  <c r="G1261" i="1"/>
  <c r="J1261" i="1" s="1"/>
  <c r="G1260" i="1"/>
  <c r="J1260" i="1" s="1"/>
  <c r="G1259" i="1"/>
  <c r="J1259" i="1" s="1"/>
  <c r="G1258" i="1"/>
  <c r="J1258" i="1" s="1"/>
  <c r="I1257" i="1"/>
  <c r="H1257" i="1"/>
  <c r="G1256" i="1"/>
  <c r="J1256" i="1" s="1"/>
  <c r="G1255" i="1"/>
  <c r="J1255" i="1" s="1"/>
  <c r="G1254" i="1"/>
  <c r="J1254" i="1" s="1"/>
  <c r="G1253" i="1"/>
  <c r="J1253" i="1" s="1"/>
  <c r="L280" i="14"/>
  <c r="K280" i="14" s="1"/>
  <c r="G280" i="14"/>
  <c r="C280" i="14"/>
  <c r="L279" i="14"/>
  <c r="K279" i="14" s="1"/>
  <c r="G279" i="14"/>
  <c r="C279" i="14"/>
  <c r="L278" i="14"/>
  <c r="K278" i="14" s="1"/>
  <c r="G278" i="14"/>
  <c r="C278" i="14"/>
  <c r="L277" i="14"/>
  <c r="K277" i="14" s="1"/>
  <c r="G277" i="14"/>
  <c r="C277" i="14"/>
  <c r="L276" i="14"/>
  <c r="K276" i="14" s="1"/>
  <c r="G276" i="14"/>
  <c r="C276" i="14"/>
  <c r="L275" i="14"/>
  <c r="K275" i="14" s="1"/>
  <c r="G275" i="14"/>
  <c r="C275" i="14"/>
  <c r="L274" i="14"/>
  <c r="K274" i="14" s="1"/>
  <c r="G274" i="14"/>
  <c r="C274" i="14"/>
  <c r="L273" i="14"/>
  <c r="K273" i="14" s="1"/>
  <c r="G273" i="14"/>
  <c r="C273" i="14"/>
  <c r="L272" i="14"/>
  <c r="K272" i="14" s="1"/>
  <c r="G272" i="14"/>
  <c r="C272" i="14"/>
  <c r="L271" i="14"/>
  <c r="K271" i="14" s="1"/>
  <c r="G271" i="14"/>
  <c r="C271" i="14"/>
  <c r="L270" i="14"/>
  <c r="K270" i="14" s="1"/>
  <c r="G270" i="14"/>
  <c r="C270" i="14"/>
  <c r="L269" i="14"/>
  <c r="K269" i="14" s="1"/>
  <c r="G269" i="14"/>
  <c r="C269" i="14"/>
  <c r="L268" i="14"/>
  <c r="K268" i="14" s="1"/>
  <c r="G268" i="14"/>
  <c r="C268" i="14"/>
  <c r="L267" i="14"/>
  <c r="K267" i="14" s="1"/>
  <c r="G267" i="14"/>
  <c r="C267" i="14"/>
  <c r="L266" i="14"/>
  <c r="K266" i="14" s="1"/>
  <c r="G266" i="14"/>
  <c r="C266" i="14"/>
  <c r="L265" i="14"/>
  <c r="K265" i="14" s="1"/>
  <c r="G265" i="14"/>
  <c r="C265" i="14"/>
  <c r="L262" i="14"/>
  <c r="K262" i="14" s="1"/>
  <c r="G262" i="14"/>
  <c r="C262" i="14"/>
  <c r="L261" i="14"/>
  <c r="K261" i="14" s="1"/>
  <c r="G261" i="14"/>
  <c r="C261" i="14"/>
  <c r="L260" i="14"/>
  <c r="K260" i="14" s="1"/>
  <c r="G260" i="14"/>
  <c r="C260" i="14"/>
  <c r="L259" i="14"/>
  <c r="K259" i="14" s="1"/>
  <c r="G259" i="14"/>
  <c r="C259" i="14"/>
  <c r="L258" i="14"/>
  <c r="K258" i="14" s="1"/>
  <c r="G258" i="14"/>
  <c r="C258" i="14"/>
  <c r="L257" i="14"/>
  <c r="K257" i="14" s="1"/>
  <c r="G257" i="14"/>
  <c r="C257" i="14"/>
  <c r="L256" i="14"/>
  <c r="K256" i="14" s="1"/>
  <c r="G256" i="14"/>
  <c r="C256" i="14"/>
  <c r="L255" i="14"/>
  <c r="K255" i="14" s="1"/>
  <c r="G255" i="14"/>
  <c r="C255" i="14"/>
  <c r="L254" i="14"/>
  <c r="K254" i="14" s="1"/>
  <c r="G254" i="14"/>
  <c r="C254" i="14"/>
  <c r="L253" i="14"/>
  <c r="K253" i="14" s="1"/>
  <c r="G253" i="14"/>
  <c r="C253" i="14"/>
  <c r="L252" i="14"/>
  <c r="K252" i="14" s="1"/>
  <c r="G252" i="14"/>
  <c r="C252" i="14"/>
  <c r="L251" i="14"/>
  <c r="K251" i="14" s="1"/>
  <c r="G251" i="14"/>
  <c r="C251" i="14"/>
  <c r="L250" i="14"/>
  <c r="K250" i="14" s="1"/>
  <c r="G250" i="14"/>
  <c r="C250" i="14"/>
  <c r="L249" i="14"/>
  <c r="K249" i="14" s="1"/>
  <c r="G249" i="14"/>
  <c r="C249" i="14"/>
  <c r="L248" i="14"/>
  <c r="K248" i="14" s="1"/>
  <c r="G248" i="14"/>
  <c r="C248" i="14"/>
  <c r="L247" i="14"/>
  <c r="K247" i="14" s="1"/>
  <c r="G247" i="14"/>
  <c r="C247" i="14"/>
  <c r="I1313" i="1" l="1"/>
  <c r="G1317" i="1"/>
  <c r="H1351" i="1"/>
  <c r="H1352" i="1" s="1"/>
  <c r="G1343" i="1"/>
  <c r="J1343" i="1" s="1"/>
  <c r="I1298" i="13"/>
  <c r="S283" i="14"/>
  <c r="S298" i="14"/>
  <c r="T298" i="14" s="1"/>
  <c r="Q1111" i="17"/>
  <c r="K1171" i="17"/>
  <c r="J1111" i="17"/>
  <c r="N1111" i="17" s="1"/>
  <c r="G1281" i="1"/>
  <c r="J1281" i="1" s="1"/>
  <c r="G1273" i="1"/>
  <c r="J1273" i="1" s="1"/>
  <c r="E1282" i="1"/>
  <c r="E1298" i="1" s="1"/>
  <c r="E1353" i="1" s="1"/>
  <c r="G1312" i="1"/>
  <c r="J1312" i="1" s="1"/>
  <c r="I1322" i="1"/>
  <c r="G1329" i="1"/>
  <c r="I1351" i="1"/>
  <c r="I1352" i="1" s="1"/>
  <c r="J1339" i="1"/>
  <c r="T283" i="14"/>
  <c r="F1353" i="1"/>
  <c r="H1031" i="16"/>
  <c r="I1345" i="13"/>
  <c r="H947" i="16"/>
  <c r="S288" i="14"/>
  <c r="T288" i="14" s="1"/>
  <c r="S286" i="14"/>
  <c r="T286" i="14" s="1"/>
  <c r="P795" i="17"/>
  <c r="I1438" i="13"/>
  <c r="F836" i="17"/>
  <c r="I836" i="17" s="1"/>
  <c r="F804" i="17"/>
  <c r="I804" i="17" s="1"/>
  <c r="S285" i="14"/>
  <c r="T285" i="14" s="1"/>
  <c r="S287" i="14"/>
  <c r="T287" i="14" s="1"/>
  <c r="S289" i="14"/>
  <c r="T289" i="14" s="1"/>
  <c r="S290" i="14"/>
  <c r="T290" i="14" s="1"/>
  <c r="S296" i="14"/>
  <c r="T296" i="14" s="1"/>
  <c r="S284" i="14"/>
  <c r="T284" i="14" s="1"/>
  <c r="S291" i="14"/>
  <c r="T291" i="14" s="1"/>
  <c r="S295" i="14"/>
  <c r="T295" i="14" s="1"/>
  <c r="P837" i="17"/>
  <c r="F795" i="17"/>
  <c r="I795" i="17" s="1"/>
  <c r="I786" i="17"/>
  <c r="F1438" i="13"/>
  <c r="F1440" i="13" s="1"/>
  <c r="F1441" i="13" s="1"/>
  <c r="F1413" i="13"/>
  <c r="F1467" i="13"/>
  <c r="F1468" i="13" s="1"/>
  <c r="F1398" i="13"/>
  <c r="I1440" i="13"/>
  <c r="I1441" i="13" s="1"/>
  <c r="I1398" i="13"/>
  <c r="I1414" i="13" s="1"/>
  <c r="H1457" i="1"/>
  <c r="G1426" i="1"/>
  <c r="J1426" i="1" s="1"/>
  <c r="J1361" i="1"/>
  <c r="I1457" i="1"/>
  <c r="G1455" i="1"/>
  <c r="J1433" i="1"/>
  <c r="G1401" i="1"/>
  <c r="J1401" i="1" s="1"/>
  <c r="J1391" i="1"/>
  <c r="G1417" i="1"/>
  <c r="J1412" i="1"/>
  <c r="G1369" i="1"/>
  <c r="J1369" i="1" s="1"/>
  <c r="H943" i="16"/>
  <c r="H931" i="16"/>
  <c r="H736" i="17"/>
  <c r="G1296" i="1"/>
  <c r="J1296" i="1" s="1"/>
  <c r="I1324" i="1"/>
  <c r="I1325" i="1" s="1"/>
  <c r="G1321" i="1"/>
  <c r="J1321" i="1" s="1"/>
  <c r="H1322" i="1"/>
  <c r="H1313" i="1"/>
  <c r="H991" i="16"/>
  <c r="F775" i="17"/>
  <c r="I775" i="17" s="1"/>
  <c r="P775" i="17"/>
  <c r="P776" i="17" s="1"/>
  <c r="P744" i="17"/>
  <c r="P745" i="17" s="1"/>
  <c r="G736" i="17"/>
  <c r="G777" i="17"/>
  <c r="P727" i="17"/>
  <c r="F727" i="17"/>
  <c r="P735" i="17"/>
  <c r="H777" i="17"/>
  <c r="F735" i="17"/>
  <c r="I735" i="17" s="1"/>
  <c r="F744" i="17"/>
  <c r="I737" i="17"/>
  <c r="D777" i="17"/>
  <c r="I1358" i="13"/>
  <c r="I1354" i="13"/>
  <c r="I1328" i="13"/>
  <c r="I1323" i="13"/>
  <c r="I1319" i="13"/>
  <c r="I1324" i="13" s="1"/>
  <c r="I1284" i="13"/>
  <c r="I1268" i="13"/>
  <c r="I1276" i="13"/>
  <c r="F1345" i="13"/>
  <c r="F1268" i="13"/>
  <c r="F1276" i="13"/>
  <c r="I1288" i="13"/>
  <c r="I1292" i="13"/>
  <c r="I1307" i="13"/>
  <c r="I1308" i="13" s="1"/>
  <c r="F1307" i="13"/>
  <c r="F1323" i="13"/>
  <c r="F1328" i="13"/>
  <c r="I1348" i="13"/>
  <c r="F1358" i="13"/>
  <c r="F1332" i="13"/>
  <c r="F1319" i="13"/>
  <c r="I1332" i="13"/>
  <c r="I1333" i="13" s="1"/>
  <c r="I1335" i="13" s="1"/>
  <c r="I1336" i="13" s="1"/>
  <c r="I1340" i="13"/>
  <c r="F1284" i="13"/>
  <c r="F1288" i="13"/>
  <c r="F1292" i="13"/>
  <c r="F1298" i="13"/>
  <c r="F1340" i="13"/>
  <c r="F1348" i="13"/>
  <c r="F1354" i="13"/>
  <c r="G1308" i="1"/>
  <c r="G1313" i="1" s="1"/>
  <c r="H1298" i="1"/>
  <c r="I1282" i="1"/>
  <c r="I1298" i="1" s="1"/>
  <c r="I1353" i="1" s="1"/>
  <c r="J1274" i="1"/>
  <c r="G1287" i="1"/>
  <c r="G1257" i="1"/>
  <c r="J1266" i="1"/>
  <c r="J1280" i="1"/>
  <c r="G1322" i="1"/>
  <c r="J1322" i="1" s="1"/>
  <c r="J1317" i="1"/>
  <c r="J1329" i="1"/>
  <c r="G1265" i="1"/>
  <c r="J1265" i="1" s="1"/>
  <c r="J1309" i="1"/>
  <c r="J1335" i="1"/>
  <c r="J1348" i="1"/>
  <c r="G1334" i="1"/>
  <c r="J1334" i="1" s="1"/>
  <c r="J1314" i="1"/>
  <c r="J1344" i="1"/>
  <c r="M267" i="14"/>
  <c r="O267" i="14"/>
  <c r="N267" i="14" s="1"/>
  <c r="O275" i="14"/>
  <c r="N275" i="14" s="1"/>
  <c r="M275" i="14"/>
  <c r="O266" i="14"/>
  <c r="N266" i="14" s="1"/>
  <c r="M266" i="14"/>
  <c r="O270" i="14"/>
  <c r="N270" i="14" s="1"/>
  <c r="M270" i="14"/>
  <c r="O274" i="14"/>
  <c r="N274" i="14" s="1"/>
  <c r="M274" i="14"/>
  <c r="M278" i="14"/>
  <c r="O278" i="14"/>
  <c r="N278" i="14" s="1"/>
  <c r="M279" i="14"/>
  <c r="O279" i="14"/>
  <c r="N279" i="14" s="1"/>
  <c r="O269" i="14"/>
  <c r="N269" i="14" s="1"/>
  <c r="M269" i="14"/>
  <c r="M273" i="14"/>
  <c r="O273" i="14"/>
  <c r="N273" i="14" s="1"/>
  <c r="M277" i="14"/>
  <c r="O277" i="14"/>
  <c r="N277" i="14" s="1"/>
  <c r="M271" i="14"/>
  <c r="O271" i="14"/>
  <c r="N271" i="14" s="1"/>
  <c r="O265" i="14"/>
  <c r="N265" i="14" s="1"/>
  <c r="M265" i="14"/>
  <c r="M268" i="14"/>
  <c r="O268" i="14"/>
  <c r="N268" i="14" s="1"/>
  <c r="M272" i="14"/>
  <c r="O272" i="14"/>
  <c r="N272" i="14" s="1"/>
  <c r="M276" i="14"/>
  <c r="O276" i="14"/>
  <c r="N276" i="14" s="1"/>
  <c r="M280" i="14"/>
  <c r="O280" i="14"/>
  <c r="N280" i="14" s="1"/>
  <c r="M247" i="14"/>
  <c r="O247" i="14"/>
  <c r="N247" i="14" s="1"/>
  <c r="M251" i="14"/>
  <c r="O251" i="14"/>
  <c r="N251" i="14" s="1"/>
  <c r="M255" i="14"/>
  <c r="O255" i="14"/>
  <c r="N255" i="14" s="1"/>
  <c r="O259" i="14"/>
  <c r="N259" i="14" s="1"/>
  <c r="M259" i="14"/>
  <c r="O250" i="14"/>
  <c r="N250" i="14" s="1"/>
  <c r="M250" i="14"/>
  <c r="M254" i="14"/>
  <c r="O254" i="14"/>
  <c r="N254" i="14" s="1"/>
  <c r="O258" i="14"/>
  <c r="N258" i="14" s="1"/>
  <c r="M258" i="14"/>
  <c r="O262" i="14"/>
  <c r="N262" i="14" s="1"/>
  <c r="M262" i="14"/>
  <c r="O249" i="14"/>
  <c r="N249" i="14" s="1"/>
  <c r="M249" i="14"/>
  <c r="M253" i="14"/>
  <c r="O253" i="14"/>
  <c r="N253" i="14" s="1"/>
  <c r="O257" i="14"/>
  <c r="N257" i="14" s="1"/>
  <c r="M257" i="14"/>
  <c r="O261" i="14"/>
  <c r="N261" i="14" s="1"/>
  <c r="M261" i="14"/>
  <c r="M248" i="14"/>
  <c r="O248" i="14"/>
  <c r="N248" i="14" s="1"/>
  <c r="O252" i="14"/>
  <c r="N252" i="14" s="1"/>
  <c r="M252" i="14"/>
  <c r="M256" i="14"/>
  <c r="O256" i="14"/>
  <c r="N256" i="14" s="1"/>
  <c r="M260" i="14"/>
  <c r="O260" i="14"/>
  <c r="N260" i="14" s="1"/>
  <c r="E892" i="16"/>
  <c r="H1324" i="1" l="1"/>
  <c r="H1325" i="1" s="1"/>
  <c r="H1353" i="1" s="1"/>
  <c r="H949" i="16"/>
  <c r="K1231" i="17"/>
  <c r="J1171" i="17"/>
  <c r="N1171" i="17" s="1"/>
  <c r="Q1171" i="17"/>
  <c r="F837" i="17"/>
  <c r="I837" i="17" s="1"/>
  <c r="F1414" i="13"/>
  <c r="F1469" i="13" s="1"/>
  <c r="I1469" i="13"/>
  <c r="G1456" i="1"/>
  <c r="J1455" i="1"/>
  <c r="J1456" i="1" s="1"/>
  <c r="G1428" i="1"/>
  <c r="J1417" i="1"/>
  <c r="G1386" i="1"/>
  <c r="F776" i="17"/>
  <c r="P736" i="17"/>
  <c r="P777" i="17" s="1"/>
  <c r="J1308" i="1"/>
  <c r="I744" i="17"/>
  <c r="F745" i="17"/>
  <c r="I745" i="17" s="1"/>
  <c r="I776" i="17"/>
  <c r="F736" i="17"/>
  <c r="I736" i="17" s="1"/>
  <c r="I727" i="17"/>
  <c r="F1324" i="13"/>
  <c r="F1362" i="13"/>
  <c r="F1363" i="13" s="1"/>
  <c r="I1362" i="13"/>
  <c r="I1363" i="13" s="1"/>
  <c r="F1333" i="13"/>
  <c r="F1335" i="13" s="1"/>
  <c r="F1336" i="13" s="1"/>
  <c r="F1293" i="13"/>
  <c r="I1293" i="13"/>
  <c r="I1309" i="13" s="1"/>
  <c r="F1308" i="13"/>
  <c r="G1351" i="1"/>
  <c r="G1352" i="1" s="1"/>
  <c r="J1257" i="1"/>
  <c r="G1282" i="1"/>
  <c r="G1297" i="1"/>
  <c r="J1297" i="1" s="1"/>
  <c r="J1287" i="1"/>
  <c r="G1324" i="1"/>
  <c r="J1313" i="1"/>
  <c r="P272" i="14"/>
  <c r="Q272" i="14"/>
  <c r="R272" i="14"/>
  <c r="P277" i="14"/>
  <c r="R277" i="14"/>
  <c r="Q277" i="14"/>
  <c r="S277" i="14" s="1"/>
  <c r="P265" i="14"/>
  <c r="Q265" i="14"/>
  <c r="R265" i="14"/>
  <c r="P269" i="14"/>
  <c r="R269" i="14"/>
  <c r="Q269" i="14"/>
  <c r="P270" i="14"/>
  <c r="Q270" i="14"/>
  <c r="R270" i="14"/>
  <c r="P275" i="14"/>
  <c r="Q275" i="14"/>
  <c r="R275" i="14"/>
  <c r="P276" i="14"/>
  <c r="Q276" i="14"/>
  <c r="R276" i="14"/>
  <c r="P268" i="14"/>
  <c r="Q268" i="14"/>
  <c r="R268" i="14"/>
  <c r="P271" i="14"/>
  <c r="Q271" i="14"/>
  <c r="R271" i="14"/>
  <c r="P273" i="14"/>
  <c r="R273" i="14"/>
  <c r="Q273" i="14"/>
  <c r="P279" i="14"/>
  <c r="T279" i="14" s="1"/>
  <c r="R279" i="14"/>
  <c r="Q279" i="14"/>
  <c r="S279" i="14" s="1"/>
  <c r="P267" i="14"/>
  <c r="R267" i="14"/>
  <c r="Q267" i="14"/>
  <c r="P280" i="14"/>
  <c r="R280" i="14"/>
  <c r="Q280" i="14"/>
  <c r="S280" i="14" s="1"/>
  <c r="T280" i="14" s="1"/>
  <c r="P278" i="14"/>
  <c r="Q278" i="14"/>
  <c r="R278" i="14"/>
  <c r="P274" i="14"/>
  <c r="Q274" i="14"/>
  <c r="R274" i="14"/>
  <c r="P266" i="14"/>
  <c r="Q266" i="14"/>
  <c r="R266" i="14"/>
  <c r="P260" i="14"/>
  <c r="Q260" i="14"/>
  <c r="R260" i="14"/>
  <c r="P254" i="14"/>
  <c r="R254" i="14"/>
  <c r="Q254" i="14"/>
  <c r="P251" i="14"/>
  <c r="R251" i="14"/>
  <c r="Q251" i="14"/>
  <c r="P252" i="14"/>
  <c r="Q252" i="14"/>
  <c r="R252" i="14"/>
  <c r="P261" i="14"/>
  <c r="Q261" i="14"/>
  <c r="R261" i="14"/>
  <c r="P262" i="14"/>
  <c r="Q262" i="14"/>
  <c r="R262" i="14"/>
  <c r="P259" i="14"/>
  <c r="Q259" i="14"/>
  <c r="R259" i="14"/>
  <c r="P253" i="14"/>
  <c r="Q253" i="14"/>
  <c r="R253" i="14"/>
  <c r="P256" i="14"/>
  <c r="R256" i="14"/>
  <c r="Q256" i="14"/>
  <c r="S256" i="14" s="1"/>
  <c r="P248" i="14"/>
  <c r="R248" i="14"/>
  <c r="Q248" i="14"/>
  <c r="P255" i="14"/>
  <c r="R255" i="14"/>
  <c r="Q255" i="14"/>
  <c r="S255" i="14" s="1"/>
  <c r="P247" i="14"/>
  <c r="R247" i="14"/>
  <c r="Q247" i="14"/>
  <c r="P257" i="14"/>
  <c r="Q257" i="14"/>
  <c r="S257" i="14" s="1"/>
  <c r="T257" i="14" s="1"/>
  <c r="R257" i="14"/>
  <c r="P249" i="14"/>
  <c r="Q249" i="14"/>
  <c r="R249" i="14"/>
  <c r="P258" i="14"/>
  <c r="Q258" i="14"/>
  <c r="R258" i="14"/>
  <c r="P250" i="14"/>
  <c r="R250" i="14"/>
  <c r="Q250" i="14"/>
  <c r="H908" i="16"/>
  <c r="H907" i="16"/>
  <c r="H906" i="16"/>
  <c r="H905" i="16"/>
  <c r="H904" i="16"/>
  <c r="H903" i="16"/>
  <c r="H902" i="16"/>
  <c r="H901" i="16"/>
  <c r="H900" i="16"/>
  <c r="H899" i="16"/>
  <c r="H898" i="16"/>
  <c r="H897" i="16"/>
  <c r="H896" i="16"/>
  <c r="H895" i="16"/>
  <c r="H894" i="16"/>
  <c r="H893" i="16"/>
  <c r="H892" i="16"/>
  <c r="H891" i="16"/>
  <c r="H890" i="16"/>
  <c r="H889" i="16"/>
  <c r="H887" i="16"/>
  <c r="H886" i="16"/>
  <c r="H885" i="16"/>
  <c r="H884" i="16"/>
  <c r="H883" i="16"/>
  <c r="H882" i="16"/>
  <c r="H881" i="16"/>
  <c r="H880" i="16"/>
  <c r="H879" i="16"/>
  <c r="H878" i="16"/>
  <c r="H877" i="16"/>
  <c r="H876" i="16"/>
  <c r="H875" i="16"/>
  <c r="H874" i="16"/>
  <c r="H873" i="16"/>
  <c r="H872" i="16"/>
  <c r="H871" i="16"/>
  <c r="H870" i="16"/>
  <c r="H869" i="16"/>
  <c r="H868" i="16"/>
  <c r="I866" i="16"/>
  <c r="H864" i="16"/>
  <c r="H863" i="16"/>
  <c r="H862" i="16"/>
  <c r="H860" i="16"/>
  <c r="H859" i="16"/>
  <c r="H858" i="16"/>
  <c r="H857" i="16"/>
  <c r="H856" i="16"/>
  <c r="H855" i="16"/>
  <c r="H854" i="16"/>
  <c r="H853" i="16"/>
  <c r="H852" i="16"/>
  <c r="H851" i="16"/>
  <c r="H850" i="16"/>
  <c r="H848" i="16"/>
  <c r="H847" i="16"/>
  <c r="H846" i="16"/>
  <c r="H845" i="16"/>
  <c r="H844" i="16"/>
  <c r="H843" i="16"/>
  <c r="H842" i="16"/>
  <c r="H841" i="16"/>
  <c r="H840" i="16"/>
  <c r="H839" i="16"/>
  <c r="H838" i="16"/>
  <c r="H837" i="16"/>
  <c r="H836" i="16"/>
  <c r="H835" i="16"/>
  <c r="E717" i="17"/>
  <c r="E718" i="17" s="1"/>
  <c r="H716" i="17"/>
  <c r="H717" i="17" s="1"/>
  <c r="G716" i="17"/>
  <c r="G717" i="17" s="1"/>
  <c r="D716" i="17"/>
  <c r="D717" i="17" s="1"/>
  <c r="P715" i="17"/>
  <c r="F715" i="17"/>
  <c r="I715" i="17" s="1"/>
  <c r="P714" i="17"/>
  <c r="F714" i="17"/>
  <c r="I714" i="17" s="1"/>
  <c r="P713" i="17"/>
  <c r="F713" i="17"/>
  <c r="I713" i="17" s="1"/>
  <c r="P712" i="17"/>
  <c r="F712" i="17"/>
  <c r="I712" i="17" s="1"/>
  <c r="P711" i="17"/>
  <c r="F711" i="17"/>
  <c r="I711" i="17" s="1"/>
  <c r="P710" i="17"/>
  <c r="F710" i="17"/>
  <c r="I710" i="17" s="1"/>
  <c r="P709" i="17"/>
  <c r="F709" i="17"/>
  <c r="I709" i="17" s="1"/>
  <c r="P708" i="17"/>
  <c r="F708" i="17"/>
  <c r="I708" i="17" s="1"/>
  <c r="P707" i="17"/>
  <c r="F707" i="17"/>
  <c r="I707" i="17" s="1"/>
  <c r="P706" i="17"/>
  <c r="F706" i="17"/>
  <c r="I706" i="17" s="1"/>
  <c r="P705" i="17"/>
  <c r="I705" i="17"/>
  <c r="F705" i="17"/>
  <c r="P704" i="17"/>
  <c r="I704" i="17"/>
  <c r="F704" i="17"/>
  <c r="P703" i="17"/>
  <c r="F703" i="17"/>
  <c r="I703" i="17" s="1"/>
  <c r="P702" i="17"/>
  <c r="F702" i="17"/>
  <c r="I702" i="17" s="1"/>
  <c r="P701" i="17"/>
  <c r="F701" i="17"/>
  <c r="I701" i="17" s="1"/>
  <c r="P700" i="17"/>
  <c r="I700" i="17"/>
  <c r="F700" i="17"/>
  <c r="P699" i="17"/>
  <c r="F699" i="17"/>
  <c r="I699" i="17" s="1"/>
  <c r="P698" i="17"/>
  <c r="F698" i="17"/>
  <c r="I698" i="17" s="1"/>
  <c r="P697" i="17"/>
  <c r="F697" i="17"/>
  <c r="I697" i="17" s="1"/>
  <c r="P696" i="17"/>
  <c r="F696" i="17"/>
  <c r="I696" i="17" s="1"/>
  <c r="P695" i="17"/>
  <c r="F695" i="17"/>
  <c r="I695" i="17" s="1"/>
  <c r="P694" i="17"/>
  <c r="F694" i="17"/>
  <c r="I694" i="17" s="1"/>
  <c r="P693" i="17"/>
  <c r="I693" i="17"/>
  <c r="F693" i="17"/>
  <c r="P692" i="17"/>
  <c r="F692" i="17"/>
  <c r="I692" i="17" s="1"/>
  <c r="P691" i="17"/>
  <c r="F691" i="17"/>
  <c r="I691" i="17" s="1"/>
  <c r="P690" i="17"/>
  <c r="F690" i="17"/>
  <c r="I690" i="17" s="1"/>
  <c r="P689" i="17"/>
  <c r="F689" i="17"/>
  <c r="I689" i="17" s="1"/>
  <c r="P688" i="17"/>
  <c r="F688" i="17"/>
  <c r="I688" i="17" s="1"/>
  <c r="P687" i="17"/>
  <c r="F687" i="17"/>
  <c r="I687" i="17" s="1"/>
  <c r="E686" i="17"/>
  <c r="D686" i="17"/>
  <c r="H685" i="17"/>
  <c r="H686" i="17" s="1"/>
  <c r="G685" i="17"/>
  <c r="G686" i="17" s="1"/>
  <c r="P684" i="17"/>
  <c r="F684" i="17"/>
  <c r="I684" i="17" s="1"/>
  <c r="P683" i="17"/>
  <c r="F683" i="17"/>
  <c r="I683" i="17" s="1"/>
  <c r="P682" i="17"/>
  <c r="F682" i="17"/>
  <c r="I682" i="17" s="1"/>
  <c r="P681" i="17"/>
  <c r="F681" i="17"/>
  <c r="I681" i="17" s="1"/>
  <c r="P680" i="17"/>
  <c r="F680" i="17"/>
  <c r="I680" i="17" s="1"/>
  <c r="P679" i="17"/>
  <c r="F679" i="17"/>
  <c r="I679" i="17" s="1"/>
  <c r="P678" i="17"/>
  <c r="F678" i="17"/>
  <c r="I678" i="17" s="1"/>
  <c r="E677" i="17"/>
  <c r="H676" i="17"/>
  <c r="G676" i="17"/>
  <c r="D676" i="17"/>
  <c r="D677" i="17" s="1"/>
  <c r="P675" i="17"/>
  <c r="F675" i="17"/>
  <c r="I675" i="17" s="1"/>
  <c r="P674" i="17"/>
  <c r="F674" i="17"/>
  <c r="I674" i="17" s="1"/>
  <c r="P673" i="17"/>
  <c r="F673" i="17"/>
  <c r="I673" i="17" s="1"/>
  <c r="P672" i="17"/>
  <c r="F672" i="17"/>
  <c r="I672" i="17" s="1"/>
  <c r="P671" i="17"/>
  <c r="I671" i="17"/>
  <c r="F671" i="17"/>
  <c r="P670" i="17"/>
  <c r="F670" i="17"/>
  <c r="I670" i="17" s="1"/>
  <c r="P669" i="17"/>
  <c r="F669" i="17"/>
  <c r="I669" i="17" s="1"/>
  <c r="H668" i="17"/>
  <c r="G668" i="17"/>
  <c r="D668" i="17"/>
  <c r="P667" i="17"/>
  <c r="F667" i="17"/>
  <c r="I667" i="17" s="1"/>
  <c r="P666" i="17"/>
  <c r="F666" i="17"/>
  <c r="I666" i="17" s="1"/>
  <c r="P665" i="17"/>
  <c r="F665" i="17"/>
  <c r="I665" i="17" s="1"/>
  <c r="P664" i="17"/>
  <c r="F664" i="17"/>
  <c r="I664" i="17" s="1"/>
  <c r="P663" i="17"/>
  <c r="F663" i="17"/>
  <c r="F1255" i="13"/>
  <c r="F1256" i="13" s="1"/>
  <c r="F1254" i="13"/>
  <c r="F1252" i="13"/>
  <c r="F1251" i="13"/>
  <c r="I1251" i="13" s="1"/>
  <c r="F1250" i="13"/>
  <c r="F1248" i="13"/>
  <c r="F1247" i="13"/>
  <c r="I1247" i="13" s="1"/>
  <c r="F1246" i="13"/>
  <c r="F1245" i="13"/>
  <c r="I1245" i="13" s="1"/>
  <c r="F1244" i="13"/>
  <c r="I1244" i="13" s="1"/>
  <c r="F1242" i="13"/>
  <c r="F1241" i="13"/>
  <c r="I1241" i="13" s="1"/>
  <c r="I1243" i="13" s="1"/>
  <c r="F1239" i="13"/>
  <c r="F1238" i="13"/>
  <c r="I1238" i="13" s="1"/>
  <c r="F1237" i="13"/>
  <c r="I1237" i="13" s="1"/>
  <c r="F1236" i="13"/>
  <c r="I1236" i="13" s="1"/>
  <c r="F1234" i="13"/>
  <c r="F1233" i="13"/>
  <c r="I1233" i="13" s="1"/>
  <c r="F1232" i="13"/>
  <c r="F1229" i="13"/>
  <c r="I1229" i="13" s="1"/>
  <c r="F1226" i="13"/>
  <c r="F1225" i="13"/>
  <c r="I1225" i="13" s="1"/>
  <c r="F1224" i="13"/>
  <c r="F1222" i="13"/>
  <c r="F1221" i="13"/>
  <c r="I1221" i="13" s="1"/>
  <c r="F1220" i="13"/>
  <c r="F1217" i="13"/>
  <c r="F1216" i="13"/>
  <c r="I1216" i="13" s="1"/>
  <c r="F1215" i="13"/>
  <c r="I1215" i="13" s="1"/>
  <c r="F1213" i="13"/>
  <c r="F1212" i="13"/>
  <c r="I1212" i="13" s="1"/>
  <c r="F1211" i="13"/>
  <c r="F1210" i="13"/>
  <c r="I1210" i="13" s="1"/>
  <c r="F1209" i="13"/>
  <c r="F1208" i="13"/>
  <c r="I1208" i="13" s="1"/>
  <c r="F1207" i="13"/>
  <c r="F1206" i="13"/>
  <c r="I1206" i="13" s="1"/>
  <c r="F1205" i="13"/>
  <c r="F1201" i="13"/>
  <c r="I1201" i="13" s="1"/>
  <c r="F1200" i="13"/>
  <c r="I1200" i="13" s="1"/>
  <c r="F1199" i="13"/>
  <c r="F1198" i="13"/>
  <c r="I1198" i="13" s="1"/>
  <c r="F1197" i="13"/>
  <c r="I1197" i="13" s="1"/>
  <c r="F1196" i="13"/>
  <c r="I1196" i="13" s="1"/>
  <c r="F1195" i="13"/>
  <c r="F1194" i="13"/>
  <c r="I1194" i="13" s="1"/>
  <c r="F1192" i="13"/>
  <c r="F1191" i="13"/>
  <c r="I1191" i="13" s="1"/>
  <c r="F1190" i="13"/>
  <c r="F1189" i="13"/>
  <c r="I1189" i="13" s="1"/>
  <c r="F1186" i="13"/>
  <c r="F1185" i="13"/>
  <c r="I1185" i="13" s="1"/>
  <c r="F1184" i="13"/>
  <c r="F1182" i="13"/>
  <c r="I1182" i="13" s="1"/>
  <c r="F1181" i="13"/>
  <c r="I1181" i="13" s="1"/>
  <c r="F1180" i="13"/>
  <c r="F1178" i="13"/>
  <c r="F1177" i="13"/>
  <c r="I1177" i="13" s="1"/>
  <c r="F1176" i="13"/>
  <c r="F1175" i="13"/>
  <c r="I1175" i="13" s="1"/>
  <c r="F1174" i="13"/>
  <c r="F1173" i="13"/>
  <c r="I1173" i="13" s="1"/>
  <c r="F1172" i="13"/>
  <c r="F1170" i="13"/>
  <c r="I1170" i="13" s="1"/>
  <c r="F1169" i="13"/>
  <c r="I1169" i="13" s="1"/>
  <c r="F1168" i="13"/>
  <c r="F1167" i="13"/>
  <c r="I1167" i="13" s="1"/>
  <c r="F1166" i="13"/>
  <c r="F1165" i="13"/>
  <c r="I1165" i="13" s="1"/>
  <c r="F1164" i="13"/>
  <c r="F1162" i="13"/>
  <c r="I1162" i="13" s="1"/>
  <c r="F1161" i="13"/>
  <c r="F1160" i="13"/>
  <c r="I1160" i="13" s="1"/>
  <c r="F1159" i="13"/>
  <c r="J1256" i="13"/>
  <c r="I1256" i="13"/>
  <c r="I1252" i="13"/>
  <c r="I1250" i="13"/>
  <c r="I1248" i="13"/>
  <c r="I1246" i="13"/>
  <c r="I1242" i="13"/>
  <c r="I1239" i="13"/>
  <c r="I1234" i="13"/>
  <c r="I1232" i="13"/>
  <c r="I1226" i="13"/>
  <c r="I1224" i="13"/>
  <c r="I1222" i="13"/>
  <c r="I1220" i="13"/>
  <c r="I1217" i="13"/>
  <c r="I1213" i="13"/>
  <c r="I1211" i="13"/>
  <c r="I1209" i="13"/>
  <c r="I1207" i="13"/>
  <c r="I1205" i="13"/>
  <c r="I1199" i="13"/>
  <c r="I1195" i="13"/>
  <c r="I1192" i="13"/>
  <c r="I1190" i="13"/>
  <c r="I1186" i="13"/>
  <c r="I1184" i="13"/>
  <c r="I1180" i="13"/>
  <c r="I1178" i="13"/>
  <c r="I1176" i="13"/>
  <c r="I1174" i="13"/>
  <c r="I1172" i="13"/>
  <c r="I1168" i="13"/>
  <c r="I1166" i="13"/>
  <c r="I1164" i="13"/>
  <c r="I1161" i="13"/>
  <c r="F1247" i="1"/>
  <c r="F1248" i="1" s="1"/>
  <c r="E1247" i="1"/>
  <c r="E1248" i="1" s="1"/>
  <c r="I1246" i="1"/>
  <c r="H1246" i="1"/>
  <c r="G1245" i="1"/>
  <c r="J1245" i="1" s="1"/>
  <c r="G1244" i="1"/>
  <c r="I1243" i="1"/>
  <c r="H1243" i="1"/>
  <c r="G1242" i="1"/>
  <c r="J1242" i="1" s="1"/>
  <c r="G1241" i="1"/>
  <c r="J1241" i="1" s="1"/>
  <c r="G1240" i="1"/>
  <c r="I1239" i="1"/>
  <c r="H1239" i="1"/>
  <c r="G1238" i="1"/>
  <c r="J1238" i="1" s="1"/>
  <c r="G1237" i="1"/>
  <c r="J1237" i="1" s="1"/>
  <c r="J1236" i="1"/>
  <c r="G1236" i="1"/>
  <c r="G1235" i="1"/>
  <c r="J1235" i="1" s="1"/>
  <c r="G1234" i="1"/>
  <c r="J1234" i="1" s="1"/>
  <c r="I1233" i="1"/>
  <c r="H1233" i="1"/>
  <c r="G1232" i="1"/>
  <c r="J1232" i="1" s="1"/>
  <c r="G1231" i="1"/>
  <c r="J1231" i="1" s="1"/>
  <c r="I1230" i="1"/>
  <c r="H1230" i="1"/>
  <c r="J1229" i="1"/>
  <c r="G1229" i="1"/>
  <c r="G1228" i="1"/>
  <c r="J1228" i="1" s="1"/>
  <c r="G1227" i="1"/>
  <c r="J1227" i="1" s="1"/>
  <c r="G1226" i="1"/>
  <c r="J1226" i="1" s="1"/>
  <c r="I1225" i="1"/>
  <c r="H1225" i="1"/>
  <c r="G1224" i="1"/>
  <c r="J1224" i="1" s="1"/>
  <c r="G1223" i="1"/>
  <c r="J1223" i="1" s="1"/>
  <c r="G1222" i="1"/>
  <c r="J1222" i="1" s="1"/>
  <c r="F1220" i="1"/>
  <c r="F1221" i="1" s="1"/>
  <c r="E1220" i="1"/>
  <c r="E1221" i="1" s="1"/>
  <c r="G1219" i="1"/>
  <c r="J1219" i="1" s="1"/>
  <c r="I1217" i="1"/>
  <c r="I1218" i="1" s="1"/>
  <c r="H1217" i="1"/>
  <c r="G1216" i="1"/>
  <c r="J1216" i="1" s="1"/>
  <c r="J1215" i="1"/>
  <c r="G1215" i="1"/>
  <c r="G1214" i="1"/>
  <c r="G1217" i="1" s="1"/>
  <c r="J1217" i="1" s="1"/>
  <c r="I1213" i="1"/>
  <c r="H1213" i="1"/>
  <c r="G1212" i="1"/>
  <c r="J1212" i="1" s="1"/>
  <c r="G1211" i="1"/>
  <c r="J1211" i="1" s="1"/>
  <c r="G1210" i="1"/>
  <c r="I1208" i="1"/>
  <c r="H1208" i="1"/>
  <c r="G1207" i="1"/>
  <c r="J1207" i="1" s="1"/>
  <c r="G1206" i="1"/>
  <c r="J1205" i="1"/>
  <c r="G1205" i="1"/>
  <c r="I1204" i="1"/>
  <c r="H1204" i="1"/>
  <c r="G1203" i="1"/>
  <c r="J1203" i="1" s="1"/>
  <c r="G1202" i="1"/>
  <c r="J1202" i="1" s="1"/>
  <c r="G1201" i="1"/>
  <c r="J1201" i="1" s="1"/>
  <c r="G1200" i="1"/>
  <c r="J1200" i="1" s="1"/>
  <c r="G1199" i="1"/>
  <c r="J1199" i="1" s="1"/>
  <c r="G1198" i="1"/>
  <c r="J1198" i="1" s="1"/>
  <c r="G1197" i="1"/>
  <c r="J1197" i="1" s="1"/>
  <c r="G1196" i="1"/>
  <c r="J1196" i="1" s="1"/>
  <c r="G1195" i="1"/>
  <c r="J1195" i="1" s="1"/>
  <c r="F1193" i="1"/>
  <c r="E1193" i="1"/>
  <c r="I1192" i="1"/>
  <c r="H1192" i="1"/>
  <c r="G1191" i="1"/>
  <c r="J1191" i="1" s="1"/>
  <c r="J1190" i="1"/>
  <c r="G1190" i="1"/>
  <c r="G1189" i="1"/>
  <c r="J1189" i="1" s="1"/>
  <c r="G1188" i="1"/>
  <c r="J1188" i="1" s="1"/>
  <c r="J1187" i="1"/>
  <c r="G1187" i="1"/>
  <c r="G1186" i="1"/>
  <c r="J1186" i="1" s="1"/>
  <c r="G1185" i="1"/>
  <c r="J1185" i="1" s="1"/>
  <c r="G1184" i="1"/>
  <c r="J1184" i="1" s="1"/>
  <c r="I1183" i="1"/>
  <c r="H1183" i="1"/>
  <c r="G1182" i="1"/>
  <c r="J1182" i="1" s="1"/>
  <c r="G1181" i="1"/>
  <c r="J1181" i="1" s="1"/>
  <c r="G1180" i="1"/>
  <c r="J1180" i="1" s="1"/>
  <c r="G1179" i="1"/>
  <c r="J1179" i="1" s="1"/>
  <c r="I1177" i="1"/>
  <c r="H1177" i="1"/>
  <c r="E1177" i="1"/>
  <c r="G1176" i="1"/>
  <c r="J1176" i="1" s="1"/>
  <c r="J1175" i="1"/>
  <c r="G1175" i="1"/>
  <c r="G1174" i="1"/>
  <c r="G1177" i="1" s="1"/>
  <c r="J1177" i="1" s="1"/>
  <c r="I1173" i="1"/>
  <c r="H1173" i="1"/>
  <c r="F1173" i="1"/>
  <c r="F1178" i="1" s="1"/>
  <c r="F1194" i="1" s="1"/>
  <c r="F1249" i="1" s="1"/>
  <c r="E1173" i="1"/>
  <c r="G1172" i="1"/>
  <c r="G1171" i="1"/>
  <c r="J1171" i="1" s="1"/>
  <c r="G1170" i="1"/>
  <c r="I1169" i="1"/>
  <c r="H1169" i="1"/>
  <c r="E1169" i="1"/>
  <c r="J1168" i="1"/>
  <c r="G1168" i="1"/>
  <c r="G1167" i="1"/>
  <c r="J1167" i="1" s="1"/>
  <c r="G1166" i="1"/>
  <c r="J1166" i="1" s="1"/>
  <c r="J1165" i="1"/>
  <c r="G1165" i="1"/>
  <c r="J1164" i="1"/>
  <c r="G1164" i="1"/>
  <c r="G1163" i="1"/>
  <c r="J1163" i="1" s="1"/>
  <c r="G1162" i="1"/>
  <c r="J1162" i="1" s="1"/>
  <c r="I1161" i="1"/>
  <c r="H1161" i="1"/>
  <c r="G1160" i="1"/>
  <c r="J1160" i="1" s="1"/>
  <c r="G1159" i="1"/>
  <c r="J1159" i="1" s="1"/>
  <c r="J1158" i="1"/>
  <c r="G1158" i="1"/>
  <c r="J1157" i="1"/>
  <c r="G1157" i="1"/>
  <c r="G1156" i="1"/>
  <c r="J1156" i="1" s="1"/>
  <c r="G1155" i="1"/>
  <c r="J1155" i="1" s="1"/>
  <c r="J1154" i="1"/>
  <c r="G1154" i="1"/>
  <c r="I1153" i="1"/>
  <c r="H1153" i="1"/>
  <c r="J1152" i="1"/>
  <c r="G1152" i="1"/>
  <c r="G1151" i="1"/>
  <c r="J1151" i="1" s="1"/>
  <c r="G1150" i="1"/>
  <c r="J1150" i="1" s="1"/>
  <c r="J1149" i="1"/>
  <c r="G1149" i="1"/>
  <c r="I1193" i="13" l="1"/>
  <c r="S260" i="14"/>
  <c r="T260" i="14" s="1"/>
  <c r="E1178" i="1"/>
  <c r="E1194" i="1" s="1"/>
  <c r="E1249" i="1" s="1"/>
  <c r="G1233" i="1"/>
  <c r="J1233" i="1" s="1"/>
  <c r="H865" i="16"/>
  <c r="S258" i="14"/>
  <c r="T258" i="14" s="1"/>
  <c r="T256" i="14"/>
  <c r="S275" i="14"/>
  <c r="Q1231" i="17"/>
  <c r="K1291" i="17"/>
  <c r="J1231" i="17"/>
  <c r="N1231" i="17" s="1"/>
  <c r="G1153" i="1"/>
  <c r="G1169" i="1"/>
  <c r="J1169" i="1" s="1"/>
  <c r="H1193" i="1"/>
  <c r="T275" i="14"/>
  <c r="S269" i="14"/>
  <c r="T269" i="14" s="1"/>
  <c r="T277" i="14"/>
  <c r="J1351" i="1"/>
  <c r="J1352" i="1" s="1"/>
  <c r="H861" i="16"/>
  <c r="H909" i="16"/>
  <c r="H849" i="16"/>
  <c r="S272" i="14"/>
  <c r="T272" i="14" s="1"/>
  <c r="S268" i="14"/>
  <c r="T268" i="14" s="1"/>
  <c r="S266" i="14"/>
  <c r="T266" i="14" s="1"/>
  <c r="P685" i="17"/>
  <c r="P686" i="17" s="1"/>
  <c r="G1429" i="1"/>
  <c r="J1428" i="1"/>
  <c r="J1429" i="1" s="1"/>
  <c r="J1386" i="1"/>
  <c r="G1402" i="1"/>
  <c r="P668" i="17"/>
  <c r="F1309" i="13"/>
  <c r="F777" i="17"/>
  <c r="I777" i="17" s="1"/>
  <c r="F1364" i="13"/>
  <c r="I1364" i="13"/>
  <c r="G1298" i="1"/>
  <c r="J1282" i="1"/>
  <c r="G1325" i="1"/>
  <c r="J1324" i="1"/>
  <c r="J1325" i="1" s="1"/>
  <c r="S274" i="14"/>
  <c r="T274" i="14" s="1"/>
  <c r="S278" i="14"/>
  <c r="T278" i="14" s="1"/>
  <c r="S276" i="14"/>
  <c r="T276" i="14" s="1"/>
  <c r="S270" i="14"/>
  <c r="T270" i="14" s="1"/>
  <c r="S265" i="14"/>
  <c r="T265" i="14" s="1"/>
  <c r="S267" i="14"/>
  <c r="T267" i="14" s="1"/>
  <c r="S273" i="14"/>
  <c r="T273" i="14" s="1"/>
  <c r="S271" i="14"/>
  <c r="T271" i="14" s="1"/>
  <c r="T255" i="14"/>
  <c r="S252" i="14"/>
  <c r="T252" i="14" s="1"/>
  <c r="S253" i="14"/>
  <c r="T253" i="14" s="1"/>
  <c r="S250" i="14"/>
  <c r="T250" i="14" s="1"/>
  <c r="T249" i="14"/>
  <c r="S249" i="14"/>
  <c r="S247" i="14"/>
  <c r="T247" i="14" s="1"/>
  <c r="S251" i="14"/>
  <c r="T251" i="14" s="1"/>
  <c r="S254" i="14"/>
  <c r="T254" i="14" s="1"/>
  <c r="S248" i="14"/>
  <c r="T248" i="14" s="1"/>
  <c r="S259" i="14"/>
  <c r="T259" i="14" s="1"/>
  <c r="S262" i="14"/>
  <c r="T262" i="14" s="1"/>
  <c r="S261" i="14"/>
  <c r="T261" i="14" s="1"/>
  <c r="H867" i="16"/>
  <c r="H677" i="17"/>
  <c r="H718" i="17" s="1"/>
  <c r="I1178" i="1"/>
  <c r="G1161" i="1"/>
  <c r="J1161" i="1" s="1"/>
  <c r="H1209" i="1"/>
  <c r="P716" i="17"/>
  <c r="P717" i="17" s="1"/>
  <c r="G677" i="17"/>
  <c r="G718" i="17" s="1"/>
  <c r="F685" i="17"/>
  <c r="D718" i="17"/>
  <c r="F668" i="17"/>
  <c r="I663" i="17"/>
  <c r="P676" i="17"/>
  <c r="F716" i="17"/>
  <c r="F676" i="17"/>
  <c r="I676" i="17" s="1"/>
  <c r="I1218" i="13"/>
  <c r="I1214" i="13"/>
  <c r="I1171" i="13"/>
  <c r="F1171" i="13"/>
  <c r="F1163" i="13"/>
  <c r="I1159" i="13"/>
  <c r="I1163" i="13" s="1"/>
  <c r="F1179" i="13"/>
  <c r="F1187" i="13"/>
  <c r="I1219" i="13"/>
  <c r="F1227" i="13"/>
  <c r="F1235" i="13"/>
  <c r="I1179" i="13"/>
  <c r="I1183" i="13"/>
  <c r="I1187" i="13"/>
  <c r="I1202" i="13"/>
  <c r="I1203" i="13" s="1"/>
  <c r="F1202" i="13"/>
  <c r="F1214" i="13"/>
  <c r="F1218" i="13"/>
  <c r="I1223" i="13"/>
  <c r="I1227" i="13"/>
  <c r="I1235" i="13"/>
  <c r="I1240" i="13"/>
  <c r="F1240" i="13"/>
  <c r="I1249" i="13"/>
  <c r="I1253" i="13"/>
  <c r="F1183" i="13"/>
  <c r="F1193" i="13"/>
  <c r="F1223" i="13"/>
  <c r="F1243" i="13"/>
  <c r="F1249" i="13"/>
  <c r="F1253" i="13"/>
  <c r="H1247" i="1"/>
  <c r="H1248" i="1" s="1"/>
  <c r="I1193" i="1"/>
  <c r="I1194" i="1" s="1"/>
  <c r="J1153" i="1"/>
  <c r="J1206" i="1"/>
  <c r="G1208" i="1"/>
  <c r="J1208" i="1" s="1"/>
  <c r="G1230" i="1"/>
  <c r="J1230" i="1" s="1"/>
  <c r="J1214" i="1"/>
  <c r="G1173" i="1"/>
  <c r="J1173" i="1" s="1"/>
  <c r="J1170" i="1"/>
  <c r="J1174" i="1"/>
  <c r="I1209" i="1"/>
  <c r="I1220" i="1" s="1"/>
  <c r="I1221" i="1" s="1"/>
  <c r="G1213" i="1"/>
  <c r="J1210" i="1"/>
  <c r="G1225" i="1"/>
  <c r="G1246" i="1"/>
  <c r="J1246" i="1" s="1"/>
  <c r="J1244" i="1"/>
  <c r="G1192" i="1"/>
  <c r="J1192" i="1" s="1"/>
  <c r="H1178" i="1"/>
  <c r="H1194" i="1" s="1"/>
  <c r="G1183" i="1"/>
  <c r="G1204" i="1"/>
  <c r="H1218" i="1"/>
  <c r="H1220" i="1" s="1"/>
  <c r="H1221" i="1" s="1"/>
  <c r="G1239" i="1"/>
  <c r="J1239" i="1" s="1"/>
  <c r="G1243" i="1"/>
  <c r="J1243" i="1" s="1"/>
  <c r="J1240" i="1"/>
  <c r="I1247" i="1"/>
  <c r="I1248" i="1" s="1"/>
  <c r="L244" i="14"/>
  <c r="K244" i="14" s="1"/>
  <c r="G244" i="14"/>
  <c r="C244" i="14"/>
  <c r="L243" i="14"/>
  <c r="K243" i="14" s="1"/>
  <c r="G243" i="14"/>
  <c r="C243" i="14"/>
  <c r="L242" i="14"/>
  <c r="K242" i="14" s="1"/>
  <c r="G242" i="14"/>
  <c r="C242" i="14"/>
  <c r="L241" i="14"/>
  <c r="K241" i="14" s="1"/>
  <c r="G241" i="14"/>
  <c r="C241" i="14"/>
  <c r="L240" i="14"/>
  <c r="K240" i="14" s="1"/>
  <c r="G240" i="14"/>
  <c r="C240" i="14"/>
  <c r="L239" i="14"/>
  <c r="K239" i="14" s="1"/>
  <c r="G239" i="14"/>
  <c r="C239" i="14"/>
  <c r="L238" i="14"/>
  <c r="K238" i="14" s="1"/>
  <c r="G238" i="14"/>
  <c r="C238" i="14"/>
  <c r="L237" i="14"/>
  <c r="K237" i="14" s="1"/>
  <c r="G237" i="14"/>
  <c r="C237" i="14"/>
  <c r="L236" i="14"/>
  <c r="K236" i="14" s="1"/>
  <c r="G236" i="14"/>
  <c r="C236" i="14"/>
  <c r="L235" i="14"/>
  <c r="K235" i="14" s="1"/>
  <c r="G235" i="14"/>
  <c r="C235" i="14"/>
  <c r="L234" i="14"/>
  <c r="K234" i="14" s="1"/>
  <c r="G234" i="14"/>
  <c r="C234" i="14"/>
  <c r="L233" i="14"/>
  <c r="K233" i="14" s="1"/>
  <c r="G233" i="14"/>
  <c r="C233" i="14"/>
  <c r="L232" i="14"/>
  <c r="K232" i="14" s="1"/>
  <c r="G232" i="14"/>
  <c r="C232" i="14"/>
  <c r="L231" i="14"/>
  <c r="K231" i="14" s="1"/>
  <c r="G231" i="14"/>
  <c r="C231" i="14"/>
  <c r="L230" i="14"/>
  <c r="K230" i="14" s="1"/>
  <c r="G230" i="14"/>
  <c r="C230" i="14"/>
  <c r="L229" i="14"/>
  <c r="K229" i="14" s="1"/>
  <c r="G229" i="14"/>
  <c r="C229" i="14"/>
  <c r="L226" i="14"/>
  <c r="K226" i="14" s="1"/>
  <c r="G226" i="14"/>
  <c r="C226" i="14"/>
  <c r="L225" i="14"/>
  <c r="K225" i="14" s="1"/>
  <c r="G225" i="14"/>
  <c r="C225" i="14"/>
  <c r="L224" i="14"/>
  <c r="K224" i="14" s="1"/>
  <c r="G224" i="14"/>
  <c r="C224" i="14"/>
  <c r="L223" i="14"/>
  <c r="K223" i="14" s="1"/>
  <c r="G223" i="14"/>
  <c r="C223" i="14"/>
  <c r="L222" i="14"/>
  <c r="K222" i="14" s="1"/>
  <c r="G222" i="14"/>
  <c r="C222" i="14"/>
  <c r="L221" i="14"/>
  <c r="K221" i="14" s="1"/>
  <c r="G221" i="14"/>
  <c r="C221" i="14"/>
  <c r="L220" i="14"/>
  <c r="K220" i="14" s="1"/>
  <c r="G220" i="14"/>
  <c r="C220" i="14"/>
  <c r="L219" i="14"/>
  <c r="K219" i="14" s="1"/>
  <c r="G219" i="14"/>
  <c r="C219" i="14"/>
  <c r="L218" i="14"/>
  <c r="K218" i="14" s="1"/>
  <c r="G218" i="14"/>
  <c r="C218" i="14"/>
  <c r="L217" i="14"/>
  <c r="K217" i="14" s="1"/>
  <c r="G217" i="14"/>
  <c r="C217" i="14"/>
  <c r="L216" i="14"/>
  <c r="K216" i="14" s="1"/>
  <c r="G216" i="14"/>
  <c r="C216" i="14"/>
  <c r="L215" i="14"/>
  <c r="K215" i="14" s="1"/>
  <c r="G215" i="14"/>
  <c r="C215" i="14"/>
  <c r="L214" i="14"/>
  <c r="K214" i="14" s="1"/>
  <c r="G214" i="14"/>
  <c r="C214" i="14"/>
  <c r="L213" i="14"/>
  <c r="K213" i="14" s="1"/>
  <c r="G213" i="14"/>
  <c r="C213" i="14"/>
  <c r="L212" i="14"/>
  <c r="K212" i="14" s="1"/>
  <c r="G212" i="14"/>
  <c r="C212" i="14"/>
  <c r="L211" i="14"/>
  <c r="K211" i="14" s="1"/>
  <c r="G211" i="14"/>
  <c r="C211" i="14"/>
  <c r="Q1291" i="17" l="1"/>
  <c r="J1291" i="17"/>
  <c r="N1291" i="17" s="1"/>
  <c r="G1457" i="1"/>
  <c r="J1457" i="1" s="1"/>
  <c r="J1402" i="1"/>
  <c r="P677" i="17"/>
  <c r="P718" i="17" s="1"/>
  <c r="G1353" i="1"/>
  <c r="J1353" i="1" s="1"/>
  <c r="J1298" i="1"/>
  <c r="F1203" i="13"/>
  <c r="F677" i="17"/>
  <c r="I677" i="17" s="1"/>
  <c r="I668" i="17"/>
  <c r="I685" i="17"/>
  <c r="F686" i="17"/>
  <c r="I686" i="17" s="1"/>
  <c r="I716" i="17"/>
  <c r="F717" i="17"/>
  <c r="F1188" i="13"/>
  <c r="F1204" i="13" s="1"/>
  <c r="I1188" i="13"/>
  <c r="I1204" i="13" s="1"/>
  <c r="I1228" i="13"/>
  <c r="I1230" i="13" s="1"/>
  <c r="I1231" i="13" s="1"/>
  <c r="F1228" i="13"/>
  <c r="I1257" i="13"/>
  <c r="I1258" i="13" s="1"/>
  <c r="F1219" i="13"/>
  <c r="F1257" i="13"/>
  <c r="F1258" i="13" s="1"/>
  <c r="I1249" i="1"/>
  <c r="G1178" i="1"/>
  <c r="G1218" i="1"/>
  <c r="J1218" i="1" s="1"/>
  <c r="J1213" i="1"/>
  <c r="H1249" i="1"/>
  <c r="G1209" i="1"/>
  <c r="J1204" i="1"/>
  <c r="J1178" i="1"/>
  <c r="G1193" i="1"/>
  <c r="J1193" i="1" s="1"/>
  <c r="J1183" i="1"/>
  <c r="J1225" i="1"/>
  <c r="G1247" i="1"/>
  <c r="O235" i="14"/>
  <c r="N235" i="14" s="1"/>
  <c r="M235" i="14"/>
  <c r="O230" i="14"/>
  <c r="N230" i="14" s="1"/>
  <c r="M230" i="14"/>
  <c r="O234" i="14"/>
  <c r="N234" i="14" s="1"/>
  <c r="M234" i="14"/>
  <c r="O238" i="14"/>
  <c r="N238" i="14" s="1"/>
  <c r="M238" i="14"/>
  <c r="O242" i="14"/>
  <c r="N242" i="14" s="1"/>
  <c r="M242" i="14"/>
  <c r="O231" i="14"/>
  <c r="N231" i="14" s="1"/>
  <c r="M231" i="14"/>
  <c r="O239" i="14"/>
  <c r="N239" i="14" s="1"/>
  <c r="M239" i="14"/>
  <c r="O229" i="14"/>
  <c r="N229" i="14" s="1"/>
  <c r="M229" i="14"/>
  <c r="O233" i="14"/>
  <c r="N233" i="14" s="1"/>
  <c r="M233" i="14"/>
  <c r="O237" i="14"/>
  <c r="N237" i="14" s="1"/>
  <c r="M237" i="14"/>
  <c r="O241" i="14"/>
  <c r="N241" i="14" s="1"/>
  <c r="M241" i="14"/>
  <c r="O243" i="14"/>
  <c r="N243" i="14" s="1"/>
  <c r="M243" i="14"/>
  <c r="O232" i="14"/>
  <c r="N232" i="14" s="1"/>
  <c r="M232" i="14"/>
  <c r="O236" i="14"/>
  <c r="N236" i="14" s="1"/>
  <c r="M236" i="14"/>
  <c r="O240" i="14"/>
  <c r="N240" i="14" s="1"/>
  <c r="M240" i="14"/>
  <c r="O244" i="14"/>
  <c r="N244" i="14" s="1"/>
  <c r="M244" i="14"/>
  <c r="M217" i="14"/>
  <c r="O217" i="14"/>
  <c r="N217" i="14" s="1"/>
  <c r="M221" i="14"/>
  <c r="O221" i="14"/>
  <c r="N221" i="14" s="1"/>
  <c r="M225" i="14"/>
  <c r="O225" i="14"/>
  <c r="N225" i="14" s="1"/>
  <c r="M212" i="14"/>
  <c r="O212" i="14"/>
  <c r="N212" i="14" s="1"/>
  <c r="M216" i="14"/>
  <c r="O216" i="14"/>
  <c r="N216" i="14" s="1"/>
  <c r="O220" i="14"/>
  <c r="N220" i="14" s="1"/>
  <c r="M220" i="14"/>
  <c r="M224" i="14"/>
  <c r="O224" i="14"/>
  <c r="N224" i="14" s="1"/>
  <c r="O211" i="14"/>
  <c r="N211" i="14" s="1"/>
  <c r="M211" i="14"/>
  <c r="M215" i="14"/>
  <c r="O215" i="14"/>
  <c r="N215" i="14" s="1"/>
  <c r="O219" i="14"/>
  <c r="N219" i="14" s="1"/>
  <c r="M219" i="14"/>
  <c r="M223" i="14"/>
  <c r="O223" i="14"/>
  <c r="N223" i="14" s="1"/>
  <c r="M213" i="14"/>
  <c r="O213" i="14"/>
  <c r="N213" i="14" s="1"/>
  <c r="O214" i="14"/>
  <c r="N214" i="14" s="1"/>
  <c r="M214" i="14"/>
  <c r="M218" i="14"/>
  <c r="O218" i="14"/>
  <c r="N218" i="14" s="1"/>
  <c r="M222" i="14"/>
  <c r="O222" i="14"/>
  <c r="N222" i="14" s="1"/>
  <c r="O226" i="14"/>
  <c r="N226" i="14" s="1"/>
  <c r="M226" i="14"/>
  <c r="E1069" i="1"/>
  <c r="I717" i="17" l="1"/>
  <c r="F718" i="17"/>
  <c r="I718" i="17" s="1"/>
  <c r="I1259" i="13"/>
  <c r="F1230" i="13"/>
  <c r="F1231" i="13" s="1"/>
  <c r="F1259" i="13" s="1"/>
  <c r="G1194" i="1"/>
  <c r="J1194" i="1" s="1"/>
  <c r="J1247" i="1"/>
  <c r="J1248" i="1" s="1"/>
  <c r="G1248" i="1"/>
  <c r="G1220" i="1"/>
  <c r="J1209" i="1"/>
  <c r="P244" i="14"/>
  <c r="R244" i="14"/>
  <c r="Q244" i="14"/>
  <c r="S244" i="14" s="1"/>
  <c r="T244" i="14" s="1"/>
  <c r="P236" i="14"/>
  <c r="Q236" i="14"/>
  <c r="R236" i="14"/>
  <c r="P243" i="14"/>
  <c r="Q243" i="14"/>
  <c r="S243" i="14" s="1"/>
  <c r="R243" i="14"/>
  <c r="P237" i="14"/>
  <c r="Q237" i="14"/>
  <c r="R237" i="14"/>
  <c r="P229" i="14"/>
  <c r="Q229" i="14"/>
  <c r="R229" i="14"/>
  <c r="P231" i="14"/>
  <c r="Q231" i="14"/>
  <c r="R231" i="14"/>
  <c r="P238" i="14"/>
  <c r="Q238" i="14"/>
  <c r="S238" i="14" s="1"/>
  <c r="R238" i="14"/>
  <c r="P230" i="14"/>
  <c r="Q230" i="14"/>
  <c r="R230" i="14"/>
  <c r="P240" i="14"/>
  <c r="Q240" i="14"/>
  <c r="R240" i="14"/>
  <c r="P232" i="14"/>
  <c r="Q232" i="14"/>
  <c r="R232" i="14"/>
  <c r="P241" i="14"/>
  <c r="Q241" i="14"/>
  <c r="S241" i="14" s="1"/>
  <c r="R241" i="14"/>
  <c r="P233" i="14"/>
  <c r="R233" i="14"/>
  <c r="Q233" i="14"/>
  <c r="P239" i="14"/>
  <c r="Q239" i="14"/>
  <c r="R239" i="14"/>
  <c r="P242" i="14"/>
  <c r="R242" i="14"/>
  <c r="Q242" i="14"/>
  <c r="P234" i="14"/>
  <c r="Q234" i="14"/>
  <c r="R234" i="14"/>
  <c r="P235" i="14"/>
  <c r="Q235" i="14"/>
  <c r="R235" i="14"/>
  <c r="P221" i="14"/>
  <c r="R221" i="14"/>
  <c r="Q221" i="14"/>
  <c r="P226" i="14"/>
  <c r="Q226" i="14"/>
  <c r="R226" i="14"/>
  <c r="P219" i="14"/>
  <c r="R219" i="14"/>
  <c r="Q219" i="14"/>
  <c r="P211" i="14"/>
  <c r="Q211" i="14"/>
  <c r="R211" i="14"/>
  <c r="P220" i="14"/>
  <c r="R220" i="14"/>
  <c r="Q220" i="14"/>
  <c r="S220" i="14" s="1"/>
  <c r="T220" i="14" s="1"/>
  <c r="P212" i="14"/>
  <c r="R212" i="14"/>
  <c r="Q212" i="14"/>
  <c r="P222" i="14"/>
  <c r="Q222" i="14"/>
  <c r="R222" i="14"/>
  <c r="P223" i="14"/>
  <c r="Q223" i="14"/>
  <c r="R223" i="14"/>
  <c r="P215" i="14"/>
  <c r="R215" i="14"/>
  <c r="Q215" i="14"/>
  <c r="S215" i="14" s="1"/>
  <c r="T215" i="14" s="1"/>
  <c r="P224" i="14"/>
  <c r="R224" i="14"/>
  <c r="Q224" i="14"/>
  <c r="P216" i="14"/>
  <c r="Q216" i="14"/>
  <c r="S216" i="14" s="1"/>
  <c r="R216" i="14"/>
  <c r="P225" i="14"/>
  <c r="R225" i="14"/>
  <c r="Q225" i="14"/>
  <c r="P217" i="14"/>
  <c r="Q217" i="14"/>
  <c r="R217" i="14"/>
  <c r="P218" i="14"/>
  <c r="R218" i="14"/>
  <c r="Q218" i="14"/>
  <c r="P213" i="14"/>
  <c r="R213" i="14"/>
  <c r="Q213" i="14"/>
  <c r="P214" i="14"/>
  <c r="R214" i="14"/>
  <c r="Q214" i="14"/>
  <c r="S225" i="14" l="1"/>
  <c r="T225" i="14" s="1"/>
  <c r="T241" i="14"/>
  <c r="T243" i="14"/>
  <c r="T238" i="14"/>
  <c r="G1221" i="1"/>
  <c r="G1249" i="1" s="1"/>
  <c r="J1249" i="1" s="1"/>
  <c r="J1220" i="1"/>
  <c r="J1221" i="1" s="1"/>
  <c r="S232" i="14"/>
  <c r="T232" i="14" s="1"/>
  <c r="S234" i="14"/>
  <c r="T234" i="14" s="1"/>
  <c r="S233" i="14"/>
  <c r="T233" i="14" s="1"/>
  <c r="S231" i="14"/>
  <c r="T231" i="14" s="1"/>
  <c r="S236" i="14"/>
  <c r="T236" i="14" s="1"/>
  <c r="S235" i="14"/>
  <c r="T235" i="14" s="1"/>
  <c r="S230" i="14"/>
  <c r="T230" i="14" s="1"/>
  <c r="S237" i="14"/>
  <c r="T237" i="14" s="1"/>
  <c r="S242" i="14"/>
  <c r="T242" i="14" s="1"/>
  <c r="S239" i="14"/>
  <c r="T239" i="14" s="1"/>
  <c r="S240" i="14"/>
  <c r="T240" i="14" s="1"/>
  <c r="S229" i="14"/>
  <c r="T229" i="14" s="1"/>
  <c r="T216" i="14"/>
  <c r="S218" i="14"/>
  <c r="T218" i="14" s="1"/>
  <c r="S213" i="14"/>
  <c r="T213" i="14" s="1"/>
  <c r="S223" i="14"/>
  <c r="T223" i="14" s="1"/>
  <c r="S211" i="14"/>
  <c r="T211" i="14" s="1"/>
  <c r="S226" i="14"/>
  <c r="T226" i="14" s="1"/>
  <c r="S222" i="14"/>
  <c r="T222" i="14" s="1"/>
  <c r="S214" i="14"/>
  <c r="T214" i="14" s="1"/>
  <c r="S217" i="14"/>
  <c r="T217" i="14" s="1"/>
  <c r="S224" i="14"/>
  <c r="T224" i="14" s="1"/>
  <c r="S212" i="14"/>
  <c r="T212" i="14" s="1"/>
  <c r="S219" i="14"/>
  <c r="T219" i="14" s="1"/>
  <c r="S221" i="14"/>
  <c r="T221" i="14" s="1"/>
  <c r="H826" i="16" l="1"/>
  <c r="H825" i="16"/>
  <c r="H824" i="16"/>
  <c r="H823" i="16"/>
  <c r="H822" i="16"/>
  <c r="H821" i="16"/>
  <c r="H820" i="16"/>
  <c r="H819" i="16"/>
  <c r="H818" i="16"/>
  <c r="H817" i="16"/>
  <c r="H816" i="16"/>
  <c r="H815" i="16"/>
  <c r="H814" i="16"/>
  <c r="H813" i="16"/>
  <c r="H812" i="16"/>
  <c r="H811" i="16"/>
  <c r="H810" i="16"/>
  <c r="H809" i="16"/>
  <c r="H808" i="16"/>
  <c r="H807" i="16"/>
  <c r="H827" i="16" s="1"/>
  <c r="H805" i="16"/>
  <c r="H804" i="16"/>
  <c r="H803" i="16"/>
  <c r="H802" i="16"/>
  <c r="H801" i="16"/>
  <c r="H800" i="16"/>
  <c r="H799" i="16"/>
  <c r="H798" i="16"/>
  <c r="H797" i="16"/>
  <c r="H796" i="16"/>
  <c r="H795" i="16"/>
  <c r="H794" i="16"/>
  <c r="H793" i="16"/>
  <c r="H792" i="16"/>
  <c r="H791" i="16"/>
  <c r="H790" i="16"/>
  <c r="H789" i="16"/>
  <c r="H788" i="16"/>
  <c r="H787" i="16"/>
  <c r="H786" i="16"/>
  <c r="I784" i="16"/>
  <c r="H782" i="16"/>
  <c r="H781" i="16"/>
  <c r="H780" i="16"/>
  <c r="H778" i="16"/>
  <c r="H777" i="16"/>
  <c r="H776" i="16"/>
  <c r="H775" i="16"/>
  <c r="H774" i="16"/>
  <c r="H773" i="16"/>
  <c r="H772" i="16"/>
  <c r="H771" i="16"/>
  <c r="H770" i="16"/>
  <c r="H769" i="16"/>
  <c r="H768" i="16"/>
  <c r="H766" i="16"/>
  <c r="H765" i="16"/>
  <c r="H764" i="16"/>
  <c r="H763" i="16"/>
  <c r="H762" i="16"/>
  <c r="H761" i="16"/>
  <c r="H760" i="16"/>
  <c r="H759" i="16"/>
  <c r="H758" i="16"/>
  <c r="H757" i="16"/>
  <c r="H756" i="16"/>
  <c r="H755" i="16"/>
  <c r="H754" i="16"/>
  <c r="H753" i="16"/>
  <c r="E658" i="17"/>
  <c r="H657" i="17"/>
  <c r="H658" i="17" s="1"/>
  <c r="G657" i="17"/>
  <c r="G658" i="17" s="1"/>
  <c r="D657" i="17"/>
  <c r="D658" i="17" s="1"/>
  <c r="P656" i="17"/>
  <c r="F656" i="17"/>
  <c r="I656" i="17" s="1"/>
  <c r="P655" i="17"/>
  <c r="F655" i="17"/>
  <c r="I655" i="17" s="1"/>
  <c r="P654" i="17"/>
  <c r="I654" i="17"/>
  <c r="F654" i="17"/>
  <c r="P653" i="17"/>
  <c r="F653" i="17"/>
  <c r="I653" i="17" s="1"/>
  <c r="P652" i="17"/>
  <c r="F652" i="17"/>
  <c r="I652" i="17" s="1"/>
  <c r="P651" i="17"/>
  <c r="F651" i="17"/>
  <c r="I651" i="17" s="1"/>
  <c r="P650" i="17"/>
  <c r="I650" i="17"/>
  <c r="F650" i="17"/>
  <c r="P649" i="17"/>
  <c r="F649" i="17"/>
  <c r="I649" i="17" s="1"/>
  <c r="P648" i="17"/>
  <c r="F648" i="17"/>
  <c r="I648" i="17" s="1"/>
  <c r="P647" i="17"/>
  <c r="F647" i="17"/>
  <c r="I647" i="17" s="1"/>
  <c r="P646" i="17"/>
  <c r="F646" i="17"/>
  <c r="I646" i="17" s="1"/>
  <c r="P645" i="17"/>
  <c r="F645" i="17"/>
  <c r="I645" i="17" s="1"/>
  <c r="P644" i="17"/>
  <c r="F644" i="17"/>
  <c r="I644" i="17" s="1"/>
  <c r="P643" i="17"/>
  <c r="F643" i="17"/>
  <c r="I643" i="17" s="1"/>
  <c r="P642" i="17"/>
  <c r="F642" i="17"/>
  <c r="I642" i="17" s="1"/>
  <c r="P641" i="17"/>
  <c r="F641" i="17"/>
  <c r="I641" i="17" s="1"/>
  <c r="P640" i="17"/>
  <c r="F640" i="17"/>
  <c r="I640" i="17" s="1"/>
  <c r="P639" i="17"/>
  <c r="F639" i="17"/>
  <c r="I639" i="17" s="1"/>
  <c r="P638" i="17"/>
  <c r="F638" i="17"/>
  <c r="I638" i="17" s="1"/>
  <c r="P637" i="17"/>
  <c r="F637" i="17"/>
  <c r="I637" i="17" s="1"/>
  <c r="P636" i="17"/>
  <c r="F636" i="17"/>
  <c r="I636" i="17" s="1"/>
  <c r="P635" i="17"/>
  <c r="F635" i="17"/>
  <c r="I635" i="17" s="1"/>
  <c r="P634" i="17"/>
  <c r="F634" i="17"/>
  <c r="I634" i="17" s="1"/>
  <c r="P633" i="17"/>
  <c r="F633" i="17"/>
  <c r="P632" i="17"/>
  <c r="F632" i="17"/>
  <c r="I632" i="17" s="1"/>
  <c r="P631" i="17"/>
  <c r="F631" i="17"/>
  <c r="I631" i="17" s="1"/>
  <c r="P630" i="17"/>
  <c r="F630" i="17"/>
  <c r="I630" i="17" s="1"/>
  <c r="P629" i="17"/>
  <c r="F629" i="17"/>
  <c r="I629" i="17" s="1"/>
  <c r="P628" i="17"/>
  <c r="F628" i="17"/>
  <c r="I628" i="17" s="1"/>
  <c r="E627" i="17"/>
  <c r="D627" i="17"/>
  <c r="H626" i="17"/>
  <c r="H627" i="17" s="1"/>
  <c r="G626" i="17"/>
  <c r="G627" i="17" s="1"/>
  <c r="P625" i="17"/>
  <c r="F625" i="17"/>
  <c r="I625" i="17" s="1"/>
  <c r="P624" i="17"/>
  <c r="F624" i="17"/>
  <c r="I624" i="17" s="1"/>
  <c r="P623" i="17"/>
  <c r="F623" i="17"/>
  <c r="I623" i="17" s="1"/>
  <c r="P622" i="17"/>
  <c r="F622" i="17"/>
  <c r="I622" i="17" s="1"/>
  <c r="P621" i="17"/>
  <c r="F621" i="17"/>
  <c r="I621" i="17" s="1"/>
  <c r="P620" i="17"/>
  <c r="F620" i="17"/>
  <c r="I620" i="17" s="1"/>
  <c r="P619" i="17"/>
  <c r="F619" i="17"/>
  <c r="I619" i="17" s="1"/>
  <c r="E618" i="17"/>
  <c r="E659" i="17" s="1"/>
  <c r="H617" i="17"/>
  <c r="G617" i="17"/>
  <c r="D617" i="17"/>
  <c r="D618" i="17" s="1"/>
  <c r="P616" i="17"/>
  <c r="F616" i="17"/>
  <c r="I616" i="17" s="1"/>
  <c r="P615" i="17"/>
  <c r="F615" i="17"/>
  <c r="I615" i="17" s="1"/>
  <c r="P614" i="17"/>
  <c r="F614" i="17"/>
  <c r="I614" i="17" s="1"/>
  <c r="P613" i="17"/>
  <c r="F613" i="17"/>
  <c r="I613" i="17" s="1"/>
  <c r="P612" i="17"/>
  <c r="F612" i="17"/>
  <c r="I612" i="17" s="1"/>
  <c r="P611" i="17"/>
  <c r="F611" i="17"/>
  <c r="I611" i="17" s="1"/>
  <c r="P610" i="17"/>
  <c r="F610" i="17"/>
  <c r="I610" i="17" s="1"/>
  <c r="H609" i="17"/>
  <c r="G609" i="17"/>
  <c r="D609" i="17"/>
  <c r="P608" i="17"/>
  <c r="F608" i="17"/>
  <c r="I608" i="17" s="1"/>
  <c r="P607" i="17"/>
  <c r="F607" i="17"/>
  <c r="I607" i="17" s="1"/>
  <c r="P606" i="17"/>
  <c r="F606" i="17"/>
  <c r="I606" i="17" s="1"/>
  <c r="P605" i="17"/>
  <c r="F605" i="17"/>
  <c r="I605" i="17" s="1"/>
  <c r="P604" i="17"/>
  <c r="F604" i="17"/>
  <c r="P609" i="17" l="1"/>
  <c r="H767" i="16"/>
  <c r="H783" i="16"/>
  <c r="F617" i="17"/>
  <c r="I617" i="17" s="1"/>
  <c r="P617" i="17"/>
  <c r="H618" i="17"/>
  <c r="H659" i="17" s="1"/>
  <c r="P618" i="17"/>
  <c r="F609" i="17"/>
  <c r="F618" i="17" s="1"/>
  <c r="I618" i="17" s="1"/>
  <c r="H779" i="16"/>
  <c r="H785" i="16" s="1"/>
  <c r="P657" i="17"/>
  <c r="P658" i="17" s="1"/>
  <c r="P626" i="17"/>
  <c r="P627" i="17" s="1"/>
  <c r="G618" i="17"/>
  <c r="G659" i="17" s="1"/>
  <c r="F657" i="17"/>
  <c r="I604" i="17"/>
  <c r="F626" i="17"/>
  <c r="D659" i="17"/>
  <c r="I633" i="17"/>
  <c r="F1150" i="13"/>
  <c r="F1149" i="13"/>
  <c r="F1147" i="13"/>
  <c r="F1146" i="13"/>
  <c r="I1146" i="13" s="1"/>
  <c r="F1145" i="13"/>
  <c r="F1143" i="13"/>
  <c r="F1142" i="13"/>
  <c r="I1142" i="13" s="1"/>
  <c r="F1141" i="13"/>
  <c r="F1140" i="13"/>
  <c r="I1140" i="13" s="1"/>
  <c r="F1139" i="13"/>
  <c r="I1139" i="13" s="1"/>
  <c r="F1137" i="13"/>
  <c r="F1136" i="13"/>
  <c r="I1136" i="13" s="1"/>
  <c r="F1134" i="13"/>
  <c r="F1133" i="13"/>
  <c r="I1133" i="13" s="1"/>
  <c r="F1132" i="13"/>
  <c r="I1132" i="13" s="1"/>
  <c r="F1131" i="13"/>
  <c r="I1131" i="13" s="1"/>
  <c r="F1129" i="13"/>
  <c r="F1128" i="13"/>
  <c r="I1128" i="13" s="1"/>
  <c r="F1127" i="13"/>
  <c r="F1124" i="13"/>
  <c r="F1121" i="13"/>
  <c r="F1120" i="13"/>
  <c r="I1120" i="13" s="1"/>
  <c r="F1119" i="13"/>
  <c r="F1117" i="13"/>
  <c r="F1116" i="13"/>
  <c r="I1116" i="13" s="1"/>
  <c r="F1115" i="13"/>
  <c r="F1112" i="13"/>
  <c r="I1112" i="13" s="1"/>
  <c r="F1111" i="13"/>
  <c r="I1111" i="13" s="1"/>
  <c r="F1110" i="13"/>
  <c r="F1108" i="13"/>
  <c r="F1107" i="13"/>
  <c r="I1107" i="13" s="1"/>
  <c r="F1106" i="13"/>
  <c r="I1106" i="13" s="1"/>
  <c r="F1105" i="13"/>
  <c r="I1105" i="13" s="1"/>
  <c r="F1104" i="13"/>
  <c r="F1103" i="13"/>
  <c r="I1103" i="13" s="1"/>
  <c r="F1102" i="13"/>
  <c r="F1101" i="13"/>
  <c r="I1101" i="13" s="1"/>
  <c r="F1100" i="13"/>
  <c r="F1096" i="13"/>
  <c r="F1095" i="13"/>
  <c r="I1095" i="13" s="1"/>
  <c r="F1094" i="13"/>
  <c r="F1093" i="13"/>
  <c r="I1093" i="13" s="1"/>
  <c r="F1092" i="13"/>
  <c r="F1091" i="13"/>
  <c r="I1091" i="13" s="1"/>
  <c r="F1090" i="13"/>
  <c r="F1089" i="13"/>
  <c r="I1089" i="13" s="1"/>
  <c r="F1087" i="13"/>
  <c r="F1086" i="13"/>
  <c r="I1086" i="13" s="1"/>
  <c r="F1085" i="13"/>
  <c r="F1084" i="13"/>
  <c r="I1084" i="13" s="1"/>
  <c r="F1081" i="13"/>
  <c r="F1080" i="13"/>
  <c r="I1080" i="13" s="1"/>
  <c r="F1079" i="13"/>
  <c r="F1077" i="13"/>
  <c r="F1076" i="13"/>
  <c r="I1076" i="13" s="1"/>
  <c r="F1075" i="13"/>
  <c r="F1073" i="13"/>
  <c r="F1072" i="13"/>
  <c r="F1071" i="13"/>
  <c r="F1070" i="13"/>
  <c r="F1069" i="13"/>
  <c r="F1068" i="13"/>
  <c r="F1067" i="13"/>
  <c r="F1065" i="13"/>
  <c r="F1064" i="13"/>
  <c r="I1064" i="13" s="1"/>
  <c r="F1063" i="13"/>
  <c r="F1062" i="13"/>
  <c r="I1062" i="13" s="1"/>
  <c r="F1061" i="13"/>
  <c r="F1060" i="13"/>
  <c r="I1060" i="13" s="1"/>
  <c r="F1059" i="13"/>
  <c r="F1057" i="13"/>
  <c r="F1056" i="13"/>
  <c r="F1055" i="13"/>
  <c r="F1054" i="13"/>
  <c r="J1151" i="13"/>
  <c r="I1151" i="13"/>
  <c r="F1151" i="13"/>
  <c r="I1147" i="13"/>
  <c r="I1145" i="13"/>
  <c r="I1143" i="13"/>
  <c r="I1141" i="13"/>
  <c r="I1137" i="13"/>
  <c r="I1134" i="13"/>
  <c r="I1129" i="13"/>
  <c r="I1127" i="13"/>
  <c r="I1124" i="13"/>
  <c r="I1121" i="13"/>
  <c r="I1119" i="13"/>
  <c r="I1117" i="13"/>
  <c r="I1115" i="13"/>
  <c r="I1110" i="13"/>
  <c r="I1108" i="13"/>
  <c r="I1104" i="13"/>
  <c r="I1102" i="13"/>
  <c r="I1100" i="13"/>
  <c r="I1096" i="13"/>
  <c r="I1094" i="13"/>
  <c r="I1092" i="13"/>
  <c r="I1090" i="13"/>
  <c r="I1087" i="13"/>
  <c r="I1085" i="13"/>
  <c r="I1081" i="13"/>
  <c r="I1079" i="13"/>
  <c r="I1077" i="13"/>
  <c r="I1075" i="13"/>
  <c r="I1073" i="13"/>
  <c r="I1072" i="13"/>
  <c r="I1071" i="13"/>
  <c r="I1070" i="13"/>
  <c r="I1069" i="13"/>
  <c r="I1068" i="13"/>
  <c r="I1067" i="13"/>
  <c r="I1065" i="13"/>
  <c r="I1063" i="13"/>
  <c r="I1061" i="13"/>
  <c r="I1059" i="13"/>
  <c r="I1057" i="13"/>
  <c r="I1056" i="13"/>
  <c r="I1055" i="13"/>
  <c r="I1054" i="13"/>
  <c r="F1143" i="1"/>
  <c r="F1144" i="1" s="1"/>
  <c r="E1143" i="1"/>
  <c r="E1144" i="1" s="1"/>
  <c r="C22" i="15" s="1"/>
  <c r="I1142" i="1"/>
  <c r="H1142" i="1"/>
  <c r="G1141" i="1"/>
  <c r="J1141" i="1" s="1"/>
  <c r="G1140" i="1"/>
  <c r="I1139" i="1"/>
  <c r="H1139" i="1"/>
  <c r="G1138" i="1"/>
  <c r="J1138" i="1" s="1"/>
  <c r="G1137" i="1"/>
  <c r="J1137" i="1" s="1"/>
  <c r="G1136" i="1"/>
  <c r="I1135" i="1"/>
  <c r="H1135" i="1"/>
  <c r="G1134" i="1"/>
  <c r="J1134" i="1" s="1"/>
  <c r="G1133" i="1"/>
  <c r="J1133" i="1" s="1"/>
  <c r="G1132" i="1"/>
  <c r="J1132" i="1" s="1"/>
  <c r="G1131" i="1"/>
  <c r="J1131" i="1" s="1"/>
  <c r="G1130" i="1"/>
  <c r="J1130" i="1" s="1"/>
  <c r="I1129" i="1"/>
  <c r="H1129" i="1"/>
  <c r="G1128" i="1"/>
  <c r="J1128" i="1" s="1"/>
  <c r="J1127" i="1"/>
  <c r="G1127" i="1"/>
  <c r="I1126" i="1"/>
  <c r="H1126" i="1"/>
  <c r="G1125" i="1"/>
  <c r="J1125" i="1" s="1"/>
  <c r="G1124" i="1"/>
  <c r="J1124" i="1" s="1"/>
  <c r="G1123" i="1"/>
  <c r="J1123" i="1" s="1"/>
  <c r="G1122" i="1"/>
  <c r="J1122" i="1" s="1"/>
  <c r="I1121" i="1"/>
  <c r="H1121" i="1"/>
  <c r="H1143" i="1" s="1"/>
  <c r="H1144" i="1" s="1"/>
  <c r="G1120" i="1"/>
  <c r="J1120" i="1" s="1"/>
  <c r="G1119" i="1"/>
  <c r="J1119" i="1" s="1"/>
  <c r="G1118" i="1"/>
  <c r="F1117" i="1"/>
  <c r="F1116" i="1"/>
  <c r="E1116" i="1"/>
  <c r="E1117" i="1" s="1"/>
  <c r="C19" i="15" s="1"/>
  <c r="J1115" i="1"/>
  <c r="G1115" i="1"/>
  <c r="I1113" i="1"/>
  <c r="H1113" i="1"/>
  <c r="G1112" i="1"/>
  <c r="J1112" i="1" s="1"/>
  <c r="J1111" i="1"/>
  <c r="G1111" i="1"/>
  <c r="G1110" i="1"/>
  <c r="I1109" i="1"/>
  <c r="I1114" i="1" s="1"/>
  <c r="H1109" i="1"/>
  <c r="G1108" i="1"/>
  <c r="J1108" i="1" s="1"/>
  <c r="G1107" i="1"/>
  <c r="J1107" i="1" s="1"/>
  <c r="G1106" i="1"/>
  <c r="I1104" i="1"/>
  <c r="H1104" i="1"/>
  <c r="G1103" i="1"/>
  <c r="J1103" i="1" s="1"/>
  <c r="G1102" i="1"/>
  <c r="J1102" i="1" s="1"/>
  <c r="J1101" i="1"/>
  <c r="G1101" i="1"/>
  <c r="I1100" i="1"/>
  <c r="H1100" i="1"/>
  <c r="G1099" i="1"/>
  <c r="J1099" i="1" s="1"/>
  <c r="G1098" i="1"/>
  <c r="J1098" i="1" s="1"/>
  <c r="J1097" i="1"/>
  <c r="G1097" i="1"/>
  <c r="G1096" i="1"/>
  <c r="J1096" i="1" s="1"/>
  <c r="J1095" i="1"/>
  <c r="G1095" i="1"/>
  <c r="G1094" i="1"/>
  <c r="J1094" i="1" s="1"/>
  <c r="G1093" i="1"/>
  <c r="J1093" i="1" s="1"/>
  <c r="G1092" i="1"/>
  <c r="J1092" i="1" s="1"/>
  <c r="J1091" i="1"/>
  <c r="G1091" i="1"/>
  <c r="F1089" i="1"/>
  <c r="E1089" i="1"/>
  <c r="I1088" i="1"/>
  <c r="H1088" i="1"/>
  <c r="G1087" i="1"/>
  <c r="J1087" i="1" s="1"/>
  <c r="G1086" i="1"/>
  <c r="J1086" i="1" s="1"/>
  <c r="J1085" i="1"/>
  <c r="G1085" i="1"/>
  <c r="J1084" i="1"/>
  <c r="G1084" i="1"/>
  <c r="G1083" i="1"/>
  <c r="J1083" i="1" s="1"/>
  <c r="G1082" i="1"/>
  <c r="J1082" i="1" s="1"/>
  <c r="G1081" i="1"/>
  <c r="J1081" i="1" s="1"/>
  <c r="J1080" i="1"/>
  <c r="G1080" i="1"/>
  <c r="I1079" i="1"/>
  <c r="H1079" i="1"/>
  <c r="G1078" i="1"/>
  <c r="J1078" i="1" s="1"/>
  <c r="G1077" i="1"/>
  <c r="J1077" i="1" s="1"/>
  <c r="J1076" i="1"/>
  <c r="G1076" i="1"/>
  <c r="J1075" i="1"/>
  <c r="G1075" i="1"/>
  <c r="F1074" i="1"/>
  <c r="I1073" i="1"/>
  <c r="H1073" i="1"/>
  <c r="E1073" i="1"/>
  <c r="G1072" i="1"/>
  <c r="J1072" i="1" s="1"/>
  <c r="J1071" i="1"/>
  <c r="G1071" i="1"/>
  <c r="G1070" i="1"/>
  <c r="I1069" i="1"/>
  <c r="H1069" i="1"/>
  <c r="F1069" i="1"/>
  <c r="G1068" i="1"/>
  <c r="G1067" i="1"/>
  <c r="J1067" i="1" s="1"/>
  <c r="G1066" i="1"/>
  <c r="J1066" i="1" s="1"/>
  <c r="I1065" i="1"/>
  <c r="H1065" i="1"/>
  <c r="E1065" i="1"/>
  <c r="G1064" i="1"/>
  <c r="J1064" i="1" s="1"/>
  <c r="J1063" i="1"/>
  <c r="G1063" i="1"/>
  <c r="G1062" i="1"/>
  <c r="J1062" i="1" s="1"/>
  <c r="G1061" i="1"/>
  <c r="J1061" i="1" s="1"/>
  <c r="G1060" i="1"/>
  <c r="J1060" i="1" s="1"/>
  <c r="J1059" i="1"/>
  <c r="G1059" i="1"/>
  <c r="G1058" i="1"/>
  <c r="J1058" i="1" s="1"/>
  <c r="I1057" i="1"/>
  <c r="G1056" i="1"/>
  <c r="J1056" i="1" s="1"/>
  <c r="G1055" i="1"/>
  <c r="J1055" i="1" s="1"/>
  <c r="G1054" i="1"/>
  <c r="J1054" i="1" s="1"/>
  <c r="G1053" i="1"/>
  <c r="J1053" i="1" s="1"/>
  <c r="G1052" i="1"/>
  <c r="J1052" i="1" s="1"/>
  <c r="J1051" i="1"/>
  <c r="G1051" i="1"/>
  <c r="G1050" i="1"/>
  <c r="I1049" i="1"/>
  <c r="H1049" i="1"/>
  <c r="G1048" i="1"/>
  <c r="J1048" i="1" s="1"/>
  <c r="G1047" i="1"/>
  <c r="J1047" i="1" s="1"/>
  <c r="G1046" i="1"/>
  <c r="J1046" i="1" s="1"/>
  <c r="G1045" i="1"/>
  <c r="J1045" i="1" s="1"/>
  <c r="F1078" i="13" l="1"/>
  <c r="I1138" i="13"/>
  <c r="E1074" i="1"/>
  <c r="C15" i="15" s="1"/>
  <c r="F1058" i="13"/>
  <c r="G1079" i="1"/>
  <c r="I1088" i="13"/>
  <c r="I609" i="17"/>
  <c r="P659" i="17"/>
  <c r="H1105" i="1"/>
  <c r="I626" i="17"/>
  <c r="F627" i="17"/>
  <c r="I627" i="17" s="1"/>
  <c r="I657" i="17"/>
  <c r="F658" i="17"/>
  <c r="H1114" i="1"/>
  <c r="H1116" i="1" s="1"/>
  <c r="H1117" i="1" s="1"/>
  <c r="G1100" i="1"/>
  <c r="J1100" i="1" s="1"/>
  <c r="I1089" i="1"/>
  <c r="H1089" i="1"/>
  <c r="I1148" i="13"/>
  <c r="I1144" i="13"/>
  <c r="I1130" i="13"/>
  <c r="I1122" i="13"/>
  <c r="I1118" i="13"/>
  <c r="I1113" i="13"/>
  <c r="I1066" i="13"/>
  <c r="F1066" i="13"/>
  <c r="I1058" i="13"/>
  <c r="F1082" i="13"/>
  <c r="I1109" i="13"/>
  <c r="F1122" i="13"/>
  <c r="F1130" i="13"/>
  <c r="F1148" i="13"/>
  <c r="F1088" i="13"/>
  <c r="I1074" i="13"/>
  <c r="I1078" i="13"/>
  <c r="I1082" i="13"/>
  <c r="I1097" i="13"/>
  <c r="I1098" i="13" s="1"/>
  <c r="F1097" i="13"/>
  <c r="F1113" i="13"/>
  <c r="F1118" i="13"/>
  <c r="I1135" i="13"/>
  <c r="F1135" i="13"/>
  <c r="F1144" i="13"/>
  <c r="F1074" i="13"/>
  <c r="F1109" i="13"/>
  <c r="F1138" i="13"/>
  <c r="G1069" i="1"/>
  <c r="J1069" i="1" s="1"/>
  <c r="G1057" i="1"/>
  <c r="J1057" i="1" s="1"/>
  <c r="G1049" i="1"/>
  <c r="F1090" i="1"/>
  <c r="F1145" i="1" s="1"/>
  <c r="G1088" i="1"/>
  <c r="J1088" i="1" s="1"/>
  <c r="J1140" i="1"/>
  <c r="G1142" i="1"/>
  <c r="J1142" i="1" s="1"/>
  <c r="I1074" i="1"/>
  <c r="I1090" i="1" s="1"/>
  <c r="J1050" i="1"/>
  <c r="G1139" i="1"/>
  <c r="J1139" i="1" s="1"/>
  <c r="J1136" i="1"/>
  <c r="J1079" i="1"/>
  <c r="H1057" i="1"/>
  <c r="H1074" i="1" s="1"/>
  <c r="G1065" i="1"/>
  <c r="J1065" i="1" s="1"/>
  <c r="G1073" i="1"/>
  <c r="J1073" i="1" s="1"/>
  <c r="J1070" i="1"/>
  <c r="G1104" i="1"/>
  <c r="J1104" i="1" s="1"/>
  <c r="G1121" i="1"/>
  <c r="J1118" i="1"/>
  <c r="I1143" i="1"/>
  <c r="I1144" i="1" s="1"/>
  <c r="G1126" i="1"/>
  <c r="J1126" i="1" s="1"/>
  <c r="I1105" i="1"/>
  <c r="I1116" i="1" s="1"/>
  <c r="I1117" i="1" s="1"/>
  <c r="G1109" i="1"/>
  <c r="J1106" i="1"/>
  <c r="G1113" i="1"/>
  <c r="J1113" i="1" s="1"/>
  <c r="J1110" i="1"/>
  <c r="G1129" i="1"/>
  <c r="J1129" i="1" s="1"/>
  <c r="G1135" i="1"/>
  <c r="J1135" i="1" s="1"/>
  <c r="I951" i="1"/>
  <c r="H951" i="1"/>
  <c r="I971" i="13"/>
  <c r="M963" i="1"/>
  <c r="L963" i="1"/>
  <c r="L1067" i="1" s="1"/>
  <c r="G963" i="1"/>
  <c r="J963" i="1" s="1"/>
  <c r="L1171" i="1" l="1"/>
  <c r="G1076" i="13"/>
  <c r="J1076" i="13" s="1"/>
  <c r="E1090" i="1"/>
  <c r="E1145" i="1" s="1"/>
  <c r="G971" i="13"/>
  <c r="J971" i="13" s="1"/>
  <c r="I1123" i="13"/>
  <c r="K963" i="1"/>
  <c r="O963" i="1" s="1"/>
  <c r="M1067" i="1"/>
  <c r="F1123" i="13"/>
  <c r="I1114" i="13"/>
  <c r="I1125" i="13" s="1"/>
  <c r="I1126" i="13" s="1"/>
  <c r="H1090" i="1"/>
  <c r="F1083" i="13"/>
  <c r="I1083" i="13"/>
  <c r="I1099" i="13" s="1"/>
  <c r="I658" i="17"/>
  <c r="F659" i="17"/>
  <c r="I659" i="17" s="1"/>
  <c r="H1145" i="1"/>
  <c r="G1089" i="1"/>
  <c r="J1089" i="1" s="1"/>
  <c r="I1152" i="13"/>
  <c r="I1153" i="13" s="1"/>
  <c r="F1152" i="13"/>
  <c r="F1153" i="13" s="1"/>
  <c r="F1114" i="13"/>
  <c r="F1125" i="13" s="1"/>
  <c r="F1126" i="13" s="1"/>
  <c r="F1098" i="13"/>
  <c r="F1099" i="13" s="1"/>
  <c r="I1145" i="1"/>
  <c r="G1074" i="1"/>
  <c r="J1049" i="1"/>
  <c r="G1114" i="1"/>
  <c r="J1114" i="1" s="1"/>
  <c r="J1109" i="1"/>
  <c r="G1105" i="1"/>
  <c r="G1143" i="1"/>
  <c r="J1121" i="1"/>
  <c r="L208" i="14"/>
  <c r="K208" i="14" s="1"/>
  <c r="G208" i="14"/>
  <c r="C208" i="14"/>
  <c r="L207" i="14"/>
  <c r="K207" i="14" s="1"/>
  <c r="G207" i="14"/>
  <c r="C207" i="14"/>
  <c r="L206" i="14"/>
  <c r="K206" i="14" s="1"/>
  <c r="G206" i="14"/>
  <c r="C206" i="14"/>
  <c r="L205" i="14"/>
  <c r="K205" i="14" s="1"/>
  <c r="G205" i="14"/>
  <c r="C205" i="14"/>
  <c r="L204" i="14"/>
  <c r="K204" i="14" s="1"/>
  <c r="G204" i="14"/>
  <c r="C204" i="14"/>
  <c r="L203" i="14"/>
  <c r="K203" i="14" s="1"/>
  <c r="G203" i="14"/>
  <c r="C203" i="14"/>
  <c r="L202" i="14"/>
  <c r="K202" i="14" s="1"/>
  <c r="G202" i="14"/>
  <c r="C202" i="14"/>
  <c r="L201" i="14"/>
  <c r="K201" i="14" s="1"/>
  <c r="G201" i="14"/>
  <c r="C201" i="14"/>
  <c r="L200" i="14"/>
  <c r="K200" i="14" s="1"/>
  <c r="G200" i="14"/>
  <c r="C200" i="14"/>
  <c r="L199" i="14"/>
  <c r="K199" i="14" s="1"/>
  <c r="G199" i="14"/>
  <c r="C199" i="14"/>
  <c r="L198" i="14"/>
  <c r="K198" i="14" s="1"/>
  <c r="G198" i="14"/>
  <c r="C198" i="14"/>
  <c r="L197" i="14"/>
  <c r="K197" i="14" s="1"/>
  <c r="G197" i="14"/>
  <c r="C197" i="14"/>
  <c r="L196" i="14"/>
  <c r="K196" i="14" s="1"/>
  <c r="G196" i="14"/>
  <c r="C196" i="14"/>
  <c r="L195" i="14"/>
  <c r="K195" i="14" s="1"/>
  <c r="G195" i="14"/>
  <c r="C195" i="14"/>
  <c r="L194" i="14"/>
  <c r="K194" i="14" s="1"/>
  <c r="G194" i="14"/>
  <c r="C194" i="14"/>
  <c r="L193" i="14"/>
  <c r="K193" i="14" s="1"/>
  <c r="G193" i="14"/>
  <c r="C193" i="14"/>
  <c r="M1171" i="1" l="1"/>
  <c r="G1181" i="13"/>
  <c r="J1181" i="13" s="1"/>
  <c r="L1275" i="1"/>
  <c r="K1067" i="1"/>
  <c r="N1067" i="1" s="1"/>
  <c r="I1154" i="13"/>
  <c r="F1154" i="13"/>
  <c r="G1144" i="1"/>
  <c r="J1143" i="1"/>
  <c r="J1144" i="1" s="1"/>
  <c r="G1116" i="1"/>
  <c r="J1105" i="1"/>
  <c r="G1090" i="1"/>
  <c r="J1074" i="1"/>
  <c r="O203" i="14"/>
  <c r="N203" i="14" s="1"/>
  <c r="M203" i="14"/>
  <c r="M207" i="14"/>
  <c r="O207" i="14"/>
  <c r="N207" i="14" s="1"/>
  <c r="M194" i="14"/>
  <c r="O194" i="14"/>
  <c r="N194" i="14" s="1"/>
  <c r="O198" i="14"/>
  <c r="N198" i="14" s="1"/>
  <c r="M198" i="14"/>
  <c r="O202" i="14"/>
  <c r="N202" i="14" s="1"/>
  <c r="M202" i="14"/>
  <c r="O206" i="14"/>
  <c r="N206" i="14" s="1"/>
  <c r="M206" i="14"/>
  <c r="O199" i="14"/>
  <c r="N199" i="14" s="1"/>
  <c r="M199" i="14"/>
  <c r="O201" i="14"/>
  <c r="N201" i="14" s="1"/>
  <c r="M201" i="14"/>
  <c r="O205" i="14"/>
  <c r="N205" i="14" s="1"/>
  <c r="M205" i="14"/>
  <c r="M195" i="14"/>
  <c r="O195" i="14"/>
  <c r="N195" i="14" s="1"/>
  <c r="O193" i="14"/>
  <c r="N193" i="14" s="1"/>
  <c r="M193" i="14"/>
  <c r="M197" i="14"/>
  <c r="O197" i="14"/>
  <c r="N197" i="14" s="1"/>
  <c r="M196" i="14"/>
  <c r="O196" i="14"/>
  <c r="N196" i="14" s="1"/>
  <c r="O200" i="14"/>
  <c r="N200" i="14" s="1"/>
  <c r="M200" i="14"/>
  <c r="O204" i="14"/>
  <c r="N204" i="14" s="1"/>
  <c r="M204" i="14"/>
  <c r="O208" i="14"/>
  <c r="N208" i="14" s="1"/>
  <c r="M208" i="14"/>
  <c r="L1379" i="1" l="1"/>
  <c r="G1286" i="13"/>
  <c r="J1286" i="13" s="1"/>
  <c r="M1275" i="1"/>
  <c r="K1171" i="1"/>
  <c r="N1171" i="1" s="1"/>
  <c r="O1067" i="1"/>
  <c r="J1090" i="1"/>
  <c r="G1117" i="1"/>
  <c r="G1145" i="1" s="1"/>
  <c r="J1145" i="1" s="1"/>
  <c r="J1116" i="1"/>
  <c r="J1117" i="1" s="1"/>
  <c r="P195" i="14"/>
  <c r="Q195" i="14"/>
  <c r="R195" i="14"/>
  <c r="P207" i="14"/>
  <c r="R207" i="14"/>
  <c r="Q207" i="14"/>
  <c r="S207" i="14" s="1"/>
  <c r="T207" i="14" s="1"/>
  <c r="P208" i="14"/>
  <c r="Q208" i="14"/>
  <c r="S208" i="14" s="1"/>
  <c r="R208" i="14"/>
  <c r="P200" i="14"/>
  <c r="R200" i="14"/>
  <c r="Q200" i="14"/>
  <c r="S200" i="14" s="1"/>
  <c r="P201" i="14"/>
  <c r="Q201" i="14"/>
  <c r="R201" i="14"/>
  <c r="P206" i="14"/>
  <c r="R206" i="14"/>
  <c r="Q206" i="14"/>
  <c r="S206" i="14" s="1"/>
  <c r="P198" i="14"/>
  <c r="R198" i="14"/>
  <c r="Q198" i="14"/>
  <c r="P197" i="14"/>
  <c r="Q197" i="14"/>
  <c r="R197" i="14"/>
  <c r="P196" i="14"/>
  <c r="Q196" i="14"/>
  <c r="R196" i="14"/>
  <c r="P194" i="14"/>
  <c r="Q194" i="14"/>
  <c r="R194" i="14"/>
  <c r="P204" i="14"/>
  <c r="Q204" i="14"/>
  <c r="S204" i="14" s="1"/>
  <c r="T204" i="14" s="1"/>
  <c r="R204" i="14"/>
  <c r="P193" i="14"/>
  <c r="Q193" i="14"/>
  <c r="R193" i="14"/>
  <c r="P205" i="14"/>
  <c r="R205" i="14"/>
  <c r="Q205" i="14"/>
  <c r="S205" i="14" s="1"/>
  <c r="P199" i="14"/>
  <c r="R199" i="14"/>
  <c r="Q199" i="14"/>
  <c r="P202" i="14"/>
  <c r="Q202" i="14"/>
  <c r="R202" i="14"/>
  <c r="P203" i="14"/>
  <c r="Q203" i="14"/>
  <c r="R203" i="14"/>
  <c r="T206" i="14" l="1"/>
  <c r="M1379" i="1"/>
  <c r="O1275" i="1"/>
  <c r="T208" i="14"/>
  <c r="K1275" i="1"/>
  <c r="N1275" i="1" s="1"/>
  <c r="T205" i="14"/>
  <c r="O1171" i="1"/>
  <c r="G1391" i="13"/>
  <c r="J1391" i="13" s="1"/>
  <c r="L1483" i="1"/>
  <c r="K1379" i="1"/>
  <c r="N1379" i="1" s="1"/>
  <c r="S197" i="14"/>
  <c r="S196" i="14"/>
  <c r="T196" i="14" s="1"/>
  <c r="S201" i="14"/>
  <c r="T201" i="14" s="1"/>
  <c r="S193" i="14"/>
  <c r="T193" i="14" s="1"/>
  <c r="S194" i="14"/>
  <c r="T194" i="14" s="1"/>
  <c r="T197" i="14"/>
  <c r="T200" i="14"/>
  <c r="S203" i="14"/>
  <c r="T203" i="14" s="1"/>
  <c r="S202" i="14"/>
  <c r="T202" i="14" s="1"/>
  <c r="S195" i="14"/>
  <c r="T195" i="14" s="1"/>
  <c r="S199" i="14"/>
  <c r="T199" i="14" s="1"/>
  <c r="S198" i="14"/>
  <c r="T198" i="14" s="1"/>
  <c r="M1483" i="1" l="1"/>
  <c r="M1587" i="1" s="1"/>
  <c r="O1379" i="1"/>
  <c r="G1496" i="13"/>
  <c r="J1496" i="13" s="1"/>
  <c r="L1587" i="1"/>
  <c r="K1483" i="1"/>
  <c r="E728" i="16"/>
  <c r="G1601" i="13" l="1"/>
  <c r="J1601" i="13" s="1"/>
  <c r="L1691" i="1"/>
  <c r="K1587" i="1"/>
  <c r="N1587" i="1" s="1"/>
  <c r="O1483" i="1"/>
  <c r="N1483" i="1"/>
  <c r="M1691" i="1"/>
  <c r="O1587" i="1"/>
  <c r="M1795" i="1" l="1"/>
  <c r="L1795" i="1"/>
  <c r="G1706" i="13"/>
  <c r="K1691" i="1"/>
  <c r="N1691" i="1" s="1"/>
  <c r="L190" i="14"/>
  <c r="K190" i="14" s="1"/>
  <c r="G190" i="14"/>
  <c r="C190" i="14"/>
  <c r="L189" i="14"/>
  <c r="K189" i="14" s="1"/>
  <c r="G189" i="14"/>
  <c r="C189" i="14"/>
  <c r="L188" i="14"/>
  <c r="K188" i="14" s="1"/>
  <c r="G188" i="14"/>
  <c r="C188" i="14"/>
  <c r="L187" i="14"/>
  <c r="K187" i="14" s="1"/>
  <c r="G187" i="14"/>
  <c r="C187" i="14"/>
  <c r="L186" i="14"/>
  <c r="K186" i="14" s="1"/>
  <c r="G186" i="14"/>
  <c r="C186" i="14"/>
  <c r="L185" i="14"/>
  <c r="K185" i="14" s="1"/>
  <c r="G185" i="14"/>
  <c r="C185" i="14"/>
  <c r="L184" i="14"/>
  <c r="K184" i="14" s="1"/>
  <c r="G184" i="14"/>
  <c r="C184" i="14"/>
  <c r="L183" i="14"/>
  <c r="K183" i="14" s="1"/>
  <c r="G183" i="14"/>
  <c r="C183" i="14"/>
  <c r="L182" i="14"/>
  <c r="K182" i="14" s="1"/>
  <c r="G182" i="14"/>
  <c r="C182" i="14"/>
  <c r="L181" i="14"/>
  <c r="K181" i="14" s="1"/>
  <c r="G181" i="14"/>
  <c r="C181" i="14"/>
  <c r="L180" i="14"/>
  <c r="K180" i="14" s="1"/>
  <c r="G180" i="14"/>
  <c r="C180" i="14"/>
  <c r="L179" i="14"/>
  <c r="K179" i="14" s="1"/>
  <c r="G179" i="14"/>
  <c r="C179" i="14"/>
  <c r="L178" i="14"/>
  <c r="K178" i="14" s="1"/>
  <c r="G178" i="14"/>
  <c r="C178" i="14"/>
  <c r="L177" i="14"/>
  <c r="K177" i="14" s="1"/>
  <c r="G177" i="14"/>
  <c r="C177" i="14"/>
  <c r="L176" i="14"/>
  <c r="K176" i="14" s="1"/>
  <c r="G176" i="14"/>
  <c r="C176" i="14"/>
  <c r="L175" i="14"/>
  <c r="K175" i="14" s="1"/>
  <c r="G175" i="14"/>
  <c r="C175" i="14"/>
  <c r="L172" i="14"/>
  <c r="K172" i="14" s="1"/>
  <c r="G172" i="14"/>
  <c r="C172" i="14"/>
  <c r="L171" i="14"/>
  <c r="K171" i="14" s="1"/>
  <c r="G171" i="14"/>
  <c r="C171" i="14"/>
  <c r="L170" i="14"/>
  <c r="K170" i="14" s="1"/>
  <c r="G170" i="14"/>
  <c r="C170" i="14"/>
  <c r="L169" i="14"/>
  <c r="K169" i="14" s="1"/>
  <c r="G169" i="14"/>
  <c r="C169" i="14"/>
  <c r="L168" i="14"/>
  <c r="K168" i="14" s="1"/>
  <c r="G168" i="14"/>
  <c r="C168" i="14"/>
  <c r="L167" i="14"/>
  <c r="K167" i="14" s="1"/>
  <c r="G167" i="14"/>
  <c r="C167" i="14"/>
  <c r="L166" i="14"/>
  <c r="K166" i="14" s="1"/>
  <c r="G166" i="14"/>
  <c r="C166" i="14"/>
  <c r="L165" i="14"/>
  <c r="K165" i="14" s="1"/>
  <c r="G165" i="14"/>
  <c r="C165" i="14"/>
  <c r="L164" i="14"/>
  <c r="K164" i="14" s="1"/>
  <c r="G164" i="14"/>
  <c r="C164" i="14"/>
  <c r="L163" i="14"/>
  <c r="K163" i="14" s="1"/>
  <c r="G163" i="14"/>
  <c r="C163" i="14"/>
  <c r="L162" i="14"/>
  <c r="K162" i="14" s="1"/>
  <c r="G162" i="14"/>
  <c r="C162" i="14"/>
  <c r="L161" i="14"/>
  <c r="K161" i="14" s="1"/>
  <c r="G161" i="14"/>
  <c r="C161" i="14"/>
  <c r="L160" i="14"/>
  <c r="K160" i="14" s="1"/>
  <c r="G160" i="14"/>
  <c r="C160" i="14"/>
  <c r="L159" i="14"/>
  <c r="K159" i="14" s="1"/>
  <c r="G159" i="14"/>
  <c r="C159" i="14"/>
  <c r="L158" i="14"/>
  <c r="K158" i="14" s="1"/>
  <c r="G158" i="14"/>
  <c r="C158" i="14"/>
  <c r="L157" i="14"/>
  <c r="K157" i="14" s="1"/>
  <c r="G157" i="14"/>
  <c r="C157" i="14"/>
  <c r="L154" i="14"/>
  <c r="K154" i="14" s="1"/>
  <c r="G154" i="14"/>
  <c r="C154" i="14"/>
  <c r="L153" i="14"/>
  <c r="K153" i="14" s="1"/>
  <c r="G153" i="14"/>
  <c r="C153" i="14"/>
  <c r="L152" i="14"/>
  <c r="K152" i="14" s="1"/>
  <c r="G152" i="14"/>
  <c r="C152" i="14"/>
  <c r="L151" i="14"/>
  <c r="K151" i="14" s="1"/>
  <c r="G151" i="14"/>
  <c r="C151" i="14"/>
  <c r="L150" i="14"/>
  <c r="K150" i="14" s="1"/>
  <c r="G150" i="14"/>
  <c r="C150" i="14"/>
  <c r="L149" i="14"/>
  <c r="K149" i="14" s="1"/>
  <c r="G149" i="14"/>
  <c r="C149" i="14"/>
  <c r="L148" i="14"/>
  <c r="K148" i="14" s="1"/>
  <c r="G148" i="14"/>
  <c r="C148" i="14"/>
  <c r="L147" i="14"/>
  <c r="K147" i="14" s="1"/>
  <c r="G147" i="14"/>
  <c r="C147" i="14"/>
  <c r="L146" i="14"/>
  <c r="K146" i="14" s="1"/>
  <c r="G146" i="14"/>
  <c r="C146" i="14"/>
  <c r="L145" i="14"/>
  <c r="K145" i="14" s="1"/>
  <c r="G145" i="14"/>
  <c r="C145" i="14"/>
  <c r="L144" i="14"/>
  <c r="K144" i="14" s="1"/>
  <c r="G144" i="14"/>
  <c r="C144" i="14"/>
  <c r="L143" i="14"/>
  <c r="K143" i="14" s="1"/>
  <c r="G143" i="14"/>
  <c r="C143" i="14"/>
  <c r="L142" i="14"/>
  <c r="K142" i="14" s="1"/>
  <c r="G142" i="14"/>
  <c r="C142" i="14"/>
  <c r="L141" i="14"/>
  <c r="K141" i="14" s="1"/>
  <c r="G141" i="14"/>
  <c r="C141" i="14"/>
  <c r="L140" i="14"/>
  <c r="K140" i="14" s="1"/>
  <c r="G140" i="14"/>
  <c r="C140" i="14"/>
  <c r="L139" i="14"/>
  <c r="K139" i="14" s="1"/>
  <c r="G139" i="14"/>
  <c r="C139" i="14"/>
  <c r="L136" i="14"/>
  <c r="K136" i="14" s="1"/>
  <c r="G136" i="14"/>
  <c r="C136" i="14"/>
  <c r="L135" i="14"/>
  <c r="K135" i="14" s="1"/>
  <c r="G135" i="14"/>
  <c r="C135" i="14"/>
  <c r="L134" i="14"/>
  <c r="K134" i="14" s="1"/>
  <c r="G134" i="14"/>
  <c r="C134" i="14"/>
  <c r="L133" i="14"/>
  <c r="K133" i="14" s="1"/>
  <c r="G133" i="14"/>
  <c r="C133" i="14"/>
  <c r="L132" i="14"/>
  <c r="K132" i="14" s="1"/>
  <c r="G132" i="14"/>
  <c r="C132" i="14"/>
  <c r="L131" i="14"/>
  <c r="K131" i="14" s="1"/>
  <c r="G131" i="14"/>
  <c r="C131" i="14"/>
  <c r="L130" i="14"/>
  <c r="K130" i="14" s="1"/>
  <c r="G130" i="14"/>
  <c r="C130" i="14"/>
  <c r="G129" i="14"/>
  <c r="L129" i="14"/>
  <c r="K129" i="14" s="1"/>
  <c r="G128" i="14"/>
  <c r="L128" i="14"/>
  <c r="K128" i="14" s="1"/>
  <c r="C128" i="14"/>
  <c r="L127" i="14"/>
  <c r="K127" i="14" s="1"/>
  <c r="G127" i="14"/>
  <c r="C127" i="14"/>
  <c r="L126" i="14"/>
  <c r="K126" i="14" s="1"/>
  <c r="G126" i="14"/>
  <c r="C126" i="14"/>
  <c r="L125" i="14"/>
  <c r="K125" i="14" s="1"/>
  <c r="G125" i="14"/>
  <c r="C125" i="14"/>
  <c r="L124" i="14"/>
  <c r="K124" i="14" s="1"/>
  <c r="G124" i="14"/>
  <c r="C124" i="14"/>
  <c r="L123" i="14"/>
  <c r="K123" i="14" s="1"/>
  <c r="M123" i="14" s="1"/>
  <c r="G123" i="14"/>
  <c r="C123" i="14"/>
  <c r="L122" i="14"/>
  <c r="K122" i="14" s="1"/>
  <c r="M122" i="14" s="1"/>
  <c r="G122" i="14"/>
  <c r="C122" i="14"/>
  <c r="L121" i="14"/>
  <c r="K121" i="14" s="1"/>
  <c r="M121" i="14" s="1"/>
  <c r="G121" i="14"/>
  <c r="C121" i="14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I702" i="16"/>
  <c r="H700" i="16"/>
  <c r="H699" i="16"/>
  <c r="H698" i="16"/>
  <c r="H701" i="16" s="1"/>
  <c r="H696" i="16"/>
  <c r="H695" i="16"/>
  <c r="H694" i="16"/>
  <c r="H693" i="16"/>
  <c r="H692" i="16"/>
  <c r="H691" i="16"/>
  <c r="H690" i="16"/>
  <c r="H689" i="16"/>
  <c r="H688" i="16"/>
  <c r="H687" i="16"/>
  <c r="H686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E599" i="17"/>
  <c r="G598" i="17"/>
  <c r="G599" i="17" s="1"/>
  <c r="D598" i="17"/>
  <c r="D599" i="17" s="1"/>
  <c r="P597" i="17"/>
  <c r="F597" i="17"/>
  <c r="I597" i="17" s="1"/>
  <c r="P596" i="17"/>
  <c r="F596" i="17"/>
  <c r="I596" i="17" s="1"/>
  <c r="P595" i="17"/>
  <c r="F595" i="17"/>
  <c r="I595" i="17" s="1"/>
  <c r="P594" i="17"/>
  <c r="F594" i="17"/>
  <c r="I594" i="17" s="1"/>
  <c r="P593" i="17"/>
  <c r="F593" i="17"/>
  <c r="I593" i="17" s="1"/>
  <c r="P592" i="17"/>
  <c r="P591" i="17"/>
  <c r="F591" i="17"/>
  <c r="I591" i="17" s="1"/>
  <c r="P590" i="17"/>
  <c r="F590" i="17"/>
  <c r="I590" i="17" s="1"/>
  <c r="P589" i="17"/>
  <c r="F589" i="17"/>
  <c r="I589" i="17" s="1"/>
  <c r="P588" i="17"/>
  <c r="F588" i="17"/>
  <c r="I588" i="17" s="1"/>
  <c r="P587" i="17"/>
  <c r="F587" i="17"/>
  <c r="I587" i="17" s="1"/>
  <c r="H598" i="17"/>
  <c r="H599" i="17" s="1"/>
  <c r="P586" i="17"/>
  <c r="P585" i="17"/>
  <c r="F585" i="17"/>
  <c r="I585" i="17" s="1"/>
  <c r="P584" i="17"/>
  <c r="F584" i="17"/>
  <c r="I584" i="17" s="1"/>
  <c r="P583" i="17"/>
  <c r="F583" i="17"/>
  <c r="I583" i="17" s="1"/>
  <c r="P582" i="17"/>
  <c r="F582" i="17"/>
  <c r="I582" i="17" s="1"/>
  <c r="P581" i="17"/>
  <c r="F581" i="17"/>
  <c r="I581" i="17" s="1"/>
  <c r="P580" i="17"/>
  <c r="F580" i="17"/>
  <c r="I580" i="17" s="1"/>
  <c r="P579" i="17"/>
  <c r="F579" i="17"/>
  <c r="I579" i="17" s="1"/>
  <c r="P578" i="17"/>
  <c r="F578" i="17"/>
  <c r="I578" i="17" s="1"/>
  <c r="P577" i="17"/>
  <c r="I577" i="17"/>
  <c r="F577" i="17"/>
  <c r="P576" i="17"/>
  <c r="F576" i="17"/>
  <c r="I576" i="17" s="1"/>
  <c r="P575" i="17"/>
  <c r="F575" i="17"/>
  <c r="I575" i="17" s="1"/>
  <c r="P574" i="17"/>
  <c r="F574" i="17"/>
  <c r="I574" i="17" s="1"/>
  <c r="P573" i="17"/>
  <c r="F573" i="17"/>
  <c r="I573" i="17" s="1"/>
  <c r="P572" i="17"/>
  <c r="F572" i="17"/>
  <c r="I572" i="17" s="1"/>
  <c r="P571" i="17"/>
  <c r="F571" i="17"/>
  <c r="I571" i="17" s="1"/>
  <c r="P570" i="17"/>
  <c r="F570" i="17"/>
  <c r="I570" i="17" s="1"/>
  <c r="P569" i="17"/>
  <c r="F569" i="17"/>
  <c r="I569" i="17" s="1"/>
  <c r="E568" i="17"/>
  <c r="E600" i="17" s="1"/>
  <c r="D568" i="17"/>
  <c r="H567" i="17"/>
  <c r="H568" i="17" s="1"/>
  <c r="G567" i="17"/>
  <c r="G568" i="17" s="1"/>
  <c r="P566" i="17"/>
  <c r="F566" i="17"/>
  <c r="I566" i="17" s="1"/>
  <c r="P565" i="17"/>
  <c r="F565" i="17"/>
  <c r="I565" i="17" s="1"/>
  <c r="P564" i="17"/>
  <c r="F564" i="17"/>
  <c r="I564" i="17" s="1"/>
  <c r="P563" i="17"/>
  <c r="I563" i="17"/>
  <c r="F563" i="17"/>
  <c r="P562" i="17"/>
  <c r="F562" i="17"/>
  <c r="I562" i="17" s="1"/>
  <c r="P561" i="17"/>
  <c r="F561" i="17"/>
  <c r="I561" i="17" s="1"/>
  <c r="P560" i="17"/>
  <c r="F560" i="17"/>
  <c r="I560" i="17" s="1"/>
  <c r="E559" i="17"/>
  <c r="H558" i="17"/>
  <c r="G558" i="17"/>
  <c r="D558" i="17"/>
  <c r="P557" i="17"/>
  <c r="F557" i="17"/>
  <c r="I557" i="17" s="1"/>
  <c r="P556" i="17"/>
  <c r="I556" i="17"/>
  <c r="F556" i="17"/>
  <c r="P555" i="17"/>
  <c r="F555" i="17"/>
  <c r="I555" i="17" s="1"/>
  <c r="P554" i="17"/>
  <c r="F554" i="17"/>
  <c r="I554" i="17" s="1"/>
  <c r="P553" i="17"/>
  <c r="F553" i="17"/>
  <c r="I553" i="17" s="1"/>
  <c r="P552" i="17"/>
  <c r="F552" i="17"/>
  <c r="I552" i="17" s="1"/>
  <c r="P551" i="17"/>
  <c r="F551" i="17"/>
  <c r="H550" i="17"/>
  <c r="G550" i="17"/>
  <c r="G559" i="17" s="1"/>
  <c r="D550" i="17"/>
  <c r="P549" i="17"/>
  <c r="F549" i="17"/>
  <c r="I549" i="17" s="1"/>
  <c r="P548" i="17"/>
  <c r="F548" i="17"/>
  <c r="I548" i="17" s="1"/>
  <c r="P547" i="17"/>
  <c r="F547" i="17"/>
  <c r="I547" i="17" s="1"/>
  <c r="P546" i="17"/>
  <c r="F546" i="17"/>
  <c r="I546" i="17" s="1"/>
  <c r="P545" i="17"/>
  <c r="F545" i="17"/>
  <c r="F1045" i="13"/>
  <c r="F1044" i="13"/>
  <c r="F1042" i="13"/>
  <c r="I1042" i="13" s="1"/>
  <c r="F1041" i="13"/>
  <c r="I1041" i="13" s="1"/>
  <c r="F1040" i="13"/>
  <c r="I1040" i="13" s="1"/>
  <c r="F1038" i="13"/>
  <c r="F1037" i="13"/>
  <c r="I1037" i="13" s="1"/>
  <c r="F1036" i="13"/>
  <c r="F1035" i="13"/>
  <c r="I1035" i="13" s="1"/>
  <c r="F1034" i="13"/>
  <c r="I1034" i="13" s="1"/>
  <c r="F1032" i="13"/>
  <c r="I1032" i="13" s="1"/>
  <c r="F1031" i="13"/>
  <c r="I1031" i="13" s="1"/>
  <c r="F1029" i="13"/>
  <c r="I1029" i="13" s="1"/>
  <c r="F1028" i="13"/>
  <c r="I1028" i="13" s="1"/>
  <c r="F1027" i="13"/>
  <c r="I1027" i="13" s="1"/>
  <c r="F1026" i="13"/>
  <c r="I1026" i="13" s="1"/>
  <c r="F1024" i="13"/>
  <c r="I1024" i="13" s="1"/>
  <c r="F1023" i="13"/>
  <c r="I1023" i="13" s="1"/>
  <c r="F1022" i="13"/>
  <c r="F1019" i="13"/>
  <c r="I1019" i="13" s="1"/>
  <c r="F1016" i="13"/>
  <c r="I1016" i="13" s="1"/>
  <c r="F1015" i="13"/>
  <c r="I1015" i="13" s="1"/>
  <c r="F1014" i="13"/>
  <c r="I1014" i="13" s="1"/>
  <c r="F1012" i="13"/>
  <c r="I1012" i="13" s="1"/>
  <c r="F1011" i="13"/>
  <c r="I1011" i="13" s="1"/>
  <c r="F1010" i="13"/>
  <c r="F1007" i="13"/>
  <c r="I1007" i="13" s="1"/>
  <c r="F1006" i="13"/>
  <c r="I1006" i="13" s="1"/>
  <c r="F1005" i="13"/>
  <c r="I1005" i="13" s="1"/>
  <c r="F1003" i="13"/>
  <c r="I1003" i="13" s="1"/>
  <c r="F1002" i="13"/>
  <c r="I1002" i="13" s="1"/>
  <c r="F1001" i="13"/>
  <c r="I1001" i="13" s="1"/>
  <c r="F1000" i="13"/>
  <c r="I1000" i="13" s="1"/>
  <c r="F999" i="13"/>
  <c r="F998" i="13"/>
  <c r="I998" i="13" s="1"/>
  <c r="F997" i="13"/>
  <c r="I997" i="13" s="1"/>
  <c r="F996" i="13"/>
  <c r="I996" i="13" s="1"/>
  <c r="F995" i="13"/>
  <c r="I995" i="13" s="1"/>
  <c r="F991" i="13"/>
  <c r="I991" i="13" s="1"/>
  <c r="F990" i="13"/>
  <c r="I990" i="13" s="1"/>
  <c r="F989" i="13"/>
  <c r="I989" i="13" s="1"/>
  <c r="F988" i="13"/>
  <c r="F987" i="13"/>
  <c r="I987" i="13" s="1"/>
  <c r="F986" i="13"/>
  <c r="I986" i="13" s="1"/>
  <c r="F985" i="13"/>
  <c r="I985" i="13" s="1"/>
  <c r="F984" i="13"/>
  <c r="I984" i="13" s="1"/>
  <c r="F982" i="13"/>
  <c r="I982" i="13" s="1"/>
  <c r="F981" i="13"/>
  <c r="I981" i="13" s="1"/>
  <c r="F980" i="13"/>
  <c r="I980" i="13" s="1"/>
  <c r="F979" i="13"/>
  <c r="I979" i="13" s="1"/>
  <c r="F976" i="13"/>
  <c r="I976" i="13" s="1"/>
  <c r="F975" i="13"/>
  <c r="I975" i="13" s="1"/>
  <c r="F974" i="13"/>
  <c r="I974" i="13" s="1"/>
  <c r="F972" i="13"/>
  <c r="I972" i="13" s="1"/>
  <c r="F970" i="13"/>
  <c r="I970" i="13" s="1"/>
  <c r="F968" i="13"/>
  <c r="I968" i="13" s="1"/>
  <c r="F967" i="13"/>
  <c r="I967" i="13" s="1"/>
  <c r="F966" i="13"/>
  <c r="I966" i="13" s="1"/>
  <c r="F965" i="13"/>
  <c r="I965" i="13" s="1"/>
  <c r="F964" i="13"/>
  <c r="I964" i="13" s="1"/>
  <c r="F963" i="13"/>
  <c r="I963" i="13" s="1"/>
  <c r="F962" i="13"/>
  <c r="I962" i="13" s="1"/>
  <c r="F960" i="13"/>
  <c r="I960" i="13" s="1"/>
  <c r="F959" i="13"/>
  <c r="I959" i="13" s="1"/>
  <c r="F958" i="13"/>
  <c r="I958" i="13" s="1"/>
  <c r="F957" i="13"/>
  <c r="I957" i="13" s="1"/>
  <c r="F956" i="13"/>
  <c r="I956" i="13" s="1"/>
  <c r="F955" i="13"/>
  <c r="I955" i="13" s="1"/>
  <c r="F954" i="13"/>
  <c r="I954" i="13" s="1"/>
  <c r="F952" i="13"/>
  <c r="I952" i="13" s="1"/>
  <c r="F951" i="13"/>
  <c r="I951" i="13" s="1"/>
  <c r="F950" i="13"/>
  <c r="I950" i="13" s="1"/>
  <c r="F949" i="13"/>
  <c r="I949" i="13" s="1"/>
  <c r="J1046" i="13"/>
  <c r="I1046" i="13"/>
  <c r="I1038" i="13"/>
  <c r="I1036" i="13"/>
  <c r="I1022" i="13"/>
  <c r="I1010" i="13"/>
  <c r="I999" i="13"/>
  <c r="I988" i="13"/>
  <c r="F973" i="13"/>
  <c r="E1040" i="1"/>
  <c r="F1039" i="1"/>
  <c r="F1040" i="1" s="1"/>
  <c r="E1039" i="1"/>
  <c r="I1038" i="1"/>
  <c r="H1038" i="1"/>
  <c r="G1037" i="1"/>
  <c r="J1037" i="1" s="1"/>
  <c r="G1036" i="1"/>
  <c r="I1035" i="1"/>
  <c r="H1035" i="1"/>
  <c r="G1034" i="1"/>
  <c r="J1034" i="1" s="1"/>
  <c r="G1033" i="1"/>
  <c r="J1033" i="1" s="1"/>
  <c r="G1032" i="1"/>
  <c r="I1031" i="1"/>
  <c r="H1031" i="1"/>
  <c r="G1030" i="1"/>
  <c r="J1030" i="1" s="1"/>
  <c r="G1029" i="1"/>
  <c r="J1029" i="1" s="1"/>
  <c r="G1028" i="1"/>
  <c r="J1028" i="1" s="1"/>
  <c r="G1027" i="1"/>
  <c r="J1027" i="1" s="1"/>
  <c r="G1026" i="1"/>
  <c r="J1026" i="1" s="1"/>
  <c r="I1025" i="1"/>
  <c r="H1025" i="1"/>
  <c r="G1024" i="1"/>
  <c r="J1024" i="1" s="1"/>
  <c r="G1023" i="1"/>
  <c r="J1023" i="1" s="1"/>
  <c r="I1022" i="1"/>
  <c r="G1021" i="1"/>
  <c r="J1021" i="1" s="1"/>
  <c r="G1020" i="1"/>
  <c r="J1020" i="1" s="1"/>
  <c r="G1018" i="1"/>
  <c r="J1018" i="1" s="1"/>
  <c r="I1017" i="1"/>
  <c r="H1017" i="1"/>
  <c r="G1016" i="1"/>
  <c r="J1016" i="1" s="1"/>
  <c r="G1015" i="1"/>
  <c r="J1015" i="1" s="1"/>
  <c r="G1014" i="1"/>
  <c r="F1013" i="1"/>
  <c r="F1012" i="1"/>
  <c r="E1012" i="1"/>
  <c r="E1013" i="1" s="1"/>
  <c r="G1011" i="1"/>
  <c r="J1011" i="1" s="1"/>
  <c r="I1009" i="1"/>
  <c r="G1008" i="1"/>
  <c r="J1008" i="1" s="1"/>
  <c r="J1006" i="1"/>
  <c r="G1006" i="1"/>
  <c r="I1005" i="1"/>
  <c r="H1005" i="1"/>
  <c r="G1004" i="1"/>
  <c r="J1004" i="1" s="1"/>
  <c r="J1003" i="1"/>
  <c r="G1003" i="1"/>
  <c r="G1002" i="1"/>
  <c r="I1000" i="1"/>
  <c r="H1000" i="1"/>
  <c r="G999" i="1"/>
  <c r="J999" i="1" s="1"/>
  <c r="G998" i="1"/>
  <c r="J998" i="1" s="1"/>
  <c r="G997" i="1"/>
  <c r="G1000" i="1" s="1"/>
  <c r="J1000" i="1" s="1"/>
  <c r="J995" i="1"/>
  <c r="G995" i="1"/>
  <c r="G993" i="1"/>
  <c r="J993" i="1" s="1"/>
  <c r="G992" i="1"/>
  <c r="J992" i="1" s="1"/>
  <c r="J991" i="1"/>
  <c r="G991" i="1"/>
  <c r="G990" i="1"/>
  <c r="J990" i="1" s="1"/>
  <c r="G989" i="1"/>
  <c r="J989" i="1" s="1"/>
  <c r="G988" i="1"/>
  <c r="J988" i="1" s="1"/>
  <c r="G987" i="1"/>
  <c r="J987" i="1" s="1"/>
  <c r="F985" i="1"/>
  <c r="E985" i="1"/>
  <c r="I984" i="1"/>
  <c r="H984" i="1"/>
  <c r="G983" i="1"/>
  <c r="J983" i="1" s="1"/>
  <c r="G982" i="1"/>
  <c r="J982" i="1" s="1"/>
  <c r="G981" i="1"/>
  <c r="J981" i="1" s="1"/>
  <c r="G980" i="1"/>
  <c r="J980" i="1" s="1"/>
  <c r="G979" i="1"/>
  <c r="J979" i="1" s="1"/>
  <c r="G978" i="1"/>
  <c r="J978" i="1" s="1"/>
  <c r="G977" i="1"/>
  <c r="J977" i="1" s="1"/>
  <c r="G976" i="1"/>
  <c r="J976" i="1" s="1"/>
  <c r="I975" i="1"/>
  <c r="H975" i="1"/>
  <c r="H985" i="1" s="1"/>
  <c r="G974" i="1"/>
  <c r="J974" i="1" s="1"/>
  <c r="G973" i="1"/>
  <c r="J973" i="1" s="1"/>
  <c r="G972" i="1"/>
  <c r="J972" i="1" s="1"/>
  <c r="G971" i="1"/>
  <c r="J971" i="1" s="1"/>
  <c r="I969" i="1"/>
  <c r="H969" i="1"/>
  <c r="E969" i="1"/>
  <c r="G968" i="1"/>
  <c r="J968" i="1" s="1"/>
  <c r="G967" i="1"/>
  <c r="J967" i="1" s="1"/>
  <c r="G966" i="1"/>
  <c r="J966" i="1" s="1"/>
  <c r="I965" i="1"/>
  <c r="H965" i="1"/>
  <c r="F965" i="1"/>
  <c r="F970" i="1" s="1"/>
  <c r="F986" i="1" s="1"/>
  <c r="F1041" i="1" s="1"/>
  <c r="E965" i="1"/>
  <c r="G964" i="1"/>
  <c r="G962" i="1"/>
  <c r="I961" i="1"/>
  <c r="H961" i="1"/>
  <c r="E961" i="1"/>
  <c r="E970" i="1" s="1"/>
  <c r="G960" i="1"/>
  <c r="J960" i="1" s="1"/>
  <c r="G959" i="1"/>
  <c r="J959" i="1" s="1"/>
  <c r="G958" i="1"/>
  <c r="J958" i="1" s="1"/>
  <c r="G957" i="1"/>
  <c r="J957" i="1" s="1"/>
  <c r="G956" i="1"/>
  <c r="J956" i="1" s="1"/>
  <c r="G955" i="1"/>
  <c r="J955" i="1" s="1"/>
  <c r="G954" i="1"/>
  <c r="I953" i="1"/>
  <c r="H953" i="1"/>
  <c r="G952" i="1"/>
  <c r="J952" i="1" s="1"/>
  <c r="G951" i="1"/>
  <c r="J951" i="1" s="1"/>
  <c r="G950" i="1"/>
  <c r="J950" i="1" s="1"/>
  <c r="G949" i="1"/>
  <c r="J949" i="1" s="1"/>
  <c r="G948" i="1"/>
  <c r="J948" i="1" s="1"/>
  <c r="G947" i="1"/>
  <c r="J947" i="1" s="1"/>
  <c r="G946" i="1"/>
  <c r="J946" i="1" s="1"/>
  <c r="I945" i="1"/>
  <c r="H945" i="1"/>
  <c r="G944" i="1"/>
  <c r="J944" i="1" s="1"/>
  <c r="G943" i="1"/>
  <c r="J943" i="1" s="1"/>
  <c r="G942" i="1"/>
  <c r="J942" i="1" s="1"/>
  <c r="G941" i="1"/>
  <c r="J941" i="1" s="1"/>
  <c r="J1706" i="13" l="1"/>
  <c r="E986" i="1"/>
  <c r="E1041" i="1" s="1"/>
  <c r="D559" i="17"/>
  <c r="G1811" i="13"/>
  <c r="J1811" i="13" s="1"/>
  <c r="L1899" i="1"/>
  <c r="K1795" i="1"/>
  <c r="G1038" i="1"/>
  <c r="J1038" i="1" s="1"/>
  <c r="O1691" i="1"/>
  <c r="D600" i="17"/>
  <c r="M1899" i="1"/>
  <c r="O1795" i="1"/>
  <c r="H697" i="16"/>
  <c r="P558" i="17"/>
  <c r="F558" i="17"/>
  <c r="I558" i="17" s="1"/>
  <c r="H559" i="17"/>
  <c r="H600" i="17" s="1"/>
  <c r="P550" i="17"/>
  <c r="P559" i="17" s="1"/>
  <c r="F550" i="17"/>
  <c r="H970" i="1"/>
  <c r="G1025" i="1"/>
  <c r="J1025" i="1" s="1"/>
  <c r="G1035" i="1"/>
  <c r="J1035" i="1" s="1"/>
  <c r="J997" i="1"/>
  <c r="I1033" i="13"/>
  <c r="F1046" i="13"/>
  <c r="I1030" i="13"/>
  <c r="G961" i="1"/>
  <c r="J961" i="1" s="1"/>
  <c r="I983" i="13"/>
  <c r="F567" i="17"/>
  <c r="I567" i="17" s="1"/>
  <c r="I1010" i="1"/>
  <c r="O177" i="14"/>
  <c r="N177" i="14" s="1"/>
  <c r="M177" i="14"/>
  <c r="M181" i="14"/>
  <c r="O181" i="14"/>
  <c r="N181" i="14" s="1"/>
  <c r="M189" i="14"/>
  <c r="O189" i="14"/>
  <c r="N189" i="14" s="1"/>
  <c r="O180" i="14"/>
  <c r="N180" i="14" s="1"/>
  <c r="M180" i="14"/>
  <c r="M184" i="14"/>
  <c r="O184" i="14"/>
  <c r="N184" i="14" s="1"/>
  <c r="O175" i="14"/>
  <c r="N175" i="14" s="1"/>
  <c r="M175" i="14"/>
  <c r="O179" i="14"/>
  <c r="N179" i="14" s="1"/>
  <c r="M179" i="14"/>
  <c r="O183" i="14"/>
  <c r="N183" i="14" s="1"/>
  <c r="M183" i="14"/>
  <c r="O187" i="14"/>
  <c r="N187" i="14" s="1"/>
  <c r="M187" i="14"/>
  <c r="O185" i="14"/>
  <c r="N185" i="14" s="1"/>
  <c r="M185" i="14"/>
  <c r="O176" i="14"/>
  <c r="N176" i="14" s="1"/>
  <c r="M176" i="14"/>
  <c r="M188" i="14"/>
  <c r="O188" i="14"/>
  <c r="N188" i="14" s="1"/>
  <c r="O178" i="14"/>
  <c r="N178" i="14" s="1"/>
  <c r="M178" i="14"/>
  <c r="O182" i="14"/>
  <c r="N182" i="14" s="1"/>
  <c r="M182" i="14"/>
  <c r="M186" i="14"/>
  <c r="O186" i="14"/>
  <c r="N186" i="14" s="1"/>
  <c r="M190" i="14"/>
  <c r="O190" i="14"/>
  <c r="N190" i="14" s="1"/>
  <c r="O159" i="14"/>
  <c r="N159" i="14" s="1"/>
  <c r="M159" i="14"/>
  <c r="M163" i="14"/>
  <c r="O163" i="14"/>
  <c r="N163" i="14" s="1"/>
  <c r="O167" i="14"/>
  <c r="N167" i="14" s="1"/>
  <c r="M167" i="14"/>
  <c r="M171" i="14"/>
  <c r="O171" i="14"/>
  <c r="N171" i="14" s="1"/>
  <c r="O158" i="14"/>
  <c r="N158" i="14" s="1"/>
  <c r="M158" i="14"/>
  <c r="M162" i="14"/>
  <c r="O162" i="14"/>
  <c r="N162" i="14" s="1"/>
  <c r="M166" i="14"/>
  <c r="O166" i="14"/>
  <c r="N166" i="14" s="1"/>
  <c r="M170" i="14"/>
  <c r="O170" i="14"/>
  <c r="N170" i="14" s="1"/>
  <c r="O157" i="14"/>
  <c r="N157" i="14" s="1"/>
  <c r="M157" i="14"/>
  <c r="O161" i="14"/>
  <c r="N161" i="14" s="1"/>
  <c r="M161" i="14"/>
  <c r="O165" i="14"/>
  <c r="N165" i="14" s="1"/>
  <c r="M165" i="14"/>
  <c r="O169" i="14"/>
  <c r="N169" i="14" s="1"/>
  <c r="M169" i="14"/>
  <c r="O160" i="14"/>
  <c r="N160" i="14" s="1"/>
  <c r="M160" i="14"/>
  <c r="O164" i="14"/>
  <c r="N164" i="14" s="1"/>
  <c r="M164" i="14"/>
  <c r="O168" i="14"/>
  <c r="N168" i="14" s="1"/>
  <c r="M168" i="14"/>
  <c r="M172" i="14"/>
  <c r="O172" i="14"/>
  <c r="N172" i="14" s="1"/>
  <c r="M141" i="14"/>
  <c r="O141" i="14"/>
  <c r="N141" i="14" s="1"/>
  <c r="O145" i="14"/>
  <c r="N145" i="14" s="1"/>
  <c r="M145" i="14"/>
  <c r="O149" i="14"/>
  <c r="N149" i="14" s="1"/>
  <c r="M149" i="14"/>
  <c r="O153" i="14"/>
  <c r="N153" i="14" s="1"/>
  <c r="M153" i="14"/>
  <c r="M140" i="14"/>
  <c r="O140" i="14"/>
  <c r="N140" i="14" s="1"/>
  <c r="M144" i="14"/>
  <c r="O144" i="14"/>
  <c r="N144" i="14" s="1"/>
  <c r="M148" i="14"/>
  <c r="O148" i="14"/>
  <c r="N148" i="14" s="1"/>
  <c r="O152" i="14"/>
  <c r="N152" i="14" s="1"/>
  <c r="M152" i="14"/>
  <c r="O139" i="14"/>
  <c r="N139" i="14" s="1"/>
  <c r="M139" i="14"/>
  <c r="O143" i="14"/>
  <c r="N143" i="14" s="1"/>
  <c r="M143" i="14"/>
  <c r="O147" i="14"/>
  <c r="N147" i="14" s="1"/>
  <c r="M147" i="14"/>
  <c r="O151" i="14"/>
  <c r="N151" i="14" s="1"/>
  <c r="M151" i="14"/>
  <c r="M142" i="14"/>
  <c r="O142" i="14"/>
  <c r="N142" i="14" s="1"/>
  <c r="O146" i="14"/>
  <c r="N146" i="14" s="1"/>
  <c r="M146" i="14"/>
  <c r="M150" i="14"/>
  <c r="O150" i="14"/>
  <c r="N150" i="14" s="1"/>
  <c r="M154" i="14"/>
  <c r="O154" i="14"/>
  <c r="N154" i="14" s="1"/>
  <c r="O129" i="14"/>
  <c r="M129" i="14"/>
  <c r="O131" i="14"/>
  <c r="N131" i="14" s="1"/>
  <c r="M131" i="14"/>
  <c r="O125" i="14"/>
  <c r="N125" i="14" s="1"/>
  <c r="M125" i="14"/>
  <c r="O128" i="14"/>
  <c r="N128" i="14" s="1"/>
  <c r="M128" i="14"/>
  <c r="O130" i="14"/>
  <c r="N130" i="14" s="1"/>
  <c r="M130" i="14"/>
  <c r="M134" i="14"/>
  <c r="O134" i="14"/>
  <c r="N134" i="14" s="1"/>
  <c r="O124" i="14"/>
  <c r="N124" i="14" s="1"/>
  <c r="M124" i="14"/>
  <c r="O133" i="14"/>
  <c r="N133" i="14" s="1"/>
  <c r="M133" i="14"/>
  <c r="M126" i="14"/>
  <c r="O126" i="14"/>
  <c r="N126" i="14" s="1"/>
  <c r="M135" i="14"/>
  <c r="O135" i="14"/>
  <c r="N135" i="14" s="1"/>
  <c r="O127" i="14"/>
  <c r="N127" i="14" s="1"/>
  <c r="M127" i="14"/>
  <c r="O132" i="14"/>
  <c r="N132" i="14" s="1"/>
  <c r="M132" i="14"/>
  <c r="M136" i="14"/>
  <c r="O136" i="14"/>
  <c r="N136" i="14" s="1"/>
  <c r="O121" i="14"/>
  <c r="N121" i="14" s="1"/>
  <c r="O122" i="14"/>
  <c r="N122" i="14" s="1"/>
  <c r="O123" i="14"/>
  <c r="N123" i="14" s="1"/>
  <c r="C129" i="14"/>
  <c r="H745" i="16"/>
  <c r="H685" i="16"/>
  <c r="H703" i="16" s="1"/>
  <c r="P598" i="17"/>
  <c r="P599" i="17" s="1"/>
  <c r="P567" i="17"/>
  <c r="P568" i="17" s="1"/>
  <c r="I545" i="17"/>
  <c r="G600" i="17"/>
  <c r="I551" i="17"/>
  <c r="F586" i="17"/>
  <c r="I586" i="17" s="1"/>
  <c r="F592" i="17"/>
  <c r="I592" i="17" s="1"/>
  <c r="I1043" i="13"/>
  <c r="I1039" i="13"/>
  <c r="I1013" i="13"/>
  <c r="I1008" i="13"/>
  <c r="I1004" i="13"/>
  <c r="I969" i="13"/>
  <c r="F961" i="13"/>
  <c r="I961" i="13"/>
  <c r="F953" i="13"/>
  <c r="I953" i="13"/>
  <c r="F1043" i="13"/>
  <c r="F983" i="13"/>
  <c r="F969" i="13"/>
  <c r="I973" i="13"/>
  <c r="I977" i="13"/>
  <c r="I992" i="13"/>
  <c r="F992" i="13"/>
  <c r="F1008" i="13"/>
  <c r="I1017" i="13"/>
  <c r="I1025" i="13"/>
  <c r="F977" i="13"/>
  <c r="F1030" i="13"/>
  <c r="F1013" i="13"/>
  <c r="F1004" i="13"/>
  <c r="F1017" i="13"/>
  <c r="F1025" i="13"/>
  <c r="F1033" i="13"/>
  <c r="F1039" i="13"/>
  <c r="I1039" i="1"/>
  <c r="I1040" i="1" s="1"/>
  <c r="I985" i="1"/>
  <c r="H986" i="1"/>
  <c r="G953" i="1"/>
  <c r="J953" i="1" s="1"/>
  <c r="G945" i="1"/>
  <c r="J962" i="1"/>
  <c r="G965" i="1"/>
  <c r="J965" i="1" s="1"/>
  <c r="G975" i="1"/>
  <c r="I996" i="1"/>
  <c r="I1001" i="1" s="1"/>
  <c r="I1012" i="1" s="1"/>
  <c r="I1013" i="1" s="1"/>
  <c r="G1007" i="1"/>
  <c r="J1007" i="1" s="1"/>
  <c r="H1009" i="1"/>
  <c r="H1010" i="1" s="1"/>
  <c r="G1017" i="1"/>
  <c r="J1014" i="1"/>
  <c r="J954" i="1"/>
  <c r="I970" i="1"/>
  <c r="G969" i="1"/>
  <c r="J969" i="1" s="1"/>
  <c r="G984" i="1"/>
  <c r="J984" i="1" s="1"/>
  <c r="G1005" i="1"/>
  <c r="J1002" i="1"/>
  <c r="H1022" i="1"/>
  <c r="H1039" i="1" s="1"/>
  <c r="H1040" i="1" s="1"/>
  <c r="G1019" i="1"/>
  <c r="J1019" i="1" s="1"/>
  <c r="G1031" i="1"/>
  <c r="J1031" i="1" s="1"/>
  <c r="H996" i="1"/>
  <c r="H1001" i="1" s="1"/>
  <c r="G994" i="1"/>
  <c r="J994" i="1" s="1"/>
  <c r="J1036" i="1"/>
  <c r="J1032" i="1"/>
  <c r="M2003" i="1" l="1"/>
  <c r="N1795" i="1"/>
  <c r="L2003" i="1"/>
  <c r="G1916" i="13"/>
  <c r="J1916" i="13" s="1"/>
  <c r="K1899" i="1"/>
  <c r="N1899" i="1" s="1"/>
  <c r="F559" i="17"/>
  <c r="I559" i="17" s="1"/>
  <c r="I550" i="17"/>
  <c r="I986" i="1"/>
  <c r="I1047" i="13"/>
  <c r="I1048" i="13" s="1"/>
  <c r="I1009" i="13"/>
  <c r="I1018" i="13"/>
  <c r="I993" i="13"/>
  <c r="F978" i="13"/>
  <c r="F568" i="17"/>
  <c r="I568" i="17" s="1"/>
  <c r="P600" i="17"/>
  <c r="H1012" i="1"/>
  <c r="H1013" i="1" s="1"/>
  <c r="H1041" i="1" s="1"/>
  <c r="F1018" i="13"/>
  <c r="P188" i="14"/>
  <c r="Q188" i="14"/>
  <c r="R188" i="14"/>
  <c r="P175" i="14"/>
  <c r="R175" i="14"/>
  <c r="Q175" i="14"/>
  <c r="P186" i="14"/>
  <c r="R186" i="14"/>
  <c r="Q186" i="14"/>
  <c r="S186" i="14" s="1"/>
  <c r="T186" i="14" s="1"/>
  <c r="P184" i="14"/>
  <c r="R184" i="14"/>
  <c r="Q184" i="14"/>
  <c r="S184" i="14" s="1"/>
  <c r="P189" i="14"/>
  <c r="R189" i="14"/>
  <c r="Q189" i="14"/>
  <c r="P190" i="14"/>
  <c r="R190" i="14"/>
  <c r="Q190" i="14"/>
  <c r="P181" i="14"/>
  <c r="Q181" i="14"/>
  <c r="R181" i="14"/>
  <c r="P182" i="14"/>
  <c r="R182" i="14"/>
  <c r="Q182" i="14"/>
  <c r="P185" i="14"/>
  <c r="Q185" i="14"/>
  <c r="R185" i="14"/>
  <c r="P183" i="14"/>
  <c r="Q183" i="14"/>
  <c r="R183" i="14"/>
  <c r="P180" i="14"/>
  <c r="Q180" i="14"/>
  <c r="R180" i="14"/>
  <c r="P178" i="14"/>
  <c r="R178" i="14"/>
  <c r="Q178" i="14"/>
  <c r="P176" i="14"/>
  <c r="R176" i="14"/>
  <c r="Q176" i="14"/>
  <c r="P187" i="14"/>
  <c r="R187" i="14"/>
  <c r="Q187" i="14"/>
  <c r="S187" i="14" s="1"/>
  <c r="P179" i="14"/>
  <c r="R179" i="14"/>
  <c r="Q179" i="14"/>
  <c r="T184" i="14"/>
  <c r="P177" i="14"/>
  <c r="Q177" i="14"/>
  <c r="R177" i="14"/>
  <c r="P172" i="14"/>
  <c r="R172" i="14"/>
  <c r="Q172" i="14"/>
  <c r="P171" i="14"/>
  <c r="R171" i="14"/>
  <c r="Q171" i="14"/>
  <c r="S171" i="14" s="1"/>
  <c r="T171" i="14" s="1"/>
  <c r="P164" i="14"/>
  <c r="Q164" i="14"/>
  <c r="R164" i="14"/>
  <c r="P161" i="14"/>
  <c r="R161" i="14"/>
  <c r="Q161" i="14"/>
  <c r="S161" i="14" s="1"/>
  <c r="T161" i="14" s="1"/>
  <c r="P163" i="14"/>
  <c r="Q163" i="14"/>
  <c r="R163" i="14"/>
  <c r="P169" i="14"/>
  <c r="Q169" i="14"/>
  <c r="R169" i="14"/>
  <c r="P166" i="14"/>
  <c r="R166" i="14"/>
  <c r="Q166" i="14"/>
  <c r="P170" i="14"/>
  <c r="Q170" i="14"/>
  <c r="R170" i="14"/>
  <c r="P162" i="14"/>
  <c r="Q162" i="14"/>
  <c r="R162" i="14"/>
  <c r="P168" i="14"/>
  <c r="R168" i="14"/>
  <c r="Q168" i="14"/>
  <c r="P160" i="14"/>
  <c r="R160" i="14"/>
  <c r="Q160" i="14"/>
  <c r="P165" i="14"/>
  <c r="Q165" i="14"/>
  <c r="R165" i="14"/>
  <c r="P157" i="14"/>
  <c r="Q157" i="14"/>
  <c r="R157" i="14"/>
  <c r="P158" i="14"/>
  <c r="R158" i="14"/>
  <c r="Q158" i="14"/>
  <c r="S158" i="14" s="1"/>
  <c r="P167" i="14"/>
  <c r="R167" i="14"/>
  <c r="Q167" i="14"/>
  <c r="P159" i="14"/>
  <c r="R159" i="14"/>
  <c r="Q159" i="14"/>
  <c r="P144" i="14"/>
  <c r="R144" i="14"/>
  <c r="Q144" i="14"/>
  <c r="P146" i="14"/>
  <c r="R146" i="14"/>
  <c r="Q146" i="14"/>
  <c r="P151" i="14"/>
  <c r="T151" i="14" s="1"/>
  <c r="Q151" i="14"/>
  <c r="S151" i="14" s="1"/>
  <c r="R151" i="14"/>
  <c r="P143" i="14"/>
  <c r="Q143" i="14"/>
  <c r="R143" i="14"/>
  <c r="P152" i="14"/>
  <c r="R152" i="14"/>
  <c r="Q152" i="14"/>
  <c r="P153" i="14"/>
  <c r="Q153" i="14"/>
  <c r="R153" i="14"/>
  <c r="P145" i="14"/>
  <c r="R145" i="14"/>
  <c r="Q145" i="14"/>
  <c r="P154" i="14"/>
  <c r="R154" i="14"/>
  <c r="Q154" i="14"/>
  <c r="P150" i="14"/>
  <c r="R150" i="14"/>
  <c r="Q150" i="14"/>
  <c r="P142" i="14"/>
  <c r="R142" i="14"/>
  <c r="Q142" i="14"/>
  <c r="S142" i="14" s="1"/>
  <c r="T142" i="14" s="1"/>
  <c r="P148" i="14"/>
  <c r="R148" i="14"/>
  <c r="Q148" i="14"/>
  <c r="P140" i="14"/>
  <c r="Q140" i="14"/>
  <c r="R140" i="14"/>
  <c r="P141" i="14"/>
  <c r="Q141" i="14"/>
  <c r="R141" i="14"/>
  <c r="P147" i="14"/>
  <c r="Q147" i="14"/>
  <c r="R147" i="14"/>
  <c r="P139" i="14"/>
  <c r="Q139" i="14"/>
  <c r="R139" i="14"/>
  <c r="P149" i="14"/>
  <c r="T149" i="14" s="1"/>
  <c r="Q149" i="14"/>
  <c r="S149" i="14" s="1"/>
  <c r="R149" i="14"/>
  <c r="Q122" i="14"/>
  <c r="P122" i="14"/>
  <c r="R122" i="14"/>
  <c r="P135" i="14"/>
  <c r="R135" i="14"/>
  <c r="Q135" i="14"/>
  <c r="S135" i="14" s="1"/>
  <c r="R128" i="14"/>
  <c r="Q128" i="14"/>
  <c r="P128" i="14"/>
  <c r="P131" i="14"/>
  <c r="R131" i="14"/>
  <c r="Q131" i="14"/>
  <c r="Q123" i="14"/>
  <c r="R123" i="14"/>
  <c r="P123" i="14"/>
  <c r="P127" i="14"/>
  <c r="Q127" i="14"/>
  <c r="R127" i="14"/>
  <c r="P124" i="14"/>
  <c r="R124" i="14"/>
  <c r="Q124" i="14"/>
  <c r="P134" i="14"/>
  <c r="Q134" i="14"/>
  <c r="R134" i="14"/>
  <c r="R121" i="14"/>
  <c r="Q121" i="14"/>
  <c r="P121" i="14"/>
  <c r="P132" i="14"/>
  <c r="R132" i="14"/>
  <c r="Q132" i="14"/>
  <c r="S132" i="14" s="1"/>
  <c r="P133" i="14"/>
  <c r="R133" i="14"/>
  <c r="Q133" i="14"/>
  <c r="S133" i="14" s="1"/>
  <c r="P136" i="14"/>
  <c r="R136" i="14"/>
  <c r="Q136" i="14"/>
  <c r="P126" i="14"/>
  <c r="R126" i="14"/>
  <c r="Q126" i="14"/>
  <c r="P130" i="14"/>
  <c r="R130" i="14"/>
  <c r="Q130" i="14"/>
  <c r="P125" i="14"/>
  <c r="Q125" i="14"/>
  <c r="R125" i="14"/>
  <c r="N129" i="14"/>
  <c r="F598" i="17"/>
  <c r="F1047" i="13"/>
  <c r="F1048" i="13" s="1"/>
  <c r="F1009" i="13"/>
  <c r="I978" i="13"/>
  <c r="F993" i="13"/>
  <c r="G1022" i="1"/>
  <c r="J1022" i="1" s="1"/>
  <c r="G1009" i="1"/>
  <c r="J1009" i="1" s="1"/>
  <c r="I1041" i="1"/>
  <c r="J1017" i="1"/>
  <c r="J1005" i="1"/>
  <c r="G996" i="1"/>
  <c r="G985" i="1"/>
  <c r="J985" i="1" s="1"/>
  <c r="J975" i="1"/>
  <c r="G970" i="1"/>
  <c r="J945" i="1"/>
  <c r="I903" i="1"/>
  <c r="H903" i="1"/>
  <c r="I890" i="1"/>
  <c r="H890" i="1"/>
  <c r="T132" i="14" l="1"/>
  <c r="S131" i="14"/>
  <c r="T131" i="14" s="1"/>
  <c r="S128" i="14"/>
  <c r="T135" i="14"/>
  <c r="S145" i="14"/>
  <c r="T145" i="14" s="1"/>
  <c r="S153" i="14"/>
  <c r="T153" i="14" s="1"/>
  <c r="S179" i="14"/>
  <c r="T179" i="14" s="1"/>
  <c r="T133" i="14"/>
  <c r="S159" i="14"/>
  <c r="S160" i="14"/>
  <c r="S166" i="14"/>
  <c r="T166" i="14" s="1"/>
  <c r="S172" i="14"/>
  <c r="T172" i="14" s="1"/>
  <c r="T187" i="14"/>
  <c r="S178" i="14"/>
  <c r="S175" i="14"/>
  <c r="T175" i="14" s="1"/>
  <c r="O1899" i="1"/>
  <c r="L2107" i="1"/>
  <c r="G2021" i="13"/>
  <c r="J2021" i="13" s="1"/>
  <c r="K2003" i="1"/>
  <c r="N2003" i="1" s="1"/>
  <c r="M2107" i="1"/>
  <c r="M2211" i="1" s="1"/>
  <c r="I1020" i="13"/>
  <c r="I1021" i="13" s="1"/>
  <c r="I994" i="13"/>
  <c r="I1049" i="13" s="1"/>
  <c r="F994" i="13"/>
  <c r="T178" i="14"/>
  <c r="T159" i="14"/>
  <c r="T160" i="14"/>
  <c r="S162" i="14"/>
  <c r="T162" i="14" s="1"/>
  <c r="S163" i="14"/>
  <c r="T163" i="14" s="1"/>
  <c r="T158" i="14"/>
  <c r="S147" i="14"/>
  <c r="T147" i="14" s="1"/>
  <c r="S146" i="14"/>
  <c r="T146" i="14" s="1"/>
  <c r="G1039" i="1"/>
  <c r="G1010" i="1"/>
  <c r="J1010" i="1" s="1"/>
  <c r="F1020" i="13"/>
  <c r="F1021" i="13" s="1"/>
  <c r="S185" i="14"/>
  <c r="T185" i="14" s="1"/>
  <c r="S183" i="14"/>
  <c r="T183" i="14" s="1"/>
  <c r="S177" i="14"/>
  <c r="T177" i="14" s="1"/>
  <c r="S188" i="14"/>
  <c r="T188" i="14" s="1"/>
  <c r="S176" i="14"/>
  <c r="T176" i="14" s="1"/>
  <c r="S180" i="14"/>
  <c r="T180" i="14" s="1"/>
  <c r="S182" i="14"/>
  <c r="T182" i="14" s="1"/>
  <c r="S181" i="14"/>
  <c r="T181" i="14" s="1"/>
  <c r="S190" i="14"/>
  <c r="T190" i="14" s="1"/>
  <c r="S189" i="14"/>
  <c r="T189" i="14" s="1"/>
  <c r="T170" i="14"/>
  <c r="S169" i="14"/>
  <c r="T169" i="14" s="1"/>
  <c r="S165" i="14"/>
  <c r="T165" i="14" s="1"/>
  <c r="S164" i="14"/>
  <c r="T164" i="14" s="1"/>
  <c r="S167" i="14"/>
  <c r="T167" i="14" s="1"/>
  <c r="S157" i="14"/>
  <c r="T157" i="14" s="1"/>
  <c r="S168" i="14"/>
  <c r="T168" i="14" s="1"/>
  <c r="S170" i="14"/>
  <c r="S141" i="14"/>
  <c r="T141" i="14" s="1"/>
  <c r="S140" i="14"/>
  <c r="T140" i="14" s="1"/>
  <c r="S152" i="14"/>
  <c r="T152" i="14" s="1"/>
  <c r="S143" i="14"/>
  <c r="T143" i="14" s="1"/>
  <c r="S139" i="14"/>
  <c r="T139" i="14" s="1"/>
  <c r="S148" i="14"/>
  <c r="T148" i="14" s="1"/>
  <c r="S150" i="14"/>
  <c r="T150" i="14" s="1"/>
  <c r="S154" i="14"/>
  <c r="T154" i="14" s="1"/>
  <c r="S144" i="14"/>
  <c r="T144" i="14" s="1"/>
  <c r="S122" i="14"/>
  <c r="T122" i="14" s="1"/>
  <c r="S121" i="14"/>
  <c r="T121" i="14" s="1"/>
  <c r="T128" i="14"/>
  <c r="T134" i="14"/>
  <c r="P129" i="14"/>
  <c r="R129" i="14"/>
  <c r="Q129" i="14"/>
  <c r="S130" i="14"/>
  <c r="T130" i="14" s="1"/>
  <c r="S126" i="14"/>
  <c r="T126" i="14" s="1"/>
  <c r="S136" i="14"/>
  <c r="T136" i="14" s="1"/>
  <c r="S124" i="14"/>
  <c r="T124" i="14" s="1"/>
  <c r="S127" i="14"/>
  <c r="T127" i="14" s="1"/>
  <c r="S123" i="14"/>
  <c r="T123" i="14" s="1"/>
  <c r="S125" i="14"/>
  <c r="T125" i="14" s="1"/>
  <c r="S134" i="14"/>
  <c r="I598" i="17"/>
  <c r="F599" i="17"/>
  <c r="G986" i="1"/>
  <c r="J970" i="1"/>
  <c r="G1001" i="1"/>
  <c r="J996" i="1"/>
  <c r="G1040" i="1"/>
  <c r="J1039" i="1"/>
  <c r="J1040" i="1" s="1"/>
  <c r="E646" i="16"/>
  <c r="H533" i="17"/>
  <c r="G533" i="17"/>
  <c r="H527" i="17"/>
  <c r="H524" i="17"/>
  <c r="G527" i="17"/>
  <c r="G524" i="17"/>
  <c r="I915" i="1"/>
  <c r="H915" i="1"/>
  <c r="E604" i="16"/>
  <c r="M2315" i="1" l="1"/>
  <c r="F1049" i="13"/>
  <c r="O2003" i="1"/>
  <c r="K2107" i="1"/>
  <c r="L2211" i="1"/>
  <c r="G2126" i="13"/>
  <c r="J2126" i="13" s="1"/>
  <c r="S129" i="14"/>
  <c r="T129" i="14" s="1"/>
  <c r="I599" i="17"/>
  <c r="F600" i="17"/>
  <c r="I600" i="17" s="1"/>
  <c r="G1012" i="1"/>
  <c r="J1001" i="1"/>
  <c r="J986" i="1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I620" i="16"/>
  <c r="H618" i="16"/>
  <c r="H617" i="16"/>
  <c r="H616" i="16"/>
  <c r="H614" i="16"/>
  <c r="H613" i="16"/>
  <c r="H612" i="16"/>
  <c r="H611" i="16"/>
  <c r="H610" i="16"/>
  <c r="H609" i="16"/>
  <c r="H608" i="16"/>
  <c r="H607" i="16"/>
  <c r="H606" i="16"/>
  <c r="H605" i="16"/>
  <c r="H604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E540" i="17"/>
  <c r="E541" i="17" s="1"/>
  <c r="H539" i="17"/>
  <c r="H540" i="17" s="1"/>
  <c r="G539" i="17"/>
  <c r="G540" i="17" s="1"/>
  <c r="D539" i="17"/>
  <c r="D540" i="17" s="1"/>
  <c r="P538" i="17"/>
  <c r="F538" i="17"/>
  <c r="I538" i="17" s="1"/>
  <c r="P537" i="17"/>
  <c r="F537" i="17"/>
  <c r="I537" i="17" s="1"/>
  <c r="P536" i="17"/>
  <c r="I536" i="17"/>
  <c r="F536" i="17"/>
  <c r="P535" i="17"/>
  <c r="F535" i="17"/>
  <c r="I535" i="17" s="1"/>
  <c r="P534" i="17"/>
  <c r="F534" i="17"/>
  <c r="I534" i="17" s="1"/>
  <c r="P533" i="17"/>
  <c r="F533" i="17"/>
  <c r="I533" i="17" s="1"/>
  <c r="P532" i="17"/>
  <c r="F532" i="17"/>
  <c r="I532" i="17" s="1"/>
  <c r="P531" i="17"/>
  <c r="F531" i="17"/>
  <c r="I531" i="17" s="1"/>
  <c r="P530" i="17"/>
  <c r="F530" i="17"/>
  <c r="I530" i="17" s="1"/>
  <c r="P529" i="17"/>
  <c r="F529" i="17"/>
  <c r="I529" i="17" s="1"/>
  <c r="P528" i="17"/>
  <c r="F528" i="17"/>
  <c r="I528" i="17" s="1"/>
  <c r="P527" i="17"/>
  <c r="F527" i="17"/>
  <c r="I527" i="17" s="1"/>
  <c r="P526" i="17"/>
  <c r="F526" i="17"/>
  <c r="I526" i="17" s="1"/>
  <c r="P525" i="17"/>
  <c r="F525" i="17"/>
  <c r="I525" i="17" s="1"/>
  <c r="P524" i="17"/>
  <c r="F524" i="17"/>
  <c r="I524" i="17" s="1"/>
  <c r="P523" i="17"/>
  <c r="I523" i="17"/>
  <c r="F523" i="17"/>
  <c r="P522" i="17"/>
  <c r="F522" i="17"/>
  <c r="I522" i="17" s="1"/>
  <c r="P521" i="17"/>
  <c r="F521" i="17"/>
  <c r="I521" i="17" s="1"/>
  <c r="P520" i="17"/>
  <c r="F520" i="17"/>
  <c r="I520" i="17" s="1"/>
  <c r="P519" i="17"/>
  <c r="F519" i="17"/>
  <c r="I519" i="17" s="1"/>
  <c r="P518" i="17"/>
  <c r="F518" i="17"/>
  <c r="I518" i="17" s="1"/>
  <c r="P517" i="17"/>
  <c r="F517" i="17"/>
  <c r="I517" i="17" s="1"/>
  <c r="P516" i="17"/>
  <c r="F516" i="17"/>
  <c r="I516" i="17" s="1"/>
  <c r="P515" i="17"/>
  <c r="F515" i="17"/>
  <c r="I515" i="17" s="1"/>
  <c r="P514" i="17"/>
  <c r="F514" i="17"/>
  <c r="I514" i="17" s="1"/>
  <c r="P513" i="17"/>
  <c r="F513" i="17"/>
  <c r="I513" i="17" s="1"/>
  <c r="P512" i="17"/>
  <c r="F512" i="17"/>
  <c r="I512" i="17" s="1"/>
  <c r="P511" i="17"/>
  <c r="F511" i="17"/>
  <c r="I511" i="17" s="1"/>
  <c r="P510" i="17"/>
  <c r="I510" i="17"/>
  <c r="F510" i="17"/>
  <c r="E509" i="17"/>
  <c r="D509" i="17"/>
  <c r="H508" i="17"/>
  <c r="H509" i="17" s="1"/>
  <c r="G508" i="17"/>
  <c r="G509" i="17" s="1"/>
  <c r="P507" i="17"/>
  <c r="F507" i="17"/>
  <c r="I507" i="17" s="1"/>
  <c r="P506" i="17"/>
  <c r="F506" i="17"/>
  <c r="I506" i="17" s="1"/>
  <c r="P505" i="17"/>
  <c r="F505" i="17"/>
  <c r="I505" i="17" s="1"/>
  <c r="P504" i="17"/>
  <c r="F504" i="17"/>
  <c r="I504" i="17" s="1"/>
  <c r="P503" i="17"/>
  <c r="F503" i="17"/>
  <c r="I503" i="17" s="1"/>
  <c r="P502" i="17"/>
  <c r="F502" i="17"/>
  <c r="I502" i="17" s="1"/>
  <c r="P501" i="17"/>
  <c r="F501" i="17"/>
  <c r="I501" i="17" s="1"/>
  <c r="E500" i="17"/>
  <c r="H499" i="17"/>
  <c r="G499" i="17"/>
  <c r="D499" i="17"/>
  <c r="P498" i="17"/>
  <c r="F498" i="17"/>
  <c r="I498" i="17" s="1"/>
  <c r="P497" i="17"/>
  <c r="I497" i="17"/>
  <c r="F497" i="17"/>
  <c r="P496" i="17"/>
  <c r="F496" i="17"/>
  <c r="I496" i="17" s="1"/>
  <c r="P495" i="17"/>
  <c r="F495" i="17"/>
  <c r="I495" i="17" s="1"/>
  <c r="P494" i="17"/>
  <c r="F494" i="17"/>
  <c r="I494" i="17" s="1"/>
  <c r="P493" i="17"/>
  <c r="I493" i="17"/>
  <c r="F493" i="17"/>
  <c r="P492" i="17"/>
  <c r="F492" i="17"/>
  <c r="H491" i="17"/>
  <c r="G491" i="17"/>
  <c r="D491" i="17"/>
  <c r="D500" i="17" s="1"/>
  <c r="P490" i="17"/>
  <c r="F490" i="17"/>
  <c r="I490" i="17" s="1"/>
  <c r="P489" i="17"/>
  <c r="F489" i="17"/>
  <c r="I489" i="17" s="1"/>
  <c r="P488" i="17"/>
  <c r="F488" i="17"/>
  <c r="I488" i="17" s="1"/>
  <c r="P487" i="17"/>
  <c r="I487" i="17"/>
  <c r="F487" i="17"/>
  <c r="P486" i="17"/>
  <c r="F486" i="17"/>
  <c r="F940" i="13"/>
  <c r="F939" i="13"/>
  <c r="F941" i="13" s="1"/>
  <c r="F937" i="13"/>
  <c r="F936" i="13"/>
  <c r="F935" i="13"/>
  <c r="F933" i="13"/>
  <c r="I933" i="13" s="1"/>
  <c r="F932" i="13"/>
  <c r="I932" i="13" s="1"/>
  <c r="F931" i="13"/>
  <c r="F930" i="13"/>
  <c r="I930" i="13" s="1"/>
  <c r="F929" i="13"/>
  <c r="I929" i="13" s="1"/>
  <c r="F927" i="13"/>
  <c r="F926" i="13"/>
  <c r="I926" i="13" s="1"/>
  <c r="F924" i="13"/>
  <c r="F923" i="13"/>
  <c r="I923" i="13" s="1"/>
  <c r="F922" i="13"/>
  <c r="F921" i="13"/>
  <c r="I921" i="13" s="1"/>
  <c r="F919" i="13"/>
  <c r="F918" i="13"/>
  <c r="I918" i="13" s="1"/>
  <c r="F917" i="13"/>
  <c r="F914" i="13"/>
  <c r="I914" i="13" s="1"/>
  <c r="F911" i="13"/>
  <c r="I911" i="13" s="1"/>
  <c r="F910" i="13"/>
  <c r="I910" i="13" s="1"/>
  <c r="F909" i="13"/>
  <c r="F907" i="13"/>
  <c r="F906" i="13"/>
  <c r="I906" i="13" s="1"/>
  <c r="F905" i="13"/>
  <c r="I905" i="13" s="1"/>
  <c r="F902" i="13"/>
  <c r="F901" i="13"/>
  <c r="F900" i="13"/>
  <c r="I900" i="13" s="1"/>
  <c r="F898" i="13"/>
  <c r="I898" i="13" s="1"/>
  <c r="F897" i="13"/>
  <c r="I897" i="13" s="1"/>
  <c r="F896" i="13"/>
  <c r="F895" i="13"/>
  <c r="I895" i="13" s="1"/>
  <c r="F894" i="13"/>
  <c r="I894" i="13" s="1"/>
  <c r="F893" i="13"/>
  <c r="I893" i="13" s="1"/>
  <c r="F892" i="13"/>
  <c r="F891" i="13"/>
  <c r="I891" i="13" s="1"/>
  <c r="F890" i="13"/>
  <c r="I890" i="13" s="1"/>
  <c r="F886" i="13"/>
  <c r="I886" i="13" s="1"/>
  <c r="F885" i="13"/>
  <c r="I885" i="13" s="1"/>
  <c r="F884" i="13"/>
  <c r="I884" i="13" s="1"/>
  <c r="F883" i="13"/>
  <c r="I883" i="13" s="1"/>
  <c r="F882" i="13"/>
  <c r="F881" i="13"/>
  <c r="I881" i="13" s="1"/>
  <c r="F880" i="13"/>
  <c r="I880" i="13" s="1"/>
  <c r="F879" i="13"/>
  <c r="I879" i="13" s="1"/>
  <c r="F877" i="13"/>
  <c r="F876" i="13"/>
  <c r="I876" i="13" s="1"/>
  <c r="F875" i="13"/>
  <c r="I875" i="13" s="1"/>
  <c r="F874" i="13"/>
  <c r="I874" i="13" s="1"/>
  <c r="F871" i="13"/>
  <c r="F870" i="13"/>
  <c r="I870" i="13" s="1"/>
  <c r="F869" i="13"/>
  <c r="I869" i="13" s="1"/>
  <c r="F867" i="13"/>
  <c r="I867" i="13" s="1"/>
  <c r="F866" i="13"/>
  <c r="I866" i="13" s="1"/>
  <c r="F864" i="13"/>
  <c r="F863" i="13"/>
  <c r="I863" i="13" s="1"/>
  <c r="F862" i="13"/>
  <c r="I862" i="13" s="1"/>
  <c r="F861" i="13"/>
  <c r="F860" i="13"/>
  <c r="F859" i="13"/>
  <c r="I859" i="13" s="1"/>
  <c r="F858" i="13"/>
  <c r="I858" i="13" s="1"/>
  <c r="F856" i="13"/>
  <c r="F855" i="13"/>
  <c r="I855" i="13" s="1"/>
  <c r="F854" i="13"/>
  <c r="I854" i="13" s="1"/>
  <c r="F853" i="13"/>
  <c r="I853" i="13" s="1"/>
  <c r="F852" i="13"/>
  <c r="I852" i="13" s="1"/>
  <c r="F851" i="13"/>
  <c r="I851" i="13" s="1"/>
  <c r="F850" i="13"/>
  <c r="F848" i="13"/>
  <c r="I848" i="13" s="1"/>
  <c r="F847" i="13"/>
  <c r="I847" i="13" s="1"/>
  <c r="F846" i="13"/>
  <c r="I846" i="13" s="1"/>
  <c r="F845" i="13"/>
  <c r="J941" i="13"/>
  <c r="I941" i="13"/>
  <c r="I937" i="13"/>
  <c r="I936" i="13"/>
  <c r="I935" i="13"/>
  <c r="I931" i="13"/>
  <c r="I927" i="13"/>
  <c r="I924" i="13"/>
  <c r="I922" i="13"/>
  <c r="I919" i="13"/>
  <c r="I917" i="13"/>
  <c r="I909" i="13"/>
  <c r="I907" i="13"/>
  <c r="I902" i="13"/>
  <c r="I901" i="13"/>
  <c r="I896" i="13"/>
  <c r="I892" i="13"/>
  <c r="I882" i="13"/>
  <c r="I877" i="13"/>
  <c r="I871" i="13"/>
  <c r="I864" i="13"/>
  <c r="I861" i="13"/>
  <c r="I860" i="13"/>
  <c r="I856" i="13"/>
  <c r="F935" i="1"/>
  <c r="F936" i="1" s="1"/>
  <c r="E935" i="1"/>
  <c r="E936" i="1" s="1"/>
  <c r="I934" i="1"/>
  <c r="H934" i="1"/>
  <c r="G933" i="1"/>
  <c r="J933" i="1" s="1"/>
  <c r="G932" i="1"/>
  <c r="I931" i="1"/>
  <c r="H931" i="1"/>
  <c r="G930" i="1"/>
  <c r="G929" i="1"/>
  <c r="J929" i="1" s="1"/>
  <c r="G928" i="1"/>
  <c r="J928" i="1" s="1"/>
  <c r="I927" i="1"/>
  <c r="H927" i="1"/>
  <c r="G926" i="1"/>
  <c r="J926" i="1" s="1"/>
  <c r="G925" i="1"/>
  <c r="J925" i="1" s="1"/>
  <c r="G924" i="1"/>
  <c r="J924" i="1" s="1"/>
  <c r="G923" i="1"/>
  <c r="J923" i="1" s="1"/>
  <c r="G922" i="1"/>
  <c r="J922" i="1" s="1"/>
  <c r="I921" i="1"/>
  <c r="H921" i="1"/>
  <c r="G920" i="1"/>
  <c r="J920" i="1" s="1"/>
  <c r="G919" i="1"/>
  <c r="I918" i="1"/>
  <c r="H918" i="1"/>
  <c r="G917" i="1"/>
  <c r="J917" i="1" s="1"/>
  <c r="G916" i="1"/>
  <c r="J916" i="1" s="1"/>
  <c r="G915" i="1"/>
  <c r="J915" i="1" s="1"/>
  <c r="G914" i="1"/>
  <c r="J914" i="1" s="1"/>
  <c r="I913" i="1"/>
  <c r="H913" i="1"/>
  <c r="G912" i="1"/>
  <c r="J912" i="1" s="1"/>
  <c r="G911" i="1"/>
  <c r="J911" i="1" s="1"/>
  <c r="G910" i="1"/>
  <c r="F908" i="1"/>
  <c r="F909" i="1" s="1"/>
  <c r="E908" i="1"/>
  <c r="E909" i="1" s="1"/>
  <c r="G907" i="1"/>
  <c r="J907" i="1" s="1"/>
  <c r="I905" i="1"/>
  <c r="H905" i="1"/>
  <c r="G904" i="1"/>
  <c r="J904" i="1" s="1"/>
  <c r="G903" i="1"/>
  <c r="J903" i="1" s="1"/>
  <c r="G902" i="1"/>
  <c r="I901" i="1"/>
  <c r="H901" i="1"/>
  <c r="G900" i="1"/>
  <c r="J900" i="1" s="1"/>
  <c r="G899" i="1"/>
  <c r="J899" i="1" s="1"/>
  <c r="G898" i="1"/>
  <c r="J898" i="1" s="1"/>
  <c r="I896" i="1"/>
  <c r="H896" i="1"/>
  <c r="G895" i="1"/>
  <c r="J895" i="1" s="1"/>
  <c r="G894" i="1"/>
  <c r="J894" i="1" s="1"/>
  <c r="G893" i="1"/>
  <c r="I892" i="1"/>
  <c r="H892" i="1"/>
  <c r="H897" i="1" s="1"/>
  <c r="G891" i="1"/>
  <c r="J891" i="1" s="1"/>
  <c r="G890" i="1"/>
  <c r="J890" i="1" s="1"/>
  <c r="G889" i="1"/>
  <c r="J889" i="1" s="1"/>
  <c r="G888" i="1"/>
  <c r="J888" i="1" s="1"/>
  <c r="G887" i="1"/>
  <c r="J887" i="1" s="1"/>
  <c r="G886" i="1"/>
  <c r="J886" i="1" s="1"/>
  <c r="G885" i="1"/>
  <c r="J885" i="1" s="1"/>
  <c r="G884" i="1"/>
  <c r="G883" i="1"/>
  <c r="J883" i="1" s="1"/>
  <c r="F881" i="1"/>
  <c r="E881" i="1"/>
  <c r="I880" i="1"/>
  <c r="H880" i="1"/>
  <c r="G879" i="1"/>
  <c r="J879" i="1" s="1"/>
  <c r="G878" i="1"/>
  <c r="J878" i="1" s="1"/>
  <c r="G877" i="1"/>
  <c r="J877" i="1" s="1"/>
  <c r="G876" i="1"/>
  <c r="J876" i="1" s="1"/>
  <c r="G875" i="1"/>
  <c r="J875" i="1" s="1"/>
  <c r="G874" i="1"/>
  <c r="J874" i="1" s="1"/>
  <c r="G873" i="1"/>
  <c r="J873" i="1" s="1"/>
  <c r="G872" i="1"/>
  <c r="J872" i="1" s="1"/>
  <c r="I871" i="1"/>
  <c r="H871" i="1"/>
  <c r="H881" i="1" s="1"/>
  <c r="G870" i="1"/>
  <c r="J870" i="1" s="1"/>
  <c r="G869" i="1"/>
  <c r="J869" i="1" s="1"/>
  <c r="G868" i="1"/>
  <c r="J868" i="1" s="1"/>
  <c r="G867" i="1"/>
  <c r="G871" i="1" s="1"/>
  <c r="I865" i="1"/>
  <c r="H865" i="1"/>
  <c r="E865" i="1"/>
  <c r="G864" i="1"/>
  <c r="J864" i="1" s="1"/>
  <c r="G863" i="1"/>
  <c r="J863" i="1" s="1"/>
  <c r="G862" i="1"/>
  <c r="J862" i="1" s="1"/>
  <c r="I861" i="1"/>
  <c r="H861" i="1"/>
  <c r="F861" i="1"/>
  <c r="F866" i="1" s="1"/>
  <c r="F882" i="1" s="1"/>
  <c r="F937" i="1" s="1"/>
  <c r="E861" i="1"/>
  <c r="G860" i="1"/>
  <c r="G859" i="1"/>
  <c r="G861" i="1" s="1"/>
  <c r="J861" i="1" s="1"/>
  <c r="I858" i="1"/>
  <c r="H858" i="1"/>
  <c r="E858" i="1"/>
  <c r="G857" i="1"/>
  <c r="J857" i="1" s="1"/>
  <c r="G856" i="1"/>
  <c r="J856" i="1" s="1"/>
  <c r="G855" i="1"/>
  <c r="J855" i="1" s="1"/>
  <c r="G854" i="1"/>
  <c r="J854" i="1" s="1"/>
  <c r="G853" i="1"/>
  <c r="J853" i="1" s="1"/>
  <c r="G852" i="1"/>
  <c r="J852" i="1" s="1"/>
  <c r="G851" i="1"/>
  <c r="I850" i="1"/>
  <c r="H850" i="1"/>
  <c r="G849" i="1"/>
  <c r="J849" i="1" s="1"/>
  <c r="G848" i="1"/>
  <c r="J848" i="1" s="1"/>
  <c r="G847" i="1"/>
  <c r="J847" i="1" s="1"/>
  <c r="G846" i="1"/>
  <c r="J846" i="1" s="1"/>
  <c r="G845" i="1"/>
  <c r="J845" i="1" s="1"/>
  <c r="G844" i="1"/>
  <c r="G843" i="1"/>
  <c r="J843" i="1" s="1"/>
  <c r="I842" i="1"/>
  <c r="H842" i="1"/>
  <c r="G841" i="1"/>
  <c r="J841" i="1" s="1"/>
  <c r="G840" i="1"/>
  <c r="J840" i="1" s="1"/>
  <c r="G839" i="1"/>
  <c r="J839" i="1" s="1"/>
  <c r="G838" i="1"/>
  <c r="J838" i="1" s="1"/>
  <c r="L2315" i="1" l="1"/>
  <c r="G2231" i="13"/>
  <c r="G921" i="1"/>
  <c r="J921" i="1" s="1"/>
  <c r="F499" i="17"/>
  <c r="I499" i="17" s="1"/>
  <c r="O2107" i="1"/>
  <c r="N2107" i="1"/>
  <c r="K2211" i="1"/>
  <c r="H619" i="16"/>
  <c r="P508" i="17"/>
  <c r="P509" i="17" s="1"/>
  <c r="I906" i="1"/>
  <c r="I908" i="1" s="1"/>
  <c r="I909" i="1" s="1"/>
  <c r="I881" i="1"/>
  <c r="E866" i="1"/>
  <c r="E882" i="1" s="1"/>
  <c r="E937" i="1" s="1"/>
  <c r="I897" i="1"/>
  <c r="I878" i="13"/>
  <c r="I925" i="13"/>
  <c r="G865" i="1"/>
  <c r="J865" i="1" s="1"/>
  <c r="J919" i="1"/>
  <c r="J867" i="1"/>
  <c r="J1012" i="1"/>
  <c r="J1013" i="1" s="1"/>
  <c r="G1013" i="1"/>
  <c r="G1041" i="1" s="1"/>
  <c r="J1041" i="1" s="1"/>
  <c r="H500" i="17"/>
  <c r="I492" i="17"/>
  <c r="G500" i="17"/>
  <c r="G541" i="17" s="1"/>
  <c r="F857" i="13"/>
  <c r="J859" i="1"/>
  <c r="H663" i="16"/>
  <c r="I935" i="1"/>
  <c r="I936" i="1" s="1"/>
  <c r="H615" i="16"/>
  <c r="H603" i="16"/>
  <c r="P539" i="17"/>
  <c r="P540" i="17" s="1"/>
  <c r="F508" i="17"/>
  <c r="I508" i="17" s="1"/>
  <c r="F539" i="17"/>
  <c r="H541" i="17"/>
  <c r="P491" i="17"/>
  <c r="P499" i="17"/>
  <c r="F491" i="17"/>
  <c r="I486" i="17"/>
  <c r="D541" i="17"/>
  <c r="I938" i="13"/>
  <c r="I934" i="13"/>
  <c r="I908" i="13"/>
  <c r="F849" i="13"/>
  <c r="I845" i="13"/>
  <c r="I849" i="13" s="1"/>
  <c r="I850" i="13"/>
  <c r="I857" i="13" s="1"/>
  <c r="F868" i="13"/>
  <c r="F872" i="13"/>
  <c r="F878" i="13"/>
  <c r="I899" i="13"/>
  <c r="I903" i="13"/>
  <c r="F908" i="13"/>
  <c r="I928" i="13"/>
  <c r="F938" i="13"/>
  <c r="F899" i="13"/>
  <c r="I865" i="13"/>
  <c r="I887" i="13"/>
  <c r="I888" i="13" s="1"/>
  <c r="F887" i="13"/>
  <c r="F903" i="13"/>
  <c r="I912" i="13"/>
  <c r="I913" i="13" s="1"/>
  <c r="I920" i="13"/>
  <c r="F925" i="13"/>
  <c r="F865" i="13"/>
  <c r="I868" i="13"/>
  <c r="I872" i="13"/>
  <c r="F912" i="13"/>
  <c r="F920" i="13"/>
  <c r="F928" i="13"/>
  <c r="F934" i="13"/>
  <c r="H935" i="1"/>
  <c r="H936" i="1" s="1"/>
  <c r="H906" i="1"/>
  <c r="H908" i="1" s="1"/>
  <c r="H909" i="1" s="1"/>
  <c r="H866" i="1"/>
  <c r="H882" i="1" s="1"/>
  <c r="I866" i="1"/>
  <c r="I882" i="1" s="1"/>
  <c r="G896" i="1"/>
  <c r="J896" i="1" s="1"/>
  <c r="J893" i="1"/>
  <c r="G858" i="1"/>
  <c r="J858" i="1" s="1"/>
  <c r="J851" i="1"/>
  <c r="G850" i="1"/>
  <c r="J850" i="1" s="1"/>
  <c r="J844" i="1"/>
  <c r="G880" i="1"/>
  <c r="J880" i="1" s="1"/>
  <c r="G842" i="1"/>
  <c r="J871" i="1"/>
  <c r="G913" i="1"/>
  <c r="J910" i="1"/>
  <c r="G934" i="1"/>
  <c r="J934" i="1" s="1"/>
  <c r="J932" i="1"/>
  <c r="G901" i="1"/>
  <c r="G918" i="1"/>
  <c r="J918" i="1" s="1"/>
  <c r="G931" i="1"/>
  <c r="J931" i="1" s="1"/>
  <c r="J930" i="1"/>
  <c r="G892" i="1"/>
  <c r="J884" i="1"/>
  <c r="G905" i="1"/>
  <c r="J905" i="1" s="1"/>
  <c r="J902" i="1"/>
  <c r="G927" i="1"/>
  <c r="J927" i="1" s="1"/>
  <c r="E564" i="16"/>
  <c r="H564" i="16" s="1"/>
  <c r="H745" i="1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3" i="16"/>
  <c r="H562" i="16"/>
  <c r="H561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I538" i="16"/>
  <c r="H536" i="16"/>
  <c r="H535" i="16"/>
  <c r="H534" i="16"/>
  <c r="H532" i="16"/>
  <c r="H531" i="16"/>
  <c r="H530" i="16"/>
  <c r="H529" i="16"/>
  <c r="H528" i="16"/>
  <c r="H527" i="16"/>
  <c r="H526" i="16"/>
  <c r="H525" i="16"/>
  <c r="H524" i="16"/>
  <c r="H523" i="16"/>
  <c r="H522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E481" i="17"/>
  <c r="H480" i="17"/>
  <c r="H481" i="17" s="1"/>
  <c r="G480" i="17"/>
  <c r="G481" i="17" s="1"/>
  <c r="D480" i="17"/>
  <c r="D481" i="17" s="1"/>
  <c r="P479" i="17"/>
  <c r="F479" i="17"/>
  <c r="I479" i="17" s="1"/>
  <c r="P478" i="17"/>
  <c r="F478" i="17"/>
  <c r="I478" i="17" s="1"/>
  <c r="P477" i="17"/>
  <c r="F477" i="17"/>
  <c r="I477" i="17" s="1"/>
  <c r="P476" i="17"/>
  <c r="F476" i="17"/>
  <c r="I476" i="17" s="1"/>
  <c r="P475" i="17"/>
  <c r="F475" i="17"/>
  <c r="I475" i="17" s="1"/>
  <c r="P474" i="17"/>
  <c r="F474" i="17"/>
  <c r="I474" i="17" s="1"/>
  <c r="P473" i="17"/>
  <c r="I473" i="17"/>
  <c r="F473" i="17"/>
  <c r="P472" i="17"/>
  <c r="F472" i="17"/>
  <c r="I472" i="17" s="1"/>
  <c r="P471" i="17"/>
  <c r="F471" i="17"/>
  <c r="I471" i="17" s="1"/>
  <c r="P470" i="17"/>
  <c r="F470" i="17"/>
  <c r="I470" i="17" s="1"/>
  <c r="P469" i="17"/>
  <c r="F469" i="17"/>
  <c r="I469" i="17" s="1"/>
  <c r="P468" i="17"/>
  <c r="F468" i="17"/>
  <c r="I468" i="17" s="1"/>
  <c r="P467" i="17"/>
  <c r="F467" i="17"/>
  <c r="I467" i="17" s="1"/>
  <c r="P466" i="17"/>
  <c r="F466" i="17"/>
  <c r="I466" i="17" s="1"/>
  <c r="P465" i="17"/>
  <c r="F465" i="17"/>
  <c r="I465" i="17" s="1"/>
  <c r="P464" i="17"/>
  <c r="F464" i="17"/>
  <c r="I464" i="17" s="1"/>
  <c r="P463" i="17"/>
  <c r="F463" i="17"/>
  <c r="I463" i="17" s="1"/>
  <c r="P462" i="17"/>
  <c r="F462" i="17"/>
  <c r="I462" i="17" s="1"/>
  <c r="P461" i="17"/>
  <c r="I461" i="17"/>
  <c r="F461" i="17"/>
  <c r="P460" i="17"/>
  <c r="F460" i="17"/>
  <c r="I460" i="17" s="1"/>
  <c r="P459" i="17"/>
  <c r="F459" i="17"/>
  <c r="I459" i="17" s="1"/>
  <c r="P458" i="17"/>
  <c r="F458" i="17"/>
  <c r="I458" i="17" s="1"/>
  <c r="P457" i="17"/>
  <c r="F457" i="17"/>
  <c r="I457" i="17" s="1"/>
  <c r="P456" i="17"/>
  <c r="F456" i="17"/>
  <c r="P455" i="17"/>
  <c r="I455" i="17"/>
  <c r="F455" i="17"/>
  <c r="P454" i="17"/>
  <c r="F454" i="17"/>
  <c r="I454" i="17" s="1"/>
  <c r="P453" i="17"/>
  <c r="F453" i="17"/>
  <c r="I453" i="17" s="1"/>
  <c r="P452" i="17"/>
  <c r="F452" i="17"/>
  <c r="I452" i="17" s="1"/>
  <c r="P451" i="17"/>
  <c r="I451" i="17"/>
  <c r="F451" i="17"/>
  <c r="E450" i="17"/>
  <c r="E482" i="17" s="1"/>
  <c r="D450" i="17"/>
  <c r="H449" i="17"/>
  <c r="H450" i="17" s="1"/>
  <c r="G449" i="17"/>
  <c r="G450" i="17" s="1"/>
  <c r="P448" i="17"/>
  <c r="F448" i="17"/>
  <c r="I448" i="17" s="1"/>
  <c r="P447" i="17"/>
  <c r="F447" i="17"/>
  <c r="I447" i="17" s="1"/>
  <c r="P446" i="17"/>
  <c r="F446" i="17"/>
  <c r="I446" i="17" s="1"/>
  <c r="P445" i="17"/>
  <c r="F445" i="17"/>
  <c r="I445" i="17" s="1"/>
  <c r="P444" i="17"/>
  <c r="I444" i="17"/>
  <c r="F444" i="17"/>
  <c r="P443" i="17"/>
  <c r="F443" i="17"/>
  <c r="I443" i="17" s="1"/>
  <c r="P442" i="17"/>
  <c r="F442" i="17"/>
  <c r="I442" i="17" s="1"/>
  <c r="E441" i="17"/>
  <c r="H440" i="17"/>
  <c r="G440" i="17"/>
  <c r="D440" i="17"/>
  <c r="P439" i="17"/>
  <c r="F439" i="17"/>
  <c r="I439" i="17" s="1"/>
  <c r="P438" i="17"/>
  <c r="I438" i="17"/>
  <c r="F438" i="17"/>
  <c r="P437" i="17"/>
  <c r="F437" i="17"/>
  <c r="I437" i="17" s="1"/>
  <c r="P436" i="17"/>
  <c r="F436" i="17"/>
  <c r="I436" i="17" s="1"/>
  <c r="P435" i="17"/>
  <c r="F435" i="17"/>
  <c r="I435" i="17" s="1"/>
  <c r="P434" i="17"/>
  <c r="F434" i="17"/>
  <c r="I434" i="17" s="1"/>
  <c r="P433" i="17"/>
  <c r="F433" i="17"/>
  <c r="I433" i="17" s="1"/>
  <c r="H432" i="17"/>
  <c r="G432" i="17"/>
  <c r="D432" i="17"/>
  <c r="D441" i="17" s="1"/>
  <c r="P431" i="17"/>
  <c r="F431" i="17"/>
  <c r="I431" i="17" s="1"/>
  <c r="P430" i="17"/>
  <c r="F430" i="17"/>
  <c r="I430" i="17" s="1"/>
  <c r="P429" i="17"/>
  <c r="F429" i="17"/>
  <c r="I429" i="17" s="1"/>
  <c r="P428" i="17"/>
  <c r="F428" i="17"/>
  <c r="I428" i="17" s="1"/>
  <c r="P427" i="17"/>
  <c r="F427" i="17"/>
  <c r="F836" i="13"/>
  <c r="F835" i="13"/>
  <c r="F833" i="13"/>
  <c r="I833" i="13" s="1"/>
  <c r="F832" i="13"/>
  <c r="I832" i="13" s="1"/>
  <c r="F831" i="13"/>
  <c r="I831" i="13" s="1"/>
  <c r="F829" i="13"/>
  <c r="F828" i="13"/>
  <c r="I828" i="13" s="1"/>
  <c r="F827" i="13"/>
  <c r="I827" i="13" s="1"/>
  <c r="F826" i="13"/>
  <c r="I826" i="13" s="1"/>
  <c r="F825" i="13"/>
  <c r="F823" i="13"/>
  <c r="F822" i="13"/>
  <c r="F820" i="13"/>
  <c r="I820" i="13" s="1"/>
  <c r="F819" i="13"/>
  <c r="F818" i="13"/>
  <c r="I818" i="13" s="1"/>
  <c r="F817" i="13"/>
  <c r="I817" i="13" s="1"/>
  <c r="F815" i="13"/>
  <c r="I815" i="13" s="1"/>
  <c r="F814" i="13"/>
  <c r="I814" i="13" s="1"/>
  <c r="F813" i="13"/>
  <c r="I813" i="13" s="1"/>
  <c r="F810" i="13"/>
  <c r="F807" i="13"/>
  <c r="F806" i="13"/>
  <c r="I806" i="13" s="1"/>
  <c r="F805" i="13"/>
  <c r="I805" i="13" s="1"/>
  <c r="F803" i="13"/>
  <c r="I803" i="13" s="1"/>
  <c r="F802" i="13"/>
  <c r="I802" i="13" s="1"/>
  <c r="F801" i="13"/>
  <c r="F798" i="13"/>
  <c r="I798" i="13" s="1"/>
  <c r="F797" i="13"/>
  <c r="I797" i="13" s="1"/>
  <c r="F796" i="13"/>
  <c r="F794" i="13"/>
  <c r="F793" i="13"/>
  <c r="I793" i="13" s="1"/>
  <c r="F792" i="13"/>
  <c r="I792" i="13" s="1"/>
  <c r="F791" i="13"/>
  <c r="I791" i="13" s="1"/>
  <c r="F790" i="13"/>
  <c r="F789" i="13"/>
  <c r="I789" i="13" s="1"/>
  <c r="F788" i="13"/>
  <c r="I788" i="13" s="1"/>
  <c r="F787" i="13"/>
  <c r="I787" i="13" s="1"/>
  <c r="F786" i="13"/>
  <c r="F782" i="13"/>
  <c r="I782" i="13" s="1"/>
  <c r="F781" i="13"/>
  <c r="I781" i="13" s="1"/>
  <c r="F780" i="13"/>
  <c r="F779" i="13"/>
  <c r="I779" i="13" s="1"/>
  <c r="F778" i="13"/>
  <c r="I778" i="13" s="1"/>
  <c r="F777" i="13"/>
  <c r="I777" i="13" s="1"/>
  <c r="F776" i="13"/>
  <c r="F775" i="13"/>
  <c r="I775" i="13" s="1"/>
  <c r="F773" i="13"/>
  <c r="I773" i="13" s="1"/>
  <c r="F772" i="13"/>
  <c r="I772" i="13" s="1"/>
  <c r="F771" i="13"/>
  <c r="F770" i="13"/>
  <c r="I770" i="13" s="1"/>
  <c r="F767" i="13"/>
  <c r="I767" i="13" s="1"/>
  <c r="F766" i="13"/>
  <c r="I766" i="13" s="1"/>
  <c r="F765" i="13"/>
  <c r="F763" i="13"/>
  <c r="F762" i="13"/>
  <c r="I762" i="13" s="1"/>
  <c r="F760" i="13"/>
  <c r="I760" i="13" s="1"/>
  <c r="F759" i="13"/>
  <c r="I759" i="13" s="1"/>
  <c r="F758" i="13"/>
  <c r="F757" i="13"/>
  <c r="I757" i="13" s="1"/>
  <c r="F756" i="13"/>
  <c r="I756" i="13" s="1"/>
  <c r="F755" i="13"/>
  <c r="I755" i="13" s="1"/>
  <c r="F754" i="13"/>
  <c r="F752" i="13"/>
  <c r="I752" i="13" s="1"/>
  <c r="F751" i="13"/>
  <c r="I751" i="13" s="1"/>
  <c r="F750" i="13"/>
  <c r="F749" i="13"/>
  <c r="F748" i="13"/>
  <c r="I748" i="13" s="1"/>
  <c r="F747" i="13"/>
  <c r="I747" i="13" s="1"/>
  <c r="F746" i="13"/>
  <c r="F744" i="13"/>
  <c r="F743" i="13"/>
  <c r="I743" i="13" s="1"/>
  <c r="F742" i="13"/>
  <c r="I742" i="13" s="1"/>
  <c r="F741" i="13"/>
  <c r="F832" i="1"/>
  <c r="F833" i="1" s="1"/>
  <c r="E832" i="1"/>
  <c r="E833" i="1" s="1"/>
  <c r="I831" i="1"/>
  <c r="H831" i="1"/>
  <c r="G830" i="1"/>
  <c r="J830" i="1" s="1"/>
  <c r="G829" i="1"/>
  <c r="I828" i="1"/>
  <c r="H828" i="1"/>
  <c r="G827" i="1"/>
  <c r="J827" i="1" s="1"/>
  <c r="G826" i="1"/>
  <c r="J826" i="1" s="1"/>
  <c r="G825" i="1"/>
  <c r="I824" i="1"/>
  <c r="H824" i="1"/>
  <c r="G823" i="1"/>
  <c r="J823" i="1" s="1"/>
  <c r="G822" i="1"/>
  <c r="J822" i="1" s="1"/>
  <c r="G821" i="1"/>
  <c r="J821" i="1" s="1"/>
  <c r="G820" i="1"/>
  <c r="G819" i="1"/>
  <c r="J819" i="1" s="1"/>
  <c r="I818" i="1"/>
  <c r="H818" i="1"/>
  <c r="G817" i="1"/>
  <c r="J817" i="1" s="1"/>
  <c r="G816" i="1"/>
  <c r="I815" i="1"/>
  <c r="H815" i="1"/>
  <c r="G814" i="1"/>
  <c r="J814" i="1" s="1"/>
  <c r="G813" i="1"/>
  <c r="J813" i="1" s="1"/>
  <c r="G812" i="1"/>
  <c r="J812" i="1" s="1"/>
  <c r="G811" i="1"/>
  <c r="J811" i="1" s="1"/>
  <c r="I810" i="1"/>
  <c r="H810" i="1"/>
  <c r="H832" i="1" s="1"/>
  <c r="H833" i="1" s="1"/>
  <c r="G809" i="1"/>
  <c r="J809" i="1" s="1"/>
  <c r="G808" i="1"/>
  <c r="J808" i="1" s="1"/>
  <c r="G807" i="1"/>
  <c r="F805" i="1"/>
  <c r="F806" i="1" s="1"/>
  <c r="E805" i="1"/>
  <c r="E806" i="1" s="1"/>
  <c r="G804" i="1"/>
  <c r="J804" i="1" s="1"/>
  <c r="I802" i="1"/>
  <c r="H802" i="1"/>
  <c r="G801" i="1"/>
  <c r="J801" i="1" s="1"/>
  <c r="G800" i="1"/>
  <c r="J800" i="1" s="1"/>
  <c r="G799" i="1"/>
  <c r="I798" i="1"/>
  <c r="H798" i="1"/>
  <c r="G797" i="1"/>
  <c r="J797" i="1" s="1"/>
  <c r="G796" i="1"/>
  <c r="J796" i="1" s="1"/>
  <c r="G795" i="1"/>
  <c r="I793" i="1"/>
  <c r="H793" i="1"/>
  <c r="G792" i="1"/>
  <c r="J792" i="1" s="1"/>
  <c r="G791" i="1"/>
  <c r="J791" i="1" s="1"/>
  <c r="G790" i="1"/>
  <c r="J790" i="1" s="1"/>
  <c r="I789" i="1"/>
  <c r="H789" i="1"/>
  <c r="H794" i="1" s="1"/>
  <c r="G788" i="1"/>
  <c r="J788" i="1" s="1"/>
  <c r="G787" i="1"/>
  <c r="J787" i="1" s="1"/>
  <c r="G786" i="1"/>
  <c r="J786" i="1" s="1"/>
  <c r="G785" i="1"/>
  <c r="J785" i="1" s="1"/>
  <c r="G784" i="1"/>
  <c r="J784" i="1" s="1"/>
  <c r="G783" i="1"/>
  <c r="J783" i="1" s="1"/>
  <c r="G782" i="1"/>
  <c r="J782" i="1" s="1"/>
  <c r="G781" i="1"/>
  <c r="G780" i="1"/>
  <c r="J780" i="1" s="1"/>
  <c r="F778" i="1"/>
  <c r="E778" i="1"/>
  <c r="I777" i="1"/>
  <c r="H777" i="1"/>
  <c r="G776" i="1"/>
  <c r="J776" i="1" s="1"/>
  <c r="G775" i="1"/>
  <c r="J775" i="1" s="1"/>
  <c r="G774" i="1"/>
  <c r="J774" i="1" s="1"/>
  <c r="G773" i="1"/>
  <c r="J773" i="1" s="1"/>
  <c r="G772" i="1"/>
  <c r="J772" i="1" s="1"/>
  <c r="G771" i="1"/>
  <c r="J771" i="1" s="1"/>
  <c r="G770" i="1"/>
  <c r="J770" i="1" s="1"/>
  <c r="G769" i="1"/>
  <c r="J769" i="1" s="1"/>
  <c r="I768" i="1"/>
  <c r="I778" i="1" s="1"/>
  <c r="H768" i="1"/>
  <c r="G767" i="1"/>
  <c r="J767" i="1" s="1"/>
  <c r="G766" i="1"/>
  <c r="J766" i="1" s="1"/>
  <c r="G765" i="1"/>
  <c r="J765" i="1" s="1"/>
  <c r="G764" i="1"/>
  <c r="J764" i="1" s="1"/>
  <c r="I762" i="1"/>
  <c r="H762" i="1"/>
  <c r="E762" i="1"/>
  <c r="G761" i="1"/>
  <c r="J761" i="1" s="1"/>
  <c r="G760" i="1"/>
  <c r="J760" i="1" s="1"/>
  <c r="G759" i="1"/>
  <c r="I758" i="1"/>
  <c r="H758" i="1"/>
  <c r="F758" i="1"/>
  <c r="F763" i="1" s="1"/>
  <c r="E758" i="1"/>
  <c r="G757" i="1"/>
  <c r="G756" i="1"/>
  <c r="I755" i="1"/>
  <c r="H755" i="1"/>
  <c r="E755" i="1"/>
  <c r="G754" i="1"/>
  <c r="J754" i="1" s="1"/>
  <c r="G753" i="1"/>
  <c r="J753" i="1" s="1"/>
  <c r="G752" i="1"/>
  <c r="J752" i="1" s="1"/>
  <c r="G751" i="1"/>
  <c r="J751" i="1" s="1"/>
  <c r="G750" i="1"/>
  <c r="J750" i="1" s="1"/>
  <c r="G749" i="1"/>
  <c r="J749" i="1" s="1"/>
  <c r="G748" i="1"/>
  <c r="I747" i="1"/>
  <c r="H747" i="1"/>
  <c r="G746" i="1"/>
  <c r="J746" i="1" s="1"/>
  <c r="G745" i="1"/>
  <c r="J745" i="1" s="1"/>
  <c r="G744" i="1"/>
  <c r="J744" i="1" s="1"/>
  <c r="G743" i="1"/>
  <c r="J743" i="1" s="1"/>
  <c r="G742" i="1"/>
  <c r="J742" i="1" s="1"/>
  <c r="G741" i="1"/>
  <c r="J741" i="1" s="1"/>
  <c r="G740" i="1"/>
  <c r="J740" i="1" s="1"/>
  <c r="I739" i="1"/>
  <c r="H739" i="1"/>
  <c r="G738" i="1"/>
  <c r="J738" i="1" s="1"/>
  <c r="G737" i="1"/>
  <c r="J737" i="1" s="1"/>
  <c r="G736" i="1"/>
  <c r="J736" i="1" s="1"/>
  <c r="G735" i="1"/>
  <c r="J735" i="1" s="1"/>
  <c r="J837" i="13"/>
  <c r="I837" i="13"/>
  <c r="I829" i="13"/>
  <c r="I825" i="13"/>
  <c r="I822" i="13"/>
  <c r="I819" i="13"/>
  <c r="I807" i="13"/>
  <c r="I801" i="13"/>
  <c r="I796" i="13"/>
  <c r="I794" i="13"/>
  <c r="I790" i="13"/>
  <c r="I786" i="13"/>
  <c r="I780" i="13"/>
  <c r="I776" i="13"/>
  <c r="I771" i="13"/>
  <c r="I765" i="13"/>
  <c r="I763" i="13"/>
  <c r="I764" i="13" s="1"/>
  <c r="I758" i="13"/>
  <c r="I754" i="13"/>
  <c r="I750" i="13"/>
  <c r="I749" i="13"/>
  <c r="I746" i="13"/>
  <c r="I744" i="13"/>
  <c r="I741" i="13"/>
  <c r="F779" i="1" l="1"/>
  <c r="F834" i="1" s="1"/>
  <c r="H778" i="1"/>
  <c r="F837" i="13"/>
  <c r="N2211" i="1"/>
  <c r="O2211" i="1"/>
  <c r="E763" i="1"/>
  <c r="E779" i="1" s="1"/>
  <c r="E834" i="1" s="1"/>
  <c r="H803" i="1"/>
  <c r="J2231" i="13"/>
  <c r="I937" i="1"/>
  <c r="H621" i="16"/>
  <c r="K2315" i="1"/>
  <c r="G2336" i="13"/>
  <c r="J2336" i="13" s="1"/>
  <c r="F449" i="17"/>
  <c r="F440" i="17"/>
  <c r="I440" i="17" s="1"/>
  <c r="G755" i="1"/>
  <c r="J755" i="1" s="1"/>
  <c r="G824" i="1"/>
  <c r="J824" i="1" s="1"/>
  <c r="J820" i="1"/>
  <c r="I794" i="1"/>
  <c r="I803" i="1"/>
  <c r="G818" i="1"/>
  <c r="J818" i="1" s="1"/>
  <c r="G828" i="1"/>
  <c r="J828" i="1" s="1"/>
  <c r="G739" i="1"/>
  <c r="J739" i="1" s="1"/>
  <c r="J816" i="1"/>
  <c r="F509" i="17"/>
  <c r="I509" i="17" s="1"/>
  <c r="P500" i="17"/>
  <c r="P541" i="17" s="1"/>
  <c r="I539" i="17"/>
  <c r="F540" i="17"/>
  <c r="F500" i="17"/>
  <c r="I500" i="17" s="1"/>
  <c r="I491" i="17"/>
  <c r="I904" i="13"/>
  <c r="I915" i="13" s="1"/>
  <c r="I916" i="13" s="1"/>
  <c r="F888" i="13"/>
  <c r="F873" i="13"/>
  <c r="F942" i="13"/>
  <c r="F943" i="13" s="1"/>
  <c r="F904" i="13"/>
  <c r="F913" i="13"/>
  <c r="I873" i="13"/>
  <c r="I889" i="13" s="1"/>
  <c r="I942" i="13"/>
  <c r="I943" i="13" s="1"/>
  <c r="H937" i="1"/>
  <c r="G881" i="1"/>
  <c r="J881" i="1" s="1"/>
  <c r="G906" i="1"/>
  <c r="J906" i="1" s="1"/>
  <c r="J901" i="1"/>
  <c r="G935" i="1"/>
  <c r="J913" i="1"/>
  <c r="G897" i="1"/>
  <c r="J892" i="1"/>
  <c r="J842" i="1"/>
  <c r="G866" i="1"/>
  <c r="I832" i="1"/>
  <c r="I833" i="1" s="1"/>
  <c r="H537" i="16"/>
  <c r="H521" i="16"/>
  <c r="H533" i="16"/>
  <c r="H581" i="16"/>
  <c r="H441" i="17"/>
  <c r="F753" i="13"/>
  <c r="H763" i="1"/>
  <c r="H779" i="1" s="1"/>
  <c r="F480" i="17"/>
  <c r="I480" i="17" s="1"/>
  <c r="I456" i="17"/>
  <c r="P480" i="17"/>
  <c r="P481" i="17" s="1"/>
  <c r="P449" i="17"/>
  <c r="P450" i="17" s="1"/>
  <c r="G441" i="17"/>
  <c r="G482" i="17" s="1"/>
  <c r="I449" i="17"/>
  <c r="F450" i="17"/>
  <c r="I450" i="17" s="1"/>
  <c r="H482" i="17"/>
  <c r="P432" i="17"/>
  <c r="P440" i="17"/>
  <c r="F432" i="17"/>
  <c r="I427" i="17"/>
  <c r="D482" i="17"/>
  <c r="I834" i="13"/>
  <c r="I753" i="13"/>
  <c r="I805" i="1"/>
  <c r="I806" i="1" s="1"/>
  <c r="H805" i="1"/>
  <c r="H806" i="1" s="1"/>
  <c r="H834" i="1" s="1"/>
  <c r="I810" i="13"/>
  <c r="I763" i="1"/>
  <c r="I779" i="1" s="1"/>
  <c r="G747" i="1"/>
  <c r="J747" i="1" s="1"/>
  <c r="F745" i="13"/>
  <c r="I745" i="13"/>
  <c r="G802" i="1"/>
  <c r="J802" i="1" s="1"/>
  <c r="J799" i="1"/>
  <c r="G831" i="1"/>
  <c r="J831" i="1" s="1"/>
  <c r="J829" i="1"/>
  <c r="G758" i="1"/>
  <c r="J758" i="1" s="1"/>
  <c r="J756" i="1"/>
  <c r="G810" i="1"/>
  <c r="J807" i="1"/>
  <c r="F804" i="13"/>
  <c r="I823" i="13"/>
  <c r="I824" i="13" s="1"/>
  <c r="F824" i="13"/>
  <c r="G762" i="1"/>
  <c r="J762" i="1" s="1"/>
  <c r="J759" i="1"/>
  <c r="G777" i="1"/>
  <c r="J777" i="1" s="1"/>
  <c r="J781" i="1"/>
  <c r="G789" i="1"/>
  <c r="G798" i="1"/>
  <c r="J748" i="1"/>
  <c r="G768" i="1"/>
  <c r="G793" i="1"/>
  <c r="J793" i="1" s="1"/>
  <c r="G815" i="1"/>
  <c r="J815" i="1" s="1"/>
  <c r="J795" i="1"/>
  <c r="J825" i="1"/>
  <c r="F774" i="13"/>
  <c r="I795" i="13"/>
  <c r="F821" i="13"/>
  <c r="F834" i="13"/>
  <c r="F795" i="13"/>
  <c r="I774" i="13"/>
  <c r="F761" i="13"/>
  <c r="I768" i="13"/>
  <c r="I799" i="13"/>
  <c r="I808" i="13"/>
  <c r="I816" i="13"/>
  <c r="F830" i="13"/>
  <c r="I761" i="13"/>
  <c r="I821" i="13"/>
  <c r="F764" i="13"/>
  <c r="F768" i="13"/>
  <c r="I783" i="13"/>
  <c r="F783" i="13"/>
  <c r="F799" i="13"/>
  <c r="I804" i="13"/>
  <c r="F808" i="13"/>
  <c r="F816" i="13"/>
  <c r="I830" i="13"/>
  <c r="F732" i="13"/>
  <c r="F731" i="13"/>
  <c r="F729" i="13"/>
  <c r="F728" i="13"/>
  <c r="F727" i="13"/>
  <c r="F725" i="13"/>
  <c r="F724" i="13"/>
  <c r="F723" i="13"/>
  <c r="F722" i="13"/>
  <c r="F721" i="13"/>
  <c r="F719" i="13"/>
  <c r="F718" i="13"/>
  <c r="F716" i="13"/>
  <c r="F715" i="13"/>
  <c r="F714" i="13"/>
  <c r="F713" i="13"/>
  <c r="F711" i="13"/>
  <c r="F710" i="13"/>
  <c r="F709" i="13"/>
  <c r="F706" i="13"/>
  <c r="F703" i="13"/>
  <c r="F702" i="13"/>
  <c r="F701" i="13"/>
  <c r="F699" i="13"/>
  <c r="F698" i="13"/>
  <c r="F697" i="13"/>
  <c r="F694" i="13"/>
  <c r="F693" i="13"/>
  <c r="F692" i="13"/>
  <c r="F690" i="13"/>
  <c r="F689" i="13"/>
  <c r="F688" i="13"/>
  <c r="F687" i="13"/>
  <c r="F686" i="13"/>
  <c r="F685" i="13"/>
  <c r="F684" i="13"/>
  <c r="F683" i="13"/>
  <c r="F682" i="13"/>
  <c r="F678" i="13"/>
  <c r="F677" i="13"/>
  <c r="F676" i="13"/>
  <c r="F675" i="13"/>
  <c r="F674" i="13"/>
  <c r="F673" i="13"/>
  <c r="F672" i="13"/>
  <c r="F671" i="13"/>
  <c r="F669" i="13"/>
  <c r="F668" i="13"/>
  <c r="F667" i="13"/>
  <c r="F666" i="13"/>
  <c r="F663" i="13"/>
  <c r="F662" i="13"/>
  <c r="F661" i="13"/>
  <c r="F659" i="13"/>
  <c r="F658" i="13"/>
  <c r="F656" i="13"/>
  <c r="F655" i="13"/>
  <c r="F654" i="13"/>
  <c r="F653" i="13"/>
  <c r="F652" i="13"/>
  <c r="F651" i="13"/>
  <c r="F650" i="13"/>
  <c r="F648" i="13"/>
  <c r="F647" i="13"/>
  <c r="F646" i="13"/>
  <c r="F645" i="13"/>
  <c r="F644" i="13"/>
  <c r="F643" i="13"/>
  <c r="F642" i="13"/>
  <c r="F640" i="13"/>
  <c r="F639" i="13"/>
  <c r="F638" i="13"/>
  <c r="E482" i="16"/>
  <c r="H482" i="16" s="1"/>
  <c r="E440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1" i="16"/>
  <c r="H480" i="16"/>
  <c r="H479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I456" i="16"/>
  <c r="H454" i="16"/>
  <c r="H453" i="16"/>
  <c r="H452" i="16"/>
  <c r="H450" i="16"/>
  <c r="H449" i="16"/>
  <c r="H448" i="16"/>
  <c r="H447" i="16"/>
  <c r="H446" i="16"/>
  <c r="H445" i="16"/>
  <c r="H444" i="16"/>
  <c r="H443" i="16"/>
  <c r="H442" i="16"/>
  <c r="H441" i="16"/>
  <c r="H440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O2315" i="1" l="1"/>
  <c r="N2315" i="1"/>
  <c r="H455" i="16"/>
  <c r="H539" i="16"/>
  <c r="H439" i="16"/>
  <c r="F809" i="13"/>
  <c r="I809" i="13"/>
  <c r="I540" i="17"/>
  <c r="F541" i="17"/>
  <c r="I541" i="17" s="1"/>
  <c r="F915" i="13"/>
  <c r="F916" i="13" s="1"/>
  <c r="I944" i="13"/>
  <c r="F889" i="13"/>
  <c r="J866" i="1"/>
  <c r="G882" i="1"/>
  <c r="G908" i="1"/>
  <c r="J897" i="1"/>
  <c r="G936" i="1"/>
  <c r="J935" i="1"/>
  <c r="J936" i="1" s="1"/>
  <c r="F481" i="17"/>
  <c r="I481" i="17" s="1"/>
  <c r="I834" i="1"/>
  <c r="F441" i="17"/>
  <c r="I441" i="17" s="1"/>
  <c r="I432" i="17"/>
  <c r="P441" i="17"/>
  <c r="P482" i="17" s="1"/>
  <c r="I769" i="13"/>
  <c r="G803" i="1"/>
  <c r="J803" i="1" s="1"/>
  <c r="J798" i="1"/>
  <c r="G794" i="1"/>
  <c r="J789" i="1"/>
  <c r="G763" i="1"/>
  <c r="F769" i="13"/>
  <c r="G778" i="1"/>
  <c r="J778" i="1" s="1"/>
  <c r="J768" i="1"/>
  <c r="F800" i="13"/>
  <c r="F811" i="13" s="1"/>
  <c r="F812" i="13" s="1"/>
  <c r="F784" i="13"/>
  <c r="F838" i="13"/>
  <c r="F839" i="13" s="1"/>
  <c r="G832" i="1"/>
  <c r="J810" i="1"/>
  <c r="I838" i="13"/>
  <c r="I839" i="13" s="1"/>
  <c r="I784" i="13"/>
  <c r="I800" i="13"/>
  <c r="I811" i="13" s="1"/>
  <c r="I812" i="13" s="1"/>
  <c r="H451" i="16"/>
  <c r="H457" i="16" s="1"/>
  <c r="H499" i="16"/>
  <c r="E422" i="17"/>
  <c r="H421" i="17"/>
  <c r="H422" i="17" s="1"/>
  <c r="G421" i="17"/>
  <c r="G422" i="17" s="1"/>
  <c r="D421" i="17"/>
  <c r="D422" i="17" s="1"/>
  <c r="P420" i="17"/>
  <c r="F420" i="17"/>
  <c r="I420" i="17" s="1"/>
  <c r="P419" i="17"/>
  <c r="F419" i="17"/>
  <c r="I419" i="17" s="1"/>
  <c r="P418" i="17"/>
  <c r="I418" i="17"/>
  <c r="F418" i="17"/>
  <c r="P417" i="17"/>
  <c r="F417" i="17"/>
  <c r="I417" i="17" s="1"/>
  <c r="P416" i="17"/>
  <c r="F416" i="17"/>
  <c r="I416" i="17" s="1"/>
  <c r="P415" i="17"/>
  <c r="F415" i="17"/>
  <c r="I415" i="17" s="1"/>
  <c r="P414" i="17"/>
  <c r="F414" i="17"/>
  <c r="I414" i="17" s="1"/>
  <c r="P413" i="17"/>
  <c r="F413" i="17"/>
  <c r="I413" i="17" s="1"/>
  <c r="P412" i="17"/>
  <c r="F412" i="17"/>
  <c r="I412" i="17" s="1"/>
  <c r="P411" i="17"/>
  <c r="F411" i="17"/>
  <c r="I411" i="17" s="1"/>
  <c r="P410" i="17"/>
  <c r="I410" i="17"/>
  <c r="F410" i="17"/>
  <c r="P409" i="17"/>
  <c r="F409" i="17"/>
  <c r="I409" i="17" s="1"/>
  <c r="P408" i="17"/>
  <c r="F408" i="17"/>
  <c r="I408" i="17" s="1"/>
  <c r="P407" i="17"/>
  <c r="F407" i="17"/>
  <c r="I407" i="17" s="1"/>
  <c r="P406" i="17"/>
  <c r="F406" i="17"/>
  <c r="I406" i="17" s="1"/>
  <c r="P405" i="17"/>
  <c r="F405" i="17"/>
  <c r="I405" i="17" s="1"/>
  <c r="P404" i="17"/>
  <c r="F404" i="17"/>
  <c r="I404" i="17" s="1"/>
  <c r="P403" i="17"/>
  <c r="F403" i="17"/>
  <c r="I403" i="17" s="1"/>
  <c r="P402" i="17"/>
  <c r="F402" i="17"/>
  <c r="I402" i="17" s="1"/>
  <c r="P401" i="17"/>
  <c r="F401" i="17"/>
  <c r="I401" i="17" s="1"/>
  <c r="P400" i="17"/>
  <c r="F400" i="17"/>
  <c r="I400" i="17" s="1"/>
  <c r="P399" i="17"/>
  <c r="F399" i="17"/>
  <c r="I399" i="17" s="1"/>
  <c r="P398" i="17"/>
  <c r="F398" i="17"/>
  <c r="I398" i="17" s="1"/>
  <c r="P397" i="17"/>
  <c r="F397" i="17"/>
  <c r="I397" i="17" s="1"/>
  <c r="P396" i="17"/>
  <c r="F396" i="17"/>
  <c r="I396" i="17" s="1"/>
  <c r="P395" i="17"/>
  <c r="F395" i="17"/>
  <c r="I395" i="17" s="1"/>
  <c r="P394" i="17"/>
  <c r="F394" i="17"/>
  <c r="I394" i="17" s="1"/>
  <c r="P393" i="17"/>
  <c r="F393" i="17"/>
  <c r="I393" i="17" s="1"/>
  <c r="P392" i="17"/>
  <c r="F392" i="17"/>
  <c r="I392" i="17" s="1"/>
  <c r="E391" i="17"/>
  <c r="D391" i="17"/>
  <c r="H390" i="17"/>
  <c r="H391" i="17" s="1"/>
  <c r="G390" i="17"/>
  <c r="G391" i="17" s="1"/>
  <c r="P389" i="17"/>
  <c r="F389" i="17"/>
  <c r="I389" i="17" s="1"/>
  <c r="P388" i="17"/>
  <c r="F388" i="17"/>
  <c r="I388" i="17" s="1"/>
  <c r="P387" i="17"/>
  <c r="F387" i="17"/>
  <c r="I387" i="17" s="1"/>
  <c r="P386" i="17"/>
  <c r="F386" i="17"/>
  <c r="I386" i="17" s="1"/>
  <c r="P385" i="17"/>
  <c r="F385" i="17"/>
  <c r="I385" i="17" s="1"/>
  <c r="P384" i="17"/>
  <c r="I384" i="17"/>
  <c r="F384" i="17"/>
  <c r="P383" i="17"/>
  <c r="F383" i="17"/>
  <c r="E382" i="17"/>
  <c r="E423" i="17" s="1"/>
  <c r="H381" i="17"/>
  <c r="G381" i="17"/>
  <c r="D381" i="17"/>
  <c r="P380" i="17"/>
  <c r="F380" i="17"/>
  <c r="I380" i="17" s="1"/>
  <c r="P379" i="17"/>
  <c r="I379" i="17"/>
  <c r="F379" i="17"/>
  <c r="P378" i="17"/>
  <c r="F378" i="17"/>
  <c r="I378" i="17" s="1"/>
  <c r="P377" i="17"/>
  <c r="F377" i="17"/>
  <c r="I377" i="17" s="1"/>
  <c r="P376" i="17"/>
  <c r="I376" i="17"/>
  <c r="F376" i="17"/>
  <c r="P375" i="17"/>
  <c r="F375" i="17"/>
  <c r="I375" i="17" s="1"/>
  <c r="P374" i="17"/>
  <c r="F374" i="17"/>
  <c r="I374" i="17" s="1"/>
  <c r="H373" i="17"/>
  <c r="G373" i="17"/>
  <c r="D373" i="17"/>
  <c r="D382" i="17" s="1"/>
  <c r="P372" i="17"/>
  <c r="F372" i="17"/>
  <c r="I372" i="17" s="1"/>
  <c r="P371" i="17"/>
  <c r="F371" i="17"/>
  <c r="I371" i="17" s="1"/>
  <c r="P370" i="17"/>
  <c r="F370" i="17"/>
  <c r="I370" i="17" s="1"/>
  <c r="P369" i="17"/>
  <c r="F369" i="17"/>
  <c r="I369" i="17" s="1"/>
  <c r="P368" i="17"/>
  <c r="F368" i="17"/>
  <c r="I368" i="17" s="1"/>
  <c r="F695" i="13"/>
  <c r="I687" i="13"/>
  <c r="I683" i="13"/>
  <c r="I675" i="13"/>
  <c r="I671" i="13"/>
  <c r="I668" i="13"/>
  <c r="F670" i="13"/>
  <c r="I662" i="13"/>
  <c r="I658" i="13"/>
  <c r="I655" i="13"/>
  <c r="I651" i="13"/>
  <c r="I647" i="13"/>
  <c r="I645" i="13"/>
  <c r="I643" i="13"/>
  <c r="I639" i="13"/>
  <c r="F637" i="13"/>
  <c r="J733" i="13"/>
  <c r="I733" i="13"/>
  <c r="F733" i="13"/>
  <c r="I729" i="13"/>
  <c r="I728" i="13"/>
  <c r="I727" i="13"/>
  <c r="I725" i="13"/>
  <c r="I724" i="13"/>
  <c r="I723" i="13"/>
  <c r="I722" i="13"/>
  <c r="F726" i="13"/>
  <c r="I721" i="13"/>
  <c r="F720" i="13"/>
  <c r="I719" i="13"/>
  <c r="I718" i="13"/>
  <c r="I716" i="13"/>
  <c r="I715" i="13"/>
  <c r="I714" i="13"/>
  <c r="I713" i="13"/>
  <c r="I711" i="13"/>
  <c r="I710" i="13"/>
  <c r="I709" i="13"/>
  <c r="F712" i="13"/>
  <c r="I706" i="13"/>
  <c r="I703" i="13"/>
  <c r="I702" i="13"/>
  <c r="I701" i="13"/>
  <c r="F704" i="13"/>
  <c r="F700" i="13"/>
  <c r="I699" i="13"/>
  <c r="I698" i="13"/>
  <c r="I697" i="13"/>
  <c r="I694" i="13"/>
  <c r="I693" i="13"/>
  <c r="I692" i="13"/>
  <c r="I690" i="13"/>
  <c r="I689" i="13"/>
  <c r="I688" i="13"/>
  <c r="I686" i="13"/>
  <c r="I685" i="13"/>
  <c r="I684" i="13"/>
  <c r="I682" i="13"/>
  <c r="I678" i="13"/>
  <c r="I677" i="13"/>
  <c r="I676" i="13"/>
  <c r="I674" i="13"/>
  <c r="I673" i="13"/>
  <c r="I672" i="13"/>
  <c r="I669" i="13"/>
  <c r="I667" i="13"/>
  <c r="I666" i="13"/>
  <c r="F664" i="13"/>
  <c r="I663" i="13"/>
  <c r="I661" i="13"/>
  <c r="F660" i="13"/>
  <c r="I659" i="13"/>
  <c r="I656" i="13"/>
  <c r="I654" i="13"/>
  <c r="I653" i="13"/>
  <c r="I652" i="13"/>
  <c r="I650" i="13"/>
  <c r="F657" i="13"/>
  <c r="I648" i="13"/>
  <c r="I646" i="13"/>
  <c r="I644" i="13"/>
  <c r="I642" i="13"/>
  <c r="I640" i="13"/>
  <c r="I638" i="13"/>
  <c r="I637" i="13"/>
  <c r="F641" i="13"/>
  <c r="F729" i="1"/>
  <c r="F730" i="1" s="1"/>
  <c r="E729" i="1"/>
  <c r="E730" i="1" s="1"/>
  <c r="I728" i="1"/>
  <c r="H728" i="1"/>
  <c r="G727" i="1"/>
  <c r="J727" i="1" s="1"/>
  <c r="G726" i="1"/>
  <c r="I725" i="1"/>
  <c r="H725" i="1"/>
  <c r="G724" i="1"/>
  <c r="J724" i="1" s="1"/>
  <c r="G723" i="1"/>
  <c r="J723" i="1" s="1"/>
  <c r="G722" i="1"/>
  <c r="I721" i="1"/>
  <c r="H721" i="1"/>
  <c r="J720" i="1"/>
  <c r="G720" i="1"/>
  <c r="G719" i="1"/>
  <c r="J719" i="1" s="1"/>
  <c r="G718" i="1"/>
  <c r="J718" i="1" s="1"/>
  <c r="G717" i="1"/>
  <c r="J717" i="1" s="1"/>
  <c r="G716" i="1"/>
  <c r="J716" i="1" s="1"/>
  <c r="I715" i="1"/>
  <c r="H715" i="1"/>
  <c r="G714" i="1"/>
  <c r="J714" i="1" s="1"/>
  <c r="G713" i="1"/>
  <c r="I712" i="1"/>
  <c r="H712" i="1"/>
  <c r="G711" i="1"/>
  <c r="J711" i="1" s="1"/>
  <c r="G710" i="1"/>
  <c r="J710" i="1" s="1"/>
  <c r="G709" i="1"/>
  <c r="J709" i="1" s="1"/>
  <c r="G708" i="1"/>
  <c r="J708" i="1" s="1"/>
  <c r="I707" i="1"/>
  <c r="H707" i="1"/>
  <c r="H729" i="1" s="1"/>
  <c r="H730" i="1" s="1"/>
  <c r="G706" i="1"/>
  <c r="J706" i="1" s="1"/>
  <c r="G705" i="1"/>
  <c r="J705" i="1" s="1"/>
  <c r="G704" i="1"/>
  <c r="F702" i="1"/>
  <c r="F703" i="1" s="1"/>
  <c r="E702" i="1"/>
  <c r="E703" i="1" s="1"/>
  <c r="G701" i="1"/>
  <c r="J701" i="1" s="1"/>
  <c r="I699" i="1"/>
  <c r="H699" i="1"/>
  <c r="G698" i="1"/>
  <c r="J698" i="1" s="1"/>
  <c r="G697" i="1"/>
  <c r="J697" i="1" s="1"/>
  <c r="G696" i="1"/>
  <c r="I695" i="1"/>
  <c r="H695" i="1"/>
  <c r="G694" i="1"/>
  <c r="J694" i="1" s="1"/>
  <c r="G693" i="1"/>
  <c r="J693" i="1" s="1"/>
  <c r="G692" i="1"/>
  <c r="J692" i="1" s="1"/>
  <c r="I690" i="1"/>
  <c r="H690" i="1"/>
  <c r="G689" i="1"/>
  <c r="J689" i="1" s="1"/>
  <c r="G688" i="1"/>
  <c r="J688" i="1" s="1"/>
  <c r="G687" i="1"/>
  <c r="J687" i="1" s="1"/>
  <c r="I686" i="1"/>
  <c r="I691" i="1" s="1"/>
  <c r="H686" i="1"/>
  <c r="H691" i="1" s="1"/>
  <c r="G685" i="1"/>
  <c r="J685" i="1" s="1"/>
  <c r="G684" i="1"/>
  <c r="J684" i="1" s="1"/>
  <c r="G683" i="1"/>
  <c r="J683" i="1" s="1"/>
  <c r="G682" i="1"/>
  <c r="J682" i="1" s="1"/>
  <c r="G681" i="1"/>
  <c r="J681" i="1" s="1"/>
  <c r="G680" i="1"/>
  <c r="J680" i="1" s="1"/>
  <c r="G679" i="1"/>
  <c r="J679" i="1" s="1"/>
  <c r="G678" i="1"/>
  <c r="J678" i="1" s="1"/>
  <c r="G677" i="1"/>
  <c r="J677" i="1" s="1"/>
  <c r="F675" i="1"/>
  <c r="E675" i="1"/>
  <c r="I674" i="1"/>
  <c r="H674" i="1"/>
  <c r="G673" i="1"/>
  <c r="J673" i="1" s="1"/>
  <c r="G672" i="1"/>
  <c r="J672" i="1" s="1"/>
  <c r="G671" i="1"/>
  <c r="J671" i="1" s="1"/>
  <c r="G670" i="1"/>
  <c r="J670" i="1" s="1"/>
  <c r="G669" i="1"/>
  <c r="J669" i="1" s="1"/>
  <c r="G668" i="1"/>
  <c r="J668" i="1" s="1"/>
  <c r="G667" i="1"/>
  <c r="J667" i="1" s="1"/>
  <c r="G666" i="1"/>
  <c r="J666" i="1" s="1"/>
  <c r="I665" i="1"/>
  <c r="H665" i="1"/>
  <c r="G664" i="1"/>
  <c r="J664" i="1" s="1"/>
  <c r="G663" i="1"/>
  <c r="J663" i="1" s="1"/>
  <c r="G662" i="1"/>
  <c r="J662" i="1" s="1"/>
  <c r="G661" i="1"/>
  <c r="J661" i="1" s="1"/>
  <c r="I659" i="1"/>
  <c r="H659" i="1"/>
  <c r="E659" i="1"/>
  <c r="G658" i="1"/>
  <c r="J658" i="1" s="1"/>
  <c r="G657" i="1"/>
  <c r="G656" i="1"/>
  <c r="J656" i="1" s="1"/>
  <c r="I655" i="1"/>
  <c r="H655" i="1"/>
  <c r="F655" i="1"/>
  <c r="F660" i="1" s="1"/>
  <c r="F676" i="1" s="1"/>
  <c r="F731" i="1" s="1"/>
  <c r="E655" i="1"/>
  <c r="G654" i="1"/>
  <c r="G653" i="1"/>
  <c r="G655" i="1" s="1"/>
  <c r="J655" i="1" s="1"/>
  <c r="I652" i="1"/>
  <c r="H652" i="1"/>
  <c r="E652" i="1"/>
  <c r="E660" i="1" s="1"/>
  <c r="E676" i="1" s="1"/>
  <c r="E731" i="1" s="1"/>
  <c r="G651" i="1"/>
  <c r="J651" i="1" s="1"/>
  <c r="J650" i="1"/>
  <c r="G650" i="1"/>
  <c r="G649" i="1"/>
  <c r="J649" i="1" s="1"/>
  <c r="G648" i="1"/>
  <c r="J648" i="1" s="1"/>
  <c r="G647" i="1"/>
  <c r="J647" i="1" s="1"/>
  <c r="G646" i="1"/>
  <c r="J646" i="1" s="1"/>
  <c r="G645" i="1"/>
  <c r="J645" i="1" s="1"/>
  <c r="I644" i="1"/>
  <c r="H644" i="1"/>
  <c r="G643" i="1"/>
  <c r="J643" i="1" s="1"/>
  <c r="G642" i="1"/>
  <c r="J642" i="1" s="1"/>
  <c r="G641" i="1"/>
  <c r="J641" i="1" s="1"/>
  <c r="G640" i="1"/>
  <c r="J640" i="1" s="1"/>
  <c r="G639" i="1"/>
  <c r="J639" i="1" s="1"/>
  <c r="G638" i="1"/>
  <c r="J638" i="1" s="1"/>
  <c r="G637" i="1"/>
  <c r="J637" i="1" s="1"/>
  <c r="I636" i="1"/>
  <c r="H636" i="1"/>
  <c r="G635" i="1"/>
  <c r="J635" i="1" s="1"/>
  <c r="G634" i="1"/>
  <c r="J634" i="1" s="1"/>
  <c r="G633" i="1"/>
  <c r="J633" i="1" s="1"/>
  <c r="G632" i="1"/>
  <c r="J632" i="1" s="1"/>
  <c r="G715" i="1" l="1"/>
  <c r="J715" i="1" s="1"/>
  <c r="P373" i="17"/>
  <c r="I700" i="1"/>
  <c r="I702" i="1" s="1"/>
  <c r="I703" i="1" s="1"/>
  <c r="I675" i="1"/>
  <c r="G725" i="1"/>
  <c r="J725" i="1" s="1"/>
  <c r="G690" i="1"/>
  <c r="J690" i="1" s="1"/>
  <c r="G652" i="1"/>
  <c r="J652" i="1" s="1"/>
  <c r="J713" i="1"/>
  <c r="J722" i="1"/>
  <c r="F944" i="13"/>
  <c r="J882" i="1"/>
  <c r="G909" i="1"/>
  <c r="G937" i="1" s="1"/>
  <c r="J937" i="1" s="1"/>
  <c r="J908" i="1"/>
  <c r="J909" i="1" s="1"/>
  <c r="I785" i="13"/>
  <c r="I840" i="13" s="1"/>
  <c r="F482" i="17"/>
  <c r="I482" i="17" s="1"/>
  <c r="F785" i="13"/>
  <c r="F840" i="13" s="1"/>
  <c r="G833" i="1"/>
  <c r="J832" i="1"/>
  <c r="J833" i="1" s="1"/>
  <c r="G805" i="1"/>
  <c r="J794" i="1"/>
  <c r="G779" i="1"/>
  <c r="J763" i="1"/>
  <c r="H675" i="1"/>
  <c r="J653" i="1"/>
  <c r="I729" i="1"/>
  <c r="I730" i="1" s="1"/>
  <c r="G712" i="1"/>
  <c r="J712" i="1" s="1"/>
  <c r="I730" i="13"/>
  <c r="I720" i="13"/>
  <c r="I717" i="13"/>
  <c r="F705" i="13"/>
  <c r="I700" i="13"/>
  <c r="I679" i="13"/>
  <c r="P421" i="17"/>
  <c r="P422" i="17" s="1"/>
  <c r="P390" i="17"/>
  <c r="P391" i="17" s="1"/>
  <c r="H382" i="17"/>
  <c r="H423" i="17" s="1"/>
  <c r="G382" i="17"/>
  <c r="G423" i="17" s="1"/>
  <c r="P381" i="17"/>
  <c r="P382" i="17" s="1"/>
  <c r="F373" i="17"/>
  <c r="F381" i="17"/>
  <c r="I381" i="17" s="1"/>
  <c r="F421" i="17"/>
  <c r="F390" i="17"/>
  <c r="I383" i="17"/>
  <c r="D423" i="17"/>
  <c r="I691" i="13"/>
  <c r="I657" i="13"/>
  <c r="F649" i="13"/>
  <c r="F665" i="13" s="1"/>
  <c r="I649" i="13"/>
  <c r="I641" i="13"/>
  <c r="I664" i="13"/>
  <c r="I670" i="13"/>
  <c r="I695" i="13"/>
  <c r="I704" i="13"/>
  <c r="I660" i="13"/>
  <c r="I712" i="13"/>
  <c r="I726" i="13"/>
  <c r="F679" i="13"/>
  <c r="F680" i="13" s="1"/>
  <c r="F717" i="13"/>
  <c r="F730" i="13"/>
  <c r="F691" i="13"/>
  <c r="F696" i="13" s="1"/>
  <c r="F707" i="13" s="1"/>
  <c r="F708" i="13" s="1"/>
  <c r="H700" i="1"/>
  <c r="I660" i="1"/>
  <c r="I676" i="1" s="1"/>
  <c r="G636" i="1"/>
  <c r="J657" i="1"/>
  <c r="G659" i="1"/>
  <c r="J659" i="1" s="1"/>
  <c r="H660" i="1"/>
  <c r="G644" i="1"/>
  <c r="J644" i="1" s="1"/>
  <c r="G665" i="1"/>
  <c r="G674" i="1"/>
  <c r="J674" i="1" s="1"/>
  <c r="H702" i="1"/>
  <c r="H703" i="1" s="1"/>
  <c r="G699" i="1"/>
  <c r="J699" i="1" s="1"/>
  <c r="J696" i="1"/>
  <c r="G707" i="1"/>
  <c r="J704" i="1"/>
  <c r="G728" i="1"/>
  <c r="J728" i="1" s="1"/>
  <c r="J726" i="1"/>
  <c r="G686" i="1"/>
  <c r="G695" i="1"/>
  <c r="G721" i="1"/>
  <c r="J721" i="1" s="1"/>
  <c r="L111" i="14"/>
  <c r="K111" i="14" s="1"/>
  <c r="L118" i="14"/>
  <c r="K118" i="14" s="1"/>
  <c r="G118" i="14"/>
  <c r="C118" i="14"/>
  <c r="L117" i="14"/>
  <c r="K117" i="14" s="1"/>
  <c r="G117" i="14"/>
  <c r="C117" i="14"/>
  <c r="L116" i="14"/>
  <c r="K116" i="14" s="1"/>
  <c r="G116" i="14"/>
  <c r="C116" i="14"/>
  <c r="L115" i="14"/>
  <c r="K115" i="14" s="1"/>
  <c r="G115" i="14"/>
  <c r="C115" i="14"/>
  <c r="L114" i="14"/>
  <c r="K114" i="14" s="1"/>
  <c r="G114" i="14"/>
  <c r="C114" i="14"/>
  <c r="L113" i="14"/>
  <c r="K113" i="14" s="1"/>
  <c r="G113" i="14"/>
  <c r="C113" i="14"/>
  <c r="L112" i="14"/>
  <c r="K112" i="14" s="1"/>
  <c r="G112" i="14"/>
  <c r="C112" i="14"/>
  <c r="G111" i="14"/>
  <c r="C111" i="14"/>
  <c r="L110" i="14"/>
  <c r="K110" i="14" s="1"/>
  <c r="G110" i="14"/>
  <c r="C110" i="14"/>
  <c r="L109" i="14"/>
  <c r="K109" i="14" s="1"/>
  <c r="G109" i="14"/>
  <c r="C109" i="14"/>
  <c r="L108" i="14"/>
  <c r="K108" i="14" s="1"/>
  <c r="G108" i="14"/>
  <c r="C108" i="14"/>
  <c r="L107" i="14"/>
  <c r="K107" i="14" s="1"/>
  <c r="G107" i="14"/>
  <c r="C107" i="14"/>
  <c r="L106" i="14"/>
  <c r="K106" i="14" s="1"/>
  <c r="G106" i="14"/>
  <c r="C106" i="14"/>
  <c r="L105" i="14"/>
  <c r="K105" i="14" s="1"/>
  <c r="G105" i="14"/>
  <c r="C105" i="14"/>
  <c r="L104" i="14"/>
  <c r="K104" i="14" s="1"/>
  <c r="G104" i="14"/>
  <c r="C104" i="14"/>
  <c r="L103" i="14"/>
  <c r="K103" i="14" s="1"/>
  <c r="G103" i="14"/>
  <c r="C103" i="14"/>
  <c r="I705" i="13" l="1"/>
  <c r="F734" i="13"/>
  <c r="F735" i="13" s="1"/>
  <c r="I680" i="13"/>
  <c r="J779" i="1"/>
  <c r="G806" i="1"/>
  <c r="G834" i="1" s="1"/>
  <c r="J834" i="1" s="1"/>
  <c r="J805" i="1"/>
  <c r="J806" i="1" s="1"/>
  <c r="H676" i="1"/>
  <c r="H731" i="1" s="1"/>
  <c r="I731" i="1"/>
  <c r="I696" i="13"/>
  <c r="I734" i="13"/>
  <c r="I735" i="13" s="1"/>
  <c r="P423" i="17"/>
  <c r="I390" i="17"/>
  <c r="F391" i="17"/>
  <c r="I391" i="17" s="1"/>
  <c r="I421" i="17"/>
  <c r="F422" i="17"/>
  <c r="F382" i="17"/>
  <c r="I382" i="17" s="1"/>
  <c r="I373" i="17"/>
  <c r="I665" i="13"/>
  <c r="F681" i="13"/>
  <c r="F736" i="13" s="1"/>
  <c r="I707" i="13"/>
  <c r="I708" i="13" s="1"/>
  <c r="G675" i="1"/>
  <c r="J675" i="1" s="1"/>
  <c r="J665" i="1"/>
  <c r="G660" i="1"/>
  <c r="J636" i="1"/>
  <c r="G691" i="1"/>
  <c r="J686" i="1"/>
  <c r="G700" i="1"/>
  <c r="J700" i="1" s="1"/>
  <c r="J695" i="1"/>
  <c r="G729" i="1"/>
  <c r="J707" i="1"/>
  <c r="M109" i="14"/>
  <c r="O109" i="14"/>
  <c r="N109" i="14" s="1"/>
  <c r="O117" i="14"/>
  <c r="N117" i="14" s="1"/>
  <c r="M117" i="14"/>
  <c r="M108" i="14"/>
  <c r="O108" i="14"/>
  <c r="N108" i="14" s="1"/>
  <c r="O116" i="14"/>
  <c r="N116" i="14" s="1"/>
  <c r="M116" i="14"/>
  <c r="M107" i="14"/>
  <c r="O107" i="14"/>
  <c r="N107" i="14" s="1"/>
  <c r="O115" i="14"/>
  <c r="N115" i="14" s="1"/>
  <c r="M115" i="14"/>
  <c r="O105" i="14"/>
  <c r="N105" i="14" s="1"/>
  <c r="M105" i="14"/>
  <c r="M113" i="14"/>
  <c r="O113" i="14"/>
  <c r="N113" i="14" s="1"/>
  <c r="O104" i="14"/>
  <c r="N104" i="14" s="1"/>
  <c r="M104" i="14"/>
  <c r="O112" i="14"/>
  <c r="N112" i="14" s="1"/>
  <c r="M112" i="14"/>
  <c r="O103" i="14"/>
  <c r="N103" i="14" s="1"/>
  <c r="M103" i="14"/>
  <c r="M111" i="14"/>
  <c r="O111" i="14"/>
  <c r="N111" i="14" s="1"/>
  <c r="O106" i="14"/>
  <c r="N106" i="14" s="1"/>
  <c r="M106" i="14"/>
  <c r="M110" i="14"/>
  <c r="O110" i="14"/>
  <c r="N110" i="14" s="1"/>
  <c r="O114" i="14"/>
  <c r="N114" i="14" s="1"/>
  <c r="M114" i="14"/>
  <c r="O118" i="14"/>
  <c r="N118" i="14" s="1"/>
  <c r="M118" i="14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I374" i="16"/>
  <c r="H372" i="16"/>
  <c r="H371" i="16"/>
  <c r="H370" i="16"/>
  <c r="H368" i="16"/>
  <c r="H367" i="16"/>
  <c r="H366" i="16"/>
  <c r="H365" i="16"/>
  <c r="H364" i="16"/>
  <c r="H363" i="16"/>
  <c r="H362" i="16"/>
  <c r="H361" i="16"/>
  <c r="H360" i="16"/>
  <c r="H359" i="16"/>
  <c r="H358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E363" i="17"/>
  <c r="H362" i="17"/>
  <c r="H363" i="17" s="1"/>
  <c r="G362" i="17"/>
  <c r="G363" i="17" s="1"/>
  <c r="D362" i="17"/>
  <c r="D363" i="17" s="1"/>
  <c r="P361" i="17"/>
  <c r="F361" i="17"/>
  <c r="I361" i="17" s="1"/>
  <c r="P360" i="17"/>
  <c r="F360" i="17"/>
  <c r="I360" i="17" s="1"/>
  <c r="P359" i="17"/>
  <c r="F359" i="17"/>
  <c r="I359" i="17" s="1"/>
  <c r="P358" i="17"/>
  <c r="I358" i="17"/>
  <c r="F358" i="17"/>
  <c r="P357" i="17"/>
  <c r="F357" i="17"/>
  <c r="I357" i="17" s="1"/>
  <c r="P356" i="17"/>
  <c r="F356" i="17"/>
  <c r="I356" i="17" s="1"/>
  <c r="P355" i="17"/>
  <c r="F355" i="17"/>
  <c r="I355" i="17" s="1"/>
  <c r="P354" i="17"/>
  <c r="F354" i="17"/>
  <c r="I354" i="17" s="1"/>
  <c r="P353" i="17"/>
  <c r="F353" i="17"/>
  <c r="I353" i="17" s="1"/>
  <c r="P352" i="17"/>
  <c r="F352" i="17"/>
  <c r="I352" i="17" s="1"/>
  <c r="P351" i="17"/>
  <c r="F351" i="17"/>
  <c r="I351" i="17" s="1"/>
  <c r="P350" i="17"/>
  <c r="F350" i="17"/>
  <c r="I350" i="17" s="1"/>
  <c r="P349" i="17"/>
  <c r="F349" i="17"/>
  <c r="I349" i="17" s="1"/>
  <c r="P348" i="17"/>
  <c r="F348" i="17"/>
  <c r="I348" i="17" s="1"/>
  <c r="P347" i="17"/>
  <c r="F347" i="17"/>
  <c r="I347" i="17" s="1"/>
  <c r="P346" i="17"/>
  <c r="I346" i="17"/>
  <c r="F346" i="17"/>
  <c r="P345" i="17"/>
  <c r="F345" i="17"/>
  <c r="I345" i="17" s="1"/>
  <c r="P344" i="17"/>
  <c r="F344" i="17"/>
  <c r="I344" i="17" s="1"/>
  <c r="P343" i="17"/>
  <c r="F343" i="17"/>
  <c r="I343" i="17" s="1"/>
  <c r="P342" i="17"/>
  <c r="F342" i="17"/>
  <c r="I342" i="17" s="1"/>
  <c r="P341" i="17"/>
  <c r="F341" i="17"/>
  <c r="I341" i="17" s="1"/>
  <c r="P340" i="17"/>
  <c r="F340" i="17"/>
  <c r="I340" i="17" s="1"/>
  <c r="P339" i="17"/>
  <c r="F339" i="17"/>
  <c r="P338" i="17"/>
  <c r="F338" i="17"/>
  <c r="I338" i="17" s="1"/>
  <c r="P337" i="17"/>
  <c r="F337" i="17"/>
  <c r="P336" i="17"/>
  <c r="F336" i="17"/>
  <c r="I336" i="17" s="1"/>
  <c r="P335" i="17"/>
  <c r="F335" i="17"/>
  <c r="I335" i="17" s="1"/>
  <c r="P334" i="17"/>
  <c r="F334" i="17"/>
  <c r="I334" i="17" s="1"/>
  <c r="P333" i="17"/>
  <c r="F333" i="17"/>
  <c r="I333" i="17" s="1"/>
  <c r="E332" i="17"/>
  <c r="D332" i="17"/>
  <c r="H331" i="17"/>
  <c r="H332" i="17" s="1"/>
  <c r="G331" i="17"/>
  <c r="G332" i="17" s="1"/>
  <c r="P330" i="17"/>
  <c r="F330" i="17"/>
  <c r="I330" i="17" s="1"/>
  <c r="P329" i="17"/>
  <c r="F329" i="17"/>
  <c r="I329" i="17" s="1"/>
  <c r="P328" i="17"/>
  <c r="I328" i="17"/>
  <c r="F328" i="17"/>
  <c r="P327" i="17"/>
  <c r="F327" i="17"/>
  <c r="I327" i="17" s="1"/>
  <c r="P326" i="17"/>
  <c r="F326" i="17"/>
  <c r="I326" i="17" s="1"/>
  <c r="P325" i="17"/>
  <c r="I325" i="17"/>
  <c r="F325" i="17"/>
  <c r="P324" i="17"/>
  <c r="F324" i="17"/>
  <c r="I324" i="17" s="1"/>
  <c r="E323" i="17"/>
  <c r="H322" i="17"/>
  <c r="G322" i="17"/>
  <c r="D322" i="17"/>
  <c r="P321" i="17"/>
  <c r="F321" i="17"/>
  <c r="I321" i="17" s="1"/>
  <c r="P320" i="17"/>
  <c r="I320" i="17"/>
  <c r="F320" i="17"/>
  <c r="P319" i="17"/>
  <c r="F319" i="17"/>
  <c r="I319" i="17" s="1"/>
  <c r="P318" i="17"/>
  <c r="F318" i="17"/>
  <c r="I318" i="17" s="1"/>
  <c r="P317" i="17"/>
  <c r="F317" i="17"/>
  <c r="I317" i="17" s="1"/>
  <c r="P316" i="17"/>
  <c r="F316" i="17"/>
  <c r="I316" i="17" s="1"/>
  <c r="P315" i="17"/>
  <c r="F315" i="17"/>
  <c r="I315" i="17" s="1"/>
  <c r="H314" i="17"/>
  <c r="G314" i="17"/>
  <c r="D314" i="17"/>
  <c r="P313" i="17"/>
  <c r="F313" i="17"/>
  <c r="I313" i="17" s="1"/>
  <c r="P312" i="17"/>
  <c r="F312" i="17"/>
  <c r="I312" i="17" s="1"/>
  <c r="P311" i="17"/>
  <c r="F311" i="17"/>
  <c r="I311" i="17" s="1"/>
  <c r="P310" i="17"/>
  <c r="F310" i="17"/>
  <c r="I310" i="17" s="1"/>
  <c r="P309" i="17"/>
  <c r="F309" i="17"/>
  <c r="I309" i="17" s="1"/>
  <c r="F628" i="13"/>
  <c r="F627" i="13"/>
  <c r="F629" i="13" s="1"/>
  <c r="F625" i="13"/>
  <c r="I625" i="13" s="1"/>
  <c r="F624" i="13"/>
  <c r="I624" i="13" s="1"/>
  <c r="F623" i="13"/>
  <c r="I623" i="13" s="1"/>
  <c r="F621" i="13"/>
  <c r="I621" i="13" s="1"/>
  <c r="F620" i="13"/>
  <c r="I620" i="13" s="1"/>
  <c r="F619" i="13"/>
  <c r="I619" i="13" s="1"/>
  <c r="F618" i="13"/>
  <c r="I618" i="13" s="1"/>
  <c r="F617" i="13"/>
  <c r="I617" i="13" s="1"/>
  <c r="F615" i="13"/>
  <c r="I615" i="13" s="1"/>
  <c r="F614" i="13"/>
  <c r="I614" i="13" s="1"/>
  <c r="F612" i="13"/>
  <c r="F611" i="13"/>
  <c r="I611" i="13" s="1"/>
  <c r="F610" i="13"/>
  <c r="I610" i="13" s="1"/>
  <c r="F609" i="13"/>
  <c r="I609" i="13" s="1"/>
  <c r="F607" i="13"/>
  <c r="F606" i="13"/>
  <c r="I606" i="13" s="1"/>
  <c r="F605" i="13"/>
  <c r="I605" i="13" s="1"/>
  <c r="F602" i="13"/>
  <c r="F599" i="13"/>
  <c r="I599" i="13" s="1"/>
  <c r="F598" i="13"/>
  <c r="I598" i="13" s="1"/>
  <c r="F597" i="13"/>
  <c r="I597" i="13" s="1"/>
  <c r="F595" i="13"/>
  <c r="F594" i="13"/>
  <c r="I594" i="13" s="1"/>
  <c r="F593" i="13"/>
  <c r="I593" i="13" s="1"/>
  <c r="F590" i="13"/>
  <c r="I590" i="13" s="1"/>
  <c r="F589" i="13"/>
  <c r="I589" i="13" s="1"/>
  <c r="F588" i="13"/>
  <c r="I588" i="13" s="1"/>
  <c r="F586" i="13"/>
  <c r="I586" i="13" s="1"/>
  <c r="F585" i="13"/>
  <c r="I585" i="13" s="1"/>
  <c r="F584" i="13"/>
  <c r="I584" i="13" s="1"/>
  <c r="F583" i="13"/>
  <c r="I583" i="13" s="1"/>
  <c r="F582" i="13"/>
  <c r="I582" i="13" s="1"/>
  <c r="F581" i="13"/>
  <c r="I581" i="13" s="1"/>
  <c r="F580" i="13"/>
  <c r="I580" i="13" s="1"/>
  <c r="F579" i="13"/>
  <c r="I579" i="13" s="1"/>
  <c r="F578" i="13"/>
  <c r="I578" i="13" s="1"/>
  <c r="F574" i="13"/>
  <c r="I574" i="13" s="1"/>
  <c r="F573" i="13"/>
  <c r="I573" i="13" s="1"/>
  <c r="F572" i="13"/>
  <c r="I572" i="13" s="1"/>
  <c r="F571" i="13"/>
  <c r="I571" i="13" s="1"/>
  <c r="F570" i="13"/>
  <c r="I570" i="13" s="1"/>
  <c r="F569" i="13"/>
  <c r="I569" i="13" s="1"/>
  <c r="F568" i="13"/>
  <c r="I568" i="13" s="1"/>
  <c r="F567" i="13"/>
  <c r="F565" i="13"/>
  <c r="I565" i="13" s="1"/>
  <c r="F564" i="13"/>
  <c r="I564" i="13" s="1"/>
  <c r="F563" i="13"/>
  <c r="I563" i="13" s="1"/>
  <c r="F562" i="13"/>
  <c r="I562" i="13" s="1"/>
  <c r="F559" i="13"/>
  <c r="I559" i="13" s="1"/>
  <c r="F558" i="13"/>
  <c r="I558" i="13" s="1"/>
  <c r="F557" i="13"/>
  <c r="I557" i="13" s="1"/>
  <c r="F555" i="13"/>
  <c r="I555" i="13" s="1"/>
  <c r="F554" i="13"/>
  <c r="I554" i="13" s="1"/>
  <c r="F552" i="13"/>
  <c r="F551" i="13"/>
  <c r="I551" i="13" s="1"/>
  <c r="F550" i="13"/>
  <c r="I550" i="13" s="1"/>
  <c r="F549" i="13"/>
  <c r="I549" i="13" s="1"/>
  <c r="F548" i="13"/>
  <c r="I548" i="13" s="1"/>
  <c r="F547" i="13"/>
  <c r="I547" i="13" s="1"/>
  <c r="F546" i="13"/>
  <c r="I546" i="13" s="1"/>
  <c r="F544" i="13"/>
  <c r="I544" i="13" s="1"/>
  <c r="F543" i="13"/>
  <c r="I543" i="13" s="1"/>
  <c r="F542" i="13"/>
  <c r="I542" i="13" s="1"/>
  <c r="F541" i="13"/>
  <c r="I541" i="13" s="1"/>
  <c r="F540" i="13"/>
  <c r="I540" i="13" s="1"/>
  <c r="F539" i="13"/>
  <c r="I539" i="13" s="1"/>
  <c r="F538" i="13"/>
  <c r="I538" i="13" s="1"/>
  <c r="F536" i="13"/>
  <c r="F535" i="13"/>
  <c r="I535" i="13" s="1"/>
  <c r="F534" i="13"/>
  <c r="F533" i="13"/>
  <c r="J629" i="13"/>
  <c r="I629" i="13"/>
  <c r="I612" i="13"/>
  <c r="I607" i="13"/>
  <c r="I602" i="13"/>
  <c r="I595" i="13"/>
  <c r="I567" i="13"/>
  <c r="I552" i="13"/>
  <c r="I536" i="13"/>
  <c r="I534" i="13"/>
  <c r="I533" i="13"/>
  <c r="F626" i="1"/>
  <c r="F627" i="1" s="1"/>
  <c r="E626" i="1"/>
  <c r="E627" i="1" s="1"/>
  <c r="I625" i="1"/>
  <c r="H625" i="1"/>
  <c r="G624" i="1"/>
  <c r="J624" i="1" s="1"/>
  <c r="G623" i="1"/>
  <c r="I622" i="1"/>
  <c r="H622" i="1"/>
  <c r="G621" i="1"/>
  <c r="J621" i="1" s="1"/>
  <c r="G620" i="1"/>
  <c r="J620" i="1" s="1"/>
  <c r="G619" i="1"/>
  <c r="I618" i="1"/>
  <c r="H618" i="1"/>
  <c r="G617" i="1"/>
  <c r="J617" i="1" s="1"/>
  <c r="G616" i="1"/>
  <c r="J616" i="1" s="1"/>
  <c r="G615" i="1"/>
  <c r="J615" i="1" s="1"/>
  <c r="G614" i="1"/>
  <c r="G613" i="1"/>
  <c r="J613" i="1" s="1"/>
  <c r="I612" i="1"/>
  <c r="H612" i="1"/>
  <c r="G611" i="1"/>
  <c r="J611" i="1" s="1"/>
  <c r="G610" i="1"/>
  <c r="I609" i="1"/>
  <c r="H609" i="1"/>
  <c r="G608" i="1"/>
  <c r="J608" i="1" s="1"/>
  <c r="G607" i="1"/>
  <c r="J607" i="1" s="1"/>
  <c r="G606" i="1"/>
  <c r="J606" i="1" s="1"/>
  <c r="G605" i="1"/>
  <c r="J605" i="1" s="1"/>
  <c r="I604" i="1"/>
  <c r="H604" i="1"/>
  <c r="H626" i="1" s="1"/>
  <c r="H627" i="1" s="1"/>
  <c r="G603" i="1"/>
  <c r="J603" i="1" s="1"/>
  <c r="G602" i="1"/>
  <c r="J602" i="1" s="1"/>
  <c r="G601" i="1"/>
  <c r="F599" i="1"/>
  <c r="F600" i="1" s="1"/>
  <c r="E599" i="1"/>
  <c r="E600" i="1" s="1"/>
  <c r="G598" i="1"/>
  <c r="J598" i="1" s="1"/>
  <c r="I596" i="1"/>
  <c r="H596" i="1"/>
  <c r="G595" i="1"/>
  <c r="J595" i="1" s="1"/>
  <c r="G594" i="1"/>
  <c r="J594" i="1" s="1"/>
  <c r="G593" i="1"/>
  <c r="I592" i="1"/>
  <c r="H592" i="1"/>
  <c r="G591" i="1"/>
  <c r="J591" i="1" s="1"/>
  <c r="G590" i="1"/>
  <c r="J590" i="1" s="1"/>
  <c r="G589" i="1"/>
  <c r="I587" i="1"/>
  <c r="H587" i="1"/>
  <c r="G586" i="1"/>
  <c r="J586" i="1" s="1"/>
  <c r="G585" i="1"/>
  <c r="J585" i="1" s="1"/>
  <c r="G584" i="1"/>
  <c r="I583" i="1"/>
  <c r="H583" i="1"/>
  <c r="H588" i="1" s="1"/>
  <c r="G582" i="1"/>
  <c r="J582" i="1" s="1"/>
  <c r="G581" i="1"/>
  <c r="J581" i="1" s="1"/>
  <c r="G580" i="1"/>
  <c r="J580" i="1" s="1"/>
  <c r="G579" i="1"/>
  <c r="J579" i="1" s="1"/>
  <c r="G578" i="1"/>
  <c r="J578" i="1" s="1"/>
  <c r="G577" i="1"/>
  <c r="J577" i="1" s="1"/>
  <c r="G576" i="1"/>
  <c r="J576" i="1" s="1"/>
  <c r="G575" i="1"/>
  <c r="J575" i="1" s="1"/>
  <c r="G574" i="1"/>
  <c r="F572" i="1"/>
  <c r="E572" i="1"/>
  <c r="I571" i="1"/>
  <c r="H571" i="1"/>
  <c r="G570" i="1"/>
  <c r="J570" i="1" s="1"/>
  <c r="G569" i="1"/>
  <c r="J569" i="1" s="1"/>
  <c r="G568" i="1"/>
  <c r="J568" i="1" s="1"/>
  <c r="G567" i="1"/>
  <c r="J567" i="1" s="1"/>
  <c r="J566" i="1"/>
  <c r="G566" i="1"/>
  <c r="G565" i="1"/>
  <c r="J565" i="1" s="1"/>
  <c r="G564" i="1"/>
  <c r="J564" i="1" s="1"/>
  <c r="G563" i="1"/>
  <c r="I562" i="1"/>
  <c r="H562" i="1"/>
  <c r="G561" i="1"/>
  <c r="J561" i="1" s="1"/>
  <c r="G560" i="1"/>
  <c r="J560" i="1" s="1"/>
  <c r="G559" i="1"/>
  <c r="J559" i="1" s="1"/>
  <c r="G558" i="1"/>
  <c r="J558" i="1" s="1"/>
  <c r="I556" i="1"/>
  <c r="H556" i="1"/>
  <c r="E556" i="1"/>
  <c r="G555" i="1"/>
  <c r="J555" i="1" s="1"/>
  <c r="G554" i="1"/>
  <c r="J554" i="1" s="1"/>
  <c r="G553" i="1"/>
  <c r="I552" i="1"/>
  <c r="H552" i="1"/>
  <c r="F552" i="1"/>
  <c r="F557" i="1" s="1"/>
  <c r="F573" i="1" s="1"/>
  <c r="E552" i="1"/>
  <c r="G551" i="1"/>
  <c r="G550" i="1"/>
  <c r="G552" i="1" s="1"/>
  <c r="J552" i="1" s="1"/>
  <c r="I549" i="1"/>
  <c r="H549" i="1"/>
  <c r="E549" i="1"/>
  <c r="E557" i="1" s="1"/>
  <c r="E573" i="1" s="1"/>
  <c r="G548" i="1"/>
  <c r="J548" i="1" s="1"/>
  <c r="G547" i="1"/>
  <c r="J547" i="1" s="1"/>
  <c r="G546" i="1"/>
  <c r="J546" i="1" s="1"/>
  <c r="G545" i="1"/>
  <c r="J545" i="1" s="1"/>
  <c r="G544" i="1"/>
  <c r="J544" i="1" s="1"/>
  <c r="J543" i="1"/>
  <c r="G543" i="1"/>
  <c r="G542" i="1"/>
  <c r="J542" i="1" s="1"/>
  <c r="I541" i="1"/>
  <c r="H541" i="1"/>
  <c r="G540" i="1"/>
  <c r="J540" i="1" s="1"/>
  <c r="G539" i="1"/>
  <c r="J539" i="1" s="1"/>
  <c r="G538" i="1"/>
  <c r="J538" i="1" s="1"/>
  <c r="J537" i="1"/>
  <c r="G537" i="1"/>
  <c r="G536" i="1"/>
  <c r="J536" i="1" s="1"/>
  <c r="G535" i="1"/>
  <c r="J535" i="1" s="1"/>
  <c r="J534" i="1"/>
  <c r="G534" i="1"/>
  <c r="I533" i="1"/>
  <c r="H533" i="1"/>
  <c r="G532" i="1"/>
  <c r="J532" i="1" s="1"/>
  <c r="G531" i="1"/>
  <c r="J531" i="1" s="1"/>
  <c r="G530" i="1"/>
  <c r="J530" i="1" s="1"/>
  <c r="G529" i="1"/>
  <c r="J529" i="1" s="1"/>
  <c r="F628" i="1" l="1"/>
  <c r="G587" i="1"/>
  <c r="J587" i="1" s="1"/>
  <c r="H597" i="1"/>
  <c r="F556" i="13"/>
  <c r="I681" i="13"/>
  <c r="E628" i="1"/>
  <c r="H572" i="1"/>
  <c r="I597" i="1"/>
  <c r="I557" i="1"/>
  <c r="I588" i="1"/>
  <c r="I599" i="1" s="1"/>
  <c r="I600" i="1" s="1"/>
  <c r="D323" i="17"/>
  <c r="D364" i="17" s="1"/>
  <c r="H357" i="16"/>
  <c r="G618" i="1"/>
  <c r="J618" i="1" s="1"/>
  <c r="G541" i="1"/>
  <c r="J541" i="1" s="1"/>
  <c r="G556" i="1"/>
  <c r="J556" i="1" s="1"/>
  <c r="G562" i="1"/>
  <c r="G572" i="1" s="1"/>
  <c r="J572" i="1" s="1"/>
  <c r="G571" i="1"/>
  <c r="J571" i="1" s="1"/>
  <c r="G612" i="1"/>
  <c r="J612" i="1" s="1"/>
  <c r="J553" i="1"/>
  <c r="J584" i="1"/>
  <c r="G592" i="1"/>
  <c r="J592" i="1" s="1"/>
  <c r="J614" i="1"/>
  <c r="I616" i="13"/>
  <c r="J610" i="1"/>
  <c r="I422" i="17"/>
  <c r="F423" i="17"/>
  <c r="I423" i="17" s="1"/>
  <c r="I736" i="13"/>
  <c r="G702" i="1"/>
  <c r="J691" i="1"/>
  <c r="G730" i="1"/>
  <c r="J729" i="1"/>
  <c r="J730" i="1" s="1"/>
  <c r="J660" i="1"/>
  <c r="G676" i="1"/>
  <c r="I626" i="1"/>
  <c r="I627" i="1" s="1"/>
  <c r="P111" i="14"/>
  <c r="Q111" i="14"/>
  <c r="R111" i="14"/>
  <c r="P118" i="14"/>
  <c r="R118" i="14"/>
  <c r="Q118" i="14"/>
  <c r="P112" i="14"/>
  <c r="Q112" i="14"/>
  <c r="R112" i="14"/>
  <c r="P115" i="14"/>
  <c r="Q115" i="14"/>
  <c r="R115" i="14"/>
  <c r="P116" i="14"/>
  <c r="Q116" i="14"/>
  <c r="R116" i="14"/>
  <c r="P117" i="14"/>
  <c r="R117" i="14"/>
  <c r="Q117" i="14"/>
  <c r="P107" i="14"/>
  <c r="R107" i="14"/>
  <c r="Q107" i="14"/>
  <c r="P108" i="14"/>
  <c r="R108" i="14"/>
  <c r="Q108" i="14"/>
  <c r="P109" i="14"/>
  <c r="Q109" i="14"/>
  <c r="R109" i="14"/>
  <c r="P110" i="14"/>
  <c r="R110" i="14"/>
  <c r="Q110" i="14"/>
  <c r="P113" i="14"/>
  <c r="Q113" i="14"/>
  <c r="S113" i="14" s="1"/>
  <c r="R113" i="14"/>
  <c r="P114" i="14"/>
  <c r="Q114" i="14"/>
  <c r="R114" i="14"/>
  <c r="P106" i="14"/>
  <c r="Q106" i="14"/>
  <c r="R106" i="14"/>
  <c r="P103" i="14"/>
  <c r="Q103" i="14"/>
  <c r="R103" i="14"/>
  <c r="P104" i="14"/>
  <c r="Q104" i="14"/>
  <c r="R104" i="14"/>
  <c r="P105" i="14"/>
  <c r="Q105" i="14"/>
  <c r="R105" i="14"/>
  <c r="F314" i="17"/>
  <c r="F537" i="13"/>
  <c r="J550" i="1"/>
  <c r="H369" i="16"/>
  <c r="H375" i="16" s="1"/>
  <c r="H417" i="16"/>
  <c r="H373" i="16"/>
  <c r="P331" i="17"/>
  <c r="P332" i="17" s="1"/>
  <c r="F331" i="17"/>
  <c r="I331" i="17" s="1"/>
  <c r="F322" i="17"/>
  <c r="I322" i="17" s="1"/>
  <c r="G323" i="17"/>
  <c r="G364" i="17" s="1"/>
  <c r="P314" i="17"/>
  <c r="H323" i="17"/>
  <c r="H364" i="17" s="1"/>
  <c r="P362" i="17"/>
  <c r="P363" i="17" s="1"/>
  <c r="I337" i="17"/>
  <c r="P322" i="17"/>
  <c r="I339" i="17"/>
  <c r="F362" i="17"/>
  <c r="I362" i="17" s="1"/>
  <c r="I314" i="17"/>
  <c r="E364" i="17"/>
  <c r="I626" i="13"/>
  <c r="I622" i="13"/>
  <c r="I608" i="13"/>
  <c r="I600" i="13"/>
  <c r="I596" i="13"/>
  <c r="I591" i="13"/>
  <c r="I553" i="13"/>
  <c r="I545" i="13"/>
  <c r="F545" i="13"/>
  <c r="I537" i="13"/>
  <c r="I566" i="13"/>
  <c r="F566" i="13"/>
  <c r="I587" i="13"/>
  <c r="F600" i="13"/>
  <c r="F608" i="13"/>
  <c r="F626" i="13"/>
  <c r="F560" i="13"/>
  <c r="F553" i="13"/>
  <c r="I556" i="13"/>
  <c r="I560" i="13"/>
  <c r="I575" i="13"/>
  <c r="F575" i="13"/>
  <c r="F591" i="13"/>
  <c r="F596" i="13"/>
  <c r="I613" i="13"/>
  <c r="F613" i="13"/>
  <c r="F622" i="13"/>
  <c r="F587" i="13"/>
  <c r="F616" i="13"/>
  <c r="H599" i="1"/>
  <c r="H600" i="1" s="1"/>
  <c r="H557" i="1"/>
  <c r="H573" i="1" s="1"/>
  <c r="J562" i="1"/>
  <c r="G549" i="1"/>
  <c r="J549" i="1" s="1"/>
  <c r="G604" i="1"/>
  <c r="J601" i="1"/>
  <c r="G625" i="1"/>
  <c r="J625" i="1" s="1"/>
  <c r="J623" i="1"/>
  <c r="I572" i="1"/>
  <c r="I573" i="1" s="1"/>
  <c r="J563" i="1"/>
  <c r="G583" i="1"/>
  <c r="G622" i="1"/>
  <c r="J622" i="1" s="1"/>
  <c r="G596" i="1"/>
  <c r="J596" i="1" s="1"/>
  <c r="J593" i="1"/>
  <c r="G533" i="1"/>
  <c r="J574" i="1"/>
  <c r="G609" i="1"/>
  <c r="J609" i="1" s="1"/>
  <c r="J589" i="1"/>
  <c r="J619" i="1"/>
  <c r="T113" i="14" l="1"/>
  <c r="I592" i="13"/>
  <c r="I603" i="13" s="1"/>
  <c r="I604" i="13" s="1"/>
  <c r="T114" i="14"/>
  <c r="S115" i="14"/>
  <c r="T115" i="14" s="1"/>
  <c r="S114" i="14"/>
  <c r="S112" i="14"/>
  <c r="T112" i="14" s="1"/>
  <c r="P323" i="17"/>
  <c r="P364" i="17" s="1"/>
  <c r="S117" i="14"/>
  <c r="T117" i="14" s="1"/>
  <c r="S118" i="14"/>
  <c r="T118" i="14" s="1"/>
  <c r="F332" i="17"/>
  <c r="I332" i="17" s="1"/>
  <c r="F592" i="13"/>
  <c r="I601" i="13"/>
  <c r="S105" i="14"/>
  <c r="T105" i="14" s="1"/>
  <c r="S110" i="14"/>
  <c r="T110" i="14" s="1"/>
  <c r="J676" i="1"/>
  <c r="G703" i="1"/>
  <c r="G731" i="1" s="1"/>
  <c r="J731" i="1" s="1"/>
  <c r="J702" i="1"/>
  <c r="J703" i="1" s="1"/>
  <c r="F601" i="13"/>
  <c r="F603" i="13" s="1"/>
  <c r="F604" i="13" s="1"/>
  <c r="I630" i="13"/>
  <c r="I631" i="13" s="1"/>
  <c r="S108" i="14"/>
  <c r="T108" i="14" s="1"/>
  <c r="S116" i="14"/>
  <c r="T116" i="14" s="1"/>
  <c r="S111" i="14"/>
  <c r="T111" i="14" s="1"/>
  <c r="S109" i="14"/>
  <c r="T109" i="14" s="1"/>
  <c r="S106" i="14"/>
  <c r="T106" i="14" s="1"/>
  <c r="S103" i="14"/>
  <c r="T103" i="14" s="1"/>
  <c r="S104" i="14"/>
  <c r="T104" i="14" s="1"/>
  <c r="S107" i="14"/>
  <c r="T107" i="14" s="1"/>
  <c r="F363" i="17"/>
  <c r="I363" i="17" s="1"/>
  <c r="F323" i="17"/>
  <c r="I323" i="17" s="1"/>
  <c r="I576" i="13"/>
  <c r="I561" i="13"/>
  <c r="F561" i="13"/>
  <c r="F630" i="13"/>
  <c r="F631" i="13" s="1"/>
  <c r="F576" i="13"/>
  <c r="G597" i="1"/>
  <c r="J597" i="1" s="1"/>
  <c r="H628" i="1"/>
  <c r="I628" i="1"/>
  <c r="G626" i="1"/>
  <c r="J604" i="1"/>
  <c r="G557" i="1"/>
  <c r="J533" i="1"/>
  <c r="G588" i="1"/>
  <c r="J583" i="1"/>
  <c r="L100" i="14"/>
  <c r="K100" i="14" s="1"/>
  <c r="G100" i="14"/>
  <c r="C100" i="14"/>
  <c r="L99" i="14"/>
  <c r="K99" i="14" s="1"/>
  <c r="G99" i="14"/>
  <c r="C99" i="14"/>
  <c r="L98" i="14"/>
  <c r="K98" i="14" s="1"/>
  <c r="G98" i="14"/>
  <c r="C98" i="14"/>
  <c r="L97" i="14"/>
  <c r="K97" i="14" s="1"/>
  <c r="G97" i="14"/>
  <c r="C97" i="14"/>
  <c r="L96" i="14"/>
  <c r="K96" i="14" s="1"/>
  <c r="G96" i="14"/>
  <c r="C96" i="14"/>
  <c r="L95" i="14"/>
  <c r="K95" i="14" s="1"/>
  <c r="G95" i="14"/>
  <c r="C95" i="14"/>
  <c r="L94" i="14"/>
  <c r="K94" i="14" s="1"/>
  <c r="G94" i="14"/>
  <c r="C94" i="14"/>
  <c r="L93" i="14"/>
  <c r="K93" i="14" s="1"/>
  <c r="G93" i="14"/>
  <c r="C93" i="14"/>
  <c r="G92" i="14"/>
  <c r="L92" i="14"/>
  <c r="K92" i="14" s="1"/>
  <c r="L91" i="14"/>
  <c r="K91" i="14" s="1"/>
  <c r="G91" i="14"/>
  <c r="C91" i="14"/>
  <c r="L90" i="14"/>
  <c r="K90" i="14" s="1"/>
  <c r="G90" i="14"/>
  <c r="C90" i="14"/>
  <c r="L89" i="14"/>
  <c r="K89" i="14" s="1"/>
  <c r="G89" i="14"/>
  <c r="C89" i="14"/>
  <c r="L88" i="14"/>
  <c r="K88" i="14" s="1"/>
  <c r="G88" i="14"/>
  <c r="C88" i="14"/>
  <c r="L87" i="14"/>
  <c r="K87" i="14" s="1"/>
  <c r="G87" i="14"/>
  <c r="C87" i="14"/>
  <c r="L86" i="14"/>
  <c r="K86" i="14" s="1"/>
  <c r="G86" i="14"/>
  <c r="C86" i="14"/>
  <c r="L85" i="14"/>
  <c r="K85" i="14" s="1"/>
  <c r="M85" i="14" s="1"/>
  <c r="G85" i="14"/>
  <c r="C85" i="14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I292" i="16"/>
  <c r="H290" i="16"/>
  <c r="H289" i="16"/>
  <c r="H288" i="16"/>
  <c r="H286" i="16"/>
  <c r="H285" i="16"/>
  <c r="H284" i="16"/>
  <c r="H283" i="16"/>
  <c r="H282" i="16"/>
  <c r="H281" i="16"/>
  <c r="H280" i="16"/>
  <c r="H279" i="16"/>
  <c r="H278" i="16"/>
  <c r="H277" i="16"/>
  <c r="H276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E304" i="17"/>
  <c r="H303" i="17"/>
  <c r="H304" i="17" s="1"/>
  <c r="G303" i="17"/>
  <c r="G304" i="17" s="1"/>
  <c r="D303" i="17"/>
  <c r="D304" i="17" s="1"/>
  <c r="P302" i="17"/>
  <c r="F302" i="17"/>
  <c r="I302" i="17" s="1"/>
  <c r="P301" i="17"/>
  <c r="F301" i="17"/>
  <c r="I301" i="17" s="1"/>
  <c r="P300" i="17"/>
  <c r="F300" i="17"/>
  <c r="I300" i="17" s="1"/>
  <c r="P299" i="17"/>
  <c r="F299" i="17"/>
  <c r="I299" i="17" s="1"/>
  <c r="P298" i="17"/>
  <c r="F298" i="17"/>
  <c r="I298" i="17" s="1"/>
  <c r="P297" i="17"/>
  <c r="F297" i="17"/>
  <c r="I297" i="17" s="1"/>
  <c r="P296" i="17"/>
  <c r="I296" i="17"/>
  <c r="F296" i="17"/>
  <c r="P295" i="17"/>
  <c r="I295" i="17"/>
  <c r="F295" i="17"/>
  <c r="P294" i="17"/>
  <c r="F294" i="17"/>
  <c r="I294" i="17" s="1"/>
  <c r="P293" i="17"/>
  <c r="F293" i="17"/>
  <c r="I293" i="17" s="1"/>
  <c r="P292" i="17"/>
  <c r="F292" i="17"/>
  <c r="I292" i="17" s="1"/>
  <c r="P291" i="17"/>
  <c r="F291" i="17"/>
  <c r="I291" i="17" s="1"/>
  <c r="P290" i="17"/>
  <c r="F290" i="17"/>
  <c r="I290" i="17" s="1"/>
  <c r="P289" i="17"/>
  <c r="F289" i="17"/>
  <c r="I289" i="17" s="1"/>
  <c r="P288" i="17"/>
  <c r="F288" i="17"/>
  <c r="I288" i="17" s="1"/>
  <c r="P287" i="17"/>
  <c r="F287" i="17"/>
  <c r="I287" i="17" s="1"/>
  <c r="P286" i="17"/>
  <c r="F286" i="17"/>
  <c r="I286" i="17" s="1"/>
  <c r="P285" i="17"/>
  <c r="F285" i="17"/>
  <c r="I285" i="17" s="1"/>
  <c r="P284" i="17"/>
  <c r="F284" i="17"/>
  <c r="I284" i="17" s="1"/>
  <c r="P283" i="17"/>
  <c r="F283" i="17"/>
  <c r="I283" i="17" s="1"/>
  <c r="P282" i="17"/>
  <c r="F282" i="17"/>
  <c r="I282" i="17" s="1"/>
  <c r="P281" i="17"/>
  <c r="F281" i="17"/>
  <c r="I281" i="17" s="1"/>
  <c r="P280" i="17"/>
  <c r="I280" i="17"/>
  <c r="F280" i="17"/>
  <c r="P279" i="17"/>
  <c r="F279" i="17"/>
  <c r="I279" i="17" s="1"/>
  <c r="P278" i="17"/>
  <c r="F278" i="17"/>
  <c r="I278" i="17" s="1"/>
  <c r="P277" i="17"/>
  <c r="I277" i="17"/>
  <c r="F277" i="17"/>
  <c r="P276" i="17"/>
  <c r="F276" i="17"/>
  <c r="I276" i="17" s="1"/>
  <c r="P275" i="17"/>
  <c r="F275" i="17"/>
  <c r="I275" i="17" s="1"/>
  <c r="P274" i="17"/>
  <c r="F274" i="17"/>
  <c r="I274" i="17" s="1"/>
  <c r="E273" i="17"/>
  <c r="E305" i="17" s="1"/>
  <c r="D273" i="17"/>
  <c r="H272" i="17"/>
  <c r="H273" i="17" s="1"/>
  <c r="G272" i="17"/>
  <c r="G273" i="17" s="1"/>
  <c r="P271" i="17"/>
  <c r="F271" i="17"/>
  <c r="I271" i="17" s="1"/>
  <c r="P270" i="17"/>
  <c r="F270" i="17"/>
  <c r="I270" i="17" s="1"/>
  <c r="P269" i="17"/>
  <c r="F269" i="17"/>
  <c r="I269" i="17" s="1"/>
  <c r="P268" i="17"/>
  <c r="F268" i="17"/>
  <c r="I268" i="17" s="1"/>
  <c r="P267" i="17"/>
  <c r="F267" i="17"/>
  <c r="P266" i="17"/>
  <c r="F266" i="17"/>
  <c r="I266" i="17" s="1"/>
  <c r="P265" i="17"/>
  <c r="F265" i="17"/>
  <c r="I265" i="17" s="1"/>
  <c r="E264" i="17"/>
  <c r="H263" i="17"/>
  <c r="G263" i="17"/>
  <c r="D263" i="17"/>
  <c r="P262" i="17"/>
  <c r="F262" i="17"/>
  <c r="I262" i="17" s="1"/>
  <c r="P261" i="17"/>
  <c r="I261" i="17"/>
  <c r="F261" i="17"/>
  <c r="P260" i="17"/>
  <c r="F260" i="17"/>
  <c r="I260" i="17" s="1"/>
  <c r="P259" i="17"/>
  <c r="F259" i="17"/>
  <c r="I259" i="17" s="1"/>
  <c r="P258" i="17"/>
  <c r="I258" i="17"/>
  <c r="F258" i="17"/>
  <c r="P257" i="17"/>
  <c r="F257" i="17"/>
  <c r="I257" i="17" s="1"/>
  <c r="P256" i="17"/>
  <c r="P263" i="17" s="1"/>
  <c r="F256" i="17"/>
  <c r="H255" i="17"/>
  <c r="H264" i="17" s="1"/>
  <c r="G255" i="17"/>
  <c r="D255" i="17"/>
  <c r="D264" i="17" s="1"/>
  <c r="P254" i="17"/>
  <c r="F254" i="17"/>
  <c r="I254" i="17" s="1"/>
  <c r="P253" i="17"/>
  <c r="F253" i="17"/>
  <c r="I253" i="17" s="1"/>
  <c r="P252" i="17"/>
  <c r="F252" i="17"/>
  <c r="I252" i="17" s="1"/>
  <c r="P251" i="17"/>
  <c r="F251" i="17"/>
  <c r="I251" i="17" s="1"/>
  <c r="P250" i="17"/>
  <c r="F250" i="17"/>
  <c r="F524" i="13"/>
  <c r="F523" i="13"/>
  <c r="F521" i="13"/>
  <c r="I521" i="13" s="1"/>
  <c r="F520" i="13"/>
  <c r="F519" i="13"/>
  <c r="I519" i="13" s="1"/>
  <c r="F517" i="13"/>
  <c r="I517" i="13" s="1"/>
  <c r="F516" i="13"/>
  <c r="I516" i="13" s="1"/>
  <c r="F515" i="13"/>
  <c r="I515" i="13" s="1"/>
  <c r="F514" i="13"/>
  <c r="I514" i="13" s="1"/>
  <c r="F513" i="13"/>
  <c r="I513" i="13" s="1"/>
  <c r="F511" i="13"/>
  <c r="I511" i="13" s="1"/>
  <c r="F510" i="13"/>
  <c r="I510" i="13" s="1"/>
  <c r="F508" i="13"/>
  <c r="I508" i="13" s="1"/>
  <c r="F507" i="13"/>
  <c r="I507" i="13" s="1"/>
  <c r="F506" i="13"/>
  <c r="F505" i="13"/>
  <c r="I505" i="13" s="1"/>
  <c r="F503" i="13"/>
  <c r="I503" i="13" s="1"/>
  <c r="F502" i="13"/>
  <c r="I502" i="13" s="1"/>
  <c r="F501" i="13"/>
  <c r="F498" i="13"/>
  <c r="I498" i="13" s="1"/>
  <c r="F495" i="13"/>
  <c r="I495" i="13" s="1"/>
  <c r="F494" i="13"/>
  <c r="I494" i="13" s="1"/>
  <c r="F493" i="13"/>
  <c r="I493" i="13" s="1"/>
  <c r="F491" i="13"/>
  <c r="I491" i="13" s="1"/>
  <c r="F490" i="13"/>
  <c r="I490" i="13" s="1"/>
  <c r="F489" i="13"/>
  <c r="F486" i="13"/>
  <c r="I486" i="13" s="1"/>
  <c r="F485" i="13"/>
  <c r="F484" i="13"/>
  <c r="I484" i="13" s="1"/>
  <c r="F482" i="13"/>
  <c r="F481" i="13"/>
  <c r="I481" i="13" s="1"/>
  <c r="F480" i="13"/>
  <c r="I480" i="13" s="1"/>
  <c r="F479" i="13"/>
  <c r="I479" i="13" s="1"/>
  <c r="F478" i="13"/>
  <c r="F477" i="13"/>
  <c r="I477" i="13" s="1"/>
  <c r="F476" i="13"/>
  <c r="F475" i="13"/>
  <c r="I475" i="13" s="1"/>
  <c r="F474" i="13"/>
  <c r="I474" i="13" s="1"/>
  <c r="F470" i="13"/>
  <c r="I470" i="13" s="1"/>
  <c r="F469" i="13"/>
  <c r="I469" i="13" s="1"/>
  <c r="F468" i="13"/>
  <c r="I468" i="13" s="1"/>
  <c r="F467" i="13"/>
  <c r="F466" i="13"/>
  <c r="F465" i="13"/>
  <c r="I465" i="13" s="1"/>
  <c r="F464" i="13"/>
  <c r="I464" i="13" s="1"/>
  <c r="F463" i="13"/>
  <c r="F461" i="13"/>
  <c r="F460" i="13"/>
  <c r="F459" i="13"/>
  <c r="I459" i="13" s="1"/>
  <c r="F458" i="13"/>
  <c r="I458" i="13" s="1"/>
  <c r="F455" i="13"/>
  <c r="I455" i="13" s="1"/>
  <c r="F454" i="13"/>
  <c r="I454" i="13" s="1"/>
  <c r="F453" i="13"/>
  <c r="I453" i="13" s="1"/>
  <c r="F451" i="13"/>
  <c r="F450" i="13"/>
  <c r="I450" i="13" s="1"/>
  <c r="F448" i="13"/>
  <c r="I448" i="13" s="1"/>
  <c r="F447" i="13"/>
  <c r="I447" i="13" s="1"/>
  <c r="F446" i="13"/>
  <c r="I446" i="13" s="1"/>
  <c r="F445" i="13"/>
  <c r="I445" i="13" s="1"/>
  <c r="F444" i="13"/>
  <c r="F443" i="13"/>
  <c r="I443" i="13" s="1"/>
  <c r="F442" i="13"/>
  <c r="I442" i="13" s="1"/>
  <c r="F440" i="13"/>
  <c r="I440" i="13" s="1"/>
  <c r="F439" i="13"/>
  <c r="I439" i="13" s="1"/>
  <c r="F438" i="13"/>
  <c r="I438" i="13" s="1"/>
  <c r="F437" i="13"/>
  <c r="I437" i="13" s="1"/>
  <c r="F436" i="13"/>
  <c r="I436" i="13" s="1"/>
  <c r="F435" i="13"/>
  <c r="I435" i="13" s="1"/>
  <c r="F434" i="13"/>
  <c r="I434" i="13" s="1"/>
  <c r="F432" i="13"/>
  <c r="F431" i="13"/>
  <c r="I431" i="13" s="1"/>
  <c r="F430" i="13"/>
  <c r="F429" i="13"/>
  <c r="I429" i="13" s="1"/>
  <c r="J525" i="13"/>
  <c r="I525" i="13"/>
  <c r="I520" i="13"/>
  <c r="I506" i="13"/>
  <c r="I501" i="13"/>
  <c r="I489" i="13"/>
  <c r="I485" i="13"/>
  <c r="I482" i="13"/>
  <c r="I478" i="13"/>
  <c r="I476" i="13"/>
  <c r="I467" i="13"/>
  <c r="I466" i="13"/>
  <c r="I463" i="13"/>
  <c r="I461" i="13"/>
  <c r="I460" i="13"/>
  <c r="I451" i="13"/>
  <c r="I444" i="13"/>
  <c r="I432" i="13"/>
  <c r="I430" i="13"/>
  <c r="F523" i="1"/>
  <c r="F524" i="1" s="1"/>
  <c r="E523" i="1"/>
  <c r="E524" i="1" s="1"/>
  <c r="I522" i="1"/>
  <c r="H522" i="1"/>
  <c r="G521" i="1"/>
  <c r="J521" i="1" s="1"/>
  <c r="G520" i="1"/>
  <c r="I519" i="1"/>
  <c r="H519" i="1"/>
  <c r="G518" i="1"/>
  <c r="J518" i="1" s="1"/>
  <c r="G517" i="1"/>
  <c r="G516" i="1"/>
  <c r="J516" i="1" s="1"/>
  <c r="I515" i="1"/>
  <c r="H515" i="1"/>
  <c r="G514" i="1"/>
  <c r="J514" i="1" s="1"/>
  <c r="G513" i="1"/>
  <c r="J513" i="1" s="1"/>
  <c r="G512" i="1"/>
  <c r="J512" i="1" s="1"/>
  <c r="G511" i="1"/>
  <c r="J511" i="1" s="1"/>
  <c r="G510" i="1"/>
  <c r="J510" i="1" s="1"/>
  <c r="I509" i="1"/>
  <c r="H509" i="1"/>
  <c r="G508" i="1"/>
  <c r="J508" i="1" s="1"/>
  <c r="G507" i="1"/>
  <c r="I506" i="1"/>
  <c r="H506" i="1"/>
  <c r="G505" i="1"/>
  <c r="J505" i="1" s="1"/>
  <c r="G504" i="1"/>
  <c r="J504" i="1" s="1"/>
  <c r="G503" i="1"/>
  <c r="J503" i="1" s="1"/>
  <c r="G502" i="1"/>
  <c r="I501" i="1"/>
  <c r="H501" i="1"/>
  <c r="G500" i="1"/>
  <c r="J500" i="1" s="1"/>
  <c r="G499" i="1"/>
  <c r="J499" i="1" s="1"/>
  <c r="G498" i="1"/>
  <c r="F496" i="1"/>
  <c r="F497" i="1" s="1"/>
  <c r="E496" i="1"/>
  <c r="E497" i="1" s="1"/>
  <c r="G495" i="1"/>
  <c r="J495" i="1" s="1"/>
  <c r="I493" i="1"/>
  <c r="G492" i="1"/>
  <c r="J492" i="1" s="1"/>
  <c r="G491" i="1"/>
  <c r="H493" i="1"/>
  <c r="H494" i="1" s="1"/>
  <c r="G490" i="1"/>
  <c r="J490" i="1" s="1"/>
  <c r="I489" i="1"/>
  <c r="H489" i="1"/>
  <c r="G488" i="1"/>
  <c r="J488" i="1" s="1"/>
  <c r="G487" i="1"/>
  <c r="J487" i="1" s="1"/>
  <c r="G486" i="1"/>
  <c r="I484" i="1"/>
  <c r="H484" i="1"/>
  <c r="G483" i="1"/>
  <c r="J483" i="1" s="1"/>
  <c r="G482" i="1"/>
  <c r="J482" i="1" s="1"/>
  <c r="G481" i="1"/>
  <c r="G479" i="1"/>
  <c r="J479" i="1" s="1"/>
  <c r="G478" i="1"/>
  <c r="J478" i="1" s="1"/>
  <c r="G477" i="1"/>
  <c r="J477" i="1" s="1"/>
  <c r="G476" i="1"/>
  <c r="J476" i="1" s="1"/>
  <c r="G475" i="1"/>
  <c r="J475" i="1" s="1"/>
  <c r="G474" i="1"/>
  <c r="J474" i="1" s="1"/>
  <c r="G473" i="1"/>
  <c r="J473" i="1" s="1"/>
  <c r="G472" i="1"/>
  <c r="J472" i="1" s="1"/>
  <c r="F469" i="1"/>
  <c r="E469" i="1"/>
  <c r="I468" i="1"/>
  <c r="H468" i="1"/>
  <c r="G467" i="1"/>
  <c r="J467" i="1" s="1"/>
  <c r="G466" i="1"/>
  <c r="J466" i="1" s="1"/>
  <c r="G465" i="1"/>
  <c r="J465" i="1" s="1"/>
  <c r="G464" i="1"/>
  <c r="J464" i="1" s="1"/>
  <c r="G463" i="1"/>
  <c r="J463" i="1" s="1"/>
  <c r="G462" i="1"/>
  <c r="J462" i="1" s="1"/>
  <c r="G461" i="1"/>
  <c r="J461" i="1" s="1"/>
  <c r="G460" i="1"/>
  <c r="I459" i="1"/>
  <c r="I469" i="1" s="1"/>
  <c r="H459" i="1"/>
  <c r="G458" i="1"/>
  <c r="J458" i="1" s="1"/>
  <c r="G457" i="1"/>
  <c r="J457" i="1" s="1"/>
  <c r="G456" i="1"/>
  <c r="J456" i="1" s="1"/>
  <c r="G455" i="1"/>
  <c r="J455" i="1" s="1"/>
  <c r="I453" i="1"/>
  <c r="H453" i="1"/>
  <c r="E453" i="1"/>
  <c r="G452" i="1"/>
  <c r="J452" i="1" s="1"/>
  <c r="G451" i="1"/>
  <c r="J451" i="1" s="1"/>
  <c r="G450" i="1"/>
  <c r="J450" i="1" s="1"/>
  <c r="I449" i="1"/>
  <c r="H449" i="1"/>
  <c r="F449" i="1"/>
  <c r="F454" i="1" s="1"/>
  <c r="F470" i="1" s="1"/>
  <c r="F525" i="1" s="1"/>
  <c r="E449" i="1"/>
  <c r="E454" i="1" s="1"/>
  <c r="E470" i="1" s="1"/>
  <c r="G448" i="1"/>
  <c r="G447" i="1"/>
  <c r="J447" i="1" s="1"/>
  <c r="I446" i="1"/>
  <c r="H446" i="1"/>
  <c r="E446" i="1"/>
  <c r="G445" i="1"/>
  <c r="J445" i="1" s="1"/>
  <c r="G444" i="1"/>
  <c r="J444" i="1" s="1"/>
  <c r="G443" i="1"/>
  <c r="J443" i="1" s="1"/>
  <c r="G442" i="1"/>
  <c r="J442" i="1" s="1"/>
  <c r="G441" i="1"/>
  <c r="J441" i="1" s="1"/>
  <c r="G440" i="1"/>
  <c r="J440" i="1" s="1"/>
  <c r="G439" i="1"/>
  <c r="J439" i="1" s="1"/>
  <c r="I438" i="1"/>
  <c r="H438" i="1"/>
  <c r="G437" i="1"/>
  <c r="J437" i="1" s="1"/>
  <c r="G436" i="1"/>
  <c r="J436" i="1" s="1"/>
  <c r="G435" i="1"/>
  <c r="J435" i="1" s="1"/>
  <c r="G434" i="1"/>
  <c r="J434" i="1" s="1"/>
  <c r="G433" i="1"/>
  <c r="J433" i="1" s="1"/>
  <c r="G432" i="1"/>
  <c r="J432" i="1" s="1"/>
  <c r="G431" i="1"/>
  <c r="I430" i="1"/>
  <c r="H430" i="1"/>
  <c r="G429" i="1"/>
  <c r="J429" i="1" s="1"/>
  <c r="G428" i="1"/>
  <c r="J428" i="1" s="1"/>
  <c r="G427" i="1"/>
  <c r="J427" i="1" s="1"/>
  <c r="G426" i="1"/>
  <c r="J426" i="1" s="1"/>
  <c r="H523" i="1" l="1"/>
  <c r="H524" i="1" s="1"/>
  <c r="G509" i="1"/>
  <c r="J509" i="1" s="1"/>
  <c r="H275" i="16"/>
  <c r="F263" i="17"/>
  <c r="I263" i="17" s="1"/>
  <c r="P272" i="17"/>
  <c r="P273" i="17" s="1"/>
  <c r="F272" i="17"/>
  <c r="G506" i="1"/>
  <c r="J506" i="1" s="1"/>
  <c r="E525" i="1"/>
  <c r="G453" i="1"/>
  <c r="J453" i="1" s="1"/>
  <c r="J507" i="1"/>
  <c r="G519" i="1"/>
  <c r="J519" i="1" s="1"/>
  <c r="I512" i="13"/>
  <c r="G493" i="1"/>
  <c r="J493" i="1" s="1"/>
  <c r="I577" i="13"/>
  <c r="I632" i="13" s="1"/>
  <c r="I471" i="13"/>
  <c r="F525" i="13"/>
  <c r="J502" i="1"/>
  <c r="H291" i="16"/>
  <c r="F364" i="17"/>
  <c r="I364" i="17" s="1"/>
  <c r="F577" i="13"/>
  <c r="F632" i="13" s="1"/>
  <c r="G573" i="1"/>
  <c r="J557" i="1"/>
  <c r="G599" i="1"/>
  <c r="J588" i="1"/>
  <c r="G627" i="1"/>
  <c r="J626" i="1"/>
  <c r="J627" i="1" s="1"/>
  <c r="I494" i="1"/>
  <c r="J491" i="1"/>
  <c r="I256" i="17"/>
  <c r="G264" i="17"/>
  <c r="G305" i="17" s="1"/>
  <c r="G430" i="1"/>
  <c r="J430" i="1" s="1"/>
  <c r="G449" i="1"/>
  <c r="J449" i="1" s="1"/>
  <c r="O95" i="14"/>
  <c r="N95" i="14" s="1"/>
  <c r="M95" i="14"/>
  <c r="M87" i="14"/>
  <c r="O87" i="14"/>
  <c r="N87" i="14" s="1"/>
  <c r="M91" i="14"/>
  <c r="O91" i="14"/>
  <c r="N91" i="14" s="1"/>
  <c r="O94" i="14"/>
  <c r="N94" i="14" s="1"/>
  <c r="M94" i="14"/>
  <c r="O98" i="14"/>
  <c r="N98" i="14" s="1"/>
  <c r="M98" i="14"/>
  <c r="M99" i="14"/>
  <c r="O99" i="14"/>
  <c r="N99" i="14" s="1"/>
  <c r="M86" i="14"/>
  <c r="O86" i="14"/>
  <c r="N86" i="14" s="1"/>
  <c r="M90" i="14"/>
  <c r="O90" i="14"/>
  <c r="N90" i="14" s="1"/>
  <c r="O92" i="14"/>
  <c r="M92" i="14"/>
  <c r="O93" i="14"/>
  <c r="N93" i="14" s="1"/>
  <c r="M93" i="14"/>
  <c r="M97" i="14"/>
  <c r="O97" i="14"/>
  <c r="N97" i="14" s="1"/>
  <c r="M88" i="14"/>
  <c r="O88" i="14"/>
  <c r="N88" i="14" s="1"/>
  <c r="M89" i="14"/>
  <c r="O89" i="14"/>
  <c r="N89" i="14" s="1"/>
  <c r="O96" i="14"/>
  <c r="N96" i="14" s="1"/>
  <c r="M96" i="14"/>
  <c r="O100" i="14"/>
  <c r="N100" i="14" s="1"/>
  <c r="M100" i="14"/>
  <c r="O85" i="14"/>
  <c r="N85" i="14" s="1"/>
  <c r="C92" i="14"/>
  <c r="H287" i="16"/>
  <c r="H335" i="16"/>
  <c r="F303" i="17"/>
  <c r="F304" i="17" s="1"/>
  <c r="P303" i="17"/>
  <c r="P304" i="17" s="1"/>
  <c r="I267" i="17"/>
  <c r="P255" i="17"/>
  <c r="P264" i="17" s="1"/>
  <c r="F273" i="17"/>
  <c r="I273" i="17" s="1"/>
  <c r="I272" i="17"/>
  <c r="H305" i="17"/>
  <c r="F255" i="17"/>
  <c r="I250" i="17"/>
  <c r="D305" i="17"/>
  <c r="I522" i="13"/>
  <c r="I518" i="13"/>
  <c r="I504" i="13"/>
  <c r="I496" i="13"/>
  <c r="I492" i="13"/>
  <c r="I487" i="13"/>
  <c r="I456" i="13"/>
  <c r="I441" i="13"/>
  <c r="I433" i="13"/>
  <c r="F441" i="13"/>
  <c r="F449" i="13"/>
  <c r="F471" i="13"/>
  <c r="I483" i="13"/>
  <c r="F496" i="13"/>
  <c r="F504" i="13"/>
  <c r="F522" i="13"/>
  <c r="F433" i="13"/>
  <c r="I449" i="13"/>
  <c r="F452" i="13"/>
  <c r="F456" i="13"/>
  <c r="I462" i="13"/>
  <c r="F462" i="13"/>
  <c r="F487" i="13"/>
  <c r="F492" i="13"/>
  <c r="I509" i="13"/>
  <c r="F509" i="13"/>
  <c r="F518" i="13"/>
  <c r="I452" i="13"/>
  <c r="F483" i="13"/>
  <c r="F512" i="13"/>
  <c r="I454" i="1"/>
  <c r="I470" i="1" s="1"/>
  <c r="H454" i="1"/>
  <c r="G459" i="1"/>
  <c r="H469" i="1"/>
  <c r="G468" i="1"/>
  <c r="J468" i="1" s="1"/>
  <c r="J460" i="1"/>
  <c r="G501" i="1"/>
  <c r="J498" i="1"/>
  <c r="G438" i="1"/>
  <c r="J431" i="1"/>
  <c r="G446" i="1"/>
  <c r="J446" i="1" s="1"/>
  <c r="I480" i="1"/>
  <c r="I485" i="1" s="1"/>
  <c r="I496" i="1" s="1"/>
  <c r="I497" i="1" s="1"/>
  <c r="G471" i="1"/>
  <c r="G484" i="1"/>
  <c r="J484" i="1" s="1"/>
  <c r="G489" i="1"/>
  <c r="J486" i="1"/>
  <c r="I523" i="1"/>
  <c r="I524" i="1" s="1"/>
  <c r="G522" i="1"/>
  <c r="J522" i="1" s="1"/>
  <c r="J520" i="1"/>
  <c r="H480" i="1"/>
  <c r="H485" i="1" s="1"/>
  <c r="H496" i="1" s="1"/>
  <c r="H497" i="1" s="1"/>
  <c r="G515" i="1"/>
  <c r="J515" i="1" s="1"/>
  <c r="J481" i="1"/>
  <c r="J517" i="1"/>
  <c r="D74" i="14"/>
  <c r="C74" i="14" s="1"/>
  <c r="E68" i="14"/>
  <c r="C68" i="14" s="1"/>
  <c r="L82" i="14"/>
  <c r="K82" i="14" s="1"/>
  <c r="G82" i="14"/>
  <c r="C82" i="14"/>
  <c r="L81" i="14"/>
  <c r="K81" i="14" s="1"/>
  <c r="G81" i="14"/>
  <c r="C81" i="14"/>
  <c r="L80" i="14"/>
  <c r="K80" i="14" s="1"/>
  <c r="G80" i="14"/>
  <c r="C80" i="14"/>
  <c r="L79" i="14"/>
  <c r="K79" i="14" s="1"/>
  <c r="G79" i="14"/>
  <c r="C79" i="14"/>
  <c r="L78" i="14"/>
  <c r="K78" i="14" s="1"/>
  <c r="G78" i="14"/>
  <c r="C78" i="14"/>
  <c r="L77" i="14"/>
  <c r="K77" i="14" s="1"/>
  <c r="G77" i="14"/>
  <c r="C77" i="14"/>
  <c r="L76" i="14"/>
  <c r="K76" i="14" s="1"/>
  <c r="G76" i="14"/>
  <c r="C76" i="14"/>
  <c r="L75" i="14"/>
  <c r="K75" i="14" s="1"/>
  <c r="G75" i="14"/>
  <c r="C75" i="14"/>
  <c r="G74" i="14"/>
  <c r="L73" i="14"/>
  <c r="K73" i="14" s="1"/>
  <c r="G73" i="14"/>
  <c r="C73" i="14"/>
  <c r="L72" i="14"/>
  <c r="K72" i="14" s="1"/>
  <c r="G72" i="14"/>
  <c r="C72" i="14"/>
  <c r="L71" i="14"/>
  <c r="K71" i="14" s="1"/>
  <c r="G71" i="14"/>
  <c r="C71" i="14"/>
  <c r="L70" i="14"/>
  <c r="K70" i="14" s="1"/>
  <c r="G70" i="14"/>
  <c r="C70" i="14"/>
  <c r="L69" i="14"/>
  <c r="K69" i="14" s="1"/>
  <c r="O69" i="14" s="1"/>
  <c r="N69" i="14" s="1"/>
  <c r="G69" i="14"/>
  <c r="C69" i="14"/>
  <c r="L68" i="14"/>
  <c r="G68" i="14"/>
  <c r="L67" i="14"/>
  <c r="K67" i="14" s="1"/>
  <c r="G67" i="14"/>
  <c r="C67" i="14"/>
  <c r="I388" i="1"/>
  <c r="H388" i="1"/>
  <c r="I368" i="1"/>
  <c r="H368" i="1"/>
  <c r="H377" i="1" s="1"/>
  <c r="E245" i="17"/>
  <c r="E246" i="17" s="1"/>
  <c r="D244" i="17"/>
  <c r="D245" i="17" s="1"/>
  <c r="P243" i="17"/>
  <c r="F243" i="17"/>
  <c r="I243" i="17" s="1"/>
  <c r="P242" i="17"/>
  <c r="F242" i="17"/>
  <c r="I242" i="17" s="1"/>
  <c r="P241" i="17"/>
  <c r="F241" i="17"/>
  <c r="I241" i="17" s="1"/>
  <c r="P240" i="17"/>
  <c r="F240" i="17"/>
  <c r="I240" i="17" s="1"/>
  <c r="P239" i="17"/>
  <c r="F239" i="17"/>
  <c r="I239" i="17" s="1"/>
  <c r="P238" i="17"/>
  <c r="P237" i="17"/>
  <c r="F237" i="17"/>
  <c r="I237" i="17" s="1"/>
  <c r="P236" i="17"/>
  <c r="F236" i="17"/>
  <c r="I236" i="17" s="1"/>
  <c r="P235" i="17"/>
  <c r="F235" i="17"/>
  <c r="I235" i="17" s="1"/>
  <c r="P234" i="17"/>
  <c r="F234" i="17"/>
  <c r="I234" i="17" s="1"/>
  <c r="P233" i="17"/>
  <c r="F233" i="17"/>
  <c r="I233" i="17" s="1"/>
  <c r="F232" i="17"/>
  <c r="I232" i="17" s="1"/>
  <c r="P232" i="17"/>
  <c r="P231" i="17"/>
  <c r="F231" i="17"/>
  <c r="I231" i="17" s="1"/>
  <c r="P230" i="17"/>
  <c r="F230" i="17"/>
  <c r="I230" i="17" s="1"/>
  <c r="P229" i="17"/>
  <c r="I229" i="17"/>
  <c r="F229" i="17"/>
  <c r="P228" i="17"/>
  <c r="F228" i="17"/>
  <c r="I228" i="17" s="1"/>
  <c r="H244" i="17"/>
  <c r="H245" i="17" s="1"/>
  <c r="F227" i="17"/>
  <c r="I227" i="17" s="1"/>
  <c r="P226" i="17"/>
  <c r="F226" i="17"/>
  <c r="I226" i="17" s="1"/>
  <c r="P225" i="17"/>
  <c r="F225" i="17"/>
  <c r="I225" i="17" s="1"/>
  <c r="P224" i="17"/>
  <c r="F224" i="17"/>
  <c r="I224" i="17" s="1"/>
  <c r="P223" i="17"/>
  <c r="F223" i="17"/>
  <c r="I223" i="17" s="1"/>
  <c r="P222" i="17"/>
  <c r="F222" i="17"/>
  <c r="I222" i="17" s="1"/>
  <c r="P221" i="17"/>
  <c r="I221" i="17"/>
  <c r="F221" i="17"/>
  <c r="P220" i="17"/>
  <c r="F220" i="17"/>
  <c r="P219" i="17"/>
  <c r="F219" i="17"/>
  <c r="I219" i="17" s="1"/>
  <c r="P218" i="17"/>
  <c r="F218" i="17"/>
  <c r="I218" i="17" s="1"/>
  <c r="P217" i="17"/>
  <c r="F217" i="17"/>
  <c r="I217" i="17" s="1"/>
  <c r="P216" i="17"/>
  <c r="F216" i="17"/>
  <c r="I216" i="17" s="1"/>
  <c r="P215" i="17"/>
  <c r="F215" i="17"/>
  <c r="I215" i="17" s="1"/>
  <c r="E214" i="17"/>
  <c r="D214" i="17"/>
  <c r="H213" i="17"/>
  <c r="H214" i="17" s="1"/>
  <c r="G213" i="17"/>
  <c r="G214" i="17" s="1"/>
  <c r="P212" i="17"/>
  <c r="F212" i="17"/>
  <c r="I212" i="17" s="1"/>
  <c r="P211" i="17"/>
  <c r="F211" i="17"/>
  <c r="I211" i="17" s="1"/>
  <c r="P210" i="17"/>
  <c r="F210" i="17"/>
  <c r="I210" i="17" s="1"/>
  <c r="P209" i="17"/>
  <c r="F209" i="17"/>
  <c r="I209" i="17" s="1"/>
  <c r="P208" i="17"/>
  <c r="F208" i="17"/>
  <c r="I208" i="17" s="1"/>
  <c r="P207" i="17"/>
  <c r="F207" i="17"/>
  <c r="I207" i="17" s="1"/>
  <c r="P206" i="17"/>
  <c r="F206" i="17"/>
  <c r="I206" i="17" s="1"/>
  <c r="E205" i="17"/>
  <c r="H204" i="17"/>
  <c r="G204" i="17"/>
  <c r="D204" i="17"/>
  <c r="D205" i="17" s="1"/>
  <c r="P203" i="17"/>
  <c r="F203" i="17"/>
  <c r="I203" i="17" s="1"/>
  <c r="P202" i="17"/>
  <c r="F202" i="17"/>
  <c r="I202" i="17" s="1"/>
  <c r="P201" i="17"/>
  <c r="F201" i="17"/>
  <c r="I201" i="17" s="1"/>
  <c r="P200" i="17"/>
  <c r="F200" i="17"/>
  <c r="I200" i="17" s="1"/>
  <c r="P199" i="17"/>
  <c r="F199" i="17"/>
  <c r="I199" i="17" s="1"/>
  <c r="P198" i="17"/>
  <c r="F198" i="17"/>
  <c r="I198" i="17" s="1"/>
  <c r="P197" i="17"/>
  <c r="F197" i="17"/>
  <c r="I197" i="17" s="1"/>
  <c r="H196" i="17"/>
  <c r="H205" i="17" s="1"/>
  <c r="G196" i="17"/>
  <c r="D196" i="17"/>
  <c r="P195" i="17"/>
  <c r="F195" i="17"/>
  <c r="I195" i="17" s="1"/>
  <c r="P194" i="17"/>
  <c r="F194" i="17"/>
  <c r="I194" i="17" s="1"/>
  <c r="P193" i="17"/>
  <c r="F193" i="17"/>
  <c r="I193" i="17" s="1"/>
  <c r="P192" i="17"/>
  <c r="F192" i="17"/>
  <c r="I192" i="17" s="1"/>
  <c r="P191" i="17"/>
  <c r="F191" i="17"/>
  <c r="I191" i="17" s="1"/>
  <c r="F420" i="13"/>
  <c r="F419" i="13"/>
  <c r="F417" i="13"/>
  <c r="I417" i="13" s="1"/>
  <c r="F416" i="13"/>
  <c r="I416" i="13" s="1"/>
  <c r="F415" i="13"/>
  <c r="I415" i="13" s="1"/>
  <c r="F413" i="13"/>
  <c r="I413" i="13" s="1"/>
  <c r="F412" i="13"/>
  <c r="I412" i="13" s="1"/>
  <c r="F411" i="13"/>
  <c r="I411" i="13" s="1"/>
  <c r="F410" i="13"/>
  <c r="I410" i="13" s="1"/>
  <c r="F409" i="13"/>
  <c r="I409" i="13" s="1"/>
  <c r="F407" i="13"/>
  <c r="I407" i="13" s="1"/>
  <c r="F406" i="13"/>
  <c r="I406" i="13" s="1"/>
  <c r="F404" i="13"/>
  <c r="I404" i="13" s="1"/>
  <c r="F403" i="13"/>
  <c r="F402" i="13"/>
  <c r="I402" i="13" s="1"/>
  <c r="F401" i="13"/>
  <c r="I401" i="13" s="1"/>
  <c r="F399" i="13"/>
  <c r="I399" i="13" s="1"/>
  <c r="F398" i="13"/>
  <c r="I398" i="13" s="1"/>
  <c r="F397" i="13"/>
  <c r="I397" i="13" s="1"/>
  <c r="F394" i="13"/>
  <c r="F391" i="13"/>
  <c r="I391" i="13" s="1"/>
  <c r="F390" i="13"/>
  <c r="I390" i="13" s="1"/>
  <c r="F389" i="13"/>
  <c r="I389" i="13" s="1"/>
  <c r="F387" i="13"/>
  <c r="I387" i="13" s="1"/>
  <c r="F386" i="13"/>
  <c r="I386" i="13" s="1"/>
  <c r="F385" i="13"/>
  <c r="I385" i="13" s="1"/>
  <c r="F382" i="13"/>
  <c r="I382" i="13" s="1"/>
  <c r="F381" i="13"/>
  <c r="I381" i="13" s="1"/>
  <c r="F380" i="13"/>
  <c r="I380" i="13" s="1"/>
  <c r="F378" i="13"/>
  <c r="I378" i="13" s="1"/>
  <c r="F377" i="13"/>
  <c r="I377" i="13" s="1"/>
  <c r="F376" i="13"/>
  <c r="I376" i="13" s="1"/>
  <c r="F375" i="13"/>
  <c r="I375" i="13" s="1"/>
  <c r="F374" i="13"/>
  <c r="I374" i="13" s="1"/>
  <c r="F373" i="13"/>
  <c r="I373" i="13" s="1"/>
  <c r="F372" i="13"/>
  <c r="I372" i="13" s="1"/>
  <c r="F371" i="13"/>
  <c r="I371" i="13" s="1"/>
  <c r="F370" i="13"/>
  <c r="I370" i="13" s="1"/>
  <c r="F366" i="13"/>
  <c r="I366" i="13" s="1"/>
  <c r="F365" i="13"/>
  <c r="I365" i="13" s="1"/>
  <c r="F364" i="13"/>
  <c r="F363" i="13"/>
  <c r="I363" i="13" s="1"/>
  <c r="F362" i="13"/>
  <c r="I362" i="13" s="1"/>
  <c r="F361" i="13"/>
  <c r="I361" i="13" s="1"/>
  <c r="F360" i="13"/>
  <c r="F359" i="13"/>
  <c r="I359" i="13" s="1"/>
  <c r="F357" i="13"/>
  <c r="I357" i="13" s="1"/>
  <c r="F356" i="13"/>
  <c r="I356" i="13" s="1"/>
  <c r="F355" i="13"/>
  <c r="I355" i="13" s="1"/>
  <c r="F354" i="13"/>
  <c r="I354" i="13" s="1"/>
  <c r="F351" i="13"/>
  <c r="I351" i="13" s="1"/>
  <c r="F350" i="13"/>
  <c r="I350" i="13" s="1"/>
  <c r="F349" i="13"/>
  <c r="F347" i="13"/>
  <c r="I347" i="13" s="1"/>
  <c r="F346" i="13"/>
  <c r="I346" i="13" s="1"/>
  <c r="F344" i="13"/>
  <c r="I344" i="13" s="1"/>
  <c r="F343" i="13"/>
  <c r="F342" i="13"/>
  <c r="I342" i="13" s="1"/>
  <c r="F341" i="13"/>
  <c r="I341" i="13" s="1"/>
  <c r="F340" i="13"/>
  <c r="I340" i="13" s="1"/>
  <c r="F339" i="13"/>
  <c r="I339" i="13" s="1"/>
  <c r="F338" i="13"/>
  <c r="I338" i="13" s="1"/>
  <c r="F336" i="13"/>
  <c r="I336" i="13" s="1"/>
  <c r="F335" i="13"/>
  <c r="I335" i="13" s="1"/>
  <c r="F334" i="13"/>
  <c r="I334" i="13" s="1"/>
  <c r="F333" i="13"/>
  <c r="I333" i="13" s="1"/>
  <c r="F332" i="13"/>
  <c r="I332" i="13" s="1"/>
  <c r="F331" i="13"/>
  <c r="F330" i="13"/>
  <c r="F328" i="13"/>
  <c r="I328" i="13" s="1"/>
  <c r="F327" i="13"/>
  <c r="I327" i="13" s="1"/>
  <c r="F326" i="13"/>
  <c r="I326" i="13" s="1"/>
  <c r="F325" i="13"/>
  <c r="J421" i="13"/>
  <c r="I421" i="13"/>
  <c r="I403" i="13"/>
  <c r="I394" i="13"/>
  <c r="I364" i="13"/>
  <c r="I360" i="13"/>
  <c r="I349" i="13"/>
  <c r="I343" i="13"/>
  <c r="I331" i="13"/>
  <c r="F420" i="1"/>
  <c r="F421" i="1" s="1"/>
  <c r="E420" i="1"/>
  <c r="E421" i="1" s="1"/>
  <c r="I419" i="1"/>
  <c r="H419" i="1"/>
  <c r="G418" i="1"/>
  <c r="J418" i="1" s="1"/>
  <c r="G417" i="1"/>
  <c r="I416" i="1"/>
  <c r="H416" i="1"/>
  <c r="G415" i="1"/>
  <c r="J415" i="1" s="1"/>
  <c r="G414" i="1"/>
  <c r="J414" i="1" s="1"/>
  <c r="G413" i="1"/>
  <c r="I412" i="1"/>
  <c r="H412" i="1"/>
  <c r="G411" i="1"/>
  <c r="J411" i="1" s="1"/>
  <c r="G410" i="1"/>
  <c r="J410" i="1" s="1"/>
  <c r="G409" i="1"/>
  <c r="J409" i="1" s="1"/>
  <c r="G408" i="1"/>
  <c r="J408" i="1" s="1"/>
  <c r="G407" i="1"/>
  <c r="J407" i="1" s="1"/>
  <c r="I406" i="1"/>
  <c r="H406" i="1"/>
  <c r="G405" i="1"/>
  <c r="J405" i="1" s="1"/>
  <c r="G404" i="1"/>
  <c r="I403" i="1"/>
  <c r="H403" i="1"/>
  <c r="G402" i="1"/>
  <c r="J402" i="1" s="1"/>
  <c r="G401" i="1"/>
  <c r="J401" i="1" s="1"/>
  <c r="G400" i="1"/>
  <c r="J400" i="1" s="1"/>
  <c r="G399" i="1"/>
  <c r="J399" i="1" s="1"/>
  <c r="I398" i="1"/>
  <c r="H398" i="1"/>
  <c r="G397" i="1"/>
  <c r="J397" i="1" s="1"/>
  <c r="G396" i="1"/>
  <c r="J396" i="1" s="1"/>
  <c r="G395" i="1"/>
  <c r="F393" i="1"/>
  <c r="F394" i="1" s="1"/>
  <c r="E393" i="1"/>
  <c r="E394" i="1" s="1"/>
  <c r="G392" i="1"/>
  <c r="J392" i="1" s="1"/>
  <c r="I390" i="1"/>
  <c r="H390" i="1"/>
  <c r="G389" i="1"/>
  <c r="J389" i="1" s="1"/>
  <c r="G388" i="1"/>
  <c r="J388" i="1" s="1"/>
  <c r="G387" i="1"/>
  <c r="I386" i="1"/>
  <c r="H386" i="1"/>
  <c r="G385" i="1"/>
  <c r="J385" i="1" s="1"/>
  <c r="G384" i="1"/>
  <c r="G383" i="1"/>
  <c r="J383" i="1" s="1"/>
  <c r="I381" i="1"/>
  <c r="H381" i="1"/>
  <c r="G380" i="1"/>
  <c r="J380" i="1" s="1"/>
  <c r="G379" i="1"/>
  <c r="J379" i="1" s="1"/>
  <c r="G378" i="1"/>
  <c r="I377" i="1"/>
  <c r="I382" i="1" s="1"/>
  <c r="G376" i="1"/>
  <c r="J376" i="1" s="1"/>
  <c r="G375" i="1"/>
  <c r="J375" i="1" s="1"/>
  <c r="G374" i="1"/>
  <c r="J374" i="1" s="1"/>
  <c r="G373" i="1"/>
  <c r="J373" i="1" s="1"/>
  <c r="G372" i="1"/>
  <c r="J372" i="1" s="1"/>
  <c r="G371" i="1"/>
  <c r="J371" i="1" s="1"/>
  <c r="G370" i="1"/>
  <c r="J370" i="1" s="1"/>
  <c r="G369" i="1"/>
  <c r="J369" i="1" s="1"/>
  <c r="F366" i="1"/>
  <c r="E366" i="1"/>
  <c r="I365" i="1"/>
  <c r="H365" i="1"/>
  <c r="G364" i="1"/>
  <c r="J364" i="1" s="1"/>
  <c r="G363" i="1"/>
  <c r="J363" i="1" s="1"/>
  <c r="G362" i="1"/>
  <c r="J362" i="1" s="1"/>
  <c r="G361" i="1"/>
  <c r="J361" i="1" s="1"/>
  <c r="G360" i="1"/>
  <c r="J360" i="1" s="1"/>
  <c r="G359" i="1"/>
  <c r="J359" i="1" s="1"/>
  <c r="G358" i="1"/>
  <c r="J358" i="1" s="1"/>
  <c r="G357" i="1"/>
  <c r="I356" i="1"/>
  <c r="I366" i="1" s="1"/>
  <c r="H356" i="1"/>
  <c r="G355" i="1"/>
  <c r="J355" i="1" s="1"/>
  <c r="G354" i="1"/>
  <c r="J354" i="1" s="1"/>
  <c r="G353" i="1"/>
  <c r="J353" i="1" s="1"/>
  <c r="G352" i="1"/>
  <c r="J352" i="1" s="1"/>
  <c r="I350" i="1"/>
  <c r="H350" i="1"/>
  <c r="E350" i="1"/>
  <c r="G349" i="1"/>
  <c r="J349" i="1" s="1"/>
  <c r="G348" i="1"/>
  <c r="G347" i="1"/>
  <c r="J347" i="1" s="1"/>
  <c r="I346" i="1"/>
  <c r="H346" i="1"/>
  <c r="F346" i="1"/>
  <c r="F351" i="1" s="1"/>
  <c r="E346" i="1"/>
  <c r="G345" i="1"/>
  <c r="G344" i="1"/>
  <c r="G346" i="1" s="1"/>
  <c r="J346" i="1" s="1"/>
  <c r="I343" i="1"/>
  <c r="H343" i="1"/>
  <c r="E343" i="1"/>
  <c r="E351" i="1" s="1"/>
  <c r="G342" i="1"/>
  <c r="J342" i="1" s="1"/>
  <c r="G341" i="1"/>
  <c r="J341" i="1" s="1"/>
  <c r="G340" i="1"/>
  <c r="J340" i="1" s="1"/>
  <c r="G339" i="1"/>
  <c r="J339" i="1" s="1"/>
  <c r="G338" i="1"/>
  <c r="G337" i="1"/>
  <c r="J337" i="1" s="1"/>
  <c r="G336" i="1"/>
  <c r="J336" i="1" s="1"/>
  <c r="I335" i="1"/>
  <c r="H335" i="1"/>
  <c r="G334" i="1"/>
  <c r="J334" i="1" s="1"/>
  <c r="G333" i="1"/>
  <c r="J333" i="1" s="1"/>
  <c r="G332" i="1"/>
  <c r="J332" i="1" s="1"/>
  <c r="G331" i="1"/>
  <c r="J331" i="1" s="1"/>
  <c r="G330" i="1"/>
  <c r="J330" i="1" s="1"/>
  <c r="G329" i="1"/>
  <c r="J329" i="1" s="1"/>
  <c r="G328" i="1"/>
  <c r="I327" i="1"/>
  <c r="H327" i="1"/>
  <c r="G326" i="1"/>
  <c r="J326" i="1" s="1"/>
  <c r="G325" i="1"/>
  <c r="J325" i="1" s="1"/>
  <c r="G324" i="1"/>
  <c r="J324" i="1" s="1"/>
  <c r="G323" i="1"/>
  <c r="J323" i="1" s="1"/>
  <c r="E57" i="14"/>
  <c r="D57" i="14"/>
  <c r="L57" i="14" s="1"/>
  <c r="K57" i="14" s="1"/>
  <c r="I57" i="14"/>
  <c r="H57" i="14"/>
  <c r="E56" i="14"/>
  <c r="D56" i="14"/>
  <c r="E50" i="14"/>
  <c r="C50" i="14" s="1"/>
  <c r="E52" i="14"/>
  <c r="E49" i="14"/>
  <c r="L64" i="14"/>
  <c r="K64" i="14" s="1"/>
  <c r="G64" i="14"/>
  <c r="C64" i="14"/>
  <c r="L63" i="14"/>
  <c r="K63" i="14" s="1"/>
  <c r="G63" i="14"/>
  <c r="C63" i="14"/>
  <c r="L62" i="14"/>
  <c r="K62" i="14" s="1"/>
  <c r="G62" i="14"/>
  <c r="C62" i="14"/>
  <c r="L61" i="14"/>
  <c r="K61" i="14" s="1"/>
  <c r="G61" i="14"/>
  <c r="C61" i="14"/>
  <c r="L60" i="14"/>
  <c r="K60" i="14" s="1"/>
  <c r="G60" i="14"/>
  <c r="C60" i="14"/>
  <c r="L59" i="14"/>
  <c r="K59" i="14" s="1"/>
  <c r="G59" i="14"/>
  <c r="C59" i="14"/>
  <c r="L58" i="14"/>
  <c r="K58" i="14" s="1"/>
  <c r="G58" i="14"/>
  <c r="C58" i="14"/>
  <c r="G57" i="14"/>
  <c r="G56" i="14"/>
  <c r="C56" i="14"/>
  <c r="L55" i="14"/>
  <c r="K55" i="14" s="1"/>
  <c r="M55" i="14" s="1"/>
  <c r="G55" i="14"/>
  <c r="C55" i="14"/>
  <c r="L54" i="14"/>
  <c r="K54" i="14" s="1"/>
  <c r="G54" i="14"/>
  <c r="C54" i="14"/>
  <c r="L53" i="14"/>
  <c r="K53" i="14" s="1"/>
  <c r="G53" i="14"/>
  <c r="C53" i="14"/>
  <c r="L52" i="14"/>
  <c r="K52" i="14" s="1"/>
  <c r="G52" i="14"/>
  <c r="C52" i="14"/>
  <c r="L51" i="14"/>
  <c r="K51" i="14" s="1"/>
  <c r="G51" i="14"/>
  <c r="C51" i="14"/>
  <c r="L50" i="14"/>
  <c r="G50" i="14"/>
  <c r="L49" i="14"/>
  <c r="K49" i="14" s="1"/>
  <c r="G49" i="14"/>
  <c r="C49" i="14"/>
  <c r="F238" i="13"/>
  <c r="F242" i="13"/>
  <c r="I242" i="13" s="1"/>
  <c r="E367" i="1" l="1"/>
  <c r="E422" i="1" s="1"/>
  <c r="K68" i="14"/>
  <c r="O68" i="14" s="1"/>
  <c r="N68" i="14" s="1"/>
  <c r="K50" i="14"/>
  <c r="G368" i="1"/>
  <c r="F367" i="1"/>
  <c r="F422" i="1" s="1"/>
  <c r="I391" i="1"/>
  <c r="G205" i="17"/>
  <c r="H470" i="1"/>
  <c r="F497" i="13"/>
  <c r="H293" i="16"/>
  <c r="P204" i="17"/>
  <c r="F213" i="17"/>
  <c r="F214" i="17" s="1"/>
  <c r="I214" i="17" s="1"/>
  <c r="I488" i="13"/>
  <c r="G381" i="1"/>
  <c r="J381" i="1" s="1"/>
  <c r="J378" i="1"/>
  <c r="H382" i="1"/>
  <c r="G343" i="1"/>
  <c r="J343" i="1" s="1"/>
  <c r="I420" i="1"/>
  <c r="I421" i="1" s="1"/>
  <c r="F421" i="13"/>
  <c r="F329" i="13"/>
  <c r="I497" i="13"/>
  <c r="I499" i="13" s="1"/>
  <c r="I500" i="13" s="1"/>
  <c r="I408" i="13"/>
  <c r="I472" i="13"/>
  <c r="G416" i="1"/>
  <c r="J416" i="1" s="1"/>
  <c r="J413" i="1"/>
  <c r="G406" i="1"/>
  <c r="J406" i="1" s="1"/>
  <c r="J404" i="1"/>
  <c r="G356" i="1"/>
  <c r="F337" i="13"/>
  <c r="G350" i="1"/>
  <c r="J350" i="1" s="1"/>
  <c r="F488" i="13"/>
  <c r="F499" i="13" s="1"/>
  <c r="F500" i="13" s="1"/>
  <c r="I526" i="13"/>
  <c r="I527" i="13" s="1"/>
  <c r="J344" i="1"/>
  <c r="G386" i="1"/>
  <c r="I457" i="13"/>
  <c r="G600" i="1"/>
  <c r="G628" i="1" s="1"/>
  <c r="J628" i="1" s="1"/>
  <c r="J599" i="1"/>
  <c r="J600" i="1" s="1"/>
  <c r="J573" i="1"/>
  <c r="P305" i="17"/>
  <c r="P96" i="14"/>
  <c r="Q96" i="14"/>
  <c r="S96" i="14" s="1"/>
  <c r="R96" i="14"/>
  <c r="P93" i="14"/>
  <c r="Q93" i="14"/>
  <c r="R93" i="14"/>
  <c r="Q89" i="14"/>
  <c r="R89" i="14"/>
  <c r="P89" i="14"/>
  <c r="P97" i="14"/>
  <c r="T97" i="14" s="1"/>
  <c r="R97" i="14"/>
  <c r="Q97" i="14"/>
  <c r="S97" i="14" s="1"/>
  <c r="Q86" i="14"/>
  <c r="P86" i="14"/>
  <c r="R86" i="14"/>
  <c r="Q91" i="14"/>
  <c r="S91" i="14" s="1"/>
  <c r="T91" i="14" s="1"/>
  <c r="R91" i="14"/>
  <c r="P91" i="14"/>
  <c r="P94" i="14"/>
  <c r="R94" i="14"/>
  <c r="Q94" i="14"/>
  <c r="P100" i="14"/>
  <c r="R100" i="14"/>
  <c r="Q100" i="14"/>
  <c r="S100" i="14" s="1"/>
  <c r="N92" i="14"/>
  <c r="P98" i="14"/>
  <c r="Q98" i="14"/>
  <c r="S98" i="14" s="1"/>
  <c r="R98" i="14"/>
  <c r="R85" i="14"/>
  <c r="Q85" i="14"/>
  <c r="P85" i="14"/>
  <c r="T96" i="14"/>
  <c r="Q88" i="14"/>
  <c r="P88" i="14"/>
  <c r="R88" i="14"/>
  <c r="Q90" i="14"/>
  <c r="S90" i="14" s="1"/>
  <c r="P90" i="14"/>
  <c r="R90" i="14"/>
  <c r="P99" i="14"/>
  <c r="R99" i="14"/>
  <c r="Q99" i="14"/>
  <c r="Q87" i="14"/>
  <c r="P87" i="14"/>
  <c r="R87" i="14"/>
  <c r="P95" i="14"/>
  <c r="R95" i="14"/>
  <c r="Q95" i="14"/>
  <c r="I303" i="17"/>
  <c r="I525" i="1"/>
  <c r="I304" i="17"/>
  <c r="F264" i="17"/>
  <c r="I264" i="17" s="1"/>
  <c r="I255" i="17"/>
  <c r="F472" i="13"/>
  <c r="F526" i="13"/>
  <c r="F527" i="13" s="1"/>
  <c r="F457" i="13"/>
  <c r="G494" i="1"/>
  <c r="J494" i="1" s="1"/>
  <c r="J489" i="1"/>
  <c r="G480" i="1"/>
  <c r="J471" i="1"/>
  <c r="J438" i="1"/>
  <c r="G454" i="1"/>
  <c r="G523" i="1"/>
  <c r="J501" i="1"/>
  <c r="H525" i="1"/>
  <c r="G469" i="1"/>
  <c r="J469" i="1" s="1"/>
  <c r="J459" i="1"/>
  <c r="R69" i="14"/>
  <c r="Q69" i="14"/>
  <c r="P69" i="14"/>
  <c r="O81" i="14"/>
  <c r="N81" i="14" s="1"/>
  <c r="M81" i="14"/>
  <c r="O67" i="14"/>
  <c r="N67" i="14" s="1"/>
  <c r="M67" i="14"/>
  <c r="M73" i="14"/>
  <c r="O73" i="14"/>
  <c r="N73" i="14" s="1"/>
  <c r="O76" i="14"/>
  <c r="N76" i="14" s="1"/>
  <c r="M76" i="14"/>
  <c r="O80" i="14"/>
  <c r="N80" i="14" s="1"/>
  <c r="M80" i="14"/>
  <c r="R68" i="14"/>
  <c r="Q68" i="14"/>
  <c r="P68" i="14"/>
  <c r="M70" i="14"/>
  <c r="O70" i="14"/>
  <c r="N70" i="14" s="1"/>
  <c r="O77" i="14"/>
  <c r="N77" i="14" s="1"/>
  <c r="M77" i="14"/>
  <c r="M72" i="14"/>
  <c r="O72" i="14"/>
  <c r="N72" i="14" s="1"/>
  <c r="O75" i="14"/>
  <c r="N75" i="14" s="1"/>
  <c r="M75" i="14"/>
  <c r="O79" i="14"/>
  <c r="N79" i="14" s="1"/>
  <c r="M79" i="14"/>
  <c r="M71" i="14"/>
  <c r="O71" i="14"/>
  <c r="N71" i="14" s="1"/>
  <c r="O78" i="14"/>
  <c r="N78" i="14" s="1"/>
  <c r="M78" i="14"/>
  <c r="O82" i="14"/>
  <c r="N82" i="14" s="1"/>
  <c r="M82" i="14"/>
  <c r="L74" i="14"/>
  <c r="K74" i="14" s="1"/>
  <c r="M68" i="14"/>
  <c r="M69" i="14"/>
  <c r="H391" i="1"/>
  <c r="H393" i="1" s="1"/>
  <c r="H394" i="1" s="1"/>
  <c r="P213" i="17"/>
  <c r="P214" i="17" s="1"/>
  <c r="I351" i="1"/>
  <c r="I367" i="1" s="1"/>
  <c r="G335" i="1"/>
  <c r="J335" i="1" s="1"/>
  <c r="H351" i="1"/>
  <c r="P196" i="17"/>
  <c r="P205" i="17" s="1"/>
  <c r="I213" i="17"/>
  <c r="H246" i="17"/>
  <c r="I220" i="17"/>
  <c r="F196" i="17"/>
  <c r="D246" i="17"/>
  <c r="F204" i="17"/>
  <c r="I204" i="17" s="1"/>
  <c r="P227" i="17"/>
  <c r="P244" i="17" s="1"/>
  <c r="P245" i="17" s="1"/>
  <c r="G244" i="17"/>
  <c r="G245" i="17" s="1"/>
  <c r="G246" i="17" s="1"/>
  <c r="F238" i="17"/>
  <c r="I238" i="17" s="1"/>
  <c r="I418" i="13"/>
  <c r="I400" i="13"/>
  <c r="I392" i="13"/>
  <c r="I388" i="13"/>
  <c r="I383" i="13"/>
  <c r="I367" i="13"/>
  <c r="I352" i="13"/>
  <c r="I325" i="13"/>
  <c r="I329" i="13" s="1"/>
  <c r="I330" i="13"/>
  <c r="I337" i="13" s="1"/>
  <c r="I345" i="13"/>
  <c r="F348" i="13"/>
  <c r="F352" i="13"/>
  <c r="I358" i="13"/>
  <c r="F358" i="13"/>
  <c r="I379" i="13"/>
  <c r="F392" i="13"/>
  <c r="F400" i="13"/>
  <c r="F418" i="13"/>
  <c r="I414" i="13"/>
  <c r="F383" i="13"/>
  <c r="F388" i="13"/>
  <c r="I405" i="13"/>
  <c r="F405" i="13"/>
  <c r="F414" i="13"/>
  <c r="F345" i="13"/>
  <c r="I348" i="13"/>
  <c r="F367" i="13"/>
  <c r="F379" i="13"/>
  <c r="F408" i="13"/>
  <c r="G365" i="1"/>
  <c r="J365" i="1" s="1"/>
  <c r="H366" i="1"/>
  <c r="G327" i="1"/>
  <c r="J327" i="1" s="1"/>
  <c r="J356" i="1"/>
  <c r="J328" i="1"/>
  <c r="J338" i="1"/>
  <c r="J348" i="1"/>
  <c r="J357" i="1"/>
  <c r="G377" i="1"/>
  <c r="I393" i="1"/>
  <c r="I394" i="1" s="1"/>
  <c r="I422" i="1" s="1"/>
  <c r="H420" i="1"/>
  <c r="H421" i="1" s="1"/>
  <c r="G403" i="1"/>
  <c r="J403" i="1" s="1"/>
  <c r="G390" i="1"/>
  <c r="J390" i="1" s="1"/>
  <c r="J387" i="1"/>
  <c r="J386" i="1"/>
  <c r="G398" i="1"/>
  <c r="J395" i="1"/>
  <c r="G419" i="1"/>
  <c r="J419" i="1" s="1"/>
  <c r="J417" i="1"/>
  <c r="G412" i="1"/>
  <c r="J412" i="1" s="1"/>
  <c r="J368" i="1"/>
  <c r="J384" i="1"/>
  <c r="O53" i="14"/>
  <c r="N53" i="14" s="1"/>
  <c r="M53" i="14"/>
  <c r="O59" i="14"/>
  <c r="N59" i="14" s="1"/>
  <c r="M59" i="14"/>
  <c r="O51" i="14"/>
  <c r="N51" i="14" s="1"/>
  <c r="M51" i="14"/>
  <c r="O52" i="14"/>
  <c r="N52" i="14" s="1"/>
  <c r="M52" i="14"/>
  <c r="O58" i="14"/>
  <c r="N58" i="14" s="1"/>
  <c r="M58" i="14"/>
  <c r="O62" i="14"/>
  <c r="N62" i="14" s="1"/>
  <c r="M62" i="14"/>
  <c r="O63" i="14"/>
  <c r="N63" i="14" s="1"/>
  <c r="M63" i="14"/>
  <c r="O50" i="14"/>
  <c r="N50" i="14" s="1"/>
  <c r="M50" i="14"/>
  <c r="O61" i="14"/>
  <c r="N61" i="14" s="1"/>
  <c r="M61" i="14"/>
  <c r="O57" i="14"/>
  <c r="M57" i="14"/>
  <c r="M49" i="14"/>
  <c r="O49" i="14"/>
  <c r="N49" i="14" s="1"/>
  <c r="O54" i="14"/>
  <c r="N54" i="14" s="1"/>
  <c r="M54" i="14"/>
  <c r="O60" i="14"/>
  <c r="N60" i="14" s="1"/>
  <c r="M60" i="14"/>
  <c r="O64" i="14"/>
  <c r="N64" i="14" s="1"/>
  <c r="M64" i="14"/>
  <c r="O55" i="14"/>
  <c r="N55" i="14" s="1"/>
  <c r="L56" i="14"/>
  <c r="K56" i="14" s="1"/>
  <c r="C57" i="14"/>
  <c r="H179" i="17"/>
  <c r="G179" i="17"/>
  <c r="H173" i="17"/>
  <c r="G173" i="17"/>
  <c r="H168" i="17"/>
  <c r="G168" i="17"/>
  <c r="S69" i="14" l="1"/>
  <c r="S87" i="14"/>
  <c r="T87" i="14" s="1"/>
  <c r="T98" i="14"/>
  <c r="S99" i="14"/>
  <c r="T99" i="14" s="1"/>
  <c r="T90" i="14"/>
  <c r="S88" i="14"/>
  <c r="T88" i="14" s="1"/>
  <c r="T100" i="14"/>
  <c r="I473" i="13"/>
  <c r="I528" i="13" s="1"/>
  <c r="I368" i="13"/>
  <c r="F473" i="13"/>
  <c r="F528" i="13" s="1"/>
  <c r="I384" i="13"/>
  <c r="G366" i="1"/>
  <c r="J366" i="1" s="1"/>
  <c r="F384" i="13"/>
  <c r="F368" i="13"/>
  <c r="I393" i="13"/>
  <c r="I395" i="13" s="1"/>
  <c r="I396" i="13" s="1"/>
  <c r="I422" i="13"/>
  <c r="I423" i="13" s="1"/>
  <c r="S86" i="14"/>
  <c r="T86" i="14" s="1"/>
  <c r="S94" i="14"/>
  <c r="T94" i="14" s="1"/>
  <c r="S95" i="14"/>
  <c r="T95" i="14" s="1"/>
  <c r="S85" i="14"/>
  <c r="T85" i="14" s="1"/>
  <c r="P92" i="14"/>
  <c r="R92" i="14"/>
  <c r="Q92" i="14"/>
  <c r="S92" i="14" s="1"/>
  <c r="S89" i="14"/>
  <c r="T89" i="14" s="1"/>
  <c r="S93" i="14"/>
  <c r="T93" i="14" s="1"/>
  <c r="F305" i="17"/>
  <c r="I305" i="17" s="1"/>
  <c r="G470" i="1"/>
  <c r="J454" i="1"/>
  <c r="J480" i="1"/>
  <c r="G485" i="1"/>
  <c r="G524" i="1"/>
  <c r="J523" i="1"/>
  <c r="J524" i="1" s="1"/>
  <c r="Q71" i="14"/>
  <c r="R71" i="14"/>
  <c r="P71" i="14"/>
  <c r="P80" i="14"/>
  <c r="R80" i="14"/>
  <c r="Q80" i="14"/>
  <c r="R81" i="14"/>
  <c r="Q81" i="14"/>
  <c r="S81" i="14" s="1"/>
  <c r="T81" i="14" s="1"/>
  <c r="P81" i="14"/>
  <c r="T69" i="14"/>
  <c r="R82" i="14"/>
  <c r="P82" i="14"/>
  <c r="Q82" i="14"/>
  <c r="P75" i="14"/>
  <c r="R75" i="14"/>
  <c r="Q75" i="14"/>
  <c r="R77" i="14"/>
  <c r="P77" i="14"/>
  <c r="Q77" i="14"/>
  <c r="S77" i="14" s="1"/>
  <c r="T77" i="14" s="1"/>
  <c r="S68" i="14"/>
  <c r="T68" i="14" s="1"/>
  <c r="Q72" i="14"/>
  <c r="P72" i="14"/>
  <c r="R72" i="14"/>
  <c r="Q70" i="14"/>
  <c r="S70" i="14" s="1"/>
  <c r="T70" i="14" s="1"/>
  <c r="P70" i="14"/>
  <c r="R70" i="14"/>
  <c r="R76" i="14"/>
  <c r="P76" i="14"/>
  <c r="Q76" i="14"/>
  <c r="R67" i="14"/>
  <c r="P67" i="14"/>
  <c r="Q67" i="14"/>
  <c r="S67" i="14" s="1"/>
  <c r="O74" i="14"/>
  <c r="N74" i="14" s="1"/>
  <c r="M74" i="14"/>
  <c r="R78" i="14"/>
  <c r="P78" i="14"/>
  <c r="Q78" i="14"/>
  <c r="P79" i="14"/>
  <c r="R79" i="14"/>
  <c r="Q79" i="14"/>
  <c r="Q73" i="14"/>
  <c r="R73" i="14"/>
  <c r="P73" i="14"/>
  <c r="G391" i="1"/>
  <c r="J391" i="1" s="1"/>
  <c r="H367" i="1"/>
  <c r="H422" i="1" s="1"/>
  <c r="G351" i="1"/>
  <c r="J351" i="1" s="1"/>
  <c r="F244" i="17"/>
  <c r="I244" i="17" s="1"/>
  <c r="P246" i="17"/>
  <c r="I196" i="17"/>
  <c r="F205" i="17"/>
  <c r="I205" i="17" s="1"/>
  <c r="F353" i="13"/>
  <c r="F422" i="13"/>
  <c r="F423" i="13" s="1"/>
  <c r="I353" i="13"/>
  <c r="I369" i="13" s="1"/>
  <c r="F393" i="13"/>
  <c r="G382" i="1"/>
  <c r="J377" i="1"/>
  <c r="G420" i="1"/>
  <c r="J398" i="1"/>
  <c r="P64" i="14"/>
  <c r="R64" i="14"/>
  <c r="Q64" i="14"/>
  <c r="M56" i="14"/>
  <c r="O56" i="14"/>
  <c r="N56" i="14" s="1"/>
  <c r="Q49" i="14"/>
  <c r="P49" i="14"/>
  <c r="R49" i="14"/>
  <c r="N57" i="14"/>
  <c r="P50" i="14"/>
  <c r="Q50" i="14"/>
  <c r="R50" i="14"/>
  <c r="P62" i="14"/>
  <c r="R62" i="14"/>
  <c r="Q62" i="14"/>
  <c r="R52" i="14"/>
  <c r="Q52" i="14"/>
  <c r="P52" i="14"/>
  <c r="P59" i="14"/>
  <c r="R59" i="14"/>
  <c r="Q59" i="14"/>
  <c r="S59" i="14" s="1"/>
  <c r="R55" i="14"/>
  <c r="Q55" i="14"/>
  <c r="P55" i="14"/>
  <c r="P60" i="14"/>
  <c r="R60" i="14"/>
  <c r="Q60" i="14"/>
  <c r="R54" i="14"/>
  <c r="Q54" i="14"/>
  <c r="P54" i="14"/>
  <c r="P61" i="14"/>
  <c r="R61" i="14"/>
  <c r="Q61" i="14"/>
  <c r="P63" i="14"/>
  <c r="R63" i="14"/>
  <c r="Q63" i="14"/>
  <c r="S63" i="14" s="1"/>
  <c r="P58" i="14"/>
  <c r="R58" i="14"/>
  <c r="Q58" i="14"/>
  <c r="P51" i="14"/>
  <c r="R51" i="14"/>
  <c r="Q51" i="14"/>
  <c r="R53" i="14"/>
  <c r="Q53" i="14"/>
  <c r="P53" i="14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I210" i="16"/>
  <c r="H208" i="16"/>
  <c r="H207" i="16"/>
  <c r="H206" i="16"/>
  <c r="H204" i="16"/>
  <c r="H203" i="16"/>
  <c r="H202" i="16"/>
  <c r="H201" i="16"/>
  <c r="H200" i="16"/>
  <c r="H199" i="16"/>
  <c r="H198" i="16"/>
  <c r="H197" i="16"/>
  <c r="H196" i="16"/>
  <c r="H195" i="16"/>
  <c r="H194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E186" i="17"/>
  <c r="H185" i="17"/>
  <c r="H186" i="17" s="1"/>
  <c r="G185" i="17"/>
  <c r="G186" i="17" s="1"/>
  <c r="D185" i="17"/>
  <c r="D186" i="17" s="1"/>
  <c r="P184" i="17"/>
  <c r="F184" i="17"/>
  <c r="I184" i="17" s="1"/>
  <c r="P183" i="17"/>
  <c r="F183" i="17"/>
  <c r="I183" i="17" s="1"/>
  <c r="P182" i="17"/>
  <c r="F182" i="17"/>
  <c r="I182" i="17" s="1"/>
  <c r="P181" i="17"/>
  <c r="F181" i="17"/>
  <c r="I181" i="17" s="1"/>
  <c r="P180" i="17"/>
  <c r="F180" i="17"/>
  <c r="I180" i="17" s="1"/>
  <c r="P179" i="17"/>
  <c r="F179" i="17"/>
  <c r="I179" i="17" s="1"/>
  <c r="P178" i="17"/>
  <c r="I178" i="17"/>
  <c r="F178" i="17"/>
  <c r="P177" i="17"/>
  <c r="F177" i="17"/>
  <c r="I177" i="17" s="1"/>
  <c r="P176" i="17"/>
  <c r="F176" i="17"/>
  <c r="I176" i="17" s="1"/>
  <c r="P175" i="17"/>
  <c r="F175" i="17"/>
  <c r="I175" i="17" s="1"/>
  <c r="P174" i="17"/>
  <c r="F174" i="17"/>
  <c r="I174" i="17" s="1"/>
  <c r="P173" i="17"/>
  <c r="F173" i="17"/>
  <c r="I173" i="17" s="1"/>
  <c r="P172" i="17"/>
  <c r="F172" i="17"/>
  <c r="I172" i="17" s="1"/>
  <c r="P171" i="17"/>
  <c r="F171" i="17"/>
  <c r="I171" i="17" s="1"/>
  <c r="P170" i="17"/>
  <c r="F170" i="17"/>
  <c r="I170" i="17" s="1"/>
  <c r="P169" i="17"/>
  <c r="F169" i="17"/>
  <c r="I169" i="17" s="1"/>
  <c r="P168" i="17"/>
  <c r="F168" i="17"/>
  <c r="I168" i="17" s="1"/>
  <c r="P167" i="17"/>
  <c r="I167" i="17"/>
  <c r="F167" i="17"/>
  <c r="P166" i="17"/>
  <c r="F166" i="17"/>
  <c r="I166" i="17" s="1"/>
  <c r="P165" i="17"/>
  <c r="F165" i="17"/>
  <c r="I165" i="17" s="1"/>
  <c r="P164" i="17"/>
  <c r="F164" i="17"/>
  <c r="I164" i="17" s="1"/>
  <c r="P163" i="17"/>
  <c r="F163" i="17"/>
  <c r="I163" i="17" s="1"/>
  <c r="P162" i="17"/>
  <c r="F162" i="17"/>
  <c r="I162" i="17" s="1"/>
  <c r="P161" i="17"/>
  <c r="F161" i="17"/>
  <c r="I161" i="17" s="1"/>
  <c r="P160" i="17"/>
  <c r="F160" i="17"/>
  <c r="I160" i="17" s="1"/>
  <c r="P159" i="17"/>
  <c r="F159" i="17"/>
  <c r="I159" i="17" s="1"/>
  <c r="P158" i="17"/>
  <c r="F158" i="17"/>
  <c r="I158" i="17" s="1"/>
  <c r="P157" i="17"/>
  <c r="F157" i="17"/>
  <c r="I157" i="17" s="1"/>
  <c r="P156" i="17"/>
  <c r="I156" i="17"/>
  <c r="F156" i="17"/>
  <c r="E155" i="17"/>
  <c r="D155" i="17"/>
  <c r="H154" i="17"/>
  <c r="H155" i="17" s="1"/>
  <c r="G154" i="17"/>
  <c r="G155" i="17" s="1"/>
  <c r="P153" i="17"/>
  <c r="F153" i="17"/>
  <c r="I153" i="17" s="1"/>
  <c r="P152" i="17"/>
  <c r="F152" i="17"/>
  <c r="I152" i="17" s="1"/>
  <c r="P151" i="17"/>
  <c r="F151" i="17"/>
  <c r="I151" i="17" s="1"/>
  <c r="P150" i="17"/>
  <c r="F150" i="17"/>
  <c r="I150" i="17" s="1"/>
  <c r="P149" i="17"/>
  <c r="F149" i="17"/>
  <c r="I149" i="17" s="1"/>
  <c r="P148" i="17"/>
  <c r="F148" i="17"/>
  <c r="I148" i="17" s="1"/>
  <c r="P147" i="17"/>
  <c r="F147" i="17"/>
  <c r="E146" i="17"/>
  <c r="E187" i="17" s="1"/>
  <c r="H145" i="17"/>
  <c r="G145" i="17"/>
  <c r="D145" i="17"/>
  <c r="P144" i="17"/>
  <c r="F144" i="17"/>
  <c r="I144" i="17" s="1"/>
  <c r="P143" i="17"/>
  <c r="F143" i="17"/>
  <c r="I143" i="17" s="1"/>
  <c r="P142" i="17"/>
  <c r="F142" i="17"/>
  <c r="I142" i="17" s="1"/>
  <c r="P141" i="17"/>
  <c r="F141" i="17"/>
  <c r="I141" i="17" s="1"/>
  <c r="P140" i="17"/>
  <c r="F140" i="17"/>
  <c r="I140" i="17" s="1"/>
  <c r="P139" i="17"/>
  <c r="I139" i="17"/>
  <c r="F139" i="17"/>
  <c r="P138" i="17"/>
  <c r="F138" i="17"/>
  <c r="I138" i="17" s="1"/>
  <c r="H137" i="17"/>
  <c r="G137" i="17"/>
  <c r="D137" i="17"/>
  <c r="P136" i="17"/>
  <c r="F136" i="17"/>
  <c r="I136" i="17" s="1"/>
  <c r="P135" i="17"/>
  <c r="F135" i="17"/>
  <c r="I135" i="17" s="1"/>
  <c r="P134" i="17"/>
  <c r="F134" i="17"/>
  <c r="I134" i="17" s="1"/>
  <c r="P133" i="17"/>
  <c r="F133" i="17"/>
  <c r="I133" i="17" s="1"/>
  <c r="P132" i="17"/>
  <c r="F132" i="17"/>
  <c r="I132" i="17" s="1"/>
  <c r="S61" i="14" l="1"/>
  <c r="T61" i="14" s="1"/>
  <c r="D146" i="17"/>
  <c r="S51" i="14"/>
  <c r="T63" i="14"/>
  <c r="S60" i="14"/>
  <c r="T60" i="14" s="1"/>
  <c r="T59" i="14"/>
  <c r="S62" i="14"/>
  <c r="T62" i="14" s="1"/>
  <c r="S64" i="14"/>
  <c r="T64" i="14" s="1"/>
  <c r="S82" i="14"/>
  <c r="T82" i="14" s="1"/>
  <c r="H205" i="16"/>
  <c r="P137" i="17"/>
  <c r="P154" i="17"/>
  <c r="P155" i="17" s="1"/>
  <c r="F369" i="13"/>
  <c r="F395" i="13"/>
  <c r="F396" i="13" s="1"/>
  <c r="F424" i="13" s="1"/>
  <c r="G367" i="1"/>
  <c r="I424" i="13"/>
  <c r="T92" i="14"/>
  <c r="J485" i="1"/>
  <c r="G496" i="1"/>
  <c r="J470" i="1"/>
  <c r="S71" i="14"/>
  <c r="T71" i="14" s="1"/>
  <c r="S73" i="14"/>
  <c r="T73" i="14" s="1"/>
  <c r="T67" i="14"/>
  <c r="S78" i="14"/>
  <c r="T78" i="14" s="1"/>
  <c r="P74" i="14"/>
  <c r="R74" i="14"/>
  <c r="Q74" i="14"/>
  <c r="S79" i="14"/>
  <c r="T79" i="14" s="1"/>
  <c r="S76" i="14"/>
  <c r="T76" i="14" s="1"/>
  <c r="S72" i="14"/>
  <c r="T72" i="14" s="1"/>
  <c r="S75" i="14"/>
  <c r="T75" i="14" s="1"/>
  <c r="S80" i="14"/>
  <c r="T80" i="14" s="1"/>
  <c r="F245" i="17"/>
  <c r="F246" i="17" s="1"/>
  <c r="I246" i="17" s="1"/>
  <c r="J367" i="1"/>
  <c r="G421" i="1"/>
  <c r="J420" i="1"/>
  <c r="J421" i="1" s="1"/>
  <c r="J382" i="1"/>
  <c r="G393" i="1"/>
  <c r="S55" i="14"/>
  <c r="T55" i="14" s="1"/>
  <c r="S53" i="14"/>
  <c r="T53" i="14" s="1"/>
  <c r="T51" i="14"/>
  <c r="S54" i="14"/>
  <c r="T54" i="14" s="1"/>
  <c r="S52" i="14"/>
  <c r="T52" i="14" s="1"/>
  <c r="P57" i="14"/>
  <c r="R57" i="14"/>
  <c r="Q57" i="14"/>
  <c r="S57" i="14" s="1"/>
  <c r="S50" i="14"/>
  <c r="T50" i="14" s="1"/>
  <c r="R56" i="14"/>
  <c r="Q56" i="14"/>
  <c r="P56" i="14"/>
  <c r="S58" i="14"/>
  <c r="T58" i="14" s="1"/>
  <c r="S49" i="14"/>
  <c r="T49" i="14" s="1"/>
  <c r="H146" i="17"/>
  <c r="G146" i="17"/>
  <c r="H209" i="16"/>
  <c r="P185" i="17"/>
  <c r="P186" i="17" s="1"/>
  <c r="H253" i="16"/>
  <c r="H193" i="16"/>
  <c r="D187" i="17"/>
  <c r="F137" i="17"/>
  <c r="P145" i="17"/>
  <c r="P146" i="17" s="1"/>
  <c r="F145" i="17"/>
  <c r="I145" i="17" s="1"/>
  <c r="F185" i="17"/>
  <c r="G187" i="17"/>
  <c r="H187" i="17"/>
  <c r="F154" i="17"/>
  <c r="I147" i="17"/>
  <c r="J317" i="13"/>
  <c r="I317" i="13"/>
  <c r="F316" i="13"/>
  <c r="F315" i="13"/>
  <c r="F313" i="13"/>
  <c r="I313" i="13" s="1"/>
  <c r="F312" i="13"/>
  <c r="I312" i="13" s="1"/>
  <c r="F311" i="13"/>
  <c r="F309" i="13"/>
  <c r="I309" i="13" s="1"/>
  <c r="F308" i="13"/>
  <c r="I308" i="13" s="1"/>
  <c r="F307" i="13"/>
  <c r="I307" i="13" s="1"/>
  <c r="F306" i="13"/>
  <c r="I306" i="13" s="1"/>
  <c r="F305" i="13"/>
  <c r="F303" i="13"/>
  <c r="I303" i="13" s="1"/>
  <c r="F302" i="13"/>
  <c r="I302" i="13" s="1"/>
  <c r="F300" i="13"/>
  <c r="I300" i="13" s="1"/>
  <c r="F299" i="13"/>
  <c r="I299" i="13" s="1"/>
  <c r="F298" i="13"/>
  <c r="I298" i="13" s="1"/>
  <c r="F297" i="13"/>
  <c r="I297" i="13" s="1"/>
  <c r="F295" i="13"/>
  <c r="I295" i="13" s="1"/>
  <c r="F294" i="13"/>
  <c r="I294" i="13" s="1"/>
  <c r="F293" i="13"/>
  <c r="F290" i="13"/>
  <c r="I290" i="13" s="1"/>
  <c r="F287" i="13"/>
  <c r="I287" i="13" s="1"/>
  <c r="F286" i="13"/>
  <c r="I286" i="13" s="1"/>
  <c r="F285" i="13"/>
  <c r="F283" i="13"/>
  <c r="I283" i="13" s="1"/>
  <c r="F282" i="13"/>
  <c r="I282" i="13" s="1"/>
  <c r="F281" i="13"/>
  <c r="F278" i="13"/>
  <c r="I278" i="13" s="1"/>
  <c r="F277" i="13"/>
  <c r="I277" i="13" s="1"/>
  <c r="F276" i="13"/>
  <c r="F274" i="13"/>
  <c r="I274" i="13" s="1"/>
  <c r="F273" i="13"/>
  <c r="I273" i="13" s="1"/>
  <c r="F272" i="13"/>
  <c r="I272" i="13" s="1"/>
  <c r="F271" i="13"/>
  <c r="I271" i="13" s="1"/>
  <c r="F270" i="13"/>
  <c r="I270" i="13" s="1"/>
  <c r="F269" i="13"/>
  <c r="I269" i="13" s="1"/>
  <c r="F268" i="13"/>
  <c r="I268" i="13" s="1"/>
  <c r="F267" i="13"/>
  <c r="I267" i="13" s="1"/>
  <c r="F266" i="13"/>
  <c r="F262" i="13"/>
  <c r="I262" i="13" s="1"/>
  <c r="F261" i="13"/>
  <c r="I261" i="13" s="1"/>
  <c r="F260" i="13"/>
  <c r="I260" i="13" s="1"/>
  <c r="F259" i="13"/>
  <c r="I259" i="13" s="1"/>
  <c r="F258" i="13"/>
  <c r="I258" i="13" s="1"/>
  <c r="F257" i="13"/>
  <c r="I257" i="13" s="1"/>
  <c r="F256" i="13"/>
  <c r="I256" i="13" s="1"/>
  <c r="F255" i="13"/>
  <c r="I255" i="13" s="1"/>
  <c r="F253" i="13"/>
  <c r="I253" i="13" s="1"/>
  <c r="F252" i="13"/>
  <c r="I252" i="13" s="1"/>
  <c r="F251" i="13"/>
  <c r="I251" i="13" s="1"/>
  <c r="F250" i="13"/>
  <c r="I250" i="13" s="1"/>
  <c r="F247" i="13"/>
  <c r="I247" i="13" s="1"/>
  <c r="F246" i="13"/>
  <c r="I246" i="13" s="1"/>
  <c r="F245" i="13"/>
  <c r="I245" i="13" s="1"/>
  <c r="F243" i="13"/>
  <c r="F240" i="13"/>
  <c r="I240" i="13" s="1"/>
  <c r="F239" i="13"/>
  <c r="I239" i="13" s="1"/>
  <c r="I238" i="13"/>
  <c r="F237" i="13"/>
  <c r="I237" i="13" s="1"/>
  <c r="F236" i="13"/>
  <c r="I236" i="13" s="1"/>
  <c r="F235" i="13"/>
  <c r="I235" i="13" s="1"/>
  <c r="F234" i="13"/>
  <c r="I234" i="13" s="1"/>
  <c r="F232" i="13"/>
  <c r="I232" i="13" s="1"/>
  <c r="F231" i="13"/>
  <c r="I231" i="13" s="1"/>
  <c r="F230" i="13"/>
  <c r="I230" i="13" s="1"/>
  <c r="F229" i="13"/>
  <c r="I229" i="13" s="1"/>
  <c r="F228" i="13"/>
  <c r="I228" i="13" s="1"/>
  <c r="F227" i="13"/>
  <c r="I227" i="13" s="1"/>
  <c r="F226" i="13"/>
  <c r="I226" i="13" s="1"/>
  <c r="F224" i="13"/>
  <c r="I224" i="13" s="1"/>
  <c r="F223" i="13"/>
  <c r="I223" i="13" s="1"/>
  <c r="F222" i="13"/>
  <c r="I222" i="13" s="1"/>
  <c r="F221" i="13"/>
  <c r="I221" i="13" s="1"/>
  <c r="F317" i="1"/>
  <c r="F318" i="1" s="1"/>
  <c r="E317" i="1"/>
  <c r="E318" i="1" s="1"/>
  <c r="I316" i="1"/>
  <c r="H316" i="1"/>
  <c r="G315" i="1"/>
  <c r="J315" i="1" s="1"/>
  <c r="G314" i="1"/>
  <c r="I313" i="1"/>
  <c r="H313" i="1"/>
  <c r="G312" i="1"/>
  <c r="J312" i="1" s="1"/>
  <c r="G311" i="1"/>
  <c r="J311" i="1" s="1"/>
  <c r="G310" i="1"/>
  <c r="I309" i="1"/>
  <c r="H309" i="1"/>
  <c r="G308" i="1"/>
  <c r="J308" i="1" s="1"/>
  <c r="G307" i="1"/>
  <c r="J307" i="1" s="1"/>
  <c r="G306" i="1"/>
  <c r="J306" i="1" s="1"/>
  <c r="G305" i="1"/>
  <c r="G304" i="1"/>
  <c r="J304" i="1" s="1"/>
  <c r="I303" i="1"/>
  <c r="H303" i="1"/>
  <c r="G302" i="1"/>
  <c r="J302" i="1" s="1"/>
  <c r="G301" i="1"/>
  <c r="I300" i="1"/>
  <c r="H300" i="1"/>
  <c r="G299" i="1"/>
  <c r="J299" i="1" s="1"/>
  <c r="G298" i="1"/>
  <c r="J298" i="1" s="1"/>
  <c r="G297" i="1"/>
  <c r="J297" i="1" s="1"/>
  <c r="G296" i="1"/>
  <c r="J296" i="1" s="1"/>
  <c r="I295" i="1"/>
  <c r="H295" i="1"/>
  <c r="G294" i="1"/>
  <c r="J294" i="1" s="1"/>
  <c r="G293" i="1"/>
  <c r="G292" i="1"/>
  <c r="J292" i="1" s="1"/>
  <c r="F290" i="1"/>
  <c r="F291" i="1" s="1"/>
  <c r="E290" i="1"/>
  <c r="E291" i="1" s="1"/>
  <c r="G289" i="1"/>
  <c r="J289" i="1" s="1"/>
  <c r="I287" i="1"/>
  <c r="H287" i="1"/>
  <c r="G286" i="1"/>
  <c r="J286" i="1" s="1"/>
  <c r="G285" i="1"/>
  <c r="J285" i="1" s="1"/>
  <c r="G284" i="1"/>
  <c r="J284" i="1" s="1"/>
  <c r="I283" i="1"/>
  <c r="H283" i="1"/>
  <c r="H288" i="1" s="1"/>
  <c r="G282" i="1"/>
  <c r="J282" i="1" s="1"/>
  <c r="G281" i="1"/>
  <c r="J281" i="1" s="1"/>
  <c r="G280" i="1"/>
  <c r="I278" i="1"/>
  <c r="H278" i="1"/>
  <c r="G277" i="1"/>
  <c r="G276" i="1"/>
  <c r="J276" i="1" s="1"/>
  <c r="G275" i="1"/>
  <c r="J275" i="1" s="1"/>
  <c r="I274" i="1"/>
  <c r="I279" i="1" s="1"/>
  <c r="H274" i="1"/>
  <c r="G273" i="1"/>
  <c r="J273" i="1" s="1"/>
  <c r="G272" i="1"/>
  <c r="J272" i="1" s="1"/>
  <c r="G271" i="1"/>
  <c r="J271" i="1" s="1"/>
  <c r="G270" i="1"/>
  <c r="J270" i="1" s="1"/>
  <c r="G269" i="1"/>
  <c r="J269" i="1" s="1"/>
  <c r="G268" i="1"/>
  <c r="J268" i="1" s="1"/>
  <c r="J267" i="1"/>
  <c r="G267" i="1"/>
  <c r="G266" i="1"/>
  <c r="J266" i="1" s="1"/>
  <c r="G265" i="1"/>
  <c r="J265" i="1" s="1"/>
  <c r="F263" i="1"/>
  <c r="E263" i="1"/>
  <c r="I262" i="1"/>
  <c r="H262" i="1"/>
  <c r="G261" i="1"/>
  <c r="J261" i="1" s="1"/>
  <c r="G260" i="1"/>
  <c r="J260" i="1" s="1"/>
  <c r="G259" i="1"/>
  <c r="J259" i="1" s="1"/>
  <c r="G258" i="1"/>
  <c r="J258" i="1" s="1"/>
  <c r="G257" i="1"/>
  <c r="J257" i="1" s="1"/>
  <c r="G256" i="1"/>
  <c r="J256" i="1" s="1"/>
  <c r="G255" i="1"/>
  <c r="J255" i="1" s="1"/>
  <c r="G254" i="1"/>
  <c r="J254" i="1" s="1"/>
  <c r="I253" i="1"/>
  <c r="H253" i="1"/>
  <c r="G252" i="1"/>
  <c r="J252" i="1" s="1"/>
  <c r="G251" i="1"/>
  <c r="J251" i="1" s="1"/>
  <c r="G250" i="1"/>
  <c r="J250" i="1" s="1"/>
  <c r="G249" i="1"/>
  <c r="J249" i="1" s="1"/>
  <c r="I247" i="1"/>
  <c r="H247" i="1"/>
  <c r="E247" i="1"/>
  <c r="G246" i="1"/>
  <c r="J246" i="1" s="1"/>
  <c r="G245" i="1"/>
  <c r="J245" i="1" s="1"/>
  <c r="G244" i="1"/>
  <c r="J244" i="1" s="1"/>
  <c r="I243" i="1"/>
  <c r="H243" i="1"/>
  <c r="F243" i="1"/>
  <c r="F248" i="1" s="1"/>
  <c r="F264" i="1" s="1"/>
  <c r="E243" i="1"/>
  <c r="G242" i="1"/>
  <c r="G241" i="1"/>
  <c r="I240" i="1"/>
  <c r="H240" i="1"/>
  <c r="E240" i="1"/>
  <c r="E248" i="1" s="1"/>
  <c r="E264" i="1" s="1"/>
  <c r="G239" i="1"/>
  <c r="J239" i="1" s="1"/>
  <c r="G238" i="1"/>
  <c r="J238" i="1" s="1"/>
  <c r="G237" i="1"/>
  <c r="J237" i="1" s="1"/>
  <c r="G236" i="1"/>
  <c r="J236" i="1" s="1"/>
  <c r="G235" i="1"/>
  <c r="J235" i="1" s="1"/>
  <c r="G234" i="1"/>
  <c r="J234" i="1" s="1"/>
  <c r="G233" i="1"/>
  <c r="J233" i="1" s="1"/>
  <c r="I232" i="1"/>
  <c r="H232" i="1"/>
  <c r="G231" i="1"/>
  <c r="J231" i="1" s="1"/>
  <c r="G230" i="1"/>
  <c r="J230" i="1" s="1"/>
  <c r="G229" i="1"/>
  <c r="J229" i="1" s="1"/>
  <c r="G228" i="1"/>
  <c r="J228" i="1" s="1"/>
  <c r="G227" i="1"/>
  <c r="J227" i="1" s="1"/>
  <c r="G226" i="1"/>
  <c r="J226" i="1" s="1"/>
  <c r="G225" i="1"/>
  <c r="J225" i="1" s="1"/>
  <c r="I224" i="1"/>
  <c r="H224" i="1"/>
  <c r="G223" i="1"/>
  <c r="J223" i="1" s="1"/>
  <c r="G222" i="1"/>
  <c r="J222" i="1" s="1"/>
  <c r="G221" i="1"/>
  <c r="J221" i="1" s="1"/>
  <c r="G220" i="1"/>
  <c r="J220" i="1" s="1"/>
  <c r="E319" i="1" l="1"/>
  <c r="I245" i="17"/>
  <c r="F319" i="1"/>
  <c r="H211" i="16"/>
  <c r="G303" i="1"/>
  <c r="J303" i="1" s="1"/>
  <c r="F279" i="13"/>
  <c r="F304" i="13"/>
  <c r="F288" i="13"/>
  <c r="F310" i="13"/>
  <c r="F296" i="13"/>
  <c r="I301" i="13"/>
  <c r="G287" i="1"/>
  <c r="J287" i="1" s="1"/>
  <c r="G295" i="1"/>
  <c r="J301" i="1"/>
  <c r="G313" i="1"/>
  <c r="J313" i="1" s="1"/>
  <c r="F314" i="13"/>
  <c r="F284" i="13"/>
  <c r="F301" i="13"/>
  <c r="I305" i="13"/>
  <c r="I310" i="13" s="1"/>
  <c r="F317" i="13"/>
  <c r="F275" i="13"/>
  <c r="G497" i="1"/>
  <c r="G525" i="1" s="1"/>
  <c r="J525" i="1" s="1"/>
  <c r="J496" i="1"/>
  <c r="J497" i="1" s="1"/>
  <c r="S74" i="14"/>
  <c r="T74" i="14" s="1"/>
  <c r="I288" i="1"/>
  <c r="I290" i="1" s="1"/>
  <c r="I291" i="1" s="1"/>
  <c r="H279" i="1"/>
  <c r="H290" i="1" s="1"/>
  <c r="H291" i="1" s="1"/>
  <c r="G394" i="1"/>
  <c r="G422" i="1" s="1"/>
  <c r="J422" i="1" s="1"/>
  <c r="J393" i="1"/>
  <c r="J394" i="1" s="1"/>
  <c r="S56" i="14"/>
  <c r="T56" i="14" s="1"/>
  <c r="T57" i="14"/>
  <c r="H263" i="1"/>
  <c r="I243" i="13"/>
  <c r="I304" i="13"/>
  <c r="I225" i="13"/>
  <c r="I233" i="13"/>
  <c r="I266" i="13"/>
  <c r="I275" i="13" s="1"/>
  <c r="I276" i="13"/>
  <c r="I279" i="13" s="1"/>
  <c r="I281" i="13"/>
  <c r="I284" i="13" s="1"/>
  <c r="I285" i="13"/>
  <c r="I288" i="13" s="1"/>
  <c r="I293" i="13"/>
  <c r="I296" i="13" s="1"/>
  <c r="I311" i="13"/>
  <c r="I314" i="13" s="1"/>
  <c r="I317" i="1"/>
  <c r="I318" i="1" s="1"/>
  <c r="J293" i="1"/>
  <c r="P187" i="17"/>
  <c r="I154" i="17"/>
  <c r="F155" i="17"/>
  <c r="I155" i="17" s="1"/>
  <c r="I185" i="17"/>
  <c r="F186" i="17"/>
  <c r="F146" i="17"/>
  <c r="I146" i="17" s="1"/>
  <c r="I137" i="17"/>
  <c r="I241" i="13"/>
  <c r="I248" i="13"/>
  <c r="I254" i="13"/>
  <c r="I263" i="13"/>
  <c r="F225" i="13"/>
  <c r="F233" i="13"/>
  <c r="F241" i="13"/>
  <c r="F244" i="13"/>
  <c r="F248" i="13"/>
  <c r="F254" i="13"/>
  <c r="F263" i="13"/>
  <c r="I263" i="1"/>
  <c r="I248" i="1"/>
  <c r="I264" i="1" s="1"/>
  <c r="H248" i="1"/>
  <c r="G274" i="1"/>
  <c r="J277" i="1"/>
  <c r="G278" i="1"/>
  <c r="J278" i="1" s="1"/>
  <c r="G240" i="1"/>
  <c r="J240" i="1" s="1"/>
  <c r="G224" i="1"/>
  <c r="G253" i="1"/>
  <c r="G283" i="1"/>
  <c r="J295" i="1"/>
  <c r="J305" i="1"/>
  <c r="G309" i="1"/>
  <c r="J309" i="1" s="1"/>
  <c r="G243" i="1"/>
  <c r="J243" i="1" s="1"/>
  <c r="J241" i="1"/>
  <c r="G232" i="1"/>
  <c r="J232" i="1" s="1"/>
  <c r="G247" i="1"/>
  <c r="J247" i="1" s="1"/>
  <c r="G262" i="1"/>
  <c r="J262" i="1" s="1"/>
  <c r="H317" i="1"/>
  <c r="H318" i="1" s="1"/>
  <c r="G316" i="1"/>
  <c r="J316" i="1" s="1"/>
  <c r="J314" i="1"/>
  <c r="G300" i="1"/>
  <c r="J300" i="1" s="1"/>
  <c r="J280" i="1"/>
  <c r="J310" i="1"/>
  <c r="E39" i="14"/>
  <c r="E38" i="14"/>
  <c r="D39" i="14"/>
  <c r="D38" i="14"/>
  <c r="I38" i="14"/>
  <c r="H38" i="14"/>
  <c r="F280" i="13" l="1"/>
  <c r="F291" i="13" s="1"/>
  <c r="F292" i="13" s="1"/>
  <c r="F289" i="13"/>
  <c r="F318" i="13"/>
  <c r="F319" i="13" s="1"/>
  <c r="I318" i="13"/>
  <c r="I319" i="13" s="1"/>
  <c r="H264" i="1"/>
  <c r="H319" i="1" s="1"/>
  <c r="I319" i="1"/>
  <c r="I244" i="13"/>
  <c r="I249" i="13" s="1"/>
  <c r="F264" i="13"/>
  <c r="I289" i="13"/>
  <c r="I280" i="13"/>
  <c r="G317" i="1"/>
  <c r="G318" i="1" s="1"/>
  <c r="I186" i="17"/>
  <c r="F187" i="17"/>
  <c r="I187" i="17" s="1"/>
  <c r="F249" i="13"/>
  <c r="I264" i="13"/>
  <c r="G288" i="1"/>
  <c r="J288" i="1" s="1"/>
  <c r="J283" i="1"/>
  <c r="G279" i="1"/>
  <c r="J274" i="1"/>
  <c r="G263" i="1"/>
  <c r="J263" i="1" s="1"/>
  <c r="J253" i="1"/>
  <c r="G248" i="1"/>
  <c r="J224" i="1"/>
  <c r="E37" i="14"/>
  <c r="E32" i="14"/>
  <c r="E34" i="14"/>
  <c r="J317" i="1" l="1"/>
  <c r="J318" i="1" s="1"/>
  <c r="I291" i="13"/>
  <c r="I292" i="13" s="1"/>
  <c r="F265" i="13"/>
  <c r="F320" i="13" s="1"/>
  <c r="I265" i="13"/>
  <c r="G264" i="1"/>
  <c r="J248" i="1"/>
  <c r="J279" i="1"/>
  <c r="G290" i="1"/>
  <c r="L46" i="14"/>
  <c r="K46" i="14" s="1"/>
  <c r="G46" i="14"/>
  <c r="C46" i="14"/>
  <c r="L45" i="14"/>
  <c r="K45" i="14" s="1"/>
  <c r="G45" i="14"/>
  <c r="C45" i="14"/>
  <c r="L44" i="14"/>
  <c r="K44" i="14" s="1"/>
  <c r="G44" i="14"/>
  <c r="C44" i="14"/>
  <c r="L43" i="14"/>
  <c r="K43" i="14" s="1"/>
  <c r="G43" i="14"/>
  <c r="C43" i="14"/>
  <c r="L42" i="14"/>
  <c r="K42" i="14" s="1"/>
  <c r="G42" i="14"/>
  <c r="C42" i="14"/>
  <c r="L41" i="14"/>
  <c r="K41" i="14" s="1"/>
  <c r="G41" i="14"/>
  <c r="C41" i="14"/>
  <c r="L40" i="14"/>
  <c r="K40" i="14" s="1"/>
  <c r="G40" i="14"/>
  <c r="C40" i="14"/>
  <c r="L39" i="14"/>
  <c r="K39" i="14" s="1"/>
  <c r="G39" i="14"/>
  <c r="C39" i="14"/>
  <c r="G38" i="14"/>
  <c r="C38" i="14"/>
  <c r="L37" i="14"/>
  <c r="K37" i="14" s="1"/>
  <c r="G37" i="14"/>
  <c r="C37" i="14"/>
  <c r="L36" i="14"/>
  <c r="K36" i="14" s="1"/>
  <c r="G36" i="14"/>
  <c r="C36" i="14"/>
  <c r="L35" i="14"/>
  <c r="K35" i="14" s="1"/>
  <c r="G35" i="14"/>
  <c r="C35" i="14"/>
  <c r="L34" i="14"/>
  <c r="K34" i="14" s="1"/>
  <c r="G34" i="14"/>
  <c r="C34" i="14"/>
  <c r="L33" i="14"/>
  <c r="K33" i="14"/>
  <c r="O33" i="14" s="1"/>
  <c r="G33" i="14"/>
  <c r="C33" i="14"/>
  <c r="L32" i="14"/>
  <c r="K32" i="14" s="1"/>
  <c r="M32" i="14" s="1"/>
  <c r="G32" i="14"/>
  <c r="C32" i="14"/>
  <c r="L31" i="14"/>
  <c r="K31" i="14" s="1"/>
  <c r="M31" i="14" s="1"/>
  <c r="G31" i="14"/>
  <c r="C31" i="14"/>
  <c r="N33" i="14" l="1"/>
  <c r="I320" i="13"/>
  <c r="G291" i="1"/>
  <c r="G319" i="1" s="1"/>
  <c r="J319" i="1" s="1"/>
  <c r="J290" i="1"/>
  <c r="J291" i="1" s="1"/>
  <c r="J264" i="1"/>
  <c r="O45" i="14"/>
  <c r="N45" i="14" s="1"/>
  <c r="M45" i="14"/>
  <c r="M35" i="14"/>
  <c r="O35" i="14"/>
  <c r="N35" i="14" s="1"/>
  <c r="M34" i="14"/>
  <c r="O34" i="14"/>
  <c r="N34" i="14" s="1"/>
  <c r="M40" i="14"/>
  <c r="O40" i="14"/>
  <c r="N40" i="14" s="1"/>
  <c r="O44" i="14"/>
  <c r="N44" i="14" s="1"/>
  <c r="M44" i="14"/>
  <c r="O41" i="14"/>
  <c r="N41" i="14" s="1"/>
  <c r="M41" i="14"/>
  <c r="M37" i="14"/>
  <c r="O37" i="14"/>
  <c r="N37" i="14" s="1"/>
  <c r="M39" i="14"/>
  <c r="O39" i="14"/>
  <c r="N39" i="14" s="1"/>
  <c r="M43" i="14"/>
  <c r="O43" i="14"/>
  <c r="N43" i="14" s="1"/>
  <c r="R33" i="14"/>
  <c r="Q33" i="14"/>
  <c r="S33" i="14" s="1"/>
  <c r="P33" i="14"/>
  <c r="M36" i="14"/>
  <c r="O36" i="14"/>
  <c r="N36" i="14" s="1"/>
  <c r="M42" i="14"/>
  <c r="O42" i="14"/>
  <c r="N42" i="14" s="1"/>
  <c r="M46" i="14"/>
  <c r="O46" i="14"/>
  <c r="N46" i="14" s="1"/>
  <c r="O31" i="14"/>
  <c r="N31" i="14" s="1"/>
  <c r="O32" i="14"/>
  <c r="N32" i="14" s="1"/>
  <c r="M33" i="14"/>
  <c r="L38" i="14"/>
  <c r="K38" i="14" s="1"/>
  <c r="E72" i="16"/>
  <c r="T33" i="14" l="1"/>
  <c r="P43" i="14"/>
  <c r="Q43" i="14"/>
  <c r="R43" i="14"/>
  <c r="Q37" i="14"/>
  <c r="P37" i="14"/>
  <c r="R37" i="14"/>
  <c r="R31" i="14"/>
  <c r="Q31" i="14"/>
  <c r="P31" i="14"/>
  <c r="R32" i="14"/>
  <c r="Q32" i="14"/>
  <c r="S32" i="14" s="1"/>
  <c r="P32" i="14"/>
  <c r="P42" i="14"/>
  <c r="Q42" i="14"/>
  <c r="R42" i="14"/>
  <c r="Q34" i="14"/>
  <c r="R34" i="14"/>
  <c r="P34" i="14"/>
  <c r="P39" i="14"/>
  <c r="Q39" i="14"/>
  <c r="R39" i="14"/>
  <c r="P44" i="14"/>
  <c r="R44" i="14"/>
  <c r="Q44" i="14"/>
  <c r="S44" i="14" s="1"/>
  <c r="O38" i="14"/>
  <c r="N38" i="14" s="1"/>
  <c r="M38" i="14"/>
  <c r="P46" i="14"/>
  <c r="R46" i="14"/>
  <c r="Q46" i="14"/>
  <c r="Q36" i="14"/>
  <c r="P36" i="14"/>
  <c r="R36" i="14"/>
  <c r="P41" i="14"/>
  <c r="Q41" i="14"/>
  <c r="R41" i="14"/>
  <c r="P40" i="14"/>
  <c r="Q40" i="14"/>
  <c r="R40" i="14"/>
  <c r="Q35" i="14"/>
  <c r="R35" i="14"/>
  <c r="P35" i="14"/>
  <c r="P45" i="14"/>
  <c r="Q45" i="14"/>
  <c r="R45" i="14"/>
  <c r="E112" i="16"/>
  <c r="S41" i="14" l="1"/>
  <c r="T44" i="14"/>
  <c r="T41" i="14"/>
  <c r="S46" i="14"/>
  <c r="T46" i="14" s="1"/>
  <c r="S43" i="14"/>
  <c r="T43" i="14" s="1"/>
  <c r="S31" i="14"/>
  <c r="T31" i="14" s="1"/>
  <c r="T32" i="14"/>
  <c r="P38" i="14"/>
  <c r="R38" i="14"/>
  <c r="Q38" i="14"/>
  <c r="S45" i="14"/>
  <c r="T45" i="14" s="1"/>
  <c r="S35" i="14"/>
  <c r="T35" i="14" s="1"/>
  <c r="S39" i="14"/>
  <c r="T39" i="14" s="1"/>
  <c r="S34" i="14"/>
  <c r="T34" i="14" s="1"/>
  <c r="S42" i="14"/>
  <c r="T42" i="14" s="1"/>
  <c r="S37" i="14"/>
  <c r="T37" i="14" s="1"/>
  <c r="S40" i="14"/>
  <c r="T40" i="14" s="1"/>
  <c r="S36" i="14"/>
  <c r="T36" i="14" s="1"/>
  <c r="E154" i="16"/>
  <c r="H154" i="16" s="1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3" i="16"/>
  <c r="H152" i="16"/>
  <c r="H151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I128" i="16"/>
  <c r="H126" i="16"/>
  <c r="H125" i="16"/>
  <c r="H124" i="16"/>
  <c r="H122" i="16"/>
  <c r="H121" i="16"/>
  <c r="H120" i="16"/>
  <c r="H119" i="16"/>
  <c r="H118" i="16"/>
  <c r="H117" i="16"/>
  <c r="H116" i="16"/>
  <c r="H115" i="16"/>
  <c r="H114" i="16"/>
  <c r="H113" i="16"/>
  <c r="H112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E127" i="17"/>
  <c r="H126" i="17"/>
  <c r="H127" i="17" s="1"/>
  <c r="G126" i="17"/>
  <c r="G127" i="17" s="1"/>
  <c r="D126" i="17"/>
  <c r="D127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F121" i="17"/>
  <c r="I121" i="17" s="1"/>
  <c r="P120" i="17"/>
  <c r="F120" i="17"/>
  <c r="I120" i="17" s="1"/>
  <c r="P119" i="17"/>
  <c r="F119" i="17"/>
  <c r="I119" i="17" s="1"/>
  <c r="P118" i="17"/>
  <c r="F118" i="17"/>
  <c r="I118" i="17" s="1"/>
  <c r="P117" i="17"/>
  <c r="I117" i="17"/>
  <c r="F117" i="17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F111" i="17"/>
  <c r="I111" i="17" s="1"/>
  <c r="P110" i="17"/>
  <c r="F110" i="17"/>
  <c r="I110" i="17" s="1"/>
  <c r="P109" i="17"/>
  <c r="F109" i="17"/>
  <c r="I109" i="17" s="1"/>
  <c r="P108" i="17"/>
  <c r="F108" i="17"/>
  <c r="I108" i="17" s="1"/>
  <c r="P107" i="17"/>
  <c r="F107" i="17"/>
  <c r="I107" i="17" s="1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P102" i="17"/>
  <c r="F102" i="17"/>
  <c r="P101" i="17"/>
  <c r="I101" i="17"/>
  <c r="F101" i="17"/>
  <c r="P100" i="17"/>
  <c r="F100" i="17"/>
  <c r="I100" i="17" s="1"/>
  <c r="P99" i="17"/>
  <c r="F99" i="17"/>
  <c r="I99" i="17" s="1"/>
  <c r="P98" i="17"/>
  <c r="F98" i="17"/>
  <c r="I98" i="17" s="1"/>
  <c r="P97" i="17"/>
  <c r="F97" i="17"/>
  <c r="I97" i="17" s="1"/>
  <c r="E96" i="17"/>
  <c r="E128" i="17" s="1"/>
  <c r="D96" i="17"/>
  <c r="H95" i="17"/>
  <c r="H96" i="17" s="1"/>
  <c r="G95" i="17"/>
  <c r="G96" i="17" s="1"/>
  <c r="P94" i="17"/>
  <c r="F94" i="17"/>
  <c r="I94" i="17" s="1"/>
  <c r="P93" i="17"/>
  <c r="F93" i="17"/>
  <c r="I93" i="17" s="1"/>
  <c r="P92" i="17"/>
  <c r="F92" i="17"/>
  <c r="I92" i="17" s="1"/>
  <c r="P91" i="17"/>
  <c r="F91" i="17"/>
  <c r="I91" i="17" s="1"/>
  <c r="P90" i="17"/>
  <c r="F90" i="17"/>
  <c r="I90" i="17" s="1"/>
  <c r="P89" i="17"/>
  <c r="F89" i="17"/>
  <c r="I89" i="17" s="1"/>
  <c r="P88" i="17"/>
  <c r="F88" i="17"/>
  <c r="I88" i="17" s="1"/>
  <c r="E87" i="17"/>
  <c r="H86" i="17"/>
  <c r="G86" i="17"/>
  <c r="D86" i="17"/>
  <c r="P85" i="17"/>
  <c r="F85" i="17"/>
  <c r="I85" i="17" s="1"/>
  <c r="P84" i="17"/>
  <c r="F84" i="17"/>
  <c r="I84" i="17" s="1"/>
  <c r="P83" i="17"/>
  <c r="F83" i="17"/>
  <c r="I83" i="17" s="1"/>
  <c r="P82" i="17"/>
  <c r="F82" i="17"/>
  <c r="I82" i="17" s="1"/>
  <c r="P81" i="17"/>
  <c r="F81" i="17"/>
  <c r="I81" i="17" s="1"/>
  <c r="P80" i="17"/>
  <c r="F80" i="17"/>
  <c r="I80" i="17" s="1"/>
  <c r="P79" i="17"/>
  <c r="I79" i="17"/>
  <c r="F79" i="17"/>
  <c r="H78" i="17"/>
  <c r="G78" i="17"/>
  <c r="G87" i="17" s="1"/>
  <c r="D78" i="17"/>
  <c r="D87" i="17" s="1"/>
  <c r="P77" i="17"/>
  <c r="F77" i="17"/>
  <c r="I77" i="17" s="1"/>
  <c r="P76" i="17"/>
  <c r="F76" i="17"/>
  <c r="I76" i="17" s="1"/>
  <c r="P75" i="17"/>
  <c r="F75" i="17"/>
  <c r="I75" i="17" s="1"/>
  <c r="P74" i="17"/>
  <c r="F74" i="17"/>
  <c r="I74" i="17" s="1"/>
  <c r="P73" i="17"/>
  <c r="F73" i="17"/>
  <c r="J213" i="13"/>
  <c r="I213" i="13"/>
  <c r="F212" i="13"/>
  <c r="F211" i="13"/>
  <c r="F209" i="13"/>
  <c r="I209" i="13" s="1"/>
  <c r="F208" i="13"/>
  <c r="I208" i="13" s="1"/>
  <c r="F207" i="13"/>
  <c r="I207" i="13" s="1"/>
  <c r="F205" i="13"/>
  <c r="I205" i="13" s="1"/>
  <c r="F204" i="13"/>
  <c r="I204" i="13" s="1"/>
  <c r="F203" i="13"/>
  <c r="I203" i="13" s="1"/>
  <c r="F202" i="13"/>
  <c r="I202" i="13" s="1"/>
  <c r="F201" i="13"/>
  <c r="I201" i="13" s="1"/>
  <c r="F199" i="13"/>
  <c r="I199" i="13" s="1"/>
  <c r="F198" i="13"/>
  <c r="I198" i="13" s="1"/>
  <c r="F196" i="13"/>
  <c r="I196" i="13" s="1"/>
  <c r="F195" i="13"/>
  <c r="I195" i="13" s="1"/>
  <c r="F194" i="13"/>
  <c r="I194" i="13" s="1"/>
  <c r="F193" i="13"/>
  <c r="I193" i="13" s="1"/>
  <c r="F191" i="13"/>
  <c r="I191" i="13" s="1"/>
  <c r="F190" i="13"/>
  <c r="I190" i="13" s="1"/>
  <c r="F189" i="13"/>
  <c r="I189" i="13" s="1"/>
  <c r="F186" i="13"/>
  <c r="I186" i="13" s="1"/>
  <c r="F183" i="13"/>
  <c r="I183" i="13" s="1"/>
  <c r="F182" i="13"/>
  <c r="I182" i="13" s="1"/>
  <c r="F181" i="13"/>
  <c r="I181" i="13" s="1"/>
  <c r="F179" i="13"/>
  <c r="I179" i="13" s="1"/>
  <c r="F178" i="13"/>
  <c r="I178" i="13" s="1"/>
  <c r="F177" i="13"/>
  <c r="I177" i="13" s="1"/>
  <c r="F174" i="13"/>
  <c r="I174" i="13" s="1"/>
  <c r="F173" i="13"/>
  <c r="I173" i="13" s="1"/>
  <c r="F172" i="13"/>
  <c r="I172" i="13" s="1"/>
  <c r="F170" i="13"/>
  <c r="I170" i="13" s="1"/>
  <c r="F169" i="13"/>
  <c r="I169" i="13" s="1"/>
  <c r="F168" i="13"/>
  <c r="I168" i="13" s="1"/>
  <c r="F167" i="13"/>
  <c r="I167" i="13" s="1"/>
  <c r="F166" i="13"/>
  <c r="I166" i="13" s="1"/>
  <c r="F165" i="13"/>
  <c r="I165" i="13" s="1"/>
  <c r="F164" i="13"/>
  <c r="I164" i="13" s="1"/>
  <c r="F163" i="13"/>
  <c r="I163" i="13" s="1"/>
  <c r="F162" i="13"/>
  <c r="I162" i="13" s="1"/>
  <c r="F158" i="13"/>
  <c r="I158" i="13" s="1"/>
  <c r="F157" i="13"/>
  <c r="I157" i="13" s="1"/>
  <c r="F156" i="13"/>
  <c r="I156" i="13" s="1"/>
  <c r="F155" i="13"/>
  <c r="I155" i="13" s="1"/>
  <c r="F154" i="13"/>
  <c r="I154" i="13" s="1"/>
  <c r="F153" i="13"/>
  <c r="I153" i="13" s="1"/>
  <c r="F152" i="13"/>
  <c r="I152" i="13" s="1"/>
  <c r="F151" i="13"/>
  <c r="I151" i="13" s="1"/>
  <c r="F149" i="13"/>
  <c r="I149" i="13" s="1"/>
  <c r="F148" i="13"/>
  <c r="I148" i="13" s="1"/>
  <c r="F147" i="13"/>
  <c r="I147" i="13" s="1"/>
  <c r="F146" i="13"/>
  <c r="I146" i="13" s="1"/>
  <c r="I150" i="13" s="1"/>
  <c r="F143" i="13"/>
  <c r="I143" i="13" s="1"/>
  <c r="F142" i="13"/>
  <c r="I142" i="13" s="1"/>
  <c r="F141" i="13"/>
  <c r="I141" i="13" s="1"/>
  <c r="F139" i="13"/>
  <c r="I139" i="13" s="1"/>
  <c r="I140" i="13" s="1"/>
  <c r="F137" i="13"/>
  <c r="I137" i="13" s="1"/>
  <c r="F136" i="13"/>
  <c r="I136" i="13" s="1"/>
  <c r="F135" i="13"/>
  <c r="I135" i="13" s="1"/>
  <c r="F134" i="13"/>
  <c r="I134" i="13" s="1"/>
  <c r="F133" i="13"/>
  <c r="I133" i="13" s="1"/>
  <c r="F132" i="13"/>
  <c r="I132" i="13" s="1"/>
  <c r="F131" i="13"/>
  <c r="I131" i="13" s="1"/>
  <c r="F129" i="13"/>
  <c r="I129" i="13" s="1"/>
  <c r="F128" i="13"/>
  <c r="I128" i="13" s="1"/>
  <c r="F127" i="13"/>
  <c r="I127" i="13" s="1"/>
  <c r="F126" i="13"/>
  <c r="I126" i="13" s="1"/>
  <c r="F125" i="13"/>
  <c r="I125" i="13" s="1"/>
  <c r="F124" i="13"/>
  <c r="I124" i="13" s="1"/>
  <c r="F123" i="13"/>
  <c r="I123" i="13" s="1"/>
  <c r="F121" i="13"/>
  <c r="I121" i="13" s="1"/>
  <c r="F120" i="13"/>
  <c r="I120" i="13" s="1"/>
  <c r="F119" i="13"/>
  <c r="I119" i="13" s="1"/>
  <c r="F118" i="13"/>
  <c r="I118" i="13" s="1"/>
  <c r="D128" i="17" l="1"/>
  <c r="F213" i="13"/>
  <c r="F95" i="17"/>
  <c r="I95" i="17" s="1"/>
  <c r="P78" i="17"/>
  <c r="I175" i="13"/>
  <c r="I200" i="13"/>
  <c r="F140" i="13"/>
  <c r="H87" i="17"/>
  <c r="F130" i="13"/>
  <c r="I130" i="13"/>
  <c r="I122" i="13"/>
  <c r="F122" i="13"/>
  <c r="S38" i="14"/>
  <c r="T38" i="14" s="1"/>
  <c r="P95" i="17"/>
  <c r="P96" i="17" s="1"/>
  <c r="F96" i="17"/>
  <c r="I96" i="17" s="1"/>
  <c r="I171" i="13"/>
  <c r="H127" i="16"/>
  <c r="H123" i="16"/>
  <c r="H111" i="16"/>
  <c r="H171" i="16"/>
  <c r="P126" i="17"/>
  <c r="P127" i="17" s="1"/>
  <c r="F86" i="17"/>
  <c r="I86" i="17" s="1"/>
  <c r="P86" i="17"/>
  <c r="P87" i="17" s="1"/>
  <c r="G128" i="17"/>
  <c r="F126" i="17"/>
  <c r="F78" i="17"/>
  <c r="I73" i="17"/>
  <c r="H128" i="17"/>
  <c r="I102" i="17"/>
  <c r="F138" i="13"/>
  <c r="F144" i="13"/>
  <c r="F180" i="13"/>
  <c r="F184" i="13"/>
  <c r="F192" i="13"/>
  <c r="F200" i="13"/>
  <c r="F206" i="13"/>
  <c r="F210" i="13"/>
  <c r="I138" i="13"/>
  <c r="I144" i="13"/>
  <c r="I159" i="13"/>
  <c r="I160" i="13" s="1"/>
  <c r="F159" i="13"/>
  <c r="F171" i="13"/>
  <c r="F175" i="13"/>
  <c r="I180" i="13"/>
  <c r="I184" i="13"/>
  <c r="I192" i="13"/>
  <c r="I197" i="13"/>
  <c r="F197" i="13"/>
  <c r="I206" i="13"/>
  <c r="I210" i="13"/>
  <c r="F150" i="13"/>
  <c r="F214" i="1"/>
  <c r="F215" i="1" s="1"/>
  <c r="E214" i="1"/>
  <c r="E215" i="1" s="1"/>
  <c r="I213" i="1"/>
  <c r="H213" i="1"/>
  <c r="G212" i="1"/>
  <c r="J212" i="1" s="1"/>
  <c r="G211" i="1"/>
  <c r="I210" i="1"/>
  <c r="H210" i="1"/>
  <c r="G209" i="1"/>
  <c r="J209" i="1" s="1"/>
  <c r="G208" i="1"/>
  <c r="J208" i="1" s="1"/>
  <c r="G207" i="1"/>
  <c r="I206" i="1"/>
  <c r="H206" i="1"/>
  <c r="G205" i="1"/>
  <c r="J205" i="1" s="1"/>
  <c r="G204" i="1"/>
  <c r="J204" i="1" s="1"/>
  <c r="G203" i="1"/>
  <c r="J203" i="1" s="1"/>
  <c r="G202" i="1"/>
  <c r="J202" i="1" s="1"/>
  <c r="G201" i="1"/>
  <c r="J201" i="1" s="1"/>
  <c r="I200" i="1"/>
  <c r="H200" i="1"/>
  <c r="G199" i="1"/>
  <c r="J199" i="1" s="1"/>
  <c r="G198" i="1"/>
  <c r="J198" i="1" s="1"/>
  <c r="I197" i="1"/>
  <c r="H197" i="1"/>
  <c r="G196" i="1"/>
  <c r="J196" i="1" s="1"/>
  <c r="G195" i="1"/>
  <c r="J195" i="1" s="1"/>
  <c r="G194" i="1"/>
  <c r="J194" i="1" s="1"/>
  <c r="G193" i="1"/>
  <c r="J193" i="1" s="1"/>
  <c r="I192" i="1"/>
  <c r="H192" i="1"/>
  <c r="H214" i="1" s="1"/>
  <c r="H215" i="1" s="1"/>
  <c r="G191" i="1"/>
  <c r="J191" i="1" s="1"/>
  <c r="G190" i="1"/>
  <c r="J190" i="1" s="1"/>
  <c r="G189" i="1"/>
  <c r="F187" i="1"/>
  <c r="F188" i="1" s="1"/>
  <c r="E187" i="1"/>
  <c r="E188" i="1" s="1"/>
  <c r="G186" i="1"/>
  <c r="J186" i="1" s="1"/>
  <c r="I184" i="1"/>
  <c r="H184" i="1"/>
  <c r="G183" i="1"/>
  <c r="J183" i="1" s="1"/>
  <c r="G182" i="1"/>
  <c r="J182" i="1" s="1"/>
  <c r="G181" i="1"/>
  <c r="I180" i="1"/>
  <c r="H180" i="1"/>
  <c r="G179" i="1"/>
  <c r="J179" i="1" s="1"/>
  <c r="G178" i="1"/>
  <c r="J178" i="1" s="1"/>
  <c r="G177" i="1"/>
  <c r="J177" i="1" s="1"/>
  <c r="I175" i="1"/>
  <c r="H175" i="1"/>
  <c r="G174" i="1"/>
  <c r="J174" i="1" s="1"/>
  <c r="G173" i="1"/>
  <c r="J173" i="1" s="1"/>
  <c r="G172" i="1"/>
  <c r="J172" i="1" s="1"/>
  <c r="I171" i="1"/>
  <c r="H171" i="1"/>
  <c r="G170" i="1"/>
  <c r="J170" i="1" s="1"/>
  <c r="G169" i="1"/>
  <c r="J169" i="1" s="1"/>
  <c r="G168" i="1"/>
  <c r="J168" i="1" s="1"/>
  <c r="G167" i="1"/>
  <c r="J167" i="1" s="1"/>
  <c r="G166" i="1"/>
  <c r="J166" i="1" s="1"/>
  <c r="G165" i="1"/>
  <c r="J165" i="1" s="1"/>
  <c r="G164" i="1"/>
  <c r="J164" i="1" s="1"/>
  <c r="G163" i="1"/>
  <c r="J163" i="1" s="1"/>
  <c r="G162" i="1"/>
  <c r="F160" i="1"/>
  <c r="E160" i="1"/>
  <c r="I159" i="1"/>
  <c r="H159" i="1"/>
  <c r="G158" i="1"/>
  <c r="J158" i="1" s="1"/>
  <c r="G157" i="1"/>
  <c r="J157" i="1" s="1"/>
  <c r="G156" i="1"/>
  <c r="J156" i="1" s="1"/>
  <c r="G155" i="1"/>
  <c r="J155" i="1" s="1"/>
  <c r="G154" i="1"/>
  <c r="J154" i="1" s="1"/>
  <c r="G153" i="1"/>
  <c r="J153" i="1" s="1"/>
  <c r="G152" i="1"/>
  <c r="J152" i="1" s="1"/>
  <c r="G151" i="1"/>
  <c r="J151" i="1" s="1"/>
  <c r="I150" i="1"/>
  <c r="I160" i="1" s="1"/>
  <c r="H150" i="1"/>
  <c r="G149" i="1"/>
  <c r="J149" i="1" s="1"/>
  <c r="G148" i="1"/>
  <c r="J148" i="1" s="1"/>
  <c r="G147" i="1"/>
  <c r="J147" i="1" s="1"/>
  <c r="G146" i="1"/>
  <c r="J146" i="1" s="1"/>
  <c r="I144" i="1"/>
  <c r="H144" i="1"/>
  <c r="E144" i="1"/>
  <c r="G143" i="1"/>
  <c r="J143" i="1" s="1"/>
  <c r="G142" i="1"/>
  <c r="J142" i="1" s="1"/>
  <c r="G141" i="1"/>
  <c r="J141" i="1" s="1"/>
  <c r="I140" i="1"/>
  <c r="H140" i="1"/>
  <c r="F140" i="1"/>
  <c r="F145" i="1" s="1"/>
  <c r="F161" i="1" s="1"/>
  <c r="F216" i="1" s="1"/>
  <c r="E140" i="1"/>
  <c r="G139" i="1"/>
  <c r="G138" i="1"/>
  <c r="I137" i="1"/>
  <c r="H137" i="1"/>
  <c r="E137" i="1"/>
  <c r="E145" i="1" s="1"/>
  <c r="E161" i="1" s="1"/>
  <c r="E216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J131" i="1" s="1"/>
  <c r="G130" i="1"/>
  <c r="J130" i="1" s="1"/>
  <c r="I129" i="1"/>
  <c r="H129" i="1"/>
  <c r="G128" i="1"/>
  <c r="J128" i="1" s="1"/>
  <c r="G127" i="1"/>
  <c r="J127" i="1" s="1"/>
  <c r="G126" i="1"/>
  <c r="J126" i="1" s="1"/>
  <c r="G125" i="1"/>
  <c r="J125" i="1" s="1"/>
  <c r="G124" i="1"/>
  <c r="J124" i="1" s="1"/>
  <c r="G123" i="1"/>
  <c r="J123" i="1" s="1"/>
  <c r="G122" i="1"/>
  <c r="J122" i="1" s="1"/>
  <c r="I121" i="1"/>
  <c r="H121" i="1"/>
  <c r="G120" i="1"/>
  <c r="J120" i="1" s="1"/>
  <c r="G119" i="1"/>
  <c r="J119" i="1" s="1"/>
  <c r="G118" i="1"/>
  <c r="J118" i="1" s="1"/>
  <c r="G117" i="1"/>
  <c r="J117" i="1" s="1"/>
  <c r="H185" i="1" l="1"/>
  <c r="I176" i="13"/>
  <c r="H129" i="16"/>
  <c r="G210" i="1"/>
  <c r="J210" i="1" s="1"/>
  <c r="J207" i="1"/>
  <c r="I185" i="1"/>
  <c r="G180" i="1"/>
  <c r="J180" i="1" s="1"/>
  <c r="G200" i="1"/>
  <c r="J200" i="1" s="1"/>
  <c r="F145" i="13"/>
  <c r="P128" i="17"/>
  <c r="I145" i="1"/>
  <c r="I145" i="13"/>
  <c r="I161" i="13" s="1"/>
  <c r="G129" i="1"/>
  <c r="J129" i="1" s="1"/>
  <c r="I176" i="1"/>
  <c r="I187" i="1" s="1"/>
  <c r="I188" i="1" s="1"/>
  <c r="H176" i="1"/>
  <c r="H187" i="1" s="1"/>
  <c r="H188" i="1" s="1"/>
  <c r="F176" i="13"/>
  <c r="G175" i="1"/>
  <c r="J175" i="1" s="1"/>
  <c r="F87" i="17"/>
  <c r="I87" i="17" s="1"/>
  <c r="I78" i="17"/>
  <c r="I126" i="17"/>
  <c r="F127" i="17"/>
  <c r="F160" i="13"/>
  <c r="F161" i="13" s="1"/>
  <c r="I185" i="13"/>
  <c r="I187" i="13" s="1"/>
  <c r="I188" i="13" s="1"/>
  <c r="F185" i="13"/>
  <c r="F187" i="13" s="1"/>
  <c r="F188" i="13" s="1"/>
  <c r="I214" i="13"/>
  <c r="I215" i="13" s="1"/>
  <c r="F214" i="13"/>
  <c r="F215" i="13" s="1"/>
  <c r="I161" i="1"/>
  <c r="H160" i="1"/>
  <c r="H145" i="1"/>
  <c r="G137" i="1"/>
  <c r="J137" i="1" s="1"/>
  <c r="G121" i="1"/>
  <c r="G140" i="1"/>
  <c r="J140" i="1" s="1"/>
  <c r="J138" i="1"/>
  <c r="G150" i="1"/>
  <c r="G184" i="1"/>
  <c r="J184" i="1" s="1"/>
  <c r="J181" i="1"/>
  <c r="G144" i="1"/>
  <c r="J144" i="1" s="1"/>
  <c r="G192" i="1"/>
  <c r="J189" i="1"/>
  <c r="I214" i="1"/>
  <c r="I215" i="1" s="1"/>
  <c r="G197" i="1"/>
  <c r="J197" i="1" s="1"/>
  <c r="G213" i="1"/>
  <c r="J213" i="1" s="1"/>
  <c r="J211" i="1"/>
  <c r="G159" i="1"/>
  <c r="J159" i="1" s="1"/>
  <c r="G171" i="1"/>
  <c r="G206" i="1"/>
  <c r="J206" i="1" s="1"/>
  <c r="J162" i="1"/>
  <c r="E21" i="14"/>
  <c r="D21" i="14"/>
  <c r="E20" i="14"/>
  <c r="D20" i="14"/>
  <c r="I21" i="14"/>
  <c r="E16" i="14"/>
  <c r="M36" i="1"/>
  <c r="M139" i="1" s="1"/>
  <c r="M242" i="1" s="1"/>
  <c r="L36" i="1"/>
  <c r="L139" i="1" s="1"/>
  <c r="G36" i="1"/>
  <c r="E37" i="1"/>
  <c r="L242" i="1" l="1"/>
  <c r="K139" i="1"/>
  <c r="N139" i="1" s="1"/>
  <c r="M345" i="1"/>
  <c r="H161" i="1"/>
  <c r="I216" i="1"/>
  <c r="H216" i="1"/>
  <c r="F216" i="13"/>
  <c r="I127" i="17"/>
  <c r="F128" i="17"/>
  <c r="I128" i="17" s="1"/>
  <c r="I216" i="13"/>
  <c r="G185" i="1"/>
  <c r="J185" i="1" s="1"/>
  <c r="G214" i="1"/>
  <c r="J192" i="1"/>
  <c r="G145" i="1"/>
  <c r="J121" i="1"/>
  <c r="G160" i="1"/>
  <c r="J160" i="1" s="1"/>
  <c r="J150" i="1"/>
  <c r="G176" i="1"/>
  <c r="J171" i="1"/>
  <c r="K36" i="1"/>
  <c r="O36" i="1" s="1"/>
  <c r="F88" i="16"/>
  <c r="F170" i="16" s="1"/>
  <c r="F87" i="16"/>
  <c r="F169" i="16" s="1"/>
  <c r="F86" i="16"/>
  <c r="F168" i="16" s="1"/>
  <c r="F85" i="16"/>
  <c r="F167" i="16" s="1"/>
  <c r="F84" i="16"/>
  <c r="F166" i="16" s="1"/>
  <c r="F83" i="16"/>
  <c r="F165" i="16" s="1"/>
  <c r="F82" i="16"/>
  <c r="F164" i="16" s="1"/>
  <c r="F81" i="16"/>
  <c r="F163" i="16" s="1"/>
  <c r="F80" i="16"/>
  <c r="F162" i="16" s="1"/>
  <c r="F79" i="16"/>
  <c r="F161" i="16" s="1"/>
  <c r="F78" i="16"/>
  <c r="F160" i="16" s="1"/>
  <c r="F77" i="16"/>
  <c r="F159" i="16" s="1"/>
  <c r="F76" i="16"/>
  <c r="F158" i="16" s="1"/>
  <c r="F75" i="16"/>
  <c r="F157" i="16" s="1"/>
  <c r="F74" i="16"/>
  <c r="F156" i="16" s="1"/>
  <c r="F73" i="16"/>
  <c r="F155" i="16" s="1"/>
  <c r="F72" i="16"/>
  <c r="F154" i="16" s="1"/>
  <c r="F71" i="16"/>
  <c r="F153" i="16" s="1"/>
  <c r="F70" i="16"/>
  <c r="F152" i="16" s="1"/>
  <c r="F69" i="16"/>
  <c r="F151" i="16" s="1"/>
  <c r="F67" i="16"/>
  <c r="F149" i="16" s="1"/>
  <c r="F66" i="16"/>
  <c r="F148" i="16" s="1"/>
  <c r="F65" i="16"/>
  <c r="F147" i="16" s="1"/>
  <c r="F64" i="16"/>
  <c r="F146" i="16" s="1"/>
  <c r="F63" i="16"/>
  <c r="F145" i="16" s="1"/>
  <c r="F62" i="16"/>
  <c r="F144" i="16" s="1"/>
  <c r="F61" i="16"/>
  <c r="F143" i="16" s="1"/>
  <c r="F60" i="16"/>
  <c r="F142" i="16" s="1"/>
  <c r="F59" i="16"/>
  <c r="F141" i="16" s="1"/>
  <c r="F58" i="16"/>
  <c r="F140" i="16" s="1"/>
  <c r="F57" i="16"/>
  <c r="F139" i="16" s="1"/>
  <c r="F56" i="16"/>
  <c r="F138" i="16" s="1"/>
  <c r="F55" i="16"/>
  <c r="F137" i="16" s="1"/>
  <c r="F54" i="16"/>
  <c r="F136" i="16" s="1"/>
  <c r="F53" i="16"/>
  <c r="F135" i="16" s="1"/>
  <c r="F52" i="16"/>
  <c r="F134" i="16" s="1"/>
  <c r="F51" i="16"/>
  <c r="F133" i="16" s="1"/>
  <c r="F50" i="16"/>
  <c r="F132" i="16" s="1"/>
  <c r="F49" i="16"/>
  <c r="F131" i="16" s="1"/>
  <c r="F48" i="16"/>
  <c r="F130" i="16" s="1"/>
  <c r="F44" i="16"/>
  <c r="F126" i="16" s="1"/>
  <c r="F43" i="16"/>
  <c r="F125" i="16" s="1"/>
  <c r="F42" i="16"/>
  <c r="F124" i="16" s="1"/>
  <c r="F40" i="16"/>
  <c r="F122" i="16" s="1"/>
  <c r="F39" i="16"/>
  <c r="F121" i="16" s="1"/>
  <c r="F38" i="16"/>
  <c r="F120" i="16" s="1"/>
  <c r="F37" i="16"/>
  <c r="F119" i="16" s="1"/>
  <c r="F36" i="16"/>
  <c r="F118" i="16" s="1"/>
  <c r="F35" i="16"/>
  <c r="F117" i="16" s="1"/>
  <c r="F34" i="16"/>
  <c r="F116" i="16" s="1"/>
  <c r="F33" i="16"/>
  <c r="F115" i="16" s="1"/>
  <c r="F32" i="16"/>
  <c r="F114" i="16" s="1"/>
  <c r="F31" i="16"/>
  <c r="F113" i="16" s="1"/>
  <c r="F30" i="16"/>
  <c r="F112" i="16" s="1"/>
  <c r="F17" i="16"/>
  <c r="F99" i="16" s="1"/>
  <c r="F18" i="16"/>
  <c r="F100" i="16" s="1"/>
  <c r="F19" i="16"/>
  <c r="F101" i="16" s="1"/>
  <c r="F20" i="16"/>
  <c r="F102" i="16" s="1"/>
  <c r="F21" i="16"/>
  <c r="F103" i="16" s="1"/>
  <c r="F22" i="16"/>
  <c r="F104" i="16" s="1"/>
  <c r="F23" i="16"/>
  <c r="F105" i="16" s="1"/>
  <c r="F24" i="16"/>
  <c r="F106" i="16" s="1"/>
  <c r="F25" i="16"/>
  <c r="F107" i="16" s="1"/>
  <c r="F26" i="16"/>
  <c r="F108" i="16" s="1"/>
  <c r="F27" i="16"/>
  <c r="F109" i="16" s="1"/>
  <c r="F28" i="16"/>
  <c r="F110" i="16" s="1"/>
  <c r="F16" i="16"/>
  <c r="F98" i="16" s="1"/>
  <c r="F15" i="16"/>
  <c r="F97" i="16" s="1"/>
  <c r="K32" i="17"/>
  <c r="K91" i="17" s="1"/>
  <c r="H36" i="17"/>
  <c r="G36" i="17"/>
  <c r="L66" i="17"/>
  <c r="L125" i="17" s="1"/>
  <c r="K66" i="17"/>
  <c r="K125" i="17" s="1"/>
  <c r="L65" i="17"/>
  <c r="L124" i="17" s="1"/>
  <c r="K65" i="17"/>
  <c r="K124" i="17" s="1"/>
  <c r="L64" i="17"/>
  <c r="L123" i="17" s="1"/>
  <c r="K64" i="17"/>
  <c r="K123" i="17" s="1"/>
  <c r="L63" i="17"/>
  <c r="L122" i="17" s="1"/>
  <c r="K63" i="17"/>
  <c r="K122" i="17" s="1"/>
  <c r="L62" i="17"/>
  <c r="L121" i="17" s="1"/>
  <c r="K62" i="17"/>
  <c r="K121" i="17" s="1"/>
  <c r="L61" i="17"/>
  <c r="L120" i="17" s="1"/>
  <c r="L179" i="17" s="1"/>
  <c r="K61" i="17"/>
  <c r="K120" i="17" s="1"/>
  <c r="K179" i="17" s="1"/>
  <c r="L60" i="17"/>
  <c r="L119" i="17" s="1"/>
  <c r="K60" i="17"/>
  <c r="K119" i="17" s="1"/>
  <c r="L59" i="17"/>
  <c r="L118" i="17" s="1"/>
  <c r="L177" i="17" s="1"/>
  <c r="K59" i="17"/>
  <c r="K118" i="17" s="1"/>
  <c r="L58" i="17"/>
  <c r="L117" i="17" s="1"/>
  <c r="K58" i="17"/>
  <c r="K117" i="17" s="1"/>
  <c r="L57" i="17"/>
  <c r="L116" i="17" s="1"/>
  <c r="K57" i="17"/>
  <c r="K116" i="17" s="1"/>
  <c r="L56" i="17"/>
  <c r="L115" i="17" s="1"/>
  <c r="L174" i="17" s="1"/>
  <c r="L233" i="17" s="1"/>
  <c r="K56" i="17"/>
  <c r="K115" i="17" s="1"/>
  <c r="K174" i="17" s="1"/>
  <c r="L55" i="17"/>
  <c r="L114" i="17" s="1"/>
  <c r="L173" i="17" s="1"/>
  <c r="K55" i="17"/>
  <c r="K114" i="17" s="1"/>
  <c r="K173" i="17" s="1"/>
  <c r="L54" i="17"/>
  <c r="L113" i="17" s="1"/>
  <c r="K54" i="17"/>
  <c r="K113" i="17" s="1"/>
  <c r="L53" i="17"/>
  <c r="L112" i="17" s="1"/>
  <c r="K53" i="17"/>
  <c r="K112" i="17" s="1"/>
  <c r="L52" i="17"/>
  <c r="L111" i="17" s="1"/>
  <c r="K52" i="17"/>
  <c r="K111" i="17" s="1"/>
  <c r="L51" i="17"/>
  <c r="L110" i="17" s="1"/>
  <c r="K51" i="17"/>
  <c r="K110" i="17" s="1"/>
  <c r="L50" i="17"/>
  <c r="L109" i="17" s="1"/>
  <c r="L168" i="17" s="1"/>
  <c r="K50" i="17"/>
  <c r="K109" i="17" s="1"/>
  <c r="K168" i="17" s="1"/>
  <c r="L49" i="17"/>
  <c r="L108" i="17" s="1"/>
  <c r="L167" i="17" s="1"/>
  <c r="K49" i="17"/>
  <c r="K108" i="17" s="1"/>
  <c r="K167" i="17" s="1"/>
  <c r="L48" i="17"/>
  <c r="L107" i="17" s="1"/>
  <c r="K48" i="17"/>
  <c r="K107" i="17" s="1"/>
  <c r="L47" i="17"/>
  <c r="L106" i="17" s="1"/>
  <c r="K47" i="17"/>
  <c r="K106" i="17" s="1"/>
  <c r="L46" i="17"/>
  <c r="L105" i="17" s="1"/>
  <c r="K46" i="17"/>
  <c r="K105" i="17" s="1"/>
  <c r="L45" i="17"/>
  <c r="L104" i="17" s="1"/>
  <c r="K45" i="17"/>
  <c r="K104" i="17" s="1"/>
  <c r="L44" i="17"/>
  <c r="L103" i="17" s="1"/>
  <c r="K44" i="17"/>
  <c r="K103" i="17" s="1"/>
  <c r="L43" i="17"/>
  <c r="L102" i="17" s="1"/>
  <c r="L161" i="17" s="1"/>
  <c r="K43" i="17"/>
  <c r="K102" i="17" s="1"/>
  <c r="L42" i="17"/>
  <c r="L101" i="17" s="1"/>
  <c r="L160" i="17" s="1"/>
  <c r="L219" i="17" s="1"/>
  <c r="K42" i="17"/>
  <c r="K101" i="17" s="1"/>
  <c r="L41" i="17"/>
  <c r="L100" i="17" s="1"/>
  <c r="K41" i="17"/>
  <c r="K100" i="17" s="1"/>
  <c r="L40" i="17"/>
  <c r="L99" i="17" s="1"/>
  <c r="K40" i="17"/>
  <c r="K99" i="17" s="1"/>
  <c r="L39" i="17"/>
  <c r="L98" i="17" s="1"/>
  <c r="K39" i="17"/>
  <c r="K98" i="17" s="1"/>
  <c r="L38" i="17"/>
  <c r="L97" i="17" s="1"/>
  <c r="K38" i="17"/>
  <c r="K97" i="17" s="1"/>
  <c r="L35" i="17"/>
  <c r="L94" i="17" s="1"/>
  <c r="K35" i="17"/>
  <c r="K94" i="17" s="1"/>
  <c r="L34" i="17"/>
  <c r="L93" i="17" s="1"/>
  <c r="K34" i="17"/>
  <c r="K93" i="17" s="1"/>
  <c r="L33" i="17"/>
  <c r="L92" i="17" s="1"/>
  <c r="L151" i="17" s="1"/>
  <c r="K33" i="17"/>
  <c r="K92" i="17" s="1"/>
  <c r="L32" i="17"/>
  <c r="L91" i="17" s="1"/>
  <c r="L31" i="17"/>
  <c r="L90" i="17" s="1"/>
  <c r="K31" i="17"/>
  <c r="K90" i="17" s="1"/>
  <c r="L30" i="17"/>
  <c r="L89" i="17" s="1"/>
  <c r="K30" i="17"/>
  <c r="K89" i="17" s="1"/>
  <c r="L29" i="17"/>
  <c r="L88" i="17" s="1"/>
  <c r="K29" i="17"/>
  <c r="K88" i="17" s="1"/>
  <c r="L26" i="17"/>
  <c r="L85" i="17" s="1"/>
  <c r="K26" i="17"/>
  <c r="K85" i="17" s="1"/>
  <c r="L25" i="17"/>
  <c r="L84" i="17" s="1"/>
  <c r="K25" i="17"/>
  <c r="K84" i="17" s="1"/>
  <c r="L24" i="17"/>
  <c r="L83" i="17" s="1"/>
  <c r="K24" i="17"/>
  <c r="K83" i="17" s="1"/>
  <c r="L23" i="17"/>
  <c r="L82" i="17" s="1"/>
  <c r="K23" i="17"/>
  <c r="K82" i="17" s="1"/>
  <c r="L22" i="17"/>
  <c r="L81" i="17" s="1"/>
  <c r="K22" i="17"/>
  <c r="K81" i="17" s="1"/>
  <c r="L21" i="17"/>
  <c r="L80" i="17" s="1"/>
  <c r="K21" i="17"/>
  <c r="K80" i="17" s="1"/>
  <c r="L20" i="17"/>
  <c r="L79" i="17" s="1"/>
  <c r="K20" i="17"/>
  <c r="K79" i="17" s="1"/>
  <c r="L18" i="17"/>
  <c r="L77" i="17" s="1"/>
  <c r="K18" i="17"/>
  <c r="K77" i="17" s="1"/>
  <c r="L17" i="17"/>
  <c r="L76" i="17" s="1"/>
  <c r="K17" i="17"/>
  <c r="K76" i="17" s="1"/>
  <c r="L16" i="17"/>
  <c r="L75" i="17" s="1"/>
  <c r="K16" i="17"/>
  <c r="K75" i="17" s="1"/>
  <c r="L15" i="17"/>
  <c r="L74" i="17" s="1"/>
  <c r="K15" i="17"/>
  <c r="K74" i="17" s="1"/>
  <c r="L14" i="17"/>
  <c r="L73" i="17" s="1"/>
  <c r="K14" i="17"/>
  <c r="K73" i="17" s="1"/>
  <c r="M109" i="1"/>
  <c r="M212" i="1" s="1"/>
  <c r="L109" i="1"/>
  <c r="L212" i="1" s="1"/>
  <c r="M108" i="1"/>
  <c r="M211" i="1" s="1"/>
  <c r="L108" i="1"/>
  <c r="L211" i="1" s="1"/>
  <c r="M106" i="1"/>
  <c r="M209" i="1" s="1"/>
  <c r="L106" i="1"/>
  <c r="L209" i="1" s="1"/>
  <c r="M105" i="1"/>
  <c r="M208" i="1" s="1"/>
  <c r="L105" i="1"/>
  <c r="L208" i="1" s="1"/>
  <c r="M104" i="1"/>
  <c r="M207" i="1" s="1"/>
  <c r="L104" i="1"/>
  <c r="L207" i="1" s="1"/>
  <c r="M102" i="1"/>
  <c r="M205" i="1" s="1"/>
  <c r="M308" i="1" s="1"/>
  <c r="L102" i="1"/>
  <c r="L205" i="1" s="1"/>
  <c r="M101" i="1"/>
  <c r="M204" i="1" s="1"/>
  <c r="M307" i="1" s="1"/>
  <c r="M410" i="1" s="1"/>
  <c r="M513" i="1" s="1"/>
  <c r="L101" i="1"/>
  <c r="L204" i="1" s="1"/>
  <c r="M100" i="1"/>
  <c r="M203" i="1" s="1"/>
  <c r="M306" i="1" s="1"/>
  <c r="L100" i="1"/>
  <c r="L203" i="1" s="1"/>
  <c r="M99" i="1"/>
  <c r="M202" i="1" s="1"/>
  <c r="L99" i="1"/>
  <c r="L202" i="1" s="1"/>
  <c r="M98" i="1"/>
  <c r="M201" i="1" s="1"/>
  <c r="L98" i="1"/>
  <c r="L201" i="1" s="1"/>
  <c r="M96" i="1"/>
  <c r="M199" i="1" s="1"/>
  <c r="M302" i="1" s="1"/>
  <c r="L96" i="1"/>
  <c r="L199" i="1" s="1"/>
  <c r="M95" i="1"/>
  <c r="M198" i="1" s="1"/>
  <c r="L95" i="1"/>
  <c r="L198" i="1" s="1"/>
  <c r="M93" i="1"/>
  <c r="M196" i="1" s="1"/>
  <c r="M299" i="1" s="1"/>
  <c r="L93" i="1"/>
  <c r="L196" i="1" s="1"/>
  <c r="M92" i="1"/>
  <c r="M195" i="1" s="1"/>
  <c r="L92" i="1"/>
  <c r="L195" i="1" s="1"/>
  <c r="M91" i="1"/>
  <c r="M194" i="1" s="1"/>
  <c r="M297" i="1" s="1"/>
  <c r="L91" i="1"/>
  <c r="L194" i="1" s="1"/>
  <c r="M90" i="1"/>
  <c r="M193" i="1" s="1"/>
  <c r="L90" i="1"/>
  <c r="L193" i="1" s="1"/>
  <c r="M88" i="1"/>
  <c r="M191" i="1" s="1"/>
  <c r="M294" i="1" s="1"/>
  <c r="L88" i="1"/>
  <c r="L191" i="1" s="1"/>
  <c r="M87" i="1"/>
  <c r="M190" i="1" s="1"/>
  <c r="M293" i="1" s="1"/>
  <c r="L87" i="1"/>
  <c r="L190" i="1" s="1"/>
  <c r="M86" i="1"/>
  <c r="M189" i="1" s="1"/>
  <c r="L86" i="1"/>
  <c r="L189" i="1" s="1"/>
  <c r="M83" i="1"/>
  <c r="M186" i="1" s="1"/>
  <c r="M289" i="1" s="1"/>
  <c r="M392" i="1" s="1"/>
  <c r="M495" i="1" s="1"/>
  <c r="L83" i="1"/>
  <c r="L186" i="1" s="1"/>
  <c r="M80" i="1"/>
  <c r="M183" i="1" s="1"/>
  <c r="M286" i="1" s="1"/>
  <c r="L80" i="1"/>
  <c r="L183" i="1" s="1"/>
  <c r="M79" i="1"/>
  <c r="M182" i="1" s="1"/>
  <c r="M285" i="1" s="1"/>
  <c r="L79" i="1"/>
  <c r="L182" i="1" s="1"/>
  <c r="M78" i="1"/>
  <c r="M181" i="1" s="1"/>
  <c r="L78" i="1"/>
  <c r="L181" i="1" s="1"/>
  <c r="M76" i="1"/>
  <c r="M179" i="1" s="1"/>
  <c r="L76" i="1"/>
  <c r="L179" i="1" s="1"/>
  <c r="M75" i="1"/>
  <c r="M178" i="1" s="1"/>
  <c r="M281" i="1" s="1"/>
  <c r="L75" i="1"/>
  <c r="L178" i="1" s="1"/>
  <c r="M74" i="1"/>
  <c r="M177" i="1" s="1"/>
  <c r="L74" i="1"/>
  <c r="L177" i="1" s="1"/>
  <c r="M71" i="1"/>
  <c r="M174" i="1" s="1"/>
  <c r="L71" i="1"/>
  <c r="L174" i="1" s="1"/>
  <c r="M70" i="1"/>
  <c r="M173" i="1" s="1"/>
  <c r="L70" i="1"/>
  <c r="L173" i="1" s="1"/>
  <c r="M69" i="1"/>
  <c r="M172" i="1" s="1"/>
  <c r="L69" i="1"/>
  <c r="L172" i="1" s="1"/>
  <c r="M67" i="1"/>
  <c r="M170" i="1" s="1"/>
  <c r="M273" i="1" s="1"/>
  <c r="M376" i="1" s="1"/>
  <c r="M479" i="1" s="1"/>
  <c r="L67" i="1"/>
  <c r="L170" i="1" s="1"/>
  <c r="M66" i="1"/>
  <c r="M169" i="1" s="1"/>
  <c r="L66" i="1"/>
  <c r="L169" i="1" s="1"/>
  <c r="M65" i="1"/>
  <c r="M168" i="1" s="1"/>
  <c r="M271" i="1" s="1"/>
  <c r="M374" i="1" s="1"/>
  <c r="L65" i="1"/>
  <c r="L168" i="1" s="1"/>
  <c r="M64" i="1"/>
  <c r="M167" i="1" s="1"/>
  <c r="L64" i="1"/>
  <c r="L167" i="1" s="1"/>
  <c r="M63" i="1"/>
  <c r="M166" i="1" s="1"/>
  <c r="M269" i="1" s="1"/>
  <c r="M372" i="1" s="1"/>
  <c r="L63" i="1"/>
  <c r="L166" i="1" s="1"/>
  <c r="M62" i="1"/>
  <c r="M165" i="1" s="1"/>
  <c r="L62" i="1"/>
  <c r="L165" i="1" s="1"/>
  <c r="M61" i="1"/>
  <c r="M164" i="1" s="1"/>
  <c r="M267" i="1" s="1"/>
  <c r="M370" i="1" s="1"/>
  <c r="L61" i="1"/>
  <c r="L164" i="1" s="1"/>
  <c r="M60" i="1"/>
  <c r="M163" i="1" s="1"/>
  <c r="M266" i="1" s="1"/>
  <c r="M369" i="1" s="1"/>
  <c r="L60" i="1"/>
  <c r="L163" i="1" s="1"/>
  <c r="M59" i="1"/>
  <c r="M162" i="1" s="1"/>
  <c r="L59" i="1"/>
  <c r="L162" i="1" s="1"/>
  <c r="M55" i="1"/>
  <c r="M158" i="1" s="1"/>
  <c r="M261" i="1" s="1"/>
  <c r="L55" i="1"/>
  <c r="L158" i="1" s="1"/>
  <c r="M54" i="1"/>
  <c r="M157" i="1" s="1"/>
  <c r="M260" i="1" s="1"/>
  <c r="M363" i="1" s="1"/>
  <c r="L54" i="1"/>
  <c r="L157" i="1" s="1"/>
  <c r="M53" i="1"/>
  <c r="M156" i="1" s="1"/>
  <c r="L53" i="1"/>
  <c r="L156" i="1" s="1"/>
  <c r="M52" i="1"/>
  <c r="M155" i="1" s="1"/>
  <c r="L52" i="1"/>
  <c r="L155" i="1" s="1"/>
  <c r="M51" i="1"/>
  <c r="M154" i="1" s="1"/>
  <c r="L51" i="1"/>
  <c r="L154" i="1" s="1"/>
  <c r="M50" i="1"/>
  <c r="M153" i="1" s="1"/>
  <c r="L50" i="1"/>
  <c r="L153" i="1" s="1"/>
  <c r="M49" i="1"/>
  <c r="M152" i="1" s="1"/>
  <c r="M255" i="1" s="1"/>
  <c r="L49" i="1"/>
  <c r="L152" i="1" s="1"/>
  <c r="M48" i="1"/>
  <c r="M151" i="1" s="1"/>
  <c r="L48" i="1"/>
  <c r="L151" i="1" s="1"/>
  <c r="M46" i="1"/>
  <c r="M149" i="1" s="1"/>
  <c r="L46" i="1"/>
  <c r="L149" i="1" s="1"/>
  <c r="M45" i="1"/>
  <c r="M148" i="1" s="1"/>
  <c r="L45" i="1"/>
  <c r="L148" i="1" s="1"/>
  <c r="M44" i="1"/>
  <c r="M147" i="1" s="1"/>
  <c r="M250" i="1" s="1"/>
  <c r="L44" i="1"/>
  <c r="L147" i="1" s="1"/>
  <c r="M43" i="1"/>
  <c r="M146" i="1" s="1"/>
  <c r="L43" i="1"/>
  <c r="L146" i="1" s="1"/>
  <c r="M40" i="1"/>
  <c r="M143" i="1" s="1"/>
  <c r="L40" i="1"/>
  <c r="L143" i="1" s="1"/>
  <c r="M39" i="1"/>
  <c r="M142" i="1" s="1"/>
  <c r="L39" i="1"/>
  <c r="L142" i="1" s="1"/>
  <c r="M38" i="1"/>
  <c r="M141" i="1" s="1"/>
  <c r="L38" i="1"/>
  <c r="L141" i="1" s="1"/>
  <c r="M35" i="1"/>
  <c r="M138" i="1" s="1"/>
  <c r="L35" i="1"/>
  <c r="L138" i="1" s="1"/>
  <c r="M33" i="1"/>
  <c r="M136" i="1" s="1"/>
  <c r="L33" i="1"/>
  <c r="L136" i="1" s="1"/>
  <c r="M32" i="1"/>
  <c r="M135" i="1" s="1"/>
  <c r="L32" i="1"/>
  <c r="L135" i="1" s="1"/>
  <c r="M31" i="1"/>
  <c r="M134" i="1" s="1"/>
  <c r="M237" i="1" s="1"/>
  <c r="L31" i="1"/>
  <c r="L134" i="1" s="1"/>
  <c r="M30" i="1"/>
  <c r="M133" i="1" s="1"/>
  <c r="L30" i="1"/>
  <c r="L133" i="1" s="1"/>
  <c r="M29" i="1"/>
  <c r="M132" i="1" s="1"/>
  <c r="L29" i="1"/>
  <c r="L132" i="1" s="1"/>
  <c r="M28" i="1"/>
  <c r="M131" i="1" s="1"/>
  <c r="L28" i="1"/>
  <c r="L131" i="1" s="1"/>
  <c r="M27" i="1"/>
  <c r="M130" i="1" s="1"/>
  <c r="L27" i="1"/>
  <c r="L130" i="1" s="1"/>
  <c r="M25" i="1"/>
  <c r="M128" i="1" s="1"/>
  <c r="M231" i="1" s="1"/>
  <c r="L25" i="1"/>
  <c r="L128" i="1" s="1"/>
  <c r="M24" i="1"/>
  <c r="M127" i="1" s="1"/>
  <c r="L24" i="1"/>
  <c r="L127" i="1" s="1"/>
  <c r="M23" i="1"/>
  <c r="M126" i="1" s="1"/>
  <c r="M229" i="1" s="1"/>
  <c r="M332" i="1" s="1"/>
  <c r="L23" i="1"/>
  <c r="L126" i="1" s="1"/>
  <c r="M22" i="1"/>
  <c r="M125" i="1" s="1"/>
  <c r="M228" i="1" s="1"/>
  <c r="L22" i="1"/>
  <c r="L125" i="1" s="1"/>
  <c r="M21" i="1"/>
  <c r="M124" i="1" s="1"/>
  <c r="L21" i="1"/>
  <c r="L124" i="1" s="1"/>
  <c r="M20" i="1"/>
  <c r="M123" i="1" s="1"/>
  <c r="L20" i="1"/>
  <c r="L123" i="1" s="1"/>
  <c r="M19" i="1"/>
  <c r="M122" i="1" s="1"/>
  <c r="L19" i="1"/>
  <c r="L122" i="1" s="1"/>
  <c r="M17" i="1"/>
  <c r="M120" i="1" s="1"/>
  <c r="L17" i="1"/>
  <c r="L120" i="1" s="1"/>
  <c r="M16" i="1"/>
  <c r="M119" i="1" s="1"/>
  <c r="M222" i="1" s="1"/>
  <c r="L16" i="1"/>
  <c r="L119" i="1" s="1"/>
  <c r="M15" i="1"/>
  <c r="M118" i="1" s="1"/>
  <c r="L15" i="1"/>
  <c r="L118" i="1" s="1"/>
  <c r="M14" i="1"/>
  <c r="M117" i="1" s="1"/>
  <c r="L14" i="1"/>
  <c r="L117" i="1" s="1"/>
  <c r="Q73" i="17" l="1"/>
  <c r="K132" i="17"/>
  <c r="J73" i="17"/>
  <c r="M73" i="17" s="1"/>
  <c r="F194" i="16"/>
  <c r="I112" i="16"/>
  <c r="L132" i="17"/>
  <c r="L191" i="17" s="1"/>
  <c r="N73" i="17"/>
  <c r="K150" i="17"/>
  <c r="Q91" i="17"/>
  <c r="F179" i="16"/>
  <c r="I97" i="16"/>
  <c r="F180" i="16"/>
  <c r="I98" i="16"/>
  <c r="F191" i="16"/>
  <c r="I109" i="16"/>
  <c r="F187" i="16"/>
  <c r="I105" i="16"/>
  <c r="F183" i="16"/>
  <c r="I101" i="16"/>
  <c r="F195" i="16"/>
  <c r="I113" i="16"/>
  <c r="F199" i="16"/>
  <c r="I117" i="16"/>
  <c r="F203" i="16"/>
  <c r="I121" i="16"/>
  <c r="F208" i="16"/>
  <c r="I126" i="16"/>
  <c r="F215" i="16"/>
  <c r="I133" i="16"/>
  <c r="F219" i="16"/>
  <c r="I137" i="16"/>
  <c r="F223" i="16"/>
  <c r="I141" i="16"/>
  <c r="F227" i="16"/>
  <c r="I145" i="16"/>
  <c r="F231" i="16"/>
  <c r="I149" i="16"/>
  <c r="I154" i="16"/>
  <c r="F236" i="16"/>
  <c r="F240" i="16"/>
  <c r="I158" i="16"/>
  <c r="F244" i="16"/>
  <c r="I162" i="16"/>
  <c r="F248" i="16"/>
  <c r="I166" i="16"/>
  <c r="F252" i="16"/>
  <c r="I170" i="16"/>
  <c r="I64" i="16"/>
  <c r="I60" i="16"/>
  <c r="I56" i="16"/>
  <c r="F190" i="16"/>
  <c r="I108" i="16"/>
  <c r="F186" i="16"/>
  <c r="I104" i="16"/>
  <c r="F182" i="16"/>
  <c r="I100" i="16"/>
  <c r="F196" i="16"/>
  <c r="I114" i="16"/>
  <c r="F200" i="16"/>
  <c r="I118" i="16"/>
  <c r="F204" i="16"/>
  <c r="I122" i="16"/>
  <c r="F212" i="16"/>
  <c r="I130" i="16"/>
  <c r="F216" i="16"/>
  <c r="I134" i="16"/>
  <c r="F220" i="16"/>
  <c r="I138" i="16"/>
  <c r="F224" i="16"/>
  <c r="I142" i="16"/>
  <c r="F228" i="16"/>
  <c r="I146" i="16"/>
  <c r="F233" i="16"/>
  <c r="I151" i="16"/>
  <c r="F237" i="16"/>
  <c r="I155" i="16"/>
  <c r="F241" i="16"/>
  <c r="I159" i="16"/>
  <c r="F245" i="16"/>
  <c r="I163" i="16"/>
  <c r="F249" i="16"/>
  <c r="I167" i="16"/>
  <c r="I67" i="16"/>
  <c r="I63" i="16"/>
  <c r="I59" i="16"/>
  <c r="I44" i="16"/>
  <c r="F189" i="16"/>
  <c r="I107" i="16"/>
  <c r="F185" i="16"/>
  <c r="I103" i="16"/>
  <c r="F181" i="16"/>
  <c r="I99" i="16"/>
  <c r="F197" i="16"/>
  <c r="I115" i="16"/>
  <c r="F201" i="16"/>
  <c r="I119" i="16"/>
  <c r="F206" i="16"/>
  <c r="I124" i="16"/>
  <c r="F213" i="16"/>
  <c r="I131" i="16"/>
  <c r="F217" i="16"/>
  <c r="I135" i="16"/>
  <c r="F221" i="16"/>
  <c r="I139" i="16"/>
  <c r="F225" i="16"/>
  <c r="I143" i="16"/>
  <c r="F229" i="16"/>
  <c r="I147" i="16"/>
  <c r="F234" i="16"/>
  <c r="I152" i="16"/>
  <c r="F238" i="16"/>
  <c r="I156" i="16"/>
  <c r="F242" i="16"/>
  <c r="I160" i="16"/>
  <c r="F246" i="16"/>
  <c r="I164" i="16"/>
  <c r="F250" i="16"/>
  <c r="I168" i="16"/>
  <c r="I66" i="16"/>
  <c r="I62" i="16"/>
  <c r="I58" i="16"/>
  <c r="I43" i="16"/>
  <c r="F192" i="16"/>
  <c r="I110" i="16"/>
  <c r="F188" i="16"/>
  <c r="I106" i="16"/>
  <c r="F184" i="16"/>
  <c r="I102" i="16"/>
  <c r="F198" i="16"/>
  <c r="I116" i="16"/>
  <c r="F202" i="16"/>
  <c r="I120" i="16"/>
  <c r="F207" i="16"/>
  <c r="I125" i="16"/>
  <c r="F214" i="16"/>
  <c r="I132" i="16"/>
  <c r="F218" i="16"/>
  <c r="I136" i="16"/>
  <c r="F222" i="16"/>
  <c r="I140" i="16"/>
  <c r="F226" i="16"/>
  <c r="I144" i="16"/>
  <c r="F230" i="16"/>
  <c r="I148" i="16"/>
  <c r="F235" i="16"/>
  <c r="I153" i="16"/>
  <c r="F239" i="16"/>
  <c r="I157" i="16"/>
  <c r="F243" i="16"/>
  <c r="I161" i="16"/>
  <c r="F247" i="16"/>
  <c r="I165" i="16"/>
  <c r="F251" i="16"/>
  <c r="I169" i="16"/>
  <c r="I65" i="16"/>
  <c r="I61" i="16"/>
  <c r="I57" i="16"/>
  <c r="K133" i="17"/>
  <c r="Q74" i="17"/>
  <c r="J74" i="17"/>
  <c r="K78" i="17"/>
  <c r="K135" i="17"/>
  <c r="Q76" i="17"/>
  <c r="J76" i="17"/>
  <c r="M76" i="17" s="1"/>
  <c r="K138" i="17"/>
  <c r="Q79" i="17"/>
  <c r="J79" i="17"/>
  <c r="K86" i="17"/>
  <c r="K140" i="17"/>
  <c r="Q81" i="17"/>
  <c r="J81" i="17"/>
  <c r="M81" i="17" s="1"/>
  <c r="K142" i="17"/>
  <c r="J83" i="17"/>
  <c r="M83" i="17" s="1"/>
  <c r="Q83" i="17"/>
  <c r="K144" i="17"/>
  <c r="Q85" i="17"/>
  <c r="J85" i="17"/>
  <c r="M85" i="17" s="1"/>
  <c r="J89" i="17"/>
  <c r="M89" i="17" s="1"/>
  <c r="K148" i="17"/>
  <c r="Q89" i="17"/>
  <c r="L150" i="17"/>
  <c r="J91" i="17"/>
  <c r="M91" i="17" s="1"/>
  <c r="N91" i="17"/>
  <c r="L152" i="17"/>
  <c r="L156" i="17"/>
  <c r="L158" i="17"/>
  <c r="L278" i="17"/>
  <c r="L337" i="17" s="1"/>
  <c r="L396" i="17" s="1"/>
  <c r="L162" i="17"/>
  <c r="L221" i="17" s="1"/>
  <c r="L164" i="17"/>
  <c r="L166" i="17"/>
  <c r="L225" i="17" s="1"/>
  <c r="L227" i="17"/>
  <c r="L170" i="17"/>
  <c r="L229" i="17" s="1"/>
  <c r="L172" i="17"/>
  <c r="L292" i="17"/>
  <c r="L176" i="17"/>
  <c r="L178" i="17"/>
  <c r="L237" i="17" s="1"/>
  <c r="L180" i="17"/>
  <c r="L182" i="17"/>
  <c r="L241" i="17" s="1"/>
  <c r="L300" i="17" s="1"/>
  <c r="L359" i="17" s="1"/>
  <c r="L184" i="17"/>
  <c r="L133" i="17"/>
  <c r="L78" i="17"/>
  <c r="N74" i="17"/>
  <c r="L135" i="17"/>
  <c r="L194" i="17" s="1"/>
  <c r="N76" i="17"/>
  <c r="L138" i="17"/>
  <c r="L86" i="17"/>
  <c r="N79" i="17"/>
  <c r="L140" i="17"/>
  <c r="L199" i="17" s="1"/>
  <c r="N81" i="17"/>
  <c r="L142" i="17"/>
  <c r="L144" i="17"/>
  <c r="L203" i="17" s="1"/>
  <c r="N85" i="17"/>
  <c r="L148" i="17"/>
  <c r="N89" i="17"/>
  <c r="K151" i="17"/>
  <c r="J92" i="17"/>
  <c r="Q92" i="17"/>
  <c r="K153" i="17"/>
  <c r="J94" i="17"/>
  <c r="M94" i="17" s="1"/>
  <c r="Q94" i="17"/>
  <c r="Q98" i="17"/>
  <c r="K157" i="17"/>
  <c r="J98" i="17"/>
  <c r="M98" i="17" s="1"/>
  <c r="Q100" i="17"/>
  <c r="K159" i="17"/>
  <c r="J100" i="17"/>
  <c r="M100" i="17" s="1"/>
  <c r="J102" i="17"/>
  <c r="K161" i="17"/>
  <c r="Q102" i="17"/>
  <c r="Q104" i="17"/>
  <c r="K163" i="17"/>
  <c r="J104" i="17"/>
  <c r="M104" i="17" s="1"/>
  <c r="Q106" i="17"/>
  <c r="K165" i="17"/>
  <c r="J106" i="17"/>
  <c r="M106" i="17" s="1"/>
  <c r="K226" i="17"/>
  <c r="Q167" i="17"/>
  <c r="J167" i="17"/>
  <c r="M167" i="17" s="1"/>
  <c r="J110" i="17"/>
  <c r="M110" i="17" s="1"/>
  <c r="K169" i="17"/>
  <c r="Q110" i="17"/>
  <c r="K171" i="17"/>
  <c r="Q112" i="17"/>
  <c r="J112" i="17"/>
  <c r="M112" i="17" s="1"/>
  <c r="Q173" i="17"/>
  <c r="K232" i="17"/>
  <c r="J173" i="17"/>
  <c r="M173" i="17" s="1"/>
  <c r="Q116" i="17"/>
  <c r="K175" i="17"/>
  <c r="J116" i="17"/>
  <c r="M116" i="17" s="1"/>
  <c r="K177" i="17"/>
  <c r="J118" i="17"/>
  <c r="Q118" i="17"/>
  <c r="Q179" i="17"/>
  <c r="K238" i="17"/>
  <c r="J179" i="17"/>
  <c r="M179" i="17" s="1"/>
  <c r="J122" i="17"/>
  <c r="M122" i="17" s="1"/>
  <c r="K181" i="17"/>
  <c r="Q122" i="17"/>
  <c r="Q124" i="17"/>
  <c r="K183" i="17"/>
  <c r="J124" i="17"/>
  <c r="M124" i="17" s="1"/>
  <c r="K134" i="17"/>
  <c r="J75" i="17"/>
  <c r="M75" i="17" s="1"/>
  <c r="Q75" i="17"/>
  <c r="K136" i="17"/>
  <c r="Q77" i="17"/>
  <c r="J77" i="17"/>
  <c r="M77" i="17" s="1"/>
  <c r="J80" i="17"/>
  <c r="M80" i="17" s="1"/>
  <c r="K139" i="17"/>
  <c r="Q80" i="17"/>
  <c r="K141" i="17"/>
  <c r="Q82" i="17"/>
  <c r="J82" i="17"/>
  <c r="M82" i="17" s="1"/>
  <c r="Q84" i="17"/>
  <c r="K143" i="17"/>
  <c r="J84" i="17"/>
  <c r="M84" i="17" s="1"/>
  <c r="K147" i="17"/>
  <c r="Q88" i="17"/>
  <c r="J88" i="17"/>
  <c r="K95" i="17"/>
  <c r="K96" i="17" s="1"/>
  <c r="K149" i="17"/>
  <c r="Q90" i="17"/>
  <c r="J90" i="17"/>
  <c r="M90" i="17" s="1"/>
  <c r="L210" i="17"/>
  <c r="L153" i="17"/>
  <c r="N94" i="17"/>
  <c r="L157" i="17"/>
  <c r="N98" i="17"/>
  <c r="L159" i="17"/>
  <c r="N100" i="17"/>
  <c r="L220" i="17"/>
  <c r="L163" i="17"/>
  <c r="L165" i="17"/>
  <c r="N106" i="17"/>
  <c r="L226" i="17"/>
  <c r="N167" i="17"/>
  <c r="L169" i="17"/>
  <c r="N110" i="17"/>
  <c r="L171" i="17"/>
  <c r="L232" i="17"/>
  <c r="N173" i="17"/>
  <c r="L175" i="17"/>
  <c r="N116" i="17"/>
  <c r="L236" i="17"/>
  <c r="L238" i="17"/>
  <c r="L181" i="17"/>
  <c r="N122" i="17"/>
  <c r="L183" i="17"/>
  <c r="L134" i="17"/>
  <c r="L136" i="17"/>
  <c r="N77" i="17"/>
  <c r="L139" i="17"/>
  <c r="N80" i="17"/>
  <c r="L141" i="17"/>
  <c r="N82" i="17"/>
  <c r="L143" i="17"/>
  <c r="N84" i="17"/>
  <c r="L147" i="17"/>
  <c r="L95" i="17"/>
  <c r="L149" i="17"/>
  <c r="K152" i="17"/>
  <c r="J93" i="17"/>
  <c r="M93" i="17" s="1"/>
  <c r="Q93" i="17"/>
  <c r="K156" i="17"/>
  <c r="Q97" i="17"/>
  <c r="J97" i="17"/>
  <c r="M97" i="17" s="1"/>
  <c r="K158" i="17"/>
  <c r="Q99" i="17"/>
  <c r="J99" i="17"/>
  <c r="M99" i="17" s="1"/>
  <c r="K160" i="17"/>
  <c r="Q101" i="17"/>
  <c r="J101" i="17"/>
  <c r="K162" i="17"/>
  <c r="Q103" i="17"/>
  <c r="J103" i="17"/>
  <c r="M103" i="17" s="1"/>
  <c r="K164" i="17"/>
  <c r="Q105" i="17"/>
  <c r="J105" i="17"/>
  <c r="M105" i="17" s="1"/>
  <c r="K166" i="17"/>
  <c r="Q107" i="17"/>
  <c r="J107" i="17"/>
  <c r="M107" i="17" s="1"/>
  <c r="Q168" i="17"/>
  <c r="K227" i="17"/>
  <c r="J168" i="17"/>
  <c r="M168" i="17" s="1"/>
  <c r="K170" i="17"/>
  <c r="Q111" i="17"/>
  <c r="J111" i="17"/>
  <c r="M111" i="17" s="1"/>
  <c r="K172" i="17"/>
  <c r="J113" i="17"/>
  <c r="M113" i="17" s="1"/>
  <c r="Q113" i="17"/>
  <c r="K233" i="17"/>
  <c r="Q174" i="17"/>
  <c r="J174" i="17"/>
  <c r="K176" i="17"/>
  <c r="Q117" i="17"/>
  <c r="J117" i="17"/>
  <c r="M117" i="17" s="1"/>
  <c r="K178" i="17"/>
  <c r="Q119" i="17"/>
  <c r="J119" i="17"/>
  <c r="M119" i="17" s="1"/>
  <c r="K180" i="17"/>
  <c r="J121" i="17"/>
  <c r="M121" i="17" s="1"/>
  <c r="Q121" i="17"/>
  <c r="K182" i="17"/>
  <c r="Q123" i="17"/>
  <c r="J123" i="17"/>
  <c r="M123" i="17" s="1"/>
  <c r="K184" i="17"/>
  <c r="J125" i="17"/>
  <c r="M125" i="17" s="1"/>
  <c r="Q125" i="17"/>
  <c r="M241" i="1"/>
  <c r="M140" i="1"/>
  <c r="M598" i="1"/>
  <c r="M701" i="1" s="1"/>
  <c r="N36" i="1"/>
  <c r="M220" i="1"/>
  <c r="M448" i="1"/>
  <c r="L220" i="1"/>
  <c r="G118" i="13"/>
  <c r="J118" i="13" s="1"/>
  <c r="K117" i="1"/>
  <c r="N117" i="1" s="1"/>
  <c r="L241" i="1"/>
  <c r="G139" i="13"/>
  <c r="L140" i="1"/>
  <c r="K138" i="1"/>
  <c r="O138" i="1" s="1"/>
  <c r="L289" i="1"/>
  <c r="G186" i="13"/>
  <c r="J186" i="13" s="1"/>
  <c r="K186" i="1"/>
  <c r="N186" i="1" s="1"/>
  <c r="O139" i="1"/>
  <c r="L345" i="1"/>
  <c r="K242" i="1"/>
  <c r="L223" i="1"/>
  <c r="G121" i="13"/>
  <c r="J121" i="13" s="1"/>
  <c r="K120" i="1"/>
  <c r="N120" i="1" s="1"/>
  <c r="L230" i="1"/>
  <c r="G128" i="13"/>
  <c r="J128" i="13" s="1"/>
  <c r="K127" i="1"/>
  <c r="N127" i="1" s="1"/>
  <c r="L237" i="1"/>
  <c r="G135" i="13"/>
  <c r="J135" i="13" s="1"/>
  <c r="K134" i="1"/>
  <c r="L244" i="1"/>
  <c r="G141" i="13"/>
  <c r="K141" i="1"/>
  <c r="O141" i="1" s="1"/>
  <c r="L144" i="1"/>
  <c r="L252" i="1"/>
  <c r="G149" i="13"/>
  <c r="J149" i="13" s="1"/>
  <c r="K149" i="1"/>
  <c r="N149" i="1" s="1"/>
  <c r="L259" i="1"/>
  <c r="G156" i="13"/>
  <c r="J156" i="13" s="1"/>
  <c r="K156" i="1"/>
  <c r="N156" i="1" s="1"/>
  <c r="L268" i="1"/>
  <c r="G165" i="13"/>
  <c r="J165" i="13" s="1"/>
  <c r="K165" i="1"/>
  <c r="L275" i="1"/>
  <c r="G172" i="13"/>
  <c r="L175" i="1"/>
  <c r="K172" i="1"/>
  <c r="L286" i="1"/>
  <c r="G183" i="13"/>
  <c r="J183" i="13" s="1"/>
  <c r="K183" i="1"/>
  <c r="L297" i="1"/>
  <c r="G194" i="13"/>
  <c r="J194" i="13" s="1"/>
  <c r="K194" i="1"/>
  <c r="O194" i="1" s="1"/>
  <c r="L307" i="1"/>
  <c r="G204" i="13"/>
  <c r="J204" i="13" s="1"/>
  <c r="K204" i="1"/>
  <c r="N204" i="1" s="1"/>
  <c r="L315" i="1"/>
  <c r="G212" i="13"/>
  <c r="K212" i="1"/>
  <c r="N212" i="1" s="1"/>
  <c r="M223" i="1"/>
  <c r="M326" i="1" s="1"/>
  <c r="O120" i="1"/>
  <c r="M226" i="1"/>
  <c r="M230" i="1"/>
  <c r="M235" i="1"/>
  <c r="M338" i="1" s="1"/>
  <c r="M239" i="1"/>
  <c r="M342" i="1" s="1"/>
  <c r="M244" i="1"/>
  <c r="M144" i="1"/>
  <c r="M246" i="1"/>
  <c r="M353" i="1"/>
  <c r="M252" i="1"/>
  <c r="M358" i="1"/>
  <c r="M257" i="1"/>
  <c r="M259" i="1"/>
  <c r="O156" i="1"/>
  <c r="M364" i="1"/>
  <c r="M472" i="1"/>
  <c r="M575" i="1" s="1"/>
  <c r="M268" i="1"/>
  <c r="O165" i="1"/>
  <c r="M270" i="1"/>
  <c r="M272" i="1"/>
  <c r="M375" i="1" s="1"/>
  <c r="M275" i="1"/>
  <c r="M175" i="1"/>
  <c r="M277" i="1"/>
  <c r="M384" i="1"/>
  <c r="M284" i="1"/>
  <c r="M184" i="1"/>
  <c r="M389" i="1"/>
  <c r="M292" i="1"/>
  <c r="M192" i="1"/>
  <c r="M397" i="1"/>
  <c r="M400" i="1"/>
  <c r="M402" i="1"/>
  <c r="M505" i="1" s="1"/>
  <c r="M405" i="1"/>
  <c r="M305" i="1"/>
  <c r="M616" i="1"/>
  <c r="M310" i="1"/>
  <c r="M210" i="1"/>
  <c r="M312" i="1"/>
  <c r="M315" i="1"/>
  <c r="M418" i="1" s="1"/>
  <c r="M521" i="1" s="1"/>
  <c r="M624" i="1" s="1"/>
  <c r="L221" i="1"/>
  <c r="G119" i="13"/>
  <c r="K118" i="1"/>
  <c r="L121" i="1"/>
  <c r="G126" i="13"/>
  <c r="J126" i="13" s="1"/>
  <c r="L228" i="1"/>
  <c r="K125" i="1"/>
  <c r="L235" i="1"/>
  <c r="G133" i="13"/>
  <c r="J133" i="13" s="1"/>
  <c r="K132" i="1"/>
  <c r="N132" i="1" s="1"/>
  <c r="L246" i="1"/>
  <c r="G143" i="13"/>
  <c r="J143" i="13" s="1"/>
  <c r="K143" i="1"/>
  <c r="N143" i="1" s="1"/>
  <c r="L255" i="1"/>
  <c r="G152" i="13"/>
  <c r="J152" i="13" s="1"/>
  <c r="K152" i="1"/>
  <c r="N152" i="1" s="1"/>
  <c r="L261" i="1"/>
  <c r="G158" i="13"/>
  <c r="J158" i="13" s="1"/>
  <c r="K158" i="1"/>
  <c r="N158" i="1" s="1"/>
  <c r="L270" i="1"/>
  <c r="G167" i="13"/>
  <c r="J167" i="13" s="1"/>
  <c r="K167" i="1"/>
  <c r="O167" i="1" s="1"/>
  <c r="G174" i="13"/>
  <c r="J174" i="13" s="1"/>
  <c r="L277" i="1"/>
  <c r="K174" i="1"/>
  <c r="N174" i="1" s="1"/>
  <c r="L284" i="1"/>
  <c r="G181" i="13"/>
  <c r="K181" i="1"/>
  <c r="L184" i="1"/>
  <c r="L294" i="1"/>
  <c r="G191" i="13"/>
  <c r="J191" i="13" s="1"/>
  <c r="K191" i="1"/>
  <c r="L302" i="1"/>
  <c r="G199" i="13"/>
  <c r="J199" i="13" s="1"/>
  <c r="K199" i="1"/>
  <c r="L310" i="1"/>
  <c r="G207" i="13"/>
  <c r="L210" i="1"/>
  <c r="K207" i="1"/>
  <c r="M221" i="1"/>
  <c r="M121" i="1"/>
  <c r="M331" i="1"/>
  <c r="M233" i="1"/>
  <c r="M137" i="1"/>
  <c r="M340" i="1"/>
  <c r="L222" i="1"/>
  <c r="G120" i="13"/>
  <c r="J120" i="13" s="1"/>
  <c r="K119" i="1"/>
  <c r="L225" i="1"/>
  <c r="G123" i="13"/>
  <c r="L129" i="1"/>
  <c r="K122" i="1"/>
  <c r="O122" i="1" s="1"/>
  <c r="L227" i="1"/>
  <c r="G125" i="13"/>
  <c r="J125" i="13" s="1"/>
  <c r="K124" i="1"/>
  <c r="N124" i="1" s="1"/>
  <c r="G127" i="13"/>
  <c r="J127" i="13" s="1"/>
  <c r="L229" i="1"/>
  <c r="K126" i="1"/>
  <c r="G129" i="13"/>
  <c r="J129" i="13" s="1"/>
  <c r="L231" i="1"/>
  <c r="K128" i="1"/>
  <c r="N128" i="1" s="1"/>
  <c r="L234" i="1"/>
  <c r="G132" i="13"/>
  <c r="J132" i="13" s="1"/>
  <c r="K131" i="1"/>
  <c r="N131" i="1" s="1"/>
  <c r="L236" i="1"/>
  <c r="G134" i="13"/>
  <c r="J134" i="13" s="1"/>
  <c r="K133" i="1"/>
  <c r="N133" i="1" s="1"/>
  <c r="L238" i="1"/>
  <c r="G136" i="13"/>
  <c r="J136" i="13" s="1"/>
  <c r="K135" i="1"/>
  <c r="N135" i="1" s="1"/>
  <c r="L245" i="1"/>
  <c r="G142" i="13"/>
  <c r="J142" i="13" s="1"/>
  <c r="K142" i="1"/>
  <c r="N142" i="1" s="1"/>
  <c r="L249" i="1"/>
  <c r="G146" i="13"/>
  <c r="K146" i="1"/>
  <c r="L150" i="1"/>
  <c r="L251" i="1"/>
  <c r="G148" i="13"/>
  <c r="J148" i="13" s="1"/>
  <c r="K148" i="1"/>
  <c r="N148" i="1" s="1"/>
  <c r="L254" i="1"/>
  <c r="G151" i="13"/>
  <c r="L159" i="1"/>
  <c r="K151" i="1"/>
  <c r="L256" i="1"/>
  <c r="G153" i="13"/>
  <c r="J153" i="13" s="1"/>
  <c r="K153" i="1"/>
  <c r="N153" i="1" s="1"/>
  <c r="L258" i="1"/>
  <c r="G155" i="13"/>
  <c r="J155" i="13" s="1"/>
  <c r="K155" i="1"/>
  <c r="N155" i="1" s="1"/>
  <c r="L260" i="1"/>
  <c r="G157" i="13"/>
  <c r="J157" i="13" s="1"/>
  <c r="K157" i="1"/>
  <c r="N157" i="1" s="1"/>
  <c r="G162" i="13"/>
  <c r="L265" i="1"/>
  <c r="L171" i="1"/>
  <c r="L176" i="1" s="1"/>
  <c r="K162" i="1"/>
  <c r="L267" i="1"/>
  <c r="G164" i="13"/>
  <c r="J164" i="13" s="1"/>
  <c r="K164" i="1"/>
  <c r="O164" i="1" s="1"/>
  <c r="L269" i="1"/>
  <c r="G166" i="13"/>
  <c r="J166" i="13" s="1"/>
  <c r="K166" i="1"/>
  <c r="O166" i="1" s="1"/>
  <c r="L271" i="1"/>
  <c r="G168" i="13"/>
  <c r="J168" i="13" s="1"/>
  <c r="K168" i="1"/>
  <c r="O168" i="1" s="1"/>
  <c r="G170" i="13"/>
  <c r="J170" i="13" s="1"/>
  <c r="L273" i="1"/>
  <c r="K170" i="1"/>
  <c r="N170" i="1" s="1"/>
  <c r="L276" i="1"/>
  <c r="G173" i="13"/>
  <c r="J173" i="13" s="1"/>
  <c r="K173" i="1"/>
  <c r="N173" i="1" s="1"/>
  <c r="L280" i="1"/>
  <c r="G177" i="13"/>
  <c r="K177" i="1"/>
  <c r="L180" i="1"/>
  <c r="L185" i="1" s="1"/>
  <c r="L187" i="1" s="1"/>
  <c r="L188" i="1" s="1"/>
  <c r="L282" i="1"/>
  <c r="G179" i="13"/>
  <c r="J179" i="13" s="1"/>
  <c r="K179" i="1"/>
  <c r="N179" i="1" s="1"/>
  <c r="L285" i="1"/>
  <c r="G182" i="13"/>
  <c r="J182" i="13" s="1"/>
  <c r="K182" i="1"/>
  <c r="N182" i="1" s="1"/>
  <c r="G190" i="13"/>
  <c r="J190" i="13" s="1"/>
  <c r="L293" i="1"/>
  <c r="K190" i="1"/>
  <c r="N190" i="1" s="1"/>
  <c r="L296" i="1"/>
  <c r="G193" i="13"/>
  <c r="L197" i="1"/>
  <c r="K193" i="1"/>
  <c r="N193" i="1" s="1"/>
  <c r="L298" i="1"/>
  <c r="G195" i="13"/>
  <c r="J195" i="13" s="1"/>
  <c r="K195" i="1"/>
  <c r="N195" i="1" s="1"/>
  <c r="L301" i="1"/>
  <c r="G198" i="13"/>
  <c r="L200" i="1"/>
  <c r="K198" i="1"/>
  <c r="G201" i="13"/>
  <c r="L304" i="1"/>
  <c r="L206" i="1"/>
  <c r="K201" i="1"/>
  <c r="O201" i="1" s="1"/>
  <c r="L306" i="1"/>
  <c r="G203" i="13"/>
  <c r="J203" i="13" s="1"/>
  <c r="K203" i="1"/>
  <c r="N203" i="1" s="1"/>
  <c r="L308" i="1"/>
  <c r="G205" i="13"/>
  <c r="J205" i="13" s="1"/>
  <c r="K205" i="1"/>
  <c r="L311" i="1"/>
  <c r="G208" i="13"/>
  <c r="J208" i="13" s="1"/>
  <c r="K208" i="1"/>
  <c r="N208" i="1" s="1"/>
  <c r="L314" i="1"/>
  <c r="G211" i="13"/>
  <c r="L213" i="1"/>
  <c r="K211" i="1"/>
  <c r="O182" i="1"/>
  <c r="O204" i="1"/>
  <c r="G124" i="13"/>
  <c r="J124" i="13" s="1"/>
  <c r="L226" i="1"/>
  <c r="K123" i="1"/>
  <c r="N123" i="1" s="1"/>
  <c r="L233" i="1"/>
  <c r="G131" i="13"/>
  <c r="K130" i="1"/>
  <c r="L137" i="1"/>
  <c r="L239" i="1"/>
  <c r="G137" i="13"/>
  <c r="J137" i="13" s="1"/>
  <c r="K136" i="1"/>
  <c r="N136" i="1" s="1"/>
  <c r="L250" i="1"/>
  <c r="K250" i="1" s="1"/>
  <c r="G147" i="13"/>
  <c r="J147" i="13" s="1"/>
  <c r="K147" i="1"/>
  <c r="L257" i="1"/>
  <c r="G154" i="13"/>
  <c r="J154" i="13" s="1"/>
  <c r="K154" i="1"/>
  <c r="N154" i="1" s="1"/>
  <c r="L266" i="1"/>
  <c r="G163" i="13"/>
  <c r="J163" i="13" s="1"/>
  <c r="K163" i="1"/>
  <c r="N163" i="1" s="1"/>
  <c r="L272" i="1"/>
  <c r="G169" i="13"/>
  <c r="J169" i="13" s="1"/>
  <c r="K169" i="1"/>
  <c r="O169" i="1" s="1"/>
  <c r="L281" i="1"/>
  <c r="G178" i="13"/>
  <c r="J178" i="13" s="1"/>
  <c r="K178" i="1"/>
  <c r="N178" i="1" s="1"/>
  <c r="L292" i="1"/>
  <c r="G189" i="13"/>
  <c r="L192" i="1"/>
  <c r="K189" i="1"/>
  <c r="L299" i="1"/>
  <c r="G196" i="13"/>
  <c r="J196" i="13" s="1"/>
  <c r="K196" i="1"/>
  <c r="N196" i="1" s="1"/>
  <c r="L305" i="1"/>
  <c r="G202" i="13"/>
  <c r="J202" i="13" s="1"/>
  <c r="K202" i="1"/>
  <c r="N202" i="1" s="1"/>
  <c r="L312" i="1"/>
  <c r="G209" i="13"/>
  <c r="J209" i="13" s="1"/>
  <c r="K209" i="1"/>
  <c r="N209" i="1" s="1"/>
  <c r="M325" i="1"/>
  <c r="M225" i="1"/>
  <c r="M129" i="1"/>
  <c r="M227" i="1"/>
  <c r="O124" i="1"/>
  <c r="M435" i="1"/>
  <c r="M334" i="1"/>
  <c r="M234" i="1"/>
  <c r="M236" i="1"/>
  <c r="O133" i="1"/>
  <c r="M238" i="1"/>
  <c r="M245" i="1"/>
  <c r="M348" i="1" s="1"/>
  <c r="M249" i="1"/>
  <c r="M150" i="1"/>
  <c r="M251" i="1"/>
  <c r="M354" i="1" s="1"/>
  <c r="O148" i="1"/>
  <c r="M254" i="1"/>
  <c r="M159" i="1"/>
  <c r="M256" i="1"/>
  <c r="M359" i="1" s="1"/>
  <c r="O153" i="1"/>
  <c r="M258" i="1"/>
  <c r="M466" i="1"/>
  <c r="M265" i="1"/>
  <c r="M171" i="1"/>
  <c r="M473" i="1"/>
  <c r="M475" i="1"/>
  <c r="M477" i="1"/>
  <c r="M582" i="1"/>
  <c r="M276" i="1"/>
  <c r="M280" i="1"/>
  <c r="M180" i="1"/>
  <c r="O177" i="1"/>
  <c r="M282" i="1"/>
  <c r="O179" i="1"/>
  <c r="M388" i="1"/>
  <c r="M396" i="1"/>
  <c r="M499" i="1" s="1"/>
  <c r="M296" i="1"/>
  <c r="M197" i="1"/>
  <c r="M298" i="1"/>
  <c r="M301" i="1"/>
  <c r="M200" i="1"/>
  <c r="M304" i="1"/>
  <c r="M206" i="1"/>
  <c r="M409" i="1"/>
  <c r="M411" i="1"/>
  <c r="M311" i="1"/>
  <c r="M314" i="1"/>
  <c r="M213" i="1"/>
  <c r="Q108" i="17"/>
  <c r="J108" i="17"/>
  <c r="Q120" i="17"/>
  <c r="J120" i="17"/>
  <c r="L126" i="17"/>
  <c r="L127" i="17" s="1"/>
  <c r="Q115" i="17"/>
  <c r="J115" i="17"/>
  <c r="Q114" i="17"/>
  <c r="J114" i="17"/>
  <c r="J109" i="17"/>
  <c r="Q109" i="17"/>
  <c r="K126" i="17"/>
  <c r="K127" i="17" s="1"/>
  <c r="G187" i="1"/>
  <c r="J176" i="1"/>
  <c r="J145" i="1"/>
  <c r="G161" i="1"/>
  <c r="G215" i="1"/>
  <c r="J214" i="1"/>
  <c r="J215" i="1" s="1"/>
  <c r="H50" i="16"/>
  <c r="I50" i="16"/>
  <c r="H66" i="16"/>
  <c r="H65" i="16"/>
  <c r="H64" i="16"/>
  <c r="H63" i="16"/>
  <c r="H67" i="16"/>
  <c r="N119" i="17" l="1"/>
  <c r="I180" i="16"/>
  <c r="F262" i="16"/>
  <c r="K209" i="17"/>
  <c r="Q150" i="17"/>
  <c r="I194" i="16"/>
  <c r="F276" i="16"/>
  <c r="N111" i="17"/>
  <c r="O158" i="1"/>
  <c r="N103" i="17"/>
  <c r="F261" i="16"/>
  <c r="I179" i="16"/>
  <c r="L250" i="17"/>
  <c r="K191" i="17"/>
  <c r="Q132" i="17"/>
  <c r="J132" i="17"/>
  <c r="O117" i="1"/>
  <c r="N93" i="17"/>
  <c r="K87" i="17"/>
  <c r="I127" i="16"/>
  <c r="F327" i="16"/>
  <c r="I245" i="16"/>
  <c r="F319" i="16"/>
  <c r="I237" i="16"/>
  <c r="I228" i="16"/>
  <c r="F310" i="16"/>
  <c r="I220" i="16"/>
  <c r="F302" i="16"/>
  <c r="I212" i="16"/>
  <c r="F294" i="16"/>
  <c r="I200" i="16"/>
  <c r="F282" i="16"/>
  <c r="F264" i="16"/>
  <c r="I182" i="16"/>
  <c r="F272" i="16"/>
  <c r="I190" i="16"/>
  <c r="I123" i="16"/>
  <c r="I247" i="16"/>
  <c r="F329" i="16"/>
  <c r="I239" i="16"/>
  <c r="F321" i="16"/>
  <c r="F312" i="16"/>
  <c r="I230" i="16"/>
  <c r="F304" i="16"/>
  <c r="I222" i="16"/>
  <c r="F296" i="16"/>
  <c r="I214" i="16"/>
  <c r="F284" i="16"/>
  <c r="I202" i="16"/>
  <c r="I184" i="16"/>
  <c r="F266" i="16"/>
  <c r="I192" i="16"/>
  <c r="F274" i="16"/>
  <c r="I250" i="16"/>
  <c r="F332" i="16"/>
  <c r="I242" i="16"/>
  <c r="F324" i="16"/>
  <c r="I234" i="16"/>
  <c r="F316" i="16"/>
  <c r="I225" i="16"/>
  <c r="F307" i="16"/>
  <c r="F299" i="16"/>
  <c r="I217" i="16"/>
  <c r="F288" i="16"/>
  <c r="I206" i="16"/>
  <c r="I197" i="16"/>
  <c r="F279" i="16"/>
  <c r="I185" i="16"/>
  <c r="F267" i="16"/>
  <c r="F330" i="16"/>
  <c r="I248" i="16"/>
  <c r="I240" i="16"/>
  <c r="F322" i="16"/>
  <c r="I231" i="16"/>
  <c r="F313" i="16"/>
  <c r="I223" i="16"/>
  <c r="F305" i="16"/>
  <c r="I215" i="16"/>
  <c r="F297" i="16"/>
  <c r="F285" i="16"/>
  <c r="I203" i="16"/>
  <c r="F277" i="16"/>
  <c r="I195" i="16"/>
  <c r="I187" i="16"/>
  <c r="F269" i="16"/>
  <c r="I111" i="16"/>
  <c r="I249" i="16"/>
  <c r="F331" i="16"/>
  <c r="I241" i="16"/>
  <c r="F323" i="16"/>
  <c r="I233" i="16"/>
  <c r="F315" i="16"/>
  <c r="I224" i="16"/>
  <c r="F306" i="16"/>
  <c r="I216" i="16"/>
  <c r="F298" i="16"/>
  <c r="I204" i="16"/>
  <c r="F286" i="16"/>
  <c r="I196" i="16"/>
  <c r="F278" i="16"/>
  <c r="I186" i="16"/>
  <c r="F268" i="16"/>
  <c r="I236" i="16"/>
  <c r="F318" i="16"/>
  <c r="I251" i="16"/>
  <c r="F333" i="16"/>
  <c r="I243" i="16"/>
  <c r="F325" i="16"/>
  <c r="F317" i="16"/>
  <c r="I235" i="16"/>
  <c r="I226" i="16"/>
  <c r="F308" i="16"/>
  <c r="F300" i="16"/>
  <c r="I218" i="16"/>
  <c r="I207" i="16"/>
  <c r="F289" i="16"/>
  <c r="F280" i="16"/>
  <c r="I198" i="16"/>
  <c r="I188" i="16"/>
  <c r="F270" i="16"/>
  <c r="I246" i="16"/>
  <c r="F328" i="16"/>
  <c r="I238" i="16"/>
  <c r="F320" i="16"/>
  <c r="F311" i="16"/>
  <c r="I229" i="16"/>
  <c r="F303" i="16"/>
  <c r="I221" i="16"/>
  <c r="I213" i="16"/>
  <c r="F295" i="16"/>
  <c r="I201" i="16"/>
  <c r="F283" i="16"/>
  <c r="I181" i="16"/>
  <c r="F263" i="16"/>
  <c r="I189" i="16"/>
  <c r="F271" i="16"/>
  <c r="I150" i="16"/>
  <c r="F334" i="16"/>
  <c r="I252" i="16"/>
  <c r="F326" i="16"/>
  <c r="I244" i="16"/>
  <c r="I171" i="16"/>
  <c r="I227" i="16"/>
  <c r="F309" i="16"/>
  <c r="I219" i="16"/>
  <c r="F301" i="16"/>
  <c r="I208" i="16"/>
  <c r="F290" i="16"/>
  <c r="F281" i="16"/>
  <c r="I199" i="16"/>
  <c r="F265" i="16"/>
  <c r="I183" i="16"/>
  <c r="F273" i="16"/>
  <c r="I191" i="16"/>
  <c r="K229" i="17"/>
  <c r="Q170" i="17"/>
  <c r="J170" i="17"/>
  <c r="L242" i="17"/>
  <c r="L234" i="17"/>
  <c r="L222" i="17"/>
  <c r="M88" i="17"/>
  <c r="J95" i="17"/>
  <c r="M95" i="17" s="1"/>
  <c r="N118" i="17"/>
  <c r="M118" i="17"/>
  <c r="K285" i="17"/>
  <c r="Q226" i="17"/>
  <c r="J226" i="17"/>
  <c r="M226" i="17" s="1"/>
  <c r="K199" i="17"/>
  <c r="Q140" i="17"/>
  <c r="J140" i="17"/>
  <c r="J138" i="17"/>
  <c r="N138" i="17" s="1"/>
  <c r="K197" i="17"/>
  <c r="K145" i="17"/>
  <c r="Q138" i="17"/>
  <c r="K239" i="17"/>
  <c r="J180" i="17"/>
  <c r="M180" i="17" s="1"/>
  <c r="Q180" i="17"/>
  <c r="K231" i="17"/>
  <c r="Q172" i="17"/>
  <c r="J172" i="17"/>
  <c r="M172" i="17" s="1"/>
  <c r="Q164" i="17"/>
  <c r="K223" i="17"/>
  <c r="J164" i="17"/>
  <c r="M164" i="17" s="1"/>
  <c r="Q156" i="17"/>
  <c r="K215" i="17"/>
  <c r="K185" i="17"/>
  <c r="K186" i="17" s="1"/>
  <c r="J156" i="17"/>
  <c r="M156" i="17" s="1"/>
  <c r="N90" i="17"/>
  <c r="L206" i="17"/>
  <c r="L154" i="17"/>
  <c r="L155" i="17" s="1"/>
  <c r="L200" i="17"/>
  <c r="L195" i="17"/>
  <c r="L218" i="17"/>
  <c r="L212" i="17"/>
  <c r="Q95" i="17"/>
  <c r="Q96" i="17" s="1"/>
  <c r="Q134" i="17"/>
  <c r="K193" i="17"/>
  <c r="J134" i="17"/>
  <c r="M134" i="17" s="1"/>
  <c r="K297" i="17"/>
  <c r="Q238" i="17"/>
  <c r="J238" i="17"/>
  <c r="M238" i="17" s="1"/>
  <c r="Q177" i="17"/>
  <c r="K236" i="17"/>
  <c r="J177" i="17"/>
  <c r="K222" i="17"/>
  <c r="Q163" i="17"/>
  <c r="J163" i="17"/>
  <c r="M163" i="17" s="1"/>
  <c r="N102" i="17"/>
  <c r="M102" i="17"/>
  <c r="J151" i="17"/>
  <c r="K210" i="17"/>
  <c r="Q151" i="17"/>
  <c r="L262" i="17"/>
  <c r="L258" i="17"/>
  <c r="L192" i="17"/>
  <c r="L137" i="17"/>
  <c r="L418" i="17"/>
  <c r="L477" i="17" s="1"/>
  <c r="L536" i="17" s="1"/>
  <c r="L296" i="17"/>
  <c r="L351" i="17"/>
  <c r="L288" i="17"/>
  <c r="L284" i="17"/>
  <c r="L280" i="17"/>
  <c r="L217" i="17"/>
  <c r="L211" i="17"/>
  <c r="K201" i="17"/>
  <c r="Q142" i="17"/>
  <c r="J142" i="17"/>
  <c r="M142" i="17" s="1"/>
  <c r="J78" i="17"/>
  <c r="M74" i="17"/>
  <c r="N174" i="17"/>
  <c r="M174" i="17"/>
  <c r="K221" i="17"/>
  <c r="Q162" i="17"/>
  <c r="J162" i="17"/>
  <c r="K211" i="17"/>
  <c r="Q152" i="17"/>
  <c r="J152" i="17"/>
  <c r="M152" i="17" s="1"/>
  <c r="L297" i="17"/>
  <c r="N238" i="17"/>
  <c r="L285" i="17"/>
  <c r="Q143" i="17"/>
  <c r="K202" i="17"/>
  <c r="J143" i="17"/>
  <c r="M143" i="17" s="1"/>
  <c r="J141" i="17"/>
  <c r="M141" i="17" s="1"/>
  <c r="K200" i="17"/>
  <c r="Q141" i="17"/>
  <c r="N92" i="17"/>
  <c r="J96" i="17"/>
  <c r="M96" i="17" s="1"/>
  <c r="N78" i="17"/>
  <c r="L87" i="17"/>
  <c r="N123" i="17"/>
  <c r="K292" i="17"/>
  <c r="J233" i="17"/>
  <c r="Q233" i="17"/>
  <c r="K286" i="17"/>
  <c r="J227" i="17"/>
  <c r="M227" i="17" s="1"/>
  <c r="Q227" i="17"/>
  <c r="K225" i="17"/>
  <c r="Q166" i="17"/>
  <c r="J166" i="17"/>
  <c r="K217" i="17"/>
  <c r="Q158" i="17"/>
  <c r="J158" i="17"/>
  <c r="M158" i="17" s="1"/>
  <c r="L208" i="17"/>
  <c r="N75" i="17"/>
  <c r="L240" i="17"/>
  <c r="L295" i="17"/>
  <c r="L291" i="17"/>
  <c r="L228" i="17"/>
  <c r="L224" i="17"/>
  <c r="L185" i="17"/>
  <c r="L186" i="17" s="1"/>
  <c r="Q149" i="17"/>
  <c r="K208" i="17"/>
  <c r="J149" i="17"/>
  <c r="M149" i="17" s="1"/>
  <c r="J147" i="17"/>
  <c r="N147" i="17" s="1"/>
  <c r="K206" i="17"/>
  <c r="K154" i="17"/>
  <c r="K155" i="17" s="1"/>
  <c r="Q147" i="17"/>
  <c r="Q139" i="17"/>
  <c r="K198" i="17"/>
  <c r="J139" i="17"/>
  <c r="M139" i="17" s="1"/>
  <c r="J136" i="17"/>
  <c r="M136" i="17" s="1"/>
  <c r="K195" i="17"/>
  <c r="Q136" i="17"/>
  <c r="Q181" i="17"/>
  <c r="K240" i="17"/>
  <c r="J181" i="17"/>
  <c r="M181" i="17" s="1"/>
  <c r="K291" i="17"/>
  <c r="J232" i="17"/>
  <c r="M232" i="17" s="1"/>
  <c r="Q232" i="17"/>
  <c r="K230" i="17"/>
  <c r="Q171" i="17"/>
  <c r="J171" i="17"/>
  <c r="M171" i="17" s="1"/>
  <c r="Q165" i="17"/>
  <c r="K224" i="17"/>
  <c r="J165" i="17"/>
  <c r="M165" i="17" s="1"/>
  <c r="K216" i="17"/>
  <c r="Q157" i="17"/>
  <c r="J157" i="17"/>
  <c r="M157" i="17" s="1"/>
  <c r="Q153" i="17"/>
  <c r="K212" i="17"/>
  <c r="J153" i="17"/>
  <c r="M153" i="17" s="1"/>
  <c r="N83" i="17"/>
  <c r="L253" i="17"/>
  <c r="N125" i="17"/>
  <c r="N121" i="17"/>
  <c r="N117" i="17"/>
  <c r="N113" i="17"/>
  <c r="N168" i="17"/>
  <c r="N105" i="17"/>
  <c r="N97" i="17"/>
  <c r="Q148" i="17"/>
  <c r="K207" i="17"/>
  <c r="J148" i="17"/>
  <c r="M148" i="17" s="1"/>
  <c r="K203" i="17"/>
  <c r="Q144" i="17"/>
  <c r="J144" i="17"/>
  <c r="J86" i="17"/>
  <c r="M86" i="17" s="1"/>
  <c r="M79" i="17"/>
  <c r="Q78" i="17"/>
  <c r="K237" i="17"/>
  <c r="Q178" i="17"/>
  <c r="J178" i="17"/>
  <c r="L96" i="17"/>
  <c r="N96" i="17" s="1"/>
  <c r="N95" i="17"/>
  <c r="L230" i="17"/>
  <c r="Q169" i="17"/>
  <c r="K228" i="17"/>
  <c r="J169" i="17"/>
  <c r="M169" i="17" s="1"/>
  <c r="Q161" i="17"/>
  <c r="K220" i="17"/>
  <c r="J161" i="17"/>
  <c r="L197" i="17"/>
  <c r="L145" i="17"/>
  <c r="N107" i="17"/>
  <c r="N99" i="17"/>
  <c r="L209" i="17"/>
  <c r="J150" i="17"/>
  <c r="M150" i="17" s="1"/>
  <c r="K241" i="17"/>
  <c r="Q182" i="17"/>
  <c r="J182" i="17"/>
  <c r="K243" i="17"/>
  <c r="J184" i="17"/>
  <c r="M184" i="17" s="1"/>
  <c r="Q184" i="17"/>
  <c r="K235" i="17"/>
  <c r="Q176" i="17"/>
  <c r="J176" i="17"/>
  <c r="M176" i="17" s="1"/>
  <c r="Q160" i="17"/>
  <c r="K219" i="17"/>
  <c r="J160" i="17"/>
  <c r="N88" i="17"/>
  <c r="L202" i="17"/>
  <c r="N143" i="17"/>
  <c r="L198" i="17"/>
  <c r="N139" i="17"/>
  <c r="L193" i="17"/>
  <c r="N124" i="17"/>
  <c r="N179" i="17"/>
  <c r="N112" i="17"/>
  <c r="N104" i="17"/>
  <c r="L279" i="17"/>
  <c r="L216" i="17"/>
  <c r="N157" i="17"/>
  <c r="L269" i="17"/>
  <c r="J183" i="17"/>
  <c r="M183" i="17" s="1"/>
  <c r="K242" i="17"/>
  <c r="Q183" i="17"/>
  <c r="K234" i="17"/>
  <c r="Q175" i="17"/>
  <c r="J175" i="17"/>
  <c r="M175" i="17" s="1"/>
  <c r="Q159" i="17"/>
  <c r="K218" i="17"/>
  <c r="J159" i="17"/>
  <c r="M159" i="17" s="1"/>
  <c r="L207" i="17"/>
  <c r="N148" i="17"/>
  <c r="L201" i="17"/>
  <c r="N142" i="17"/>
  <c r="N86" i="17"/>
  <c r="L243" i="17"/>
  <c r="L239" i="17"/>
  <c r="N180" i="17"/>
  <c r="L235" i="17"/>
  <c r="L231" i="17"/>
  <c r="N172" i="17"/>
  <c r="L286" i="17"/>
  <c r="N227" i="17"/>
  <c r="L223" i="17"/>
  <c r="L455" i="17"/>
  <c r="L215" i="17"/>
  <c r="N156" i="17"/>
  <c r="Q86" i="17"/>
  <c r="Q135" i="17"/>
  <c r="K194" i="17"/>
  <c r="J135" i="17"/>
  <c r="Q133" i="17"/>
  <c r="K192" i="17"/>
  <c r="J133" i="17"/>
  <c r="N133" i="17" s="1"/>
  <c r="K137" i="17"/>
  <c r="K146" i="17" s="1"/>
  <c r="K187" i="17" s="1"/>
  <c r="O135" i="1"/>
  <c r="O154" i="1"/>
  <c r="O132" i="1"/>
  <c r="O155" i="1"/>
  <c r="M160" i="1"/>
  <c r="M176" i="1"/>
  <c r="O143" i="1"/>
  <c r="N242" i="1"/>
  <c r="O242" i="1"/>
  <c r="O173" i="1"/>
  <c r="O131" i="1"/>
  <c r="O196" i="1"/>
  <c r="L448" i="1"/>
  <c r="G347" i="13"/>
  <c r="K345" i="1"/>
  <c r="J139" i="13"/>
  <c r="J140" i="13" s="1"/>
  <c r="G140" i="13"/>
  <c r="L323" i="1"/>
  <c r="G221" i="13"/>
  <c r="J221" i="13" s="1"/>
  <c r="K220" i="1"/>
  <c r="N220" i="1" s="1"/>
  <c r="M323" i="1"/>
  <c r="M804" i="1"/>
  <c r="L392" i="1"/>
  <c r="G290" i="13"/>
  <c r="J290" i="13" s="1"/>
  <c r="K289" i="1"/>
  <c r="G242" i="13"/>
  <c r="J242" i="13" s="1"/>
  <c r="L243" i="1"/>
  <c r="L344" i="1"/>
  <c r="G243" i="13"/>
  <c r="K241" i="1"/>
  <c r="M551" i="1"/>
  <c r="O209" i="1"/>
  <c r="O174" i="1"/>
  <c r="O149" i="1"/>
  <c r="O186" i="1"/>
  <c r="K140" i="1"/>
  <c r="N138" i="1"/>
  <c r="M243" i="1"/>
  <c r="M344" i="1"/>
  <c r="N250" i="1"/>
  <c r="O250" i="1"/>
  <c r="M383" i="1"/>
  <c r="M283" i="1"/>
  <c r="M578" i="1"/>
  <c r="M361" i="1"/>
  <c r="M357" i="1"/>
  <c r="M262" i="1"/>
  <c r="M428" i="1"/>
  <c r="K281" i="1"/>
  <c r="L384" i="1"/>
  <c r="G282" i="13"/>
  <c r="J282" i="13" s="1"/>
  <c r="L409" i="1"/>
  <c r="G307" i="13"/>
  <c r="J307" i="13" s="1"/>
  <c r="K306" i="1"/>
  <c r="L385" i="1"/>
  <c r="G283" i="13"/>
  <c r="J283" i="13" s="1"/>
  <c r="K282" i="1"/>
  <c r="N282" i="1" s="1"/>
  <c r="K269" i="1"/>
  <c r="O269" i="1" s="1"/>
  <c r="L372" i="1"/>
  <c r="G270" i="13"/>
  <c r="J270" i="13" s="1"/>
  <c r="L359" i="1"/>
  <c r="G257" i="13"/>
  <c r="J257" i="13" s="1"/>
  <c r="K256" i="1"/>
  <c r="K227" i="1"/>
  <c r="N227" i="1" s="1"/>
  <c r="L330" i="1"/>
  <c r="G228" i="13"/>
  <c r="J228" i="13" s="1"/>
  <c r="M443" i="1"/>
  <c r="M324" i="1"/>
  <c r="M224" i="1"/>
  <c r="O191" i="1"/>
  <c r="N191" i="1"/>
  <c r="L380" i="1"/>
  <c r="G278" i="13"/>
  <c r="J278" i="13" s="1"/>
  <c r="K277" i="1"/>
  <c r="N277" i="1" s="1"/>
  <c r="L145" i="1"/>
  <c r="O128" i="1"/>
  <c r="L400" i="1"/>
  <c r="G298" i="13"/>
  <c r="J298" i="13" s="1"/>
  <c r="K297" i="1"/>
  <c r="L247" i="1"/>
  <c r="L347" i="1"/>
  <c r="K244" i="1"/>
  <c r="O244" i="1" s="1"/>
  <c r="G245" i="13"/>
  <c r="M602" i="1"/>
  <c r="M385" i="1"/>
  <c r="O282" i="1"/>
  <c r="M352" i="1"/>
  <c r="M253" i="1"/>
  <c r="M538" i="1"/>
  <c r="L402" i="1"/>
  <c r="K299" i="1"/>
  <c r="G300" i="13"/>
  <c r="J300" i="13" s="1"/>
  <c r="L395" i="1"/>
  <c r="G293" i="13"/>
  <c r="K292" i="1"/>
  <c r="L360" i="1"/>
  <c r="K257" i="1"/>
  <c r="N257" i="1" s="1"/>
  <c r="G258" i="13"/>
  <c r="J258" i="13" s="1"/>
  <c r="O130" i="1"/>
  <c r="K137" i="1"/>
  <c r="N137" i="1" s="1"/>
  <c r="N130" i="1"/>
  <c r="L329" i="1"/>
  <c r="G227" i="13"/>
  <c r="J227" i="13" s="1"/>
  <c r="K226" i="1"/>
  <c r="N226" i="1" s="1"/>
  <c r="O170" i="1"/>
  <c r="K150" i="1"/>
  <c r="N146" i="1"/>
  <c r="L334" i="1"/>
  <c r="G232" i="13"/>
  <c r="J232" i="13" s="1"/>
  <c r="K231" i="1"/>
  <c r="N122" i="1"/>
  <c r="K129" i="1"/>
  <c r="N129" i="1" s="1"/>
  <c r="N125" i="1"/>
  <c r="O125" i="1"/>
  <c r="N118" i="1"/>
  <c r="K121" i="1"/>
  <c r="O152" i="1"/>
  <c r="M719" i="1"/>
  <c r="M503" i="1"/>
  <c r="M387" i="1"/>
  <c r="M287" i="1"/>
  <c r="M380" i="1"/>
  <c r="M371" i="1"/>
  <c r="M441" i="1"/>
  <c r="M329" i="1"/>
  <c r="L410" i="1"/>
  <c r="K307" i="1"/>
  <c r="G308" i="13"/>
  <c r="J308" i="13" s="1"/>
  <c r="O183" i="1"/>
  <c r="N183" i="1"/>
  <c r="K259" i="1"/>
  <c r="N259" i="1" s="1"/>
  <c r="L362" i="1"/>
  <c r="G260" i="13"/>
  <c r="J260" i="13" s="1"/>
  <c r="O134" i="1"/>
  <c r="N134" i="1"/>
  <c r="K223" i="1"/>
  <c r="L326" i="1"/>
  <c r="G224" i="13"/>
  <c r="J224" i="13" s="1"/>
  <c r="M414" i="1"/>
  <c r="M303" i="1"/>
  <c r="M404" i="1"/>
  <c r="M580" i="1"/>
  <c r="M569" i="1"/>
  <c r="M457" i="1"/>
  <c r="L369" i="1"/>
  <c r="K266" i="1"/>
  <c r="G267" i="13"/>
  <c r="J267" i="13" s="1"/>
  <c r="O147" i="1"/>
  <c r="N147" i="1"/>
  <c r="G213" i="13"/>
  <c r="K311" i="1"/>
  <c r="N311" i="1" s="1"/>
  <c r="L414" i="1"/>
  <c r="G312" i="13"/>
  <c r="J312" i="13" s="1"/>
  <c r="N177" i="1"/>
  <c r="K180" i="1"/>
  <c r="L368" i="1"/>
  <c r="L274" i="1"/>
  <c r="K265" i="1"/>
  <c r="G266" i="13"/>
  <c r="L363" i="1"/>
  <c r="G261" i="13"/>
  <c r="J261" i="13" s="1"/>
  <c r="K260" i="1"/>
  <c r="L160" i="1"/>
  <c r="K245" i="1"/>
  <c r="L348" i="1"/>
  <c r="G246" i="13"/>
  <c r="J246" i="13" s="1"/>
  <c r="O137" i="1"/>
  <c r="O118" i="1"/>
  <c r="L397" i="1"/>
  <c r="K294" i="1"/>
  <c r="G295" i="13"/>
  <c r="J295" i="13" s="1"/>
  <c r="L387" i="1"/>
  <c r="G285" i="13"/>
  <c r="L287" i="1"/>
  <c r="K284" i="1"/>
  <c r="L331" i="1"/>
  <c r="G229" i="13"/>
  <c r="J229" i="13" s="1"/>
  <c r="K228" i="1"/>
  <c r="J119" i="13"/>
  <c r="J122" i="13" s="1"/>
  <c r="G122" i="13"/>
  <c r="O203" i="1"/>
  <c r="O212" i="1"/>
  <c r="O202" i="1"/>
  <c r="M349" i="1"/>
  <c r="O136" i="1"/>
  <c r="O127" i="1"/>
  <c r="L418" i="1"/>
  <c r="K315" i="1"/>
  <c r="G316" i="13"/>
  <c r="K197" i="1"/>
  <c r="N197" i="1" s="1"/>
  <c r="N194" i="1"/>
  <c r="J172" i="13"/>
  <c r="J175" i="13" s="1"/>
  <c r="G175" i="13"/>
  <c r="K268" i="1"/>
  <c r="O268" i="1" s="1"/>
  <c r="L371" i="1"/>
  <c r="G269" i="13"/>
  <c r="J269" i="13" s="1"/>
  <c r="N141" i="1"/>
  <c r="K144" i="1"/>
  <c r="N144" i="1" s="1"/>
  <c r="L333" i="1"/>
  <c r="G231" i="13"/>
  <c r="J231" i="13" s="1"/>
  <c r="M417" i="1"/>
  <c r="M316" i="1"/>
  <c r="M514" i="1"/>
  <c r="M407" i="1"/>
  <c r="M309" i="1"/>
  <c r="M401" i="1"/>
  <c r="M685" i="1"/>
  <c r="M368" i="1"/>
  <c r="M274" i="1"/>
  <c r="J189" i="13"/>
  <c r="J192" i="13" s="1"/>
  <c r="G192" i="13"/>
  <c r="L353" i="1"/>
  <c r="G251" i="13"/>
  <c r="J251" i="13" s="1"/>
  <c r="O211" i="1"/>
  <c r="K213" i="1"/>
  <c r="N211" i="1"/>
  <c r="J201" i="13"/>
  <c r="J206" i="13" s="1"/>
  <c r="G206" i="13"/>
  <c r="L303" i="1"/>
  <c r="L404" i="1"/>
  <c r="G302" i="13"/>
  <c r="K301" i="1"/>
  <c r="O301" i="1" s="1"/>
  <c r="L383" i="1"/>
  <c r="G281" i="13"/>
  <c r="K280" i="1"/>
  <c r="O280" i="1" s="1"/>
  <c r="L283" i="1"/>
  <c r="N162" i="1"/>
  <c r="K171" i="1"/>
  <c r="L357" i="1"/>
  <c r="G255" i="13"/>
  <c r="L262" i="1"/>
  <c r="K254" i="1"/>
  <c r="L339" i="1"/>
  <c r="K236" i="1"/>
  <c r="N236" i="1" s="1"/>
  <c r="G237" i="13"/>
  <c r="J237" i="13" s="1"/>
  <c r="K229" i="1"/>
  <c r="L332" i="1"/>
  <c r="G230" i="13"/>
  <c r="J230" i="13" s="1"/>
  <c r="L328" i="1"/>
  <c r="G226" i="13"/>
  <c r="L232" i="1"/>
  <c r="K225" i="1"/>
  <c r="O225" i="1" s="1"/>
  <c r="L413" i="1"/>
  <c r="G311" i="13"/>
  <c r="K310" i="1"/>
  <c r="L313" i="1"/>
  <c r="O181" i="1"/>
  <c r="N181" i="1"/>
  <c r="K184" i="1"/>
  <c r="N184" i="1" s="1"/>
  <c r="L373" i="1"/>
  <c r="G271" i="13"/>
  <c r="J271" i="13" s="1"/>
  <c r="K270" i="1"/>
  <c r="K235" i="1"/>
  <c r="L338" i="1"/>
  <c r="G236" i="13"/>
  <c r="J236" i="13" s="1"/>
  <c r="M214" i="1"/>
  <c r="M215" i="1" s="1"/>
  <c r="O123" i="1"/>
  <c r="O172" i="1"/>
  <c r="K175" i="1"/>
  <c r="N172" i="1"/>
  <c r="K252" i="1"/>
  <c r="N252" i="1" s="1"/>
  <c r="L355" i="1"/>
  <c r="G253" i="13"/>
  <c r="J253" i="13" s="1"/>
  <c r="O190" i="1"/>
  <c r="O208" i="1"/>
  <c r="O193" i="1"/>
  <c r="K238" i="1"/>
  <c r="N238" i="1" s="1"/>
  <c r="M341" i="1"/>
  <c r="K234" i="1"/>
  <c r="N234" i="1" s="1"/>
  <c r="M337" i="1"/>
  <c r="L411" i="1"/>
  <c r="G309" i="13"/>
  <c r="J309" i="13" s="1"/>
  <c r="K308" i="1"/>
  <c r="N201" i="1"/>
  <c r="K206" i="1"/>
  <c r="N206" i="1" s="1"/>
  <c r="O198" i="1"/>
  <c r="K200" i="1"/>
  <c r="N200" i="1" s="1"/>
  <c r="N198" i="1"/>
  <c r="L295" i="1"/>
  <c r="L396" i="1"/>
  <c r="G294" i="13"/>
  <c r="J294" i="13" s="1"/>
  <c r="K293" i="1"/>
  <c r="L388" i="1"/>
  <c r="K285" i="1"/>
  <c r="G286" i="13"/>
  <c r="J286" i="13" s="1"/>
  <c r="K273" i="1"/>
  <c r="L376" i="1"/>
  <c r="G274" i="13"/>
  <c r="J274" i="13" s="1"/>
  <c r="L374" i="1"/>
  <c r="G272" i="13"/>
  <c r="J272" i="13" s="1"/>
  <c r="K271" i="1"/>
  <c r="O271" i="1" s="1"/>
  <c r="L361" i="1"/>
  <c r="G259" i="13"/>
  <c r="J259" i="13" s="1"/>
  <c r="K258" i="1"/>
  <c r="N258" i="1" s="1"/>
  <c r="O151" i="1"/>
  <c r="N151" i="1"/>
  <c r="K159" i="1"/>
  <c r="L341" i="1"/>
  <c r="G239" i="13"/>
  <c r="J239" i="13" s="1"/>
  <c r="O119" i="1"/>
  <c r="N119" i="1"/>
  <c r="M434" i="1"/>
  <c r="O207" i="1"/>
  <c r="K210" i="1"/>
  <c r="N210" i="1" s="1"/>
  <c r="N207" i="1"/>
  <c r="O199" i="1"/>
  <c r="N199" i="1"/>
  <c r="J181" i="13"/>
  <c r="J184" i="13" s="1"/>
  <c r="G184" i="13"/>
  <c r="L349" i="1"/>
  <c r="G247" i="13"/>
  <c r="J247" i="13" s="1"/>
  <c r="K246" i="1"/>
  <c r="N246" i="1" s="1"/>
  <c r="M415" i="1"/>
  <c r="M508" i="1"/>
  <c r="M395" i="1"/>
  <c r="M295" i="1"/>
  <c r="M478" i="1"/>
  <c r="M467" i="1"/>
  <c r="M360" i="1"/>
  <c r="O257" i="1"/>
  <c r="M355" i="1"/>
  <c r="M247" i="1"/>
  <c r="M347" i="1"/>
  <c r="M512" i="1"/>
  <c r="M379" i="1"/>
  <c r="M576" i="1"/>
  <c r="M462" i="1"/>
  <c r="O142" i="1"/>
  <c r="M328" i="1"/>
  <c r="M431" i="1" s="1"/>
  <c r="M232" i="1"/>
  <c r="L408" i="1"/>
  <c r="G306" i="13"/>
  <c r="J306" i="13" s="1"/>
  <c r="K305" i="1"/>
  <c r="N305" i="1" s="1"/>
  <c r="O189" i="1"/>
  <c r="K192" i="1"/>
  <c r="N189" i="1"/>
  <c r="J131" i="13"/>
  <c r="J138" i="13" s="1"/>
  <c r="G138" i="13"/>
  <c r="O178" i="1"/>
  <c r="J193" i="13"/>
  <c r="J197" i="13" s="1"/>
  <c r="G197" i="13"/>
  <c r="J146" i="13"/>
  <c r="J150" i="13" s="1"/>
  <c r="G150" i="13"/>
  <c r="G256" i="13"/>
  <c r="J256" i="13" s="1"/>
  <c r="L358" i="1"/>
  <c r="K255" i="1"/>
  <c r="O206" i="1"/>
  <c r="O195" i="1"/>
  <c r="M399" i="1"/>
  <c r="M300" i="1"/>
  <c r="M390" i="1"/>
  <c r="M491" i="1"/>
  <c r="M594" i="1" s="1"/>
  <c r="M185" i="1"/>
  <c r="M187" i="1" s="1"/>
  <c r="O146" i="1"/>
  <c r="M451" i="1"/>
  <c r="M339" i="1"/>
  <c r="M437" i="1"/>
  <c r="M330" i="1"/>
  <c r="L415" i="1"/>
  <c r="G313" i="13"/>
  <c r="J313" i="13" s="1"/>
  <c r="K312" i="1"/>
  <c r="N312" i="1" s="1"/>
  <c r="L214" i="1"/>
  <c r="L215" i="1" s="1"/>
  <c r="K272" i="1"/>
  <c r="O272" i="1" s="1"/>
  <c r="L375" i="1"/>
  <c r="G273" i="13"/>
  <c r="J273" i="13" s="1"/>
  <c r="K239" i="1"/>
  <c r="L342" i="1"/>
  <c r="G240" i="13"/>
  <c r="J240" i="13" s="1"/>
  <c r="K233" i="1"/>
  <c r="L336" i="1"/>
  <c r="L240" i="1"/>
  <c r="G234" i="13"/>
  <c r="O157" i="1"/>
  <c r="L316" i="1"/>
  <c r="L417" i="1"/>
  <c r="G315" i="13"/>
  <c r="K314" i="1"/>
  <c r="O314" i="1" s="1"/>
  <c r="O205" i="1"/>
  <c r="N205" i="1"/>
  <c r="L407" i="1"/>
  <c r="K304" i="1"/>
  <c r="O304" i="1" s="1"/>
  <c r="G305" i="13"/>
  <c r="L309" i="1"/>
  <c r="J198" i="13"/>
  <c r="J200" i="13" s="1"/>
  <c r="G200" i="13"/>
  <c r="L401" i="1"/>
  <c r="G299" i="13"/>
  <c r="J299" i="13" s="1"/>
  <c r="K298" i="1"/>
  <c r="N298" i="1" s="1"/>
  <c r="L300" i="1"/>
  <c r="L399" i="1"/>
  <c r="G297" i="13"/>
  <c r="K296" i="1"/>
  <c r="J177" i="13"/>
  <c r="J180" i="13" s="1"/>
  <c r="G180" i="13"/>
  <c r="L379" i="1"/>
  <c r="G277" i="13"/>
  <c r="J277" i="13" s="1"/>
  <c r="K276" i="1"/>
  <c r="N276" i="1" s="1"/>
  <c r="L370" i="1"/>
  <c r="G268" i="13"/>
  <c r="J268" i="13" s="1"/>
  <c r="K267" i="1"/>
  <c r="O267" i="1" s="1"/>
  <c r="J162" i="13"/>
  <c r="J171" i="13" s="1"/>
  <c r="G171" i="13"/>
  <c r="J151" i="13"/>
  <c r="J159" i="13" s="1"/>
  <c r="G159" i="13"/>
  <c r="K251" i="1"/>
  <c r="L354" i="1"/>
  <c r="G252" i="13"/>
  <c r="J252" i="13" s="1"/>
  <c r="L352" i="1"/>
  <c r="G250" i="13"/>
  <c r="L253" i="1"/>
  <c r="L263" i="1" s="1"/>
  <c r="K249" i="1"/>
  <c r="O249" i="1" s="1"/>
  <c r="L337" i="1"/>
  <c r="G235" i="13"/>
  <c r="J235" i="13" s="1"/>
  <c r="O126" i="1"/>
  <c r="N126" i="1"/>
  <c r="J123" i="13"/>
  <c r="J130" i="13" s="1"/>
  <c r="G130" i="13"/>
  <c r="L325" i="1"/>
  <c r="G223" i="13"/>
  <c r="J223" i="13" s="1"/>
  <c r="K222" i="1"/>
  <c r="O233" i="1"/>
  <c r="M336" i="1"/>
  <c r="M240" i="1"/>
  <c r="M145" i="1"/>
  <c r="M161" i="1" s="1"/>
  <c r="J207" i="13"/>
  <c r="J210" i="13" s="1"/>
  <c r="G210" i="13"/>
  <c r="L405" i="1"/>
  <c r="K302" i="1"/>
  <c r="G303" i="13"/>
  <c r="J303" i="13" s="1"/>
  <c r="L364" i="1"/>
  <c r="G262" i="13"/>
  <c r="J262" i="13" s="1"/>
  <c r="K261" i="1"/>
  <c r="K221" i="1"/>
  <c r="O221" i="1" s="1"/>
  <c r="L324" i="1"/>
  <c r="G222" i="13"/>
  <c r="L224" i="1"/>
  <c r="O163" i="1"/>
  <c r="M727" i="1"/>
  <c r="M413" i="1"/>
  <c r="M313" i="1"/>
  <c r="M408" i="1"/>
  <c r="O305" i="1"/>
  <c r="M608" i="1"/>
  <c r="M500" i="1"/>
  <c r="M492" i="1"/>
  <c r="M595" i="1" s="1"/>
  <c r="M487" i="1"/>
  <c r="M378" i="1"/>
  <c r="M278" i="1"/>
  <c r="M373" i="1"/>
  <c r="O270" i="1"/>
  <c r="M678" i="1"/>
  <c r="M362" i="1"/>
  <c r="O259" i="1"/>
  <c r="M461" i="1"/>
  <c r="M456" i="1"/>
  <c r="M445" i="1"/>
  <c r="K230" i="1"/>
  <c r="N230" i="1" s="1"/>
  <c r="M333" i="1"/>
  <c r="M429" i="1"/>
  <c r="L389" i="1"/>
  <c r="K286" i="1"/>
  <c r="G287" i="13"/>
  <c r="J287" i="13" s="1"/>
  <c r="L378" i="1"/>
  <c r="L278" i="1"/>
  <c r="G276" i="13"/>
  <c r="K275" i="1"/>
  <c r="O275" i="1" s="1"/>
  <c r="J141" i="13"/>
  <c r="J144" i="13" s="1"/>
  <c r="G144" i="13"/>
  <c r="K237" i="1"/>
  <c r="L340" i="1"/>
  <c r="G238" i="13"/>
  <c r="J238" i="13" s="1"/>
  <c r="O162" i="1"/>
  <c r="M108" i="17"/>
  <c r="N108" i="17"/>
  <c r="M120" i="17"/>
  <c r="N120" i="17"/>
  <c r="Q126" i="17"/>
  <c r="Q127" i="17" s="1"/>
  <c r="M115" i="17"/>
  <c r="N115" i="17"/>
  <c r="M114" i="17"/>
  <c r="N114" i="17"/>
  <c r="K128" i="17"/>
  <c r="J126" i="17"/>
  <c r="N109" i="17"/>
  <c r="M109" i="17"/>
  <c r="M188" i="1"/>
  <c r="M216" i="1" s="1"/>
  <c r="G188" i="1"/>
  <c r="G216" i="1" s="1"/>
  <c r="J216" i="1" s="1"/>
  <c r="J187" i="1"/>
  <c r="J188" i="1" s="1"/>
  <c r="J161" i="1"/>
  <c r="H87" i="16"/>
  <c r="I87" i="16"/>
  <c r="H86" i="16"/>
  <c r="I86" i="16"/>
  <c r="H28" i="16"/>
  <c r="I28" i="16"/>
  <c r="I88" i="16"/>
  <c r="H88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49" i="16"/>
  <c r="H48" i="16"/>
  <c r="I46" i="16"/>
  <c r="H44" i="16"/>
  <c r="H43" i="16"/>
  <c r="H42" i="16"/>
  <c r="H40" i="16"/>
  <c r="H39" i="16"/>
  <c r="H38" i="16"/>
  <c r="H37" i="16"/>
  <c r="H36" i="16"/>
  <c r="H35" i="16"/>
  <c r="H34" i="16"/>
  <c r="H33" i="16"/>
  <c r="H32" i="16"/>
  <c r="H31" i="16"/>
  <c r="H30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I15" i="16"/>
  <c r="E68" i="17"/>
  <c r="G67" i="17"/>
  <c r="G68" i="17" s="1"/>
  <c r="D67" i="17"/>
  <c r="D68" i="17" s="1"/>
  <c r="P66" i="17"/>
  <c r="F66" i="17"/>
  <c r="I66" i="17" s="1"/>
  <c r="P65" i="17"/>
  <c r="Q65" i="17"/>
  <c r="F65" i="17"/>
  <c r="I65" i="17" s="1"/>
  <c r="P64" i="17"/>
  <c r="Q64" i="17"/>
  <c r="J64" i="17"/>
  <c r="N64" i="17" s="1"/>
  <c r="F64" i="17"/>
  <c r="I64" i="17" s="1"/>
  <c r="P63" i="17"/>
  <c r="J63" i="17"/>
  <c r="M63" i="17" s="1"/>
  <c r="Q63" i="17"/>
  <c r="F63" i="17"/>
  <c r="I63" i="17" s="1"/>
  <c r="P62" i="17"/>
  <c r="F62" i="17"/>
  <c r="I62" i="17" s="1"/>
  <c r="F61" i="17"/>
  <c r="I61" i="17" s="1"/>
  <c r="P61" i="17"/>
  <c r="P60" i="17"/>
  <c r="F60" i="17"/>
  <c r="I60" i="17" s="1"/>
  <c r="P59" i="17"/>
  <c r="Q59" i="17"/>
  <c r="F59" i="17"/>
  <c r="I59" i="17" s="1"/>
  <c r="P58" i="17"/>
  <c r="Q58" i="17"/>
  <c r="F58" i="17"/>
  <c r="I58" i="17" s="1"/>
  <c r="P57" i="17"/>
  <c r="Q57" i="17"/>
  <c r="F57" i="17"/>
  <c r="I57" i="17" s="1"/>
  <c r="P56" i="17"/>
  <c r="F56" i="17"/>
  <c r="I56" i="17" s="1"/>
  <c r="P55" i="17"/>
  <c r="P54" i="17"/>
  <c r="F54" i="17"/>
  <c r="I54" i="17" s="1"/>
  <c r="Q53" i="17"/>
  <c r="P53" i="17"/>
  <c r="F53" i="17"/>
  <c r="I53" i="17" s="1"/>
  <c r="P52" i="17"/>
  <c r="Q52" i="17"/>
  <c r="F52" i="17"/>
  <c r="I52" i="17" s="1"/>
  <c r="P51" i="17"/>
  <c r="Q51" i="17"/>
  <c r="F51" i="17"/>
  <c r="I51" i="17" s="1"/>
  <c r="P50" i="17"/>
  <c r="F50" i="17"/>
  <c r="I50" i="17" s="1"/>
  <c r="P49" i="17"/>
  <c r="Q49" i="17"/>
  <c r="F49" i="17"/>
  <c r="I49" i="17" s="1"/>
  <c r="P48" i="17"/>
  <c r="Q48" i="17"/>
  <c r="F48" i="17"/>
  <c r="I48" i="17" s="1"/>
  <c r="P47" i="17"/>
  <c r="Q47" i="17"/>
  <c r="F47" i="17"/>
  <c r="I47" i="17" s="1"/>
  <c r="P46" i="17"/>
  <c r="F46" i="17"/>
  <c r="I46" i="17" s="1"/>
  <c r="P45" i="17"/>
  <c r="Q45" i="17"/>
  <c r="F45" i="17"/>
  <c r="I45" i="17" s="1"/>
  <c r="P44" i="17"/>
  <c r="Q44" i="17"/>
  <c r="F44" i="17"/>
  <c r="I44" i="17" s="1"/>
  <c r="P43" i="17"/>
  <c r="Q43" i="17"/>
  <c r="F43" i="17"/>
  <c r="P42" i="17"/>
  <c r="Q42" i="17"/>
  <c r="F42" i="17"/>
  <c r="I42" i="17" s="1"/>
  <c r="P41" i="17"/>
  <c r="Q41" i="17"/>
  <c r="J41" i="17"/>
  <c r="M41" i="17" s="1"/>
  <c r="F41" i="17"/>
  <c r="I41" i="17" s="1"/>
  <c r="P40" i="17"/>
  <c r="F40" i="17"/>
  <c r="I40" i="17" s="1"/>
  <c r="P39" i="17"/>
  <c r="Q39" i="17"/>
  <c r="F39" i="17"/>
  <c r="I39" i="17" s="1"/>
  <c r="P38" i="17"/>
  <c r="Q38" i="17"/>
  <c r="F38" i="17"/>
  <c r="I38" i="17" s="1"/>
  <c r="E37" i="17"/>
  <c r="H37" i="17"/>
  <c r="G37" i="17"/>
  <c r="D37" i="17"/>
  <c r="P35" i="17"/>
  <c r="Q35" i="17"/>
  <c r="F35" i="17"/>
  <c r="I35" i="17" s="1"/>
  <c r="P34" i="17"/>
  <c r="Q34" i="17"/>
  <c r="F34" i="17"/>
  <c r="I34" i="17" s="1"/>
  <c r="P33" i="17"/>
  <c r="Q33" i="17"/>
  <c r="F33" i="17"/>
  <c r="I33" i="17" s="1"/>
  <c r="P32" i="17"/>
  <c r="Q32" i="17"/>
  <c r="F32" i="17"/>
  <c r="I32" i="17" s="1"/>
  <c r="P31" i="17"/>
  <c r="F31" i="17"/>
  <c r="Q30" i="17"/>
  <c r="P30" i="17"/>
  <c r="F30" i="17"/>
  <c r="I30" i="17" s="1"/>
  <c r="P29" i="17"/>
  <c r="Q29" i="17"/>
  <c r="F29" i="17"/>
  <c r="I29" i="17" s="1"/>
  <c r="E28" i="17"/>
  <c r="H27" i="17"/>
  <c r="G27" i="17"/>
  <c r="D27" i="17"/>
  <c r="P26" i="17"/>
  <c r="F26" i="17"/>
  <c r="I26" i="17" s="1"/>
  <c r="P25" i="17"/>
  <c r="Q25" i="17"/>
  <c r="F25" i="17"/>
  <c r="I25" i="17" s="1"/>
  <c r="P24" i="17"/>
  <c r="Q24" i="17"/>
  <c r="F24" i="17"/>
  <c r="I24" i="17" s="1"/>
  <c r="Q23" i="17"/>
  <c r="P23" i="17"/>
  <c r="J23" i="17"/>
  <c r="M23" i="17" s="1"/>
  <c r="F23" i="17"/>
  <c r="I23" i="17" s="1"/>
  <c r="P22" i="17"/>
  <c r="I22" i="17"/>
  <c r="F22" i="17"/>
  <c r="P21" i="17"/>
  <c r="Q21" i="17"/>
  <c r="F21" i="17"/>
  <c r="I21" i="17" s="1"/>
  <c r="P20" i="17"/>
  <c r="L27" i="17"/>
  <c r="F20" i="17"/>
  <c r="I20" i="17" s="1"/>
  <c r="H19" i="17"/>
  <c r="G19" i="17"/>
  <c r="D19" i="17"/>
  <c r="D28" i="17" s="1"/>
  <c r="P18" i="17"/>
  <c r="J18" i="17"/>
  <c r="Q18" i="17"/>
  <c r="F18" i="17"/>
  <c r="I18" i="17" s="1"/>
  <c r="P17" i="17"/>
  <c r="F17" i="17"/>
  <c r="I17" i="17" s="1"/>
  <c r="Q16" i="17"/>
  <c r="P16" i="17"/>
  <c r="J16" i="17"/>
  <c r="M16" i="17" s="1"/>
  <c r="F16" i="17"/>
  <c r="I16" i="17" s="1"/>
  <c r="P15" i="17"/>
  <c r="Q15" i="17"/>
  <c r="F15" i="17"/>
  <c r="I15" i="17" s="1"/>
  <c r="P14" i="17"/>
  <c r="F14" i="17"/>
  <c r="I14" i="17" s="1"/>
  <c r="F109" i="13"/>
  <c r="F108" i="13"/>
  <c r="F106" i="13"/>
  <c r="I106" i="13" s="1"/>
  <c r="F105" i="13"/>
  <c r="I105" i="13" s="1"/>
  <c r="F104" i="13"/>
  <c r="I104" i="13" s="1"/>
  <c r="F102" i="13"/>
  <c r="I102" i="13" s="1"/>
  <c r="F101" i="13"/>
  <c r="I101" i="13" s="1"/>
  <c r="F100" i="13"/>
  <c r="I100" i="13" s="1"/>
  <c r="F99" i="13"/>
  <c r="I99" i="13" s="1"/>
  <c r="F98" i="13"/>
  <c r="I98" i="13" s="1"/>
  <c r="F96" i="13"/>
  <c r="I96" i="13" s="1"/>
  <c r="F95" i="13"/>
  <c r="I95" i="13" s="1"/>
  <c r="F93" i="13"/>
  <c r="I93" i="13" s="1"/>
  <c r="F92" i="13"/>
  <c r="I92" i="13" s="1"/>
  <c r="F91" i="13"/>
  <c r="I91" i="13" s="1"/>
  <c r="F90" i="13"/>
  <c r="I90" i="13" s="1"/>
  <c r="F88" i="13"/>
  <c r="I88" i="13" s="1"/>
  <c r="F87" i="13"/>
  <c r="I87" i="13" s="1"/>
  <c r="F86" i="13"/>
  <c r="I86" i="13" s="1"/>
  <c r="F83" i="13"/>
  <c r="I83" i="13" s="1"/>
  <c r="F80" i="13"/>
  <c r="I80" i="13" s="1"/>
  <c r="F79" i="13"/>
  <c r="I79" i="13" s="1"/>
  <c r="F78" i="13"/>
  <c r="I78" i="13" s="1"/>
  <c r="F76" i="13"/>
  <c r="I76" i="13" s="1"/>
  <c r="F75" i="13"/>
  <c r="I75" i="13" s="1"/>
  <c r="F74" i="13"/>
  <c r="I74" i="13" s="1"/>
  <c r="F71" i="13"/>
  <c r="I71" i="13" s="1"/>
  <c r="F70" i="13"/>
  <c r="I70" i="13" s="1"/>
  <c r="F69" i="13"/>
  <c r="I69" i="13" s="1"/>
  <c r="F67" i="13"/>
  <c r="I67" i="13" s="1"/>
  <c r="F66" i="13"/>
  <c r="I66" i="13" s="1"/>
  <c r="F65" i="13"/>
  <c r="I65" i="13" s="1"/>
  <c r="F64" i="13"/>
  <c r="I64" i="13" s="1"/>
  <c r="F63" i="13"/>
  <c r="I63" i="13" s="1"/>
  <c r="F62" i="13"/>
  <c r="I62" i="13" s="1"/>
  <c r="F61" i="13"/>
  <c r="I61" i="13" s="1"/>
  <c r="F60" i="13"/>
  <c r="I60" i="13" s="1"/>
  <c r="F59" i="13"/>
  <c r="I59" i="13" s="1"/>
  <c r="F55" i="13"/>
  <c r="F54" i="13"/>
  <c r="I54" i="13" s="1"/>
  <c r="F53" i="13"/>
  <c r="I53" i="13" s="1"/>
  <c r="F52" i="13"/>
  <c r="I52" i="13" s="1"/>
  <c r="F51" i="13"/>
  <c r="I51" i="13" s="1"/>
  <c r="F50" i="13"/>
  <c r="I50" i="13" s="1"/>
  <c r="F49" i="13"/>
  <c r="I49" i="13" s="1"/>
  <c r="F48" i="13"/>
  <c r="I48" i="13" s="1"/>
  <c r="F46" i="13"/>
  <c r="I46" i="13" s="1"/>
  <c r="F45" i="13"/>
  <c r="I45" i="13" s="1"/>
  <c r="F44" i="13"/>
  <c r="I44" i="13" s="1"/>
  <c r="F43" i="13"/>
  <c r="I43" i="13" s="1"/>
  <c r="F40" i="13"/>
  <c r="I40" i="13" s="1"/>
  <c r="F39" i="13"/>
  <c r="I39" i="13" s="1"/>
  <c r="F38" i="13"/>
  <c r="I38" i="13" s="1"/>
  <c r="F36" i="13"/>
  <c r="F37" i="13" s="1"/>
  <c r="F34" i="13"/>
  <c r="I34" i="13" s="1"/>
  <c r="F33" i="13"/>
  <c r="I33" i="13" s="1"/>
  <c r="F32" i="13"/>
  <c r="I32" i="13" s="1"/>
  <c r="F31" i="13"/>
  <c r="I31" i="13" s="1"/>
  <c r="F30" i="13"/>
  <c r="I30" i="13" s="1"/>
  <c r="F29" i="13"/>
  <c r="I29" i="13" s="1"/>
  <c r="F28" i="13"/>
  <c r="I28" i="13" s="1"/>
  <c r="F26" i="13"/>
  <c r="I26" i="13" s="1"/>
  <c r="F25" i="13"/>
  <c r="I25" i="13" s="1"/>
  <c r="F24" i="13"/>
  <c r="I24" i="13" s="1"/>
  <c r="F23" i="13"/>
  <c r="I23" i="13" s="1"/>
  <c r="F22" i="13"/>
  <c r="I22" i="13" s="1"/>
  <c r="F21" i="13"/>
  <c r="I21" i="13" s="1"/>
  <c r="F20" i="13"/>
  <c r="I20" i="13" s="1"/>
  <c r="F18" i="13"/>
  <c r="I18" i="13" s="1"/>
  <c r="F17" i="13"/>
  <c r="I17" i="13" s="1"/>
  <c r="F16" i="13"/>
  <c r="I16" i="13" s="1"/>
  <c r="F15" i="13"/>
  <c r="I15" i="13" s="1"/>
  <c r="J110" i="13"/>
  <c r="I110" i="13"/>
  <c r="I55" i="13"/>
  <c r="F111" i="1"/>
  <c r="F112" i="1" s="1"/>
  <c r="E111" i="1"/>
  <c r="E112" i="1" s="1"/>
  <c r="I110" i="1"/>
  <c r="H110" i="1"/>
  <c r="G109" i="13"/>
  <c r="G109" i="1"/>
  <c r="J109" i="1" s="1"/>
  <c r="L110" i="1"/>
  <c r="G108" i="1"/>
  <c r="I107" i="1"/>
  <c r="H107" i="1"/>
  <c r="G106" i="13"/>
  <c r="J106" i="13" s="1"/>
  <c r="G106" i="1"/>
  <c r="J106" i="1" s="1"/>
  <c r="G105" i="13"/>
  <c r="J105" i="13" s="1"/>
  <c r="G105" i="1"/>
  <c r="K104" i="1"/>
  <c r="G104" i="1"/>
  <c r="J104" i="1" s="1"/>
  <c r="I103" i="1"/>
  <c r="H103" i="1"/>
  <c r="K102" i="1"/>
  <c r="N102" i="1" s="1"/>
  <c r="G102" i="1"/>
  <c r="J102" i="1" s="1"/>
  <c r="G101" i="13"/>
  <c r="J101" i="13" s="1"/>
  <c r="G101" i="1"/>
  <c r="J101" i="1" s="1"/>
  <c r="G100" i="13"/>
  <c r="J100" i="13" s="1"/>
  <c r="G100" i="1"/>
  <c r="J100" i="1" s="1"/>
  <c r="G99" i="13"/>
  <c r="J99" i="13" s="1"/>
  <c r="G99" i="1"/>
  <c r="L103" i="1"/>
  <c r="G98" i="1"/>
  <c r="J98" i="1" s="1"/>
  <c r="I97" i="1"/>
  <c r="H97" i="1"/>
  <c r="G96" i="13"/>
  <c r="J96" i="13" s="1"/>
  <c r="G96" i="1"/>
  <c r="J96" i="1" s="1"/>
  <c r="G95" i="13"/>
  <c r="J95" i="13" s="1"/>
  <c r="G95" i="1"/>
  <c r="I94" i="1"/>
  <c r="H94" i="1"/>
  <c r="G93" i="1"/>
  <c r="J93" i="1" s="1"/>
  <c r="G92" i="13"/>
  <c r="J92" i="13" s="1"/>
  <c r="G92" i="1"/>
  <c r="J92" i="1" s="1"/>
  <c r="K91" i="1"/>
  <c r="N91" i="1" s="1"/>
  <c r="G91" i="13"/>
  <c r="J91" i="13" s="1"/>
  <c r="G91" i="1"/>
  <c r="J91" i="1" s="1"/>
  <c r="L94" i="1"/>
  <c r="G90" i="1"/>
  <c r="M89" i="1"/>
  <c r="I89" i="1"/>
  <c r="H89" i="1"/>
  <c r="K88" i="1"/>
  <c r="N88" i="1" s="1"/>
  <c r="G88" i="1"/>
  <c r="J88" i="1" s="1"/>
  <c r="G87" i="13"/>
  <c r="J87" i="13" s="1"/>
  <c r="G87" i="1"/>
  <c r="G86" i="13"/>
  <c r="J86" i="13" s="1"/>
  <c r="G86" i="1"/>
  <c r="J86" i="1" s="1"/>
  <c r="F84" i="1"/>
  <c r="F85" i="1" s="1"/>
  <c r="G83" i="13"/>
  <c r="J83" i="13" s="1"/>
  <c r="G83" i="1"/>
  <c r="J83" i="1" s="1"/>
  <c r="I81" i="1"/>
  <c r="G80" i="13"/>
  <c r="J80" i="13" s="1"/>
  <c r="G80" i="1"/>
  <c r="J80" i="1" s="1"/>
  <c r="H81" i="1"/>
  <c r="K78" i="1"/>
  <c r="N78" i="1" s="1"/>
  <c r="G78" i="13"/>
  <c r="J78" i="13" s="1"/>
  <c r="G78" i="1"/>
  <c r="J78" i="1" s="1"/>
  <c r="I77" i="1"/>
  <c r="H77" i="1"/>
  <c r="K76" i="1"/>
  <c r="G76" i="13"/>
  <c r="J76" i="13" s="1"/>
  <c r="G76" i="1"/>
  <c r="J76" i="1" s="1"/>
  <c r="K75" i="1"/>
  <c r="N75" i="1" s="1"/>
  <c r="G75" i="1"/>
  <c r="J75" i="1" s="1"/>
  <c r="G74" i="13"/>
  <c r="J74" i="13" s="1"/>
  <c r="G74" i="1"/>
  <c r="I72" i="1"/>
  <c r="H72" i="1"/>
  <c r="K71" i="1"/>
  <c r="G71" i="1"/>
  <c r="J71" i="1" s="1"/>
  <c r="K70" i="1"/>
  <c r="N70" i="1" s="1"/>
  <c r="G70" i="1"/>
  <c r="J70" i="1" s="1"/>
  <c r="G69" i="13"/>
  <c r="J69" i="13" s="1"/>
  <c r="G69" i="1"/>
  <c r="H68" i="1"/>
  <c r="H73" i="1" s="1"/>
  <c r="G67" i="1"/>
  <c r="J67" i="1" s="1"/>
  <c r="K66" i="1"/>
  <c r="O66" i="1" s="1"/>
  <c r="G66" i="1"/>
  <c r="J66" i="1" s="1"/>
  <c r="G65" i="13"/>
  <c r="J65" i="13" s="1"/>
  <c r="G65" i="1"/>
  <c r="J65" i="1" s="1"/>
  <c r="G64" i="1"/>
  <c r="J64" i="1" s="1"/>
  <c r="K63" i="1"/>
  <c r="G63" i="1"/>
  <c r="J63" i="1" s="1"/>
  <c r="G62" i="13"/>
  <c r="J62" i="13" s="1"/>
  <c r="K62" i="1"/>
  <c r="O62" i="1" s="1"/>
  <c r="G62" i="1"/>
  <c r="J62" i="1" s="1"/>
  <c r="G61" i="13"/>
  <c r="J61" i="13" s="1"/>
  <c r="G61" i="1"/>
  <c r="J61" i="1" s="1"/>
  <c r="G60" i="13"/>
  <c r="J60" i="13" s="1"/>
  <c r="K60" i="1"/>
  <c r="G60" i="1"/>
  <c r="J60" i="1" s="1"/>
  <c r="G59" i="13"/>
  <c r="J59" i="13" s="1"/>
  <c r="G59" i="1"/>
  <c r="J59" i="1" s="1"/>
  <c r="F57" i="1"/>
  <c r="E57" i="1"/>
  <c r="G55" i="13"/>
  <c r="J55" i="13" s="1"/>
  <c r="G55" i="1"/>
  <c r="J55" i="1" s="1"/>
  <c r="G54" i="13"/>
  <c r="J54" i="13" s="1"/>
  <c r="G54" i="1"/>
  <c r="J54" i="1" s="1"/>
  <c r="G53" i="13"/>
  <c r="J53" i="13" s="1"/>
  <c r="G53" i="1"/>
  <c r="J53" i="1" s="1"/>
  <c r="G52" i="13"/>
  <c r="J52" i="13" s="1"/>
  <c r="G52" i="1"/>
  <c r="J52" i="1" s="1"/>
  <c r="G51" i="13"/>
  <c r="J51" i="13" s="1"/>
  <c r="G51" i="1"/>
  <c r="J51" i="1" s="1"/>
  <c r="G50" i="13"/>
  <c r="J50" i="13" s="1"/>
  <c r="G50" i="1"/>
  <c r="J50" i="1" s="1"/>
  <c r="G49" i="13"/>
  <c r="J49" i="13" s="1"/>
  <c r="I56" i="1"/>
  <c r="G49" i="1"/>
  <c r="J49" i="1" s="1"/>
  <c r="G48" i="13"/>
  <c r="G48" i="1"/>
  <c r="I47" i="1"/>
  <c r="H47" i="1"/>
  <c r="G46" i="13"/>
  <c r="J46" i="13" s="1"/>
  <c r="G46" i="1"/>
  <c r="J46" i="1" s="1"/>
  <c r="G45" i="1"/>
  <c r="J45" i="1" s="1"/>
  <c r="M47" i="1"/>
  <c r="G44" i="13"/>
  <c r="J44" i="13" s="1"/>
  <c r="G44" i="1"/>
  <c r="J44" i="1" s="1"/>
  <c r="G43" i="1"/>
  <c r="J43" i="1" s="1"/>
  <c r="I41" i="1"/>
  <c r="H41" i="1"/>
  <c r="E41" i="1"/>
  <c r="K40" i="1"/>
  <c r="O40" i="1" s="1"/>
  <c r="G40" i="1"/>
  <c r="J40" i="1" s="1"/>
  <c r="G39" i="13"/>
  <c r="J39" i="13" s="1"/>
  <c r="G39" i="1"/>
  <c r="J39" i="1" s="1"/>
  <c r="M41" i="1"/>
  <c r="G38" i="13"/>
  <c r="J38" i="13" s="1"/>
  <c r="G38" i="1"/>
  <c r="J38" i="1" s="1"/>
  <c r="I37" i="1"/>
  <c r="H37" i="1"/>
  <c r="F37" i="1"/>
  <c r="F42" i="1" s="1"/>
  <c r="M37" i="1"/>
  <c r="G36" i="13"/>
  <c r="J36" i="13" s="1"/>
  <c r="J37" i="13" s="1"/>
  <c r="G35" i="1"/>
  <c r="G37" i="1" s="1"/>
  <c r="J37" i="1" s="1"/>
  <c r="I34" i="1"/>
  <c r="H34" i="1"/>
  <c r="E34" i="1"/>
  <c r="K33" i="1"/>
  <c r="N33" i="1" s="1"/>
  <c r="G34" i="13"/>
  <c r="J34" i="13" s="1"/>
  <c r="G33" i="1"/>
  <c r="J33" i="1" s="1"/>
  <c r="G32" i="1"/>
  <c r="J32" i="1" s="1"/>
  <c r="K31" i="1"/>
  <c r="N31" i="1" s="1"/>
  <c r="G32" i="13"/>
  <c r="J32" i="13" s="1"/>
  <c r="G31" i="1"/>
  <c r="J31" i="1" s="1"/>
  <c r="G31" i="13"/>
  <c r="J31" i="13" s="1"/>
  <c r="G30" i="1"/>
  <c r="J30" i="1" s="1"/>
  <c r="K29" i="1"/>
  <c r="G29" i="1"/>
  <c r="J29" i="1" s="1"/>
  <c r="K28" i="1"/>
  <c r="G28" i="1"/>
  <c r="J28" i="1" s="1"/>
  <c r="M34" i="1"/>
  <c r="K27" i="1"/>
  <c r="N27" i="1" s="1"/>
  <c r="G27" i="1"/>
  <c r="J27" i="1" s="1"/>
  <c r="I26" i="1"/>
  <c r="H26" i="1"/>
  <c r="G26" i="13"/>
  <c r="J26" i="13" s="1"/>
  <c r="G25" i="1"/>
  <c r="J25" i="1" s="1"/>
  <c r="G25" i="13"/>
  <c r="J25" i="13" s="1"/>
  <c r="G24" i="1"/>
  <c r="J24" i="1" s="1"/>
  <c r="G24" i="13"/>
  <c r="G23" i="1"/>
  <c r="J23" i="1" s="1"/>
  <c r="G22" i="1"/>
  <c r="J22" i="1" s="1"/>
  <c r="G22" i="13"/>
  <c r="J22" i="13" s="1"/>
  <c r="K21" i="1"/>
  <c r="O21" i="1" s="1"/>
  <c r="G21" i="1"/>
  <c r="J21" i="1" s="1"/>
  <c r="G21" i="13"/>
  <c r="J21" i="13" s="1"/>
  <c r="G20" i="1"/>
  <c r="J20" i="1" s="1"/>
  <c r="L26" i="1"/>
  <c r="G19" i="1"/>
  <c r="J19" i="1" s="1"/>
  <c r="I18" i="1"/>
  <c r="H18" i="1"/>
  <c r="G18" i="13"/>
  <c r="G17" i="1"/>
  <c r="J17" i="1" s="1"/>
  <c r="K16" i="1"/>
  <c r="N16" i="1" s="1"/>
  <c r="G16" i="1"/>
  <c r="J16" i="1" s="1"/>
  <c r="G16" i="13"/>
  <c r="J16" i="13" s="1"/>
  <c r="K15" i="1"/>
  <c r="N15" i="1" s="1"/>
  <c r="G15" i="1"/>
  <c r="J15" i="1" s="1"/>
  <c r="G15" i="13"/>
  <c r="G14" i="1"/>
  <c r="J14" i="1" s="1"/>
  <c r="K268" i="17" l="1"/>
  <c r="Q209" i="17"/>
  <c r="O226" i="1"/>
  <c r="N176" i="17"/>
  <c r="N184" i="17"/>
  <c r="N134" i="17"/>
  <c r="N150" i="17"/>
  <c r="N226" i="17"/>
  <c r="Q191" i="17"/>
  <c r="K250" i="17"/>
  <c r="J191" i="17"/>
  <c r="F343" i="16"/>
  <c r="I261" i="16"/>
  <c r="I276" i="16"/>
  <c r="F358" i="16"/>
  <c r="F344" i="16"/>
  <c r="I262" i="16"/>
  <c r="F58" i="1"/>
  <c r="F113" i="1" s="1"/>
  <c r="O220" i="1"/>
  <c r="N181" i="17"/>
  <c r="Q137" i="17"/>
  <c r="N164" i="17"/>
  <c r="N132" i="17"/>
  <c r="M132" i="17"/>
  <c r="L309" i="17"/>
  <c r="I193" i="16"/>
  <c r="I209" i="16"/>
  <c r="F355" i="16"/>
  <c r="I273" i="16"/>
  <c r="F363" i="16"/>
  <c r="I281" i="16"/>
  <c r="F393" i="16"/>
  <c r="I311" i="16"/>
  <c r="F359" i="16"/>
  <c r="I277" i="16"/>
  <c r="F412" i="16"/>
  <c r="I330" i="16"/>
  <c r="I279" i="16"/>
  <c r="F361" i="16"/>
  <c r="I316" i="16"/>
  <c r="F398" i="16"/>
  <c r="I332" i="16"/>
  <c r="F414" i="16"/>
  <c r="F348" i="16"/>
  <c r="I266" i="16"/>
  <c r="I329" i="16"/>
  <c r="F411" i="16"/>
  <c r="I272" i="16"/>
  <c r="F354" i="16"/>
  <c r="I319" i="16"/>
  <c r="F401" i="16"/>
  <c r="I290" i="16"/>
  <c r="F372" i="16"/>
  <c r="I309" i="16"/>
  <c r="F391" i="16"/>
  <c r="F408" i="16"/>
  <c r="I326" i="16"/>
  <c r="I271" i="16"/>
  <c r="F353" i="16"/>
  <c r="I283" i="16"/>
  <c r="F365" i="16"/>
  <c r="I320" i="16"/>
  <c r="F402" i="16"/>
  <c r="I333" i="16"/>
  <c r="F415" i="16"/>
  <c r="I278" i="16"/>
  <c r="F360" i="16"/>
  <c r="I298" i="16"/>
  <c r="F380" i="16"/>
  <c r="I315" i="16"/>
  <c r="F397" i="16"/>
  <c r="I331" i="16"/>
  <c r="F413" i="16"/>
  <c r="I269" i="16"/>
  <c r="F351" i="16"/>
  <c r="I305" i="16"/>
  <c r="F387" i="16"/>
  <c r="F404" i="16"/>
  <c r="I322" i="16"/>
  <c r="F381" i="16"/>
  <c r="I299" i="16"/>
  <c r="F378" i="16"/>
  <c r="I296" i="16"/>
  <c r="F394" i="16"/>
  <c r="I312" i="16"/>
  <c r="I294" i="16"/>
  <c r="F376" i="16"/>
  <c r="I310" i="16"/>
  <c r="F392" i="16"/>
  <c r="F389" i="16"/>
  <c r="I307" i="16"/>
  <c r="I324" i="16"/>
  <c r="F406" i="16"/>
  <c r="F356" i="16"/>
  <c r="I274" i="16"/>
  <c r="F403" i="16"/>
  <c r="I321" i="16"/>
  <c r="I129" i="16"/>
  <c r="I264" i="16"/>
  <c r="F346" i="16"/>
  <c r="I327" i="16"/>
  <c r="F409" i="16"/>
  <c r="F347" i="16"/>
  <c r="I265" i="16"/>
  <c r="F385" i="16"/>
  <c r="I303" i="16"/>
  <c r="F362" i="16"/>
  <c r="I280" i="16"/>
  <c r="F382" i="16"/>
  <c r="I300" i="16"/>
  <c r="F399" i="16"/>
  <c r="I317" i="16"/>
  <c r="I253" i="16"/>
  <c r="F367" i="16"/>
  <c r="I285" i="16"/>
  <c r="I267" i="16"/>
  <c r="F349" i="16"/>
  <c r="I301" i="16"/>
  <c r="F383" i="16"/>
  <c r="I174" i="16"/>
  <c r="F416" i="16"/>
  <c r="I334" i="16"/>
  <c r="I263" i="16"/>
  <c r="F345" i="16"/>
  <c r="F377" i="16"/>
  <c r="I295" i="16"/>
  <c r="I328" i="16"/>
  <c r="F410" i="16"/>
  <c r="F352" i="16"/>
  <c r="I270" i="16"/>
  <c r="F371" i="16"/>
  <c r="I289" i="16"/>
  <c r="F390" i="16"/>
  <c r="I308" i="16"/>
  <c r="F407" i="16"/>
  <c r="I325" i="16"/>
  <c r="I318" i="16"/>
  <c r="F400" i="16"/>
  <c r="I268" i="16"/>
  <c r="F350" i="16"/>
  <c r="I286" i="16"/>
  <c r="F368" i="16"/>
  <c r="I306" i="16"/>
  <c r="F388" i="16"/>
  <c r="I323" i="16"/>
  <c r="F405" i="16"/>
  <c r="I205" i="16"/>
  <c r="I211" i="16" s="1"/>
  <c r="I297" i="16"/>
  <c r="F379" i="16"/>
  <c r="I313" i="16"/>
  <c r="F395" i="16"/>
  <c r="F370" i="16"/>
  <c r="I288" i="16"/>
  <c r="I232" i="16"/>
  <c r="I284" i="16"/>
  <c r="F366" i="16"/>
  <c r="F386" i="16"/>
  <c r="I304" i="16"/>
  <c r="I282" i="16"/>
  <c r="F364" i="16"/>
  <c r="I302" i="16"/>
  <c r="F384" i="16"/>
  <c r="L260" i="17"/>
  <c r="Q234" i="17"/>
  <c r="K293" i="17"/>
  <c r="J234" i="17"/>
  <c r="M234" i="17" s="1"/>
  <c r="L268" i="17"/>
  <c r="N209" i="17"/>
  <c r="J209" i="17"/>
  <c r="M209" i="17" s="1"/>
  <c r="Q192" i="17"/>
  <c r="K251" i="17"/>
  <c r="J192" i="17"/>
  <c r="K196" i="17"/>
  <c r="L282" i="17"/>
  <c r="L290" i="17"/>
  <c r="L298" i="17"/>
  <c r="L275" i="17"/>
  <c r="K278" i="17"/>
  <c r="J219" i="17"/>
  <c r="Q219" i="17"/>
  <c r="Q235" i="17"/>
  <c r="K294" i="17"/>
  <c r="J235" i="17"/>
  <c r="M235" i="17" s="1"/>
  <c r="N182" i="17"/>
  <c r="M182" i="17"/>
  <c r="K279" i="17"/>
  <c r="Q220" i="17"/>
  <c r="J220" i="17"/>
  <c r="Q87" i="17"/>
  <c r="K271" i="17"/>
  <c r="Q212" i="17"/>
  <c r="J212" i="17"/>
  <c r="M212" i="17" s="1"/>
  <c r="K275" i="17"/>
  <c r="Q216" i="17"/>
  <c r="J216" i="17"/>
  <c r="M216" i="17" s="1"/>
  <c r="K267" i="17"/>
  <c r="J208" i="17"/>
  <c r="M208" i="17" s="1"/>
  <c r="Q208" i="17"/>
  <c r="L283" i="17"/>
  <c r="J291" i="17"/>
  <c r="M291" i="17" s="1"/>
  <c r="L350" i="17"/>
  <c r="L299" i="17"/>
  <c r="J286" i="17"/>
  <c r="M286" i="17" s="1"/>
  <c r="K345" i="17"/>
  <c r="Q286" i="17"/>
  <c r="L344" i="17"/>
  <c r="K280" i="17"/>
  <c r="J221" i="17"/>
  <c r="Q221" i="17"/>
  <c r="Q201" i="17"/>
  <c r="K260" i="17"/>
  <c r="J201" i="17"/>
  <c r="M201" i="17" s="1"/>
  <c r="L276" i="17"/>
  <c r="L343" i="17"/>
  <c r="L410" i="17"/>
  <c r="L469" i="17" s="1"/>
  <c r="L595" i="17"/>
  <c r="L654" i="17" s="1"/>
  <c r="M177" i="17"/>
  <c r="N177" i="17"/>
  <c r="N159" i="17"/>
  <c r="N136" i="17"/>
  <c r="K298" i="17"/>
  <c r="J239" i="17"/>
  <c r="M239" i="17" s="1"/>
  <c r="Q239" i="17"/>
  <c r="M138" i="17"/>
  <c r="J145" i="17"/>
  <c r="M145" i="17" s="1"/>
  <c r="L281" i="17"/>
  <c r="L301" i="17"/>
  <c r="N171" i="17"/>
  <c r="N178" i="17"/>
  <c r="M178" i="17"/>
  <c r="K262" i="17"/>
  <c r="J203" i="17"/>
  <c r="Q203" i="17"/>
  <c r="L312" i="17"/>
  <c r="Q291" i="17"/>
  <c r="K350" i="17"/>
  <c r="K257" i="17"/>
  <c r="Q198" i="17"/>
  <c r="J198" i="17"/>
  <c r="M198" i="17" s="1"/>
  <c r="Q206" i="17"/>
  <c r="K265" i="17"/>
  <c r="J206" i="17"/>
  <c r="K213" i="17"/>
  <c r="K214" i="17" s="1"/>
  <c r="N169" i="17"/>
  <c r="K284" i="17"/>
  <c r="J225" i="17"/>
  <c r="Q225" i="17"/>
  <c r="K261" i="17"/>
  <c r="Q202" i="17"/>
  <c r="J202" i="17"/>
  <c r="M202" i="17" s="1"/>
  <c r="Q211" i="17"/>
  <c r="K270" i="17"/>
  <c r="J211" i="17"/>
  <c r="M211" i="17" s="1"/>
  <c r="M78" i="17"/>
  <c r="J87" i="17"/>
  <c r="M87" i="17" s="1"/>
  <c r="N152" i="17"/>
  <c r="L317" i="17"/>
  <c r="Q210" i="17"/>
  <c r="K269" i="17"/>
  <c r="J210" i="17"/>
  <c r="J236" i="17"/>
  <c r="K295" i="17"/>
  <c r="Q236" i="17"/>
  <c r="K356" i="17"/>
  <c r="J297" i="17"/>
  <c r="M297" i="17" s="1"/>
  <c r="Q297" i="17"/>
  <c r="L277" i="17"/>
  <c r="L254" i="17"/>
  <c r="Q223" i="17"/>
  <c r="K282" i="17"/>
  <c r="J223" i="17"/>
  <c r="M223" i="17" s="1"/>
  <c r="K290" i="17"/>
  <c r="Q231" i="17"/>
  <c r="J231" i="17"/>
  <c r="M231" i="17" s="1"/>
  <c r="Q145" i="17"/>
  <c r="Q146" i="17" s="1"/>
  <c r="N140" i="17"/>
  <c r="M140" i="17"/>
  <c r="N175" i="17"/>
  <c r="N170" i="17"/>
  <c r="M170" i="17"/>
  <c r="L514" i="17"/>
  <c r="L573" i="17" s="1"/>
  <c r="K277" i="17"/>
  <c r="Q218" i="17"/>
  <c r="J218" i="17"/>
  <c r="M218" i="17" s="1"/>
  <c r="L252" i="17"/>
  <c r="L261" i="17"/>
  <c r="N145" i="17"/>
  <c r="N135" i="17"/>
  <c r="M135" i="17"/>
  <c r="L345" i="17"/>
  <c r="L404" i="17" s="1"/>
  <c r="N286" i="17"/>
  <c r="L294" i="17"/>
  <c r="L302" i="17"/>
  <c r="L328" i="17"/>
  <c r="L244" i="17"/>
  <c r="L245" i="17" s="1"/>
  <c r="Q241" i="17"/>
  <c r="K300" i="17"/>
  <c r="J241" i="17"/>
  <c r="L256" i="17"/>
  <c r="L204" i="17"/>
  <c r="L289" i="17"/>
  <c r="K283" i="17"/>
  <c r="Q224" i="17"/>
  <c r="J224" i="17"/>
  <c r="M224" i="17" s="1"/>
  <c r="K289" i="17"/>
  <c r="Q230" i="17"/>
  <c r="J230" i="17"/>
  <c r="M230" i="17" s="1"/>
  <c r="K254" i="17"/>
  <c r="Q195" i="17"/>
  <c r="J195" i="17"/>
  <c r="M195" i="17" s="1"/>
  <c r="M147" i="17"/>
  <c r="J154" i="17"/>
  <c r="J155" i="17" s="1"/>
  <c r="M155" i="17" s="1"/>
  <c r="L287" i="17"/>
  <c r="L354" i="17"/>
  <c r="N149" i="17"/>
  <c r="Q217" i="17"/>
  <c r="K276" i="17"/>
  <c r="J217" i="17"/>
  <c r="M217" i="17" s="1"/>
  <c r="M233" i="17"/>
  <c r="N233" i="17"/>
  <c r="K259" i="17"/>
  <c r="Q200" i="17"/>
  <c r="J200" i="17"/>
  <c r="M200" i="17" s="1"/>
  <c r="L356" i="17"/>
  <c r="N297" i="17"/>
  <c r="N162" i="17"/>
  <c r="M162" i="17"/>
  <c r="L270" i="17"/>
  <c r="N211" i="17"/>
  <c r="L339" i="17"/>
  <c r="L347" i="17"/>
  <c r="L355" i="17"/>
  <c r="L146" i="17"/>
  <c r="N151" i="17"/>
  <c r="N153" i="17"/>
  <c r="N141" i="17"/>
  <c r="L265" i="17"/>
  <c r="L213" i="17"/>
  <c r="N206" i="17"/>
  <c r="K274" i="17"/>
  <c r="J215" i="17"/>
  <c r="M215" i="17" s="1"/>
  <c r="Q215" i="17"/>
  <c r="K244" i="17"/>
  <c r="K245" i="17" s="1"/>
  <c r="Q185" i="17"/>
  <c r="Q186" i="17" s="1"/>
  <c r="J285" i="17"/>
  <c r="M285" i="17" s="1"/>
  <c r="K344" i="17"/>
  <c r="Q285" i="17"/>
  <c r="L293" i="17"/>
  <c r="N234" i="17"/>
  <c r="Q128" i="17"/>
  <c r="M133" i="17"/>
  <c r="J137" i="17"/>
  <c r="K253" i="17"/>
  <c r="Q194" i="17"/>
  <c r="J194" i="17"/>
  <c r="L274" i="17"/>
  <c r="N215" i="17"/>
  <c r="L266" i="17"/>
  <c r="J242" i="17"/>
  <c r="M242" i="17" s="1"/>
  <c r="K301" i="17"/>
  <c r="Q242" i="17"/>
  <c r="L338" i="17"/>
  <c r="L303" i="17"/>
  <c r="L257" i="17"/>
  <c r="N198" i="17"/>
  <c r="K302" i="17"/>
  <c r="J243" i="17"/>
  <c r="M243" i="17" s="1"/>
  <c r="Q243" i="17"/>
  <c r="M161" i="17"/>
  <c r="J185" i="17"/>
  <c r="N161" i="17"/>
  <c r="K287" i="17"/>
  <c r="J228" i="17"/>
  <c r="M228" i="17" s="1"/>
  <c r="Q228" i="17"/>
  <c r="K296" i="17"/>
  <c r="J237" i="17"/>
  <c r="Q237" i="17"/>
  <c r="N144" i="17"/>
  <c r="M144" i="17"/>
  <c r="K266" i="17"/>
  <c r="Q207" i="17"/>
  <c r="J207" i="17"/>
  <c r="M207" i="17" s="1"/>
  <c r="Q240" i="17"/>
  <c r="K299" i="17"/>
  <c r="J240" i="17"/>
  <c r="M240" i="17" s="1"/>
  <c r="Q154" i="17"/>
  <c r="Q155" i="17" s="1"/>
  <c r="N165" i="17"/>
  <c r="N232" i="17"/>
  <c r="L267" i="17"/>
  <c r="N208" i="17"/>
  <c r="N166" i="17"/>
  <c r="M166" i="17"/>
  <c r="K351" i="17"/>
  <c r="Q292" i="17"/>
  <c r="J292" i="17"/>
  <c r="L128" i="17"/>
  <c r="N158" i="17"/>
  <c r="L251" i="17"/>
  <c r="L196" i="17"/>
  <c r="N192" i="17"/>
  <c r="L321" i="17"/>
  <c r="K281" i="17"/>
  <c r="Q222" i="17"/>
  <c r="J222" i="17"/>
  <c r="M222" i="17" s="1"/>
  <c r="K252" i="17"/>
  <c r="Q193" i="17"/>
  <c r="J193" i="17"/>
  <c r="M193" i="17" s="1"/>
  <c r="L271" i="17"/>
  <c r="N212" i="17"/>
  <c r="L259" i="17"/>
  <c r="N200" i="17"/>
  <c r="Q197" i="17"/>
  <c r="K256" i="17"/>
  <c r="J197" i="17"/>
  <c r="N197" i="17" s="1"/>
  <c r="K204" i="17"/>
  <c r="K258" i="17"/>
  <c r="J199" i="17"/>
  <c r="Q199" i="17"/>
  <c r="N163" i="17"/>
  <c r="N183" i="17"/>
  <c r="Q229" i="17"/>
  <c r="K288" i="17"/>
  <c r="J229" i="17"/>
  <c r="O197" i="1"/>
  <c r="O144" i="1"/>
  <c r="O236" i="1"/>
  <c r="G244" i="13"/>
  <c r="J243" i="13"/>
  <c r="J244" i="13" s="1"/>
  <c r="O289" i="1"/>
  <c r="N289" i="1"/>
  <c r="M907" i="1"/>
  <c r="N345" i="1"/>
  <c r="O345" i="1"/>
  <c r="J214" i="13"/>
  <c r="J215" i="13" s="1"/>
  <c r="G317" i="13"/>
  <c r="M346" i="1"/>
  <c r="M447" i="1"/>
  <c r="L447" i="1"/>
  <c r="G346" i="13"/>
  <c r="J346" i="13" s="1"/>
  <c r="L346" i="1"/>
  <c r="K344" i="1"/>
  <c r="K323" i="1"/>
  <c r="N323" i="1" s="1"/>
  <c r="L426" i="1"/>
  <c r="G325" i="13"/>
  <c r="J325" i="13" s="1"/>
  <c r="G348" i="13"/>
  <c r="J347" i="13"/>
  <c r="J348" i="13" s="1"/>
  <c r="O243" i="1"/>
  <c r="M654" i="1"/>
  <c r="L495" i="1"/>
  <c r="K392" i="1"/>
  <c r="G394" i="13"/>
  <c r="J394" i="13" s="1"/>
  <c r="M426" i="1"/>
  <c r="O323" i="1"/>
  <c r="L551" i="1"/>
  <c r="G451" i="13"/>
  <c r="K448" i="1"/>
  <c r="N140" i="1"/>
  <c r="O140" i="1"/>
  <c r="G185" i="13"/>
  <c r="O252" i="1"/>
  <c r="L288" i="1"/>
  <c r="O210" i="1"/>
  <c r="O241" i="1"/>
  <c r="K243" i="1"/>
  <c r="N243" i="1" s="1"/>
  <c r="N241" i="1"/>
  <c r="J176" i="13"/>
  <c r="L481" i="1"/>
  <c r="K378" i="1"/>
  <c r="G380" i="13"/>
  <c r="L381" i="1"/>
  <c r="M381" i="1"/>
  <c r="M481" i="1"/>
  <c r="M516" i="1"/>
  <c r="M416" i="1"/>
  <c r="N302" i="1"/>
  <c r="O302" i="1"/>
  <c r="N222" i="1"/>
  <c r="O222" i="1"/>
  <c r="K352" i="1"/>
  <c r="O352" i="1" s="1"/>
  <c r="L455" i="1"/>
  <c r="G354" i="13"/>
  <c r="L356" i="1"/>
  <c r="N296" i="1"/>
  <c r="K300" i="1"/>
  <c r="N300" i="1" s="1"/>
  <c r="M679" i="1"/>
  <c r="M782" i="1" s="1"/>
  <c r="M885" i="1" s="1"/>
  <c r="M611" i="1"/>
  <c r="J226" i="13"/>
  <c r="J233" i="13" s="1"/>
  <c r="G233" i="13"/>
  <c r="O171" i="1"/>
  <c r="N171" i="1"/>
  <c r="K176" i="1"/>
  <c r="L406" i="1"/>
  <c r="L507" i="1"/>
  <c r="K404" i="1"/>
  <c r="O404" i="1" s="1"/>
  <c r="G406" i="13"/>
  <c r="M377" i="1"/>
  <c r="M471" i="1"/>
  <c r="M520" i="1"/>
  <c r="M419" i="1"/>
  <c r="N284" i="1"/>
  <c r="K287" i="1"/>
  <c r="N287" i="1" s="1"/>
  <c r="O287" i="1"/>
  <c r="F110" i="13"/>
  <c r="L443" i="1"/>
  <c r="K340" i="1"/>
  <c r="G342" i="13"/>
  <c r="J342" i="13" s="1"/>
  <c r="N275" i="1"/>
  <c r="K278" i="1"/>
  <c r="N278" i="1" s="1"/>
  <c r="M532" i="1"/>
  <c r="M559" i="1"/>
  <c r="M465" i="1"/>
  <c r="M476" i="1"/>
  <c r="M579" i="1" s="1"/>
  <c r="J222" i="13"/>
  <c r="J225" i="13" s="1"/>
  <c r="G225" i="13"/>
  <c r="L508" i="1"/>
  <c r="G407" i="13"/>
  <c r="J407" i="13" s="1"/>
  <c r="K405" i="1"/>
  <c r="K253" i="1"/>
  <c r="O253" i="1" s="1"/>
  <c r="N249" i="1"/>
  <c r="L482" i="1"/>
  <c r="G381" i="13"/>
  <c r="J381" i="13" s="1"/>
  <c r="K379" i="1"/>
  <c r="N379" i="1" s="1"/>
  <c r="G301" i="13"/>
  <c r="J297" i="13"/>
  <c r="J301" i="13" s="1"/>
  <c r="L317" i="1"/>
  <c r="L318" i="1" s="1"/>
  <c r="L419" i="1"/>
  <c r="L520" i="1"/>
  <c r="G419" i="13"/>
  <c r="K417" i="1"/>
  <c r="K342" i="1"/>
  <c r="L445" i="1"/>
  <c r="K445" i="1" s="1"/>
  <c r="N445" i="1" s="1"/>
  <c r="G344" i="13"/>
  <c r="J344" i="13" s="1"/>
  <c r="L518" i="1"/>
  <c r="G417" i="13"/>
  <c r="J417" i="13" s="1"/>
  <c r="K415" i="1"/>
  <c r="N415" i="1" s="1"/>
  <c r="M540" i="1"/>
  <c r="M554" i="1"/>
  <c r="O296" i="1"/>
  <c r="N255" i="1"/>
  <c r="O255" i="1"/>
  <c r="J160" i="13"/>
  <c r="O276" i="1"/>
  <c r="M615" i="1"/>
  <c r="M317" i="1"/>
  <c r="M318" i="1" s="1"/>
  <c r="O312" i="1"/>
  <c r="K349" i="1"/>
  <c r="N349" i="1" s="1"/>
  <c r="L452" i="1"/>
  <c r="G351" i="13"/>
  <c r="J351" i="13" s="1"/>
  <c r="L479" i="1"/>
  <c r="G378" i="13"/>
  <c r="J378" i="13" s="1"/>
  <c r="K376" i="1"/>
  <c r="G390" i="13"/>
  <c r="J390" i="13" s="1"/>
  <c r="L491" i="1"/>
  <c r="K388" i="1"/>
  <c r="L514" i="1"/>
  <c r="K411" i="1"/>
  <c r="G413" i="13"/>
  <c r="J413" i="13" s="1"/>
  <c r="O238" i="1"/>
  <c r="O200" i="1"/>
  <c r="K355" i="1"/>
  <c r="N355" i="1" s="1"/>
  <c r="L458" i="1"/>
  <c r="G357" i="13"/>
  <c r="J357" i="13" s="1"/>
  <c r="L516" i="1"/>
  <c r="G415" i="13"/>
  <c r="K413" i="1"/>
  <c r="L416" i="1"/>
  <c r="L431" i="1"/>
  <c r="G330" i="13"/>
  <c r="K328" i="1"/>
  <c r="L335" i="1"/>
  <c r="L486" i="1"/>
  <c r="G385" i="13"/>
  <c r="K383" i="1"/>
  <c r="L386" i="1"/>
  <c r="N213" i="1"/>
  <c r="O213" i="1"/>
  <c r="G214" i="13"/>
  <c r="G215" i="13" s="1"/>
  <c r="M617" i="1"/>
  <c r="O315" i="1"/>
  <c r="N315" i="1"/>
  <c r="O246" i="1"/>
  <c r="N228" i="1"/>
  <c r="O228" i="1"/>
  <c r="N294" i="1"/>
  <c r="O294" i="1"/>
  <c r="O260" i="1"/>
  <c r="N260" i="1"/>
  <c r="O265" i="1"/>
  <c r="K274" i="1"/>
  <c r="N265" i="1"/>
  <c r="O266" i="1"/>
  <c r="N266" i="1"/>
  <c r="O311" i="1"/>
  <c r="O307" i="1"/>
  <c r="N307" i="1"/>
  <c r="O277" i="1"/>
  <c r="M490" i="1"/>
  <c r="N231" i="1"/>
  <c r="O231" i="1"/>
  <c r="O150" i="1"/>
  <c r="N150" i="1"/>
  <c r="L432" i="1"/>
  <c r="K329" i="1"/>
  <c r="N329" i="1" s="1"/>
  <c r="G331" i="13"/>
  <c r="J331" i="13" s="1"/>
  <c r="J293" i="13"/>
  <c r="J296" i="13" s="1"/>
  <c r="G296" i="13"/>
  <c r="L505" i="1"/>
  <c r="G404" i="13"/>
  <c r="J404" i="13" s="1"/>
  <c r="K402" i="1"/>
  <c r="M263" i="1"/>
  <c r="K347" i="1"/>
  <c r="O347" i="1" s="1"/>
  <c r="L450" i="1"/>
  <c r="G349" i="13"/>
  <c r="L350" i="1"/>
  <c r="K400" i="1"/>
  <c r="L503" i="1"/>
  <c r="G402" i="13"/>
  <c r="J402" i="13" s="1"/>
  <c r="M546" i="1"/>
  <c r="O256" i="1"/>
  <c r="N256" i="1"/>
  <c r="L475" i="1"/>
  <c r="G374" i="13"/>
  <c r="J374" i="13" s="1"/>
  <c r="K372" i="1"/>
  <c r="O372" i="1" s="1"/>
  <c r="L488" i="1"/>
  <c r="G387" i="13"/>
  <c r="J387" i="13" s="1"/>
  <c r="K385" i="1"/>
  <c r="N385" i="1" s="1"/>
  <c r="M531" i="1"/>
  <c r="O258" i="1"/>
  <c r="M698" i="1"/>
  <c r="M801" i="1" s="1"/>
  <c r="K337" i="1"/>
  <c r="N337" i="1" s="1"/>
  <c r="L440" i="1"/>
  <c r="G339" i="13"/>
  <c r="J339" i="13" s="1"/>
  <c r="L412" i="1"/>
  <c r="L510" i="1"/>
  <c r="G409" i="13"/>
  <c r="K407" i="1"/>
  <c r="O407" i="1" s="1"/>
  <c r="K214" i="1"/>
  <c r="N192" i="1"/>
  <c r="K408" i="1"/>
  <c r="N408" i="1" s="1"/>
  <c r="L511" i="1"/>
  <c r="G410" i="13"/>
  <c r="J410" i="13" s="1"/>
  <c r="M581" i="1"/>
  <c r="K361" i="1"/>
  <c r="N361" i="1" s="1"/>
  <c r="L464" i="1"/>
  <c r="G363" i="13"/>
  <c r="J363" i="13" s="1"/>
  <c r="N285" i="1"/>
  <c r="O285" i="1"/>
  <c r="O192" i="1"/>
  <c r="G314" i="13"/>
  <c r="J311" i="13"/>
  <c r="J314" i="13" s="1"/>
  <c r="K262" i="1"/>
  <c r="N262" i="1" s="1"/>
  <c r="N254" i="1"/>
  <c r="M504" i="1"/>
  <c r="J145" i="13"/>
  <c r="J161" i="13" s="1"/>
  <c r="M560" i="1"/>
  <c r="M517" i="1"/>
  <c r="K362" i="1"/>
  <c r="N362" i="1" s="1"/>
  <c r="L465" i="1"/>
  <c r="G364" i="13"/>
  <c r="J364" i="13" s="1"/>
  <c r="M474" i="1"/>
  <c r="M681" i="1"/>
  <c r="N237" i="1"/>
  <c r="O237" i="1"/>
  <c r="G279" i="13"/>
  <c r="J276" i="13"/>
  <c r="J279" i="13" s="1"/>
  <c r="N286" i="1"/>
  <c r="O286" i="1"/>
  <c r="O230" i="1"/>
  <c r="M548" i="1"/>
  <c r="M590" i="1"/>
  <c r="M603" i="1"/>
  <c r="M511" i="1"/>
  <c r="M830" i="1"/>
  <c r="L427" i="1"/>
  <c r="G326" i="13"/>
  <c r="K324" i="1"/>
  <c r="O324" i="1" s="1"/>
  <c r="L327" i="1"/>
  <c r="L467" i="1"/>
  <c r="K364" i="1"/>
  <c r="G366" i="13"/>
  <c r="J366" i="13" s="1"/>
  <c r="M343" i="1"/>
  <c r="M439" i="1"/>
  <c r="K325" i="1"/>
  <c r="L428" i="1"/>
  <c r="G327" i="13"/>
  <c r="J327" i="13" s="1"/>
  <c r="K354" i="1"/>
  <c r="L457" i="1"/>
  <c r="G356" i="13"/>
  <c r="J356" i="13" s="1"/>
  <c r="G176" i="13"/>
  <c r="L473" i="1"/>
  <c r="G372" i="13"/>
  <c r="J372" i="13" s="1"/>
  <c r="K370" i="1"/>
  <c r="O370" i="1" s="1"/>
  <c r="L403" i="1"/>
  <c r="L502" i="1"/>
  <c r="K399" i="1"/>
  <c r="G401" i="13"/>
  <c r="K401" i="1"/>
  <c r="N401" i="1" s="1"/>
  <c r="L504" i="1"/>
  <c r="G403" i="13"/>
  <c r="J403" i="13" s="1"/>
  <c r="G310" i="13"/>
  <c r="J305" i="13"/>
  <c r="J310" i="13" s="1"/>
  <c r="L343" i="1"/>
  <c r="L439" i="1"/>
  <c r="G338" i="13"/>
  <c r="K336" i="1"/>
  <c r="O239" i="1"/>
  <c r="N239" i="1"/>
  <c r="O227" i="1"/>
  <c r="M697" i="1"/>
  <c r="M502" i="1"/>
  <c r="M403" i="1"/>
  <c r="O399" i="1"/>
  <c r="K358" i="1"/>
  <c r="L461" i="1"/>
  <c r="G360" i="13"/>
  <c r="J360" i="13" s="1"/>
  <c r="M565" i="1"/>
  <c r="M482" i="1"/>
  <c r="M458" i="1"/>
  <c r="M570" i="1"/>
  <c r="M498" i="1"/>
  <c r="M398" i="1"/>
  <c r="M518" i="1"/>
  <c r="M537" i="1"/>
  <c r="K341" i="1"/>
  <c r="N341" i="1" s="1"/>
  <c r="L444" i="1"/>
  <c r="G343" i="13"/>
  <c r="J343" i="13" s="1"/>
  <c r="O273" i="1"/>
  <c r="N273" i="1"/>
  <c r="N293" i="1"/>
  <c r="O293" i="1"/>
  <c r="O234" i="1"/>
  <c r="M444" i="1"/>
  <c r="K338" i="1"/>
  <c r="L441" i="1"/>
  <c r="G340" i="13"/>
  <c r="J340" i="13" s="1"/>
  <c r="K373" i="1"/>
  <c r="O373" i="1" s="1"/>
  <c r="L476" i="1"/>
  <c r="G375" i="13"/>
  <c r="J375" i="13" s="1"/>
  <c r="K232" i="1"/>
  <c r="N232" i="1" s="1"/>
  <c r="N225" i="1"/>
  <c r="J255" i="13"/>
  <c r="J263" i="13" s="1"/>
  <c r="G263" i="13"/>
  <c r="N301" i="1"/>
  <c r="K303" i="1"/>
  <c r="N303" i="1" s="1"/>
  <c r="M788" i="1"/>
  <c r="K333" i="1"/>
  <c r="N333" i="1" s="1"/>
  <c r="L436" i="1"/>
  <c r="G335" i="13"/>
  <c r="J335" i="13" s="1"/>
  <c r="K371" i="1"/>
  <c r="O371" i="1" s="1"/>
  <c r="L474" i="1"/>
  <c r="G373" i="13"/>
  <c r="J373" i="13" s="1"/>
  <c r="L521" i="1"/>
  <c r="G420" i="13"/>
  <c r="K418" i="1"/>
  <c r="M452" i="1"/>
  <c r="G288" i="13"/>
  <c r="J285" i="13"/>
  <c r="J288" i="13" s="1"/>
  <c r="L500" i="1"/>
  <c r="G399" i="13"/>
  <c r="J399" i="13" s="1"/>
  <c r="K397" i="1"/>
  <c r="K348" i="1"/>
  <c r="L451" i="1"/>
  <c r="G350" i="13"/>
  <c r="J350" i="13" s="1"/>
  <c r="L279" i="1"/>
  <c r="L290" i="1" s="1"/>
  <c r="L291" i="1" s="1"/>
  <c r="L472" i="1"/>
  <c r="G371" i="13"/>
  <c r="J371" i="13" s="1"/>
  <c r="K369" i="1"/>
  <c r="M672" i="1"/>
  <c r="M775" i="1" s="1"/>
  <c r="M406" i="1"/>
  <c r="M507" i="1"/>
  <c r="L513" i="1"/>
  <c r="G412" i="13"/>
  <c r="J412" i="13" s="1"/>
  <c r="K410" i="1"/>
  <c r="K441" i="1"/>
  <c r="N441" i="1" s="1"/>
  <c r="M544" i="1"/>
  <c r="M483" i="1"/>
  <c r="L498" i="1"/>
  <c r="G397" i="13"/>
  <c r="L398" i="1"/>
  <c r="K395" i="1"/>
  <c r="M356" i="1"/>
  <c r="M455" i="1"/>
  <c r="M705" i="1"/>
  <c r="K380" i="1"/>
  <c r="N380" i="1" s="1"/>
  <c r="L483" i="1"/>
  <c r="G382" i="13"/>
  <c r="J382" i="13" s="1"/>
  <c r="M248" i="1"/>
  <c r="N306" i="1"/>
  <c r="O306" i="1"/>
  <c r="K384" i="1"/>
  <c r="L487" i="1"/>
  <c r="G386" i="13"/>
  <c r="J386" i="13" s="1"/>
  <c r="O254" i="1"/>
  <c r="M464" i="1"/>
  <c r="M288" i="1"/>
  <c r="O184" i="1"/>
  <c r="M711" i="1"/>
  <c r="N261" i="1"/>
  <c r="O261" i="1"/>
  <c r="J234" i="13"/>
  <c r="J241" i="13" s="1"/>
  <c r="G241" i="13"/>
  <c r="K375" i="1"/>
  <c r="O375" i="1" s="1"/>
  <c r="L478" i="1"/>
  <c r="K478" i="1" s="1"/>
  <c r="O478" i="1" s="1"/>
  <c r="G377" i="13"/>
  <c r="J377" i="13" s="1"/>
  <c r="G160" i="13"/>
  <c r="M463" i="1"/>
  <c r="L499" i="1"/>
  <c r="G398" i="13"/>
  <c r="J398" i="13" s="1"/>
  <c r="K396" i="1"/>
  <c r="N175" i="1"/>
  <c r="O175" i="1"/>
  <c r="O229" i="1"/>
  <c r="N229" i="1"/>
  <c r="G284" i="13"/>
  <c r="J281" i="13"/>
  <c r="J284" i="13" s="1"/>
  <c r="L456" i="1"/>
  <c r="K353" i="1"/>
  <c r="G355" i="13"/>
  <c r="J355" i="13" s="1"/>
  <c r="G275" i="13"/>
  <c r="J266" i="13"/>
  <c r="J275" i="13" s="1"/>
  <c r="J280" i="13" s="1"/>
  <c r="N180" i="1"/>
  <c r="K185" i="1"/>
  <c r="N185" i="1" s="1"/>
  <c r="M683" i="1"/>
  <c r="O223" i="1"/>
  <c r="N223" i="1"/>
  <c r="M335" i="1"/>
  <c r="M432" i="1"/>
  <c r="M822" i="1"/>
  <c r="O292" i="1"/>
  <c r="K295" i="1"/>
  <c r="N292" i="1"/>
  <c r="N299" i="1"/>
  <c r="O299" i="1"/>
  <c r="M488" i="1"/>
  <c r="M591" i="1" s="1"/>
  <c r="N244" i="1"/>
  <c r="K247" i="1"/>
  <c r="N247" i="1" s="1"/>
  <c r="L512" i="1"/>
  <c r="G411" i="13"/>
  <c r="J411" i="13" s="1"/>
  <c r="K409" i="1"/>
  <c r="M460" i="1"/>
  <c r="M365" i="1"/>
  <c r="I36" i="13"/>
  <c r="I37" i="13" s="1"/>
  <c r="L492" i="1"/>
  <c r="K389" i="1"/>
  <c r="G391" i="13"/>
  <c r="J391" i="13" s="1"/>
  <c r="M436" i="1"/>
  <c r="O333" i="1"/>
  <c r="M564" i="1"/>
  <c r="M781" i="1"/>
  <c r="N221" i="1"/>
  <c r="K224" i="1"/>
  <c r="G254" i="13"/>
  <c r="G264" i="13" s="1"/>
  <c r="J250" i="13"/>
  <c r="J254" i="13" s="1"/>
  <c r="J264" i="13" s="1"/>
  <c r="O251" i="1"/>
  <c r="N251" i="1"/>
  <c r="N304" i="1"/>
  <c r="K309" i="1"/>
  <c r="N309" i="1" s="1"/>
  <c r="N314" i="1"/>
  <c r="K316" i="1"/>
  <c r="N316" i="1" s="1"/>
  <c r="N233" i="1"/>
  <c r="K240" i="1"/>
  <c r="N240" i="1" s="1"/>
  <c r="M433" i="1"/>
  <c r="M442" i="1"/>
  <c r="O180" i="1"/>
  <c r="M534" i="1"/>
  <c r="M350" i="1"/>
  <c r="M450" i="1"/>
  <c r="J185" i="13"/>
  <c r="J187" i="13" s="1"/>
  <c r="J188" i="13" s="1"/>
  <c r="K160" i="1"/>
  <c r="N159" i="1"/>
  <c r="O159" i="1"/>
  <c r="L477" i="1"/>
  <c r="G376" i="13"/>
  <c r="J376" i="13" s="1"/>
  <c r="K374" i="1"/>
  <c r="O374" i="1" s="1"/>
  <c r="N308" i="1"/>
  <c r="O308" i="1"/>
  <c r="M440" i="1"/>
  <c r="O235" i="1"/>
  <c r="N235" i="1"/>
  <c r="O310" i="1"/>
  <c r="K313" i="1"/>
  <c r="N313" i="1" s="1"/>
  <c r="N310" i="1"/>
  <c r="L248" i="1"/>
  <c r="L264" i="1" s="1"/>
  <c r="K332" i="1"/>
  <c r="L435" i="1"/>
  <c r="G334" i="13"/>
  <c r="J334" i="13" s="1"/>
  <c r="K339" i="1"/>
  <c r="N339" i="1" s="1"/>
  <c r="L442" i="1"/>
  <c r="G341" i="13"/>
  <c r="J341" i="13" s="1"/>
  <c r="K357" i="1"/>
  <c r="O357" i="1" s="1"/>
  <c r="L460" i="1"/>
  <c r="G359" i="13"/>
  <c r="L365" i="1"/>
  <c r="K283" i="1"/>
  <c r="N280" i="1"/>
  <c r="G304" i="13"/>
  <c r="J302" i="13"/>
  <c r="J304" i="13" s="1"/>
  <c r="M279" i="1"/>
  <c r="O274" i="1"/>
  <c r="O298" i="1"/>
  <c r="M510" i="1"/>
  <c r="M412" i="1"/>
  <c r="G145" i="13"/>
  <c r="K331" i="1"/>
  <c r="L434" i="1"/>
  <c r="G333" i="13"/>
  <c r="J333" i="13" s="1"/>
  <c r="L490" i="1"/>
  <c r="G389" i="13"/>
  <c r="K387" i="1"/>
  <c r="L390" i="1"/>
  <c r="O245" i="1"/>
  <c r="N245" i="1"/>
  <c r="L466" i="1"/>
  <c r="G365" i="13"/>
  <c r="J365" i="13" s="1"/>
  <c r="K363" i="1"/>
  <c r="G370" i="13"/>
  <c r="L471" i="1"/>
  <c r="K368" i="1"/>
  <c r="O368" i="1" s="1"/>
  <c r="L377" i="1"/>
  <c r="K414" i="1"/>
  <c r="N414" i="1" s="1"/>
  <c r="L517" i="1"/>
  <c r="G416" i="13"/>
  <c r="J416" i="13" s="1"/>
  <c r="L429" i="1"/>
  <c r="G328" i="13"/>
  <c r="J328" i="13" s="1"/>
  <c r="K326" i="1"/>
  <c r="O284" i="1"/>
  <c r="M606" i="1"/>
  <c r="K145" i="1"/>
  <c r="O145" i="1" s="1"/>
  <c r="N121" i="1"/>
  <c r="O121" i="1"/>
  <c r="L437" i="1"/>
  <c r="K334" i="1"/>
  <c r="G336" i="13"/>
  <c r="J336" i="13" s="1"/>
  <c r="L463" i="1"/>
  <c r="K360" i="1"/>
  <c r="N360" i="1" s="1"/>
  <c r="G362" i="13"/>
  <c r="J362" i="13" s="1"/>
  <c r="M641" i="1"/>
  <c r="G248" i="13"/>
  <c r="J245" i="13"/>
  <c r="J248" i="13" s="1"/>
  <c r="N297" i="1"/>
  <c r="O297" i="1"/>
  <c r="L161" i="1"/>
  <c r="L216" i="1" s="1"/>
  <c r="M427" i="1"/>
  <c r="M327" i="1"/>
  <c r="L433" i="1"/>
  <c r="G332" i="13"/>
  <c r="J332" i="13" s="1"/>
  <c r="K330" i="1"/>
  <c r="N330" i="1" s="1"/>
  <c r="L462" i="1"/>
  <c r="G361" i="13"/>
  <c r="J361" i="13" s="1"/>
  <c r="K359" i="1"/>
  <c r="N281" i="1"/>
  <c r="O281" i="1"/>
  <c r="O262" i="1"/>
  <c r="M486" i="1"/>
  <c r="M386" i="1"/>
  <c r="M391" i="1" s="1"/>
  <c r="O129" i="1"/>
  <c r="M126" i="17"/>
  <c r="N126" i="17"/>
  <c r="J127" i="17"/>
  <c r="G110" i="1"/>
  <c r="J110" i="1" s="1"/>
  <c r="E84" i="1"/>
  <c r="E85" i="1" s="1"/>
  <c r="I31" i="17"/>
  <c r="F36" i="17"/>
  <c r="I36" i="17" s="1"/>
  <c r="J35" i="1"/>
  <c r="E69" i="17"/>
  <c r="J47" i="17"/>
  <c r="J51" i="17"/>
  <c r="M51" i="17" s="1"/>
  <c r="J58" i="17"/>
  <c r="J43" i="17"/>
  <c r="N43" i="17" s="1"/>
  <c r="N41" i="17"/>
  <c r="J52" i="17"/>
  <c r="M52" i="17" s="1"/>
  <c r="J57" i="17"/>
  <c r="M57" i="17" s="1"/>
  <c r="M64" i="17"/>
  <c r="I97" i="13"/>
  <c r="N29" i="1"/>
  <c r="O29" i="1"/>
  <c r="J97" i="13"/>
  <c r="O71" i="1"/>
  <c r="N71" i="1"/>
  <c r="O76" i="1"/>
  <c r="N76" i="1"/>
  <c r="L97" i="1"/>
  <c r="E42" i="1"/>
  <c r="E58" i="1" s="1"/>
  <c r="K22" i="1"/>
  <c r="N22" i="1" s="1"/>
  <c r="O33" i="1"/>
  <c r="K39" i="1"/>
  <c r="N39" i="1" s="1"/>
  <c r="G47" i="1"/>
  <c r="J47" i="1" s="1"/>
  <c r="K48" i="1"/>
  <c r="O48" i="1" s="1"/>
  <c r="I111" i="1"/>
  <c r="I112" i="1" s="1"/>
  <c r="K101" i="1"/>
  <c r="O101" i="1" s="1"/>
  <c r="J108" i="1"/>
  <c r="G28" i="13"/>
  <c r="J28" i="13" s="1"/>
  <c r="G30" i="13"/>
  <c r="J30" i="13" s="1"/>
  <c r="G40" i="13"/>
  <c r="J40" i="13" s="1"/>
  <c r="J41" i="13" s="1"/>
  <c r="G102" i="13"/>
  <c r="J102" i="13" s="1"/>
  <c r="G108" i="13"/>
  <c r="G110" i="13" s="1"/>
  <c r="K109" i="1"/>
  <c r="G20" i="13"/>
  <c r="J20" i="13" s="1"/>
  <c r="I47" i="13"/>
  <c r="G66" i="13"/>
  <c r="J66" i="13" s="1"/>
  <c r="G71" i="13"/>
  <c r="J71" i="13" s="1"/>
  <c r="G90" i="13"/>
  <c r="J90" i="13" s="1"/>
  <c r="K46" i="1"/>
  <c r="N46" i="1" s="1"/>
  <c r="K50" i="1"/>
  <c r="N50" i="1" s="1"/>
  <c r="K54" i="1"/>
  <c r="N54" i="1" s="1"/>
  <c r="K14" i="1"/>
  <c r="N21" i="1"/>
  <c r="K25" i="1"/>
  <c r="K32" i="1"/>
  <c r="O32" i="1" s="1"/>
  <c r="G41" i="1"/>
  <c r="J41" i="1" s="1"/>
  <c r="K43" i="1"/>
  <c r="N43" i="1" s="1"/>
  <c r="K45" i="1"/>
  <c r="N45" i="1" s="1"/>
  <c r="I57" i="1"/>
  <c r="K51" i="1"/>
  <c r="K53" i="1"/>
  <c r="N53" i="1" s="1"/>
  <c r="K55" i="1"/>
  <c r="K67" i="1"/>
  <c r="N67" i="1" s="1"/>
  <c r="K80" i="1"/>
  <c r="K87" i="1"/>
  <c r="N87" i="1" s="1"/>
  <c r="K92" i="1"/>
  <c r="N92" i="1" s="1"/>
  <c r="K93" i="1"/>
  <c r="N93" i="1" s="1"/>
  <c r="L107" i="1"/>
  <c r="G17" i="13"/>
  <c r="J17" i="13" s="1"/>
  <c r="G29" i="13"/>
  <c r="J29" i="13" s="1"/>
  <c r="G33" i="13"/>
  <c r="J33" i="13" s="1"/>
  <c r="G43" i="13"/>
  <c r="J43" i="13" s="1"/>
  <c r="G45" i="13"/>
  <c r="J45" i="13" s="1"/>
  <c r="G104" i="13"/>
  <c r="J104" i="13" s="1"/>
  <c r="J107" i="13" s="1"/>
  <c r="G67" i="13"/>
  <c r="J67" i="13" s="1"/>
  <c r="G70" i="13"/>
  <c r="J70" i="13" s="1"/>
  <c r="G88" i="13"/>
  <c r="J88" i="13" s="1"/>
  <c r="J89" i="13" s="1"/>
  <c r="G93" i="13"/>
  <c r="J93" i="13" s="1"/>
  <c r="G98" i="13"/>
  <c r="J98" i="13" s="1"/>
  <c r="O91" i="1"/>
  <c r="G94" i="1"/>
  <c r="J94" i="1" s="1"/>
  <c r="G63" i="13"/>
  <c r="J63" i="13" s="1"/>
  <c r="G75" i="13"/>
  <c r="J75" i="13" s="1"/>
  <c r="J77" i="13" s="1"/>
  <c r="H82" i="1"/>
  <c r="H84" i="1" s="1"/>
  <c r="H85" i="1" s="1"/>
  <c r="H28" i="17"/>
  <c r="G28" i="17"/>
  <c r="G69" i="17" s="1"/>
  <c r="P27" i="17"/>
  <c r="P28" i="17" s="1"/>
  <c r="P19" i="17"/>
  <c r="N16" i="17"/>
  <c r="L19" i="17"/>
  <c r="L28" i="17" s="1"/>
  <c r="G23" i="13"/>
  <c r="J23" i="13" s="1"/>
  <c r="F27" i="13"/>
  <c r="J24" i="13"/>
  <c r="I42" i="1"/>
  <c r="J18" i="13"/>
  <c r="H89" i="16"/>
  <c r="H45" i="16"/>
  <c r="H29" i="16"/>
  <c r="H41" i="16"/>
  <c r="P36" i="17"/>
  <c r="P37" i="17" s="1"/>
  <c r="K36" i="17"/>
  <c r="K37" i="17" s="1"/>
  <c r="J32" i="17"/>
  <c r="M32" i="17" s="1"/>
  <c r="K19" i="17"/>
  <c r="J15" i="17"/>
  <c r="M15" i="17" s="1"/>
  <c r="M18" i="17"/>
  <c r="N18" i="17"/>
  <c r="J22" i="17"/>
  <c r="M22" i="17" s="1"/>
  <c r="Q22" i="17"/>
  <c r="J60" i="17"/>
  <c r="M60" i="17" s="1"/>
  <c r="Q60" i="17"/>
  <c r="J62" i="17"/>
  <c r="M62" i="17" s="1"/>
  <c r="Q62" i="17"/>
  <c r="Q14" i="17"/>
  <c r="Q20" i="17"/>
  <c r="J20" i="17"/>
  <c r="N20" i="17" s="1"/>
  <c r="K27" i="17"/>
  <c r="J53" i="17"/>
  <c r="M53" i="17" s="1"/>
  <c r="N62" i="17"/>
  <c r="J65" i="17"/>
  <c r="M65" i="17" s="1"/>
  <c r="D69" i="17"/>
  <c r="J35" i="17"/>
  <c r="M35" i="17" s="1"/>
  <c r="F37" i="17"/>
  <c r="I37" i="17" s="1"/>
  <c r="J49" i="17"/>
  <c r="M49" i="17" s="1"/>
  <c r="P67" i="17"/>
  <c r="P68" i="17" s="1"/>
  <c r="J25" i="17"/>
  <c r="M25" i="17" s="1"/>
  <c r="L36" i="17"/>
  <c r="J54" i="17"/>
  <c r="M54" i="17" s="1"/>
  <c r="Q54" i="17"/>
  <c r="F55" i="17"/>
  <c r="I55" i="17" s="1"/>
  <c r="H67" i="17"/>
  <c r="H68" i="17" s="1"/>
  <c r="J56" i="17"/>
  <c r="M56" i="17" s="1"/>
  <c r="Q56" i="17"/>
  <c r="J66" i="17"/>
  <c r="M66" i="17" s="1"/>
  <c r="Q66" i="17"/>
  <c r="J17" i="17"/>
  <c r="M17" i="17" s="1"/>
  <c r="Q17" i="17"/>
  <c r="F19" i="17"/>
  <c r="J31" i="17"/>
  <c r="Q31" i="17"/>
  <c r="J50" i="17"/>
  <c r="M50" i="17" s="1"/>
  <c r="Q50" i="17"/>
  <c r="J14" i="17"/>
  <c r="N14" i="17" s="1"/>
  <c r="F27" i="17"/>
  <c r="I27" i="17" s="1"/>
  <c r="J21" i="17"/>
  <c r="M21" i="17" s="1"/>
  <c r="N23" i="17"/>
  <c r="J26" i="17"/>
  <c r="M26" i="17" s="1"/>
  <c r="Q26" i="17"/>
  <c r="J30" i="17"/>
  <c r="M30" i="17" s="1"/>
  <c r="J39" i="17"/>
  <c r="M39" i="17" s="1"/>
  <c r="J40" i="17"/>
  <c r="M40" i="17" s="1"/>
  <c r="Q40" i="17"/>
  <c r="J45" i="17"/>
  <c r="M45" i="17" s="1"/>
  <c r="J46" i="17"/>
  <c r="M46" i="17" s="1"/>
  <c r="Q46" i="17"/>
  <c r="N51" i="17"/>
  <c r="N54" i="17"/>
  <c r="J59" i="17"/>
  <c r="M59" i="17" s="1"/>
  <c r="N63" i="17"/>
  <c r="J24" i="17"/>
  <c r="M24" i="17" s="1"/>
  <c r="J29" i="17"/>
  <c r="M29" i="17" s="1"/>
  <c r="J33" i="17"/>
  <c r="J34" i="17"/>
  <c r="M34" i="17" s="1"/>
  <c r="J38" i="17"/>
  <c r="M38" i="17" s="1"/>
  <c r="J42" i="17"/>
  <c r="J44" i="17"/>
  <c r="M44" i="17" s="1"/>
  <c r="J48" i="17"/>
  <c r="M48" i="17" s="1"/>
  <c r="I43" i="17"/>
  <c r="I107" i="13"/>
  <c r="I103" i="13"/>
  <c r="I89" i="13"/>
  <c r="I81" i="13"/>
  <c r="I77" i="13"/>
  <c r="I72" i="13"/>
  <c r="I27" i="13"/>
  <c r="F19" i="13"/>
  <c r="I19" i="13"/>
  <c r="F47" i="13"/>
  <c r="J15" i="13"/>
  <c r="G37" i="13"/>
  <c r="I68" i="13"/>
  <c r="F81" i="13"/>
  <c r="F89" i="13"/>
  <c r="F107" i="13"/>
  <c r="I35" i="13"/>
  <c r="I41" i="13"/>
  <c r="I56" i="13"/>
  <c r="F56" i="13"/>
  <c r="F72" i="13"/>
  <c r="F77" i="13"/>
  <c r="I94" i="13"/>
  <c r="F94" i="13"/>
  <c r="F103" i="13"/>
  <c r="F35" i="13"/>
  <c r="F41" i="13"/>
  <c r="J48" i="13"/>
  <c r="J56" i="13" s="1"/>
  <c r="G56" i="13"/>
  <c r="F68" i="13"/>
  <c r="F97" i="13"/>
  <c r="G97" i="13"/>
  <c r="H111" i="1"/>
  <c r="H112" i="1" s="1"/>
  <c r="J90" i="1"/>
  <c r="M81" i="1"/>
  <c r="K38" i="1"/>
  <c r="N38" i="1" s="1"/>
  <c r="L41" i="1"/>
  <c r="M18" i="1"/>
  <c r="L18" i="1"/>
  <c r="O28" i="1"/>
  <c r="N28" i="1"/>
  <c r="O16" i="1"/>
  <c r="K23" i="1"/>
  <c r="N23" i="1" s="1"/>
  <c r="G18" i="1"/>
  <c r="J48" i="1"/>
  <c r="G56" i="1"/>
  <c r="J56" i="1" s="1"/>
  <c r="M103" i="1"/>
  <c r="N104" i="1"/>
  <c r="O104" i="1"/>
  <c r="M107" i="1"/>
  <c r="O15" i="1"/>
  <c r="M26" i="1"/>
  <c r="O27" i="1"/>
  <c r="L56" i="1"/>
  <c r="H42" i="1"/>
  <c r="K17" i="1"/>
  <c r="N17" i="1" s="1"/>
  <c r="K20" i="1"/>
  <c r="N20" i="1" s="1"/>
  <c r="O31" i="1"/>
  <c r="G34" i="1"/>
  <c r="J34" i="1" s="1"/>
  <c r="L37" i="1"/>
  <c r="K35" i="1"/>
  <c r="K44" i="1"/>
  <c r="N44" i="1" s="1"/>
  <c r="K52" i="1"/>
  <c r="N52" i="1" s="1"/>
  <c r="H56" i="1"/>
  <c r="H57" i="1" s="1"/>
  <c r="N60" i="1"/>
  <c r="O60" i="1"/>
  <c r="G68" i="1"/>
  <c r="K86" i="1"/>
  <c r="L89" i="1"/>
  <c r="M94" i="1"/>
  <c r="L77" i="1"/>
  <c r="K74" i="1"/>
  <c r="O74" i="1" s="1"/>
  <c r="G26" i="1"/>
  <c r="J26" i="1" s="1"/>
  <c r="L34" i="1"/>
  <c r="K19" i="1"/>
  <c r="K24" i="1"/>
  <c r="N24" i="1" s="1"/>
  <c r="K30" i="1"/>
  <c r="N30" i="1" s="1"/>
  <c r="N40" i="1"/>
  <c r="L47" i="1"/>
  <c r="K59" i="1"/>
  <c r="L72" i="1"/>
  <c r="K69" i="1"/>
  <c r="O69" i="1" s="1"/>
  <c r="M97" i="1"/>
  <c r="J99" i="1"/>
  <c r="G103" i="1"/>
  <c r="J103" i="1" s="1"/>
  <c r="O102" i="1"/>
  <c r="K61" i="1"/>
  <c r="O61" i="1" s="1"/>
  <c r="O67" i="1"/>
  <c r="O70" i="1"/>
  <c r="M72" i="1"/>
  <c r="G77" i="1"/>
  <c r="J74" i="1"/>
  <c r="I82" i="1"/>
  <c r="O88" i="1"/>
  <c r="K90" i="1"/>
  <c r="O90" i="1" s="1"/>
  <c r="K98" i="1"/>
  <c r="K99" i="1"/>
  <c r="N99" i="1" s="1"/>
  <c r="K100" i="1"/>
  <c r="N100" i="1" s="1"/>
  <c r="M110" i="1"/>
  <c r="G97" i="1"/>
  <c r="J97" i="1" s="1"/>
  <c r="J95" i="1"/>
  <c r="G107" i="1"/>
  <c r="J107" i="1" s="1"/>
  <c r="J105" i="1"/>
  <c r="M56" i="1"/>
  <c r="M57" i="1" s="1"/>
  <c r="O63" i="1"/>
  <c r="K65" i="1"/>
  <c r="O65" i="1" s="1"/>
  <c r="G72" i="1"/>
  <c r="J72" i="1" s="1"/>
  <c r="J69" i="1"/>
  <c r="O75" i="1"/>
  <c r="M77" i="1"/>
  <c r="O78" i="1"/>
  <c r="K83" i="1"/>
  <c r="N83" i="1" s="1"/>
  <c r="G89" i="1"/>
  <c r="J87" i="1"/>
  <c r="K95" i="1"/>
  <c r="O95" i="1" s="1"/>
  <c r="K96" i="1"/>
  <c r="N96" i="1" s="1"/>
  <c r="K105" i="1"/>
  <c r="N105" i="1" s="1"/>
  <c r="K106" i="1"/>
  <c r="N106" i="1" s="1"/>
  <c r="I68" i="1"/>
  <c r="I73" i="1" s="1"/>
  <c r="G79" i="1"/>
  <c r="J79" i="1" s="1"/>
  <c r="K108" i="1"/>
  <c r="O108" i="1" s="1"/>
  <c r="G79" i="13"/>
  <c r="J79" i="13" s="1"/>
  <c r="J81" i="13" s="1"/>
  <c r="F426" i="16" l="1"/>
  <c r="I344" i="16"/>
  <c r="F425" i="16"/>
  <c r="I343" i="16"/>
  <c r="N66" i="17"/>
  <c r="E113" i="1"/>
  <c r="O361" i="1"/>
  <c r="O408" i="1"/>
  <c r="Q204" i="17"/>
  <c r="N235" i="17"/>
  <c r="N291" i="17"/>
  <c r="I358" i="16"/>
  <c r="F440" i="16"/>
  <c r="M191" i="17"/>
  <c r="N191" i="17"/>
  <c r="N22" i="17"/>
  <c r="O303" i="1"/>
  <c r="O355" i="1"/>
  <c r="K309" i="17"/>
  <c r="Q250" i="17"/>
  <c r="J250" i="17"/>
  <c r="O329" i="1"/>
  <c r="N202" i="17"/>
  <c r="L368" i="17"/>
  <c r="K327" i="17"/>
  <c r="Q268" i="17"/>
  <c r="F434" i="16"/>
  <c r="I352" i="16"/>
  <c r="F498" i="16"/>
  <c r="I416" i="16"/>
  <c r="I349" i="16"/>
  <c r="F431" i="16"/>
  <c r="I401" i="16"/>
  <c r="F483" i="16"/>
  <c r="F468" i="16"/>
  <c r="I386" i="16"/>
  <c r="I379" i="16"/>
  <c r="F461" i="16"/>
  <c r="F472" i="16"/>
  <c r="I390" i="16"/>
  <c r="F459" i="16"/>
  <c r="I377" i="16"/>
  <c r="F429" i="16"/>
  <c r="I347" i="16"/>
  <c r="I314" i="16"/>
  <c r="I376" i="16"/>
  <c r="F458" i="16"/>
  <c r="I351" i="16"/>
  <c r="F433" i="16"/>
  <c r="I397" i="16"/>
  <c r="F479" i="16"/>
  <c r="I360" i="16"/>
  <c r="F442" i="16"/>
  <c r="F497" i="16"/>
  <c r="I415" i="16"/>
  <c r="I402" i="16"/>
  <c r="F484" i="16"/>
  <c r="I353" i="16"/>
  <c r="F435" i="16"/>
  <c r="I391" i="16"/>
  <c r="F473" i="16"/>
  <c r="I411" i="16"/>
  <c r="F493" i="16"/>
  <c r="I414" i="16"/>
  <c r="F496" i="16"/>
  <c r="I287" i="16"/>
  <c r="I364" i="16"/>
  <c r="F446" i="16"/>
  <c r="I366" i="16"/>
  <c r="F448" i="16"/>
  <c r="F452" i="16"/>
  <c r="I370" i="16"/>
  <c r="I388" i="16"/>
  <c r="F470" i="16"/>
  <c r="I291" i="16"/>
  <c r="I409" i="16"/>
  <c r="F491" i="16"/>
  <c r="F438" i="16"/>
  <c r="I356" i="16"/>
  <c r="F460" i="16"/>
  <c r="I378" i="16"/>
  <c r="I335" i="16"/>
  <c r="F445" i="16"/>
  <c r="I363" i="16"/>
  <c r="I395" i="16"/>
  <c r="F477" i="16"/>
  <c r="F489" i="16"/>
  <c r="I407" i="16"/>
  <c r="I371" i="16"/>
  <c r="F453" i="16"/>
  <c r="I275" i="16"/>
  <c r="I383" i="16"/>
  <c r="F465" i="16"/>
  <c r="F467" i="16"/>
  <c r="I385" i="16"/>
  <c r="I406" i="16"/>
  <c r="F488" i="16"/>
  <c r="I392" i="16"/>
  <c r="F474" i="16"/>
  <c r="I387" i="16"/>
  <c r="F469" i="16"/>
  <c r="I413" i="16"/>
  <c r="F495" i="16"/>
  <c r="I380" i="16"/>
  <c r="F462" i="16"/>
  <c r="I365" i="16"/>
  <c r="F447" i="16"/>
  <c r="I372" i="16"/>
  <c r="F454" i="16"/>
  <c r="I354" i="16"/>
  <c r="F436" i="16"/>
  <c r="I398" i="16"/>
  <c r="F480" i="16"/>
  <c r="I361" i="16"/>
  <c r="F443" i="16"/>
  <c r="I350" i="16"/>
  <c r="F432" i="16"/>
  <c r="I410" i="16"/>
  <c r="F492" i="16"/>
  <c r="I345" i="16"/>
  <c r="F427" i="16"/>
  <c r="F464" i="16"/>
  <c r="I382" i="16"/>
  <c r="I389" i="16"/>
  <c r="F471" i="16"/>
  <c r="F486" i="16"/>
  <c r="I404" i="16"/>
  <c r="F441" i="16"/>
  <c r="I359" i="16"/>
  <c r="I384" i="16"/>
  <c r="F466" i="16"/>
  <c r="I256" i="16"/>
  <c r="I405" i="16"/>
  <c r="F487" i="16"/>
  <c r="I368" i="16"/>
  <c r="F450" i="16"/>
  <c r="I400" i="16"/>
  <c r="F482" i="16"/>
  <c r="F449" i="16"/>
  <c r="I367" i="16"/>
  <c r="F481" i="16"/>
  <c r="I399" i="16"/>
  <c r="F444" i="16"/>
  <c r="I362" i="16"/>
  <c r="I346" i="16"/>
  <c r="F428" i="16"/>
  <c r="F485" i="16"/>
  <c r="I403" i="16"/>
  <c r="F476" i="16"/>
  <c r="I394" i="16"/>
  <c r="F463" i="16"/>
  <c r="I381" i="16"/>
  <c r="F490" i="16"/>
  <c r="I408" i="16"/>
  <c r="F430" i="16"/>
  <c r="I348" i="16"/>
  <c r="F494" i="16"/>
  <c r="I412" i="16"/>
  <c r="F475" i="16"/>
  <c r="I393" i="16"/>
  <c r="F437" i="16"/>
  <c r="I355" i="16"/>
  <c r="M229" i="17"/>
  <c r="N229" i="17"/>
  <c r="Q299" i="17"/>
  <c r="K358" i="17"/>
  <c r="J299" i="17"/>
  <c r="M299" i="17" s="1"/>
  <c r="K325" i="17"/>
  <c r="Q266" i="17"/>
  <c r="J266" i="17"/>
  <c r="M266" i="17" s="1"/>
  <c r="M237" i="17"/>
  <c r="N237" i="17"/>
  <c r="Q287" i="17"/>
  <c r="K346" i="17"/>
  <c r="J287" i="17"/>
  <c r="M287" i="17" s="1"/>
  <c r="L397" i="17"/>
  <c r="N207" i="17"/>
  <c r="M194" i="17"/>
  <c r="N194" i="17"/>
  <c r="L406" i="17"/>
  <c r="L329" i="17"/>
  <c r="L415" i="17"/>
  <c r="N228" i="17"/>
  <c r="K359" i="17"/>
  <c r="Q300" i="17"/>
  <c r="J300" i="17"/>
  <c r="L387" i="17"/>
  <c r="N193" i="17"/>
  <c r="K336" i="17"/>
  <c r="Q277" i="17"/>
  <c r="J277" i="17"/>
  <c r="M277" i="17" s="1"/>
  <c r="L313" i="17"/>
  <c r="M236" i="17"/>
  <c r="N236" i="17"/>
  <c r="M203" i="17"/>
  <c r="N203" i="17"/>
  <c r="L340" i="17"/>
  <c r="M221" i="17"/>
  <c r="N221" i="17"/>
  <c r="L358" i="17"/>
  <c r="N224" i="17"/>
  <c r="J267" i="17"/>
  <c r="M267" i="17" s="1"/>
  <c r="K326" i="17"/>
  <c r="Q267" i="17"/>
  <c r="M220" i="17"/>
  <c r="J244" i="17"/>
  <c r="N220" i="17"/>
  <c r="L334" i="17"/>
  <c r="L349" i="17"/>
  <c r="M192" i="17"/>
  <c r="J196" i="17"/>
  <c r="K347" i="17"/>
  <c r="Q288" i="17"/>
  <c r="J288" i="17"/>
  <c r="M197" i="17"/>
  <c r="J204" i="17"/>
  <c r="M204" i="17" s="1"/>
  <c r="L318" i="17"/>
  <c r="J281" i="17"/>
  <c r="M281" i="17" s="1"/>
  <c r="K340" i="17"/>
  <c r="Q281" i="17"/>
  <c r="N196" i="17"/>
  <c r="M292" i="17"/>
  <c r="N292" i="17"/>
  <c r="K355" i="17"/>
  <c r="Q296" i="17"/>
  <c r="J296" i="17"/>
  <c r="L316" i="17"/>
  <c r="L325" i="17"/>
  <c r="Q196" i="17"/>
  <c r="Q205" i="17" s="1"/>
  <c r="K403" i="17"/>
  <c r="J344" i="17"/>
  <c r="M344" i="17" s="1"/>
  <c r="Q344" i="17"/>
  <c r="Q244" i="17"/>
  <c r="Q245" i="17" s="1"/>
  <c r="L214" i="17"/>
  <c r="L398" i="17"/>
  <c r="L457" i="17" s="1"/>
  <c r="L346" i="17"/>
  <c r="Q283" i="17"/>
  <c r="K342" i="17"/>
  <c r="J283" i="17"/>
  <c r="M283" i="17" s="1"/>
  <c r="L205" i="17"/>
  <c r="N204" i="17"/>
  <c r="N243" i="17"/>
  <c r="L311" i="17"/>
  <c r="K341" i="17"/>
  <c r="Q282" i="17"/>
  <c r="J282" i="17"/>
  <c r="M282" i="17" s="1"/>
  <c r="N218" i="17"/>
  <c r="K415" i="17"/>
  <c r="Q356" i="17"/>
  <c r="J356" i="17"/>
  <c r="M356" i="17" s="1"/>
  <c r="J214" i="17"/>
  <c r="M214" i="17" s="1"/>
  <c r="N210" i="17"/>
  <c r="L376" i="17"/>
  <c r="L435" i="17" s="1"/>
  <c r="M225" i="17"/>
  <c r="N225" i="17"/>
  <c r="J213" i="17"/>
  <c r="M213" i="17" s="1"/>
  <c r="M206" i="17"/>
  <c r="J262" i="17"/>
  <c r="K321" i="17"/>
  <c r="Q262" i="17"/>
  <c r="N242" i="17"/>
  <c r="J298" i="17"/>
  <c r="M298" i="17" s="1"/>
  <c r="K357" i="17"/>
  <c r="Q298" i="17"/>
  <c r="L713" i="17"/>
  <c r="L402" i="17"/>
  <c r="L461" i="17" s="1"/>
  <c r="K319" i="17"/>
  <c r="J260" i="17"/>
  <c r="M260" i="17" s="1"/>
  <c r="Q260" i="17"/>
  <c r="J280" i="17"/>
  <c r="K339" i="17"/>
  <c r="Q280" i="17"/>
  <c r="Q345" i="17"/>
  <c r="K404" i="17"/>
  <c r="J345" i="17"/>
  <c r="L342" i="17"/>
  <c r="J245" i="17"/>
  <c r="N239" i="17"/>
  <c r="N223" i="17"/>
  <c r="K310" i="17"/>
  <c r="K255" i="17"/>
  <c r="J251" i="17"/>
  <c r="Q251" i="17"/>
  <c r="L327" i="17"/>
  <c r="J268" i="17"/>
  <c r="M268" i="17" s="1"/>
  <c r="N201" i="17"/>
  <c r="M199" i="17"/>
  <c r="N199" i="17"/>
  <c r="K315" i="17"/>
  <c r="Q256" i="17"/>
  <c r="J256" i="17"/>
  <c r="N256" i="17" s="1"/>
  <c r="K263" i="17"/>
  <c r="K264" i="17" s="1"/>
  <c r="K311" i="17"/>
  <c r="Q252" i="17"/>
  <c r="J252" i="17"/>
  <c r="M252" i="17" s="1"/>
  <c r="L310" i="17"/>
  <c r="L255" i="17"/>
  <c r="N251" i="17"/>
  <c r="N185" i="17"/>
  <c r="M185" i="17"/>
  <c r="J302" i="17"/>
  <c r="M302" i="17" s="1"/>
  <c r="K361" i="17"/>
  <c r="Q302" i="17"/>
  <c r="L304" i="17"/>
  <c r="J301" i="17"/>
  <c r="M301" i="17" s="1"/>
  <c r="K360" i="17"/>
  <c r="Q301" i="17"/>
  <c r="J253" i="17"/>
  <c r="K312" i="17"/>
  <c r="Q253" i="17"/>
  <c r="L324" i="17"/>
  <c r="L272" i="17"/>
  <c r="L414" i="17"/>
  <c r="L473" i="17" s="1"/>
  <c r="J289" i="17"/>
  <c r="M289" i="17" s="1"/>
  <c r="K348" i="17"/>
  <c r="Q289" i="17"/>
  <c r="N230" i="17"/>
  <c r="L315" i="17"/>
  <c r="L263" i="17"/>
  <c r="L361" i="17"/>
  <c r="N302" i="17"/>
  <c r="L463" i="17"/>
  <c r="L632" i="17"/>
  <c r="L336" i="17"/>
  <c r="J269" i="17"/>
  <c r="K328" i="17"/>
  <c r="Q269" i="17"/>
  <c r="J270" i="17"/>
  <c r="M270" i="17" s="1"/>
  <c r="K329" i="17"/>
  <c r="Q270" i="17"/>
  <c r="K320" i="17"/>
  <c r="Q261" i="17"/>
  <c r="J261" i="17"/>
  <c r="M261" i="17" s="1"/>
  <c r="K343" i="17"/>
  <c r="Q284" i="17"/>
  <c r="J284" i="17"/>
  <c r="K324" i="17"/>
  <c r="K272" i="17"/>
  <c r="K273" i="17" s="1"/>
  <c r="Q265" i="17"/>
  <c r="J265" i="17"/>
  <c r="N265" i="17" s="1"/>
  <c r="Q257" i="17"/>
  <c r="K316" i="17"/>
  <c r="J257" i="17"/>
  <c r="M257" i="17" s="1"/>
  <c r="L371" i="17"/>
  <c r="L430" i="17" s="1"/>
  <c r="N301" i="17"/>
  <c r="L360" i="17"/>
  <c r="N155" i="17"/>
  <c r="N217" i="17"/>
  <c r="N285" i="17"/>
  <c r="L409" i="17"/>
  <c r="Q213" i="17"/>
  <c r="Q214" i="17" s="1"/>
  <c r="K330" i="17"/>
  <c r="Q271" i="17"/>
  <c r="J271" i="17"/>
  <c r="M271" i="17" s="1"/>
  <c r="Q279" i="17"/>
  <c r="K338" i="17"/>
  <c r="J279" i="17"/>
  <c r="J294" i="17"/>
  <c r="M294" i="17" s="1"/>
  <c r="K353" i="17"/>
  <c r="Q294" i="17"/>
  <c r="Q278" i="17"/>
  <c r="K337" i="17"/>
  <c r="J278" i="17"/>
  <c r="L357" i="17"/>
  <c r="L341" i="17"/>
  <c r="L319" i="17"/>
  <c r="J258" i="17"/>
  <c r="K317" i="17"/>
  <c r="Q258" i="17"/>
  <c r="L330" i="17"/>
  <c r="N271" i="17"/>
  <c r="L380" i="17"/>
  <c r="L439" i="17" s="1"/>
  <c r="K410" i="17"/>
  <c r="Q351" i="17"/>
  <c r="J351" i="17"/>
  <c r="L326" i="17"/>
  <c r="N267" i="17"/>
  <c r="J186" i="17"/>
  <c r="L333" i="17"/>
  <c r="J146" i="17"/>
  <c r="M146" i="17" s="1"/>
  <c r="M137" i="17"/>
  <c r="L352" i="17"/>
  <c r="Q187" i="17"/>
  <c r="K333" i="17"/>
  <c r="Q274" i="17"/>
  <c r="K303" i="17"/>
  <c r="K304" i="17" s="1"/>
  <c r="K305" i="17" s="1"/>
  <c r="J274" i="17"/>
  <c r="M274" i="17" s="1"/>
  <c r="N137" i="17"/>
  <c r="K318" i="17"/>
  <c r="Q259" i="17"/>
  <c r="J259" i="17"/>
  <c r="M259" i="17" s="1"/>
  <c r="J276" i="17"/>
  <c r="M276" i="17" s="1"/>
  <c r="K335" i="17"/>
  <c r="Q276" i="17"/>
  <c r="L413" i="17"/>
  <c r="N154" i="17"/>
  <c r="M154" i="17"/>
  <c r="J254" i="17"/>
  <c r="M254" i="17" s="1"/>
  <c r="K313" i="17"/>
  <c r="Q254" i="17"/>
  <c r="L348" i="17"/>
  <c r="N289" i="17"/>
  <c r="N241" i="17"/>
  <c r="M241" i="17"/>
  <c r="L353" i="17"/>
  <c r="N294" i="17"/>
  <c r="L320" i="17"/>
  <c r="N261" i="17"/>
  <c r="J290" i="17"/>
  <c r="M290" i="17" s="1"/>
  <c r="K349" i="17"/>
  <c r="Q290" i="17"/>
  <c r="N195" i="17"/>
  <c r="Q295" i="17"/>
  <c r="K354" i="17"/>
  <c r="J295" i="17"/>
  <c r="N87" i="17"/>
  <c r="Q350" i="17"/>
  <c r="K409" i="17"/>
  <c r="J350" i="17"/>
  <c r="M350" i="17" s="1"/>
  <c r="N222" i="17"/>
  <c r="L187" i="17"/>
  <c r="L528" i="17"/>
  <c r="L335" i="17"/>
  <c r="N276" i="17"/>
  <c r="L403" i="17"/>
  <c r="N344" i="17"/>
  <c r="N240" i="17"/>
  <c r="J275" i="17"/>
  <c r="M275" i="17" s="1"/>
  <c r="K334" i="17"/>
  <c r="Q275" i="17"/>
  <c r="N216" i="17"/>
  <c r="N231" i="17"/>
  <c r="K205" i="17"/>
  <c r="K246" i="17" s="1"/>
  <c r="J293" i="17"/>
  <c r="M293" i="17" s="1"/>
  <c r="K352" i="17"/>
  <c r="Q293" i="17"/>
  <c r="O313" i="1"/>
  <c r="O380" i="1"/>
  <c r="O300" i="1"/>
  <c r="O337" i="1"/>
  <c r="O330" i="1"/>
  <c r="G452" i="13"/>
  <c r="J451" i="13"/>
  <c r="J452" i="13" s="1"/>
  <c r="M757" i="1"/>
  <c r="M449" i="1"/>
  <c r="M550" i="1"/>
  <c r="L319" i="1"/>
  <c r="G187" i="13"/>
  <c r="G188" i="13" s="1"/>
  <c r="O414" i="1"/>
  <c r="L366" i="1"/>
  <c r="L654" i="1"/>
  <c r="G555" i="13"/>
  <c r="K551" i="1"/>
  <c r="O392" i="1"/>
  <c r="N392" i="1"/>
  <c r="K426" i="1"/>
  <c r="N426" i="1" s="1"/>
  <c r="L529" i="1"/>
  <c r="G429" i="13"/>
  <c r="J429" i="13" s="1"/>
  <c r="L391" i="1"/>
  <c r="G289" i="13"/>
  <c r="O232" i="1"/>
  <c r="L598" i="1"/>
  <c r="G498" i="13"/>
  <c r="J498" i="13" s="1"/>
  <c r="K495" i="1"/>
  <c r="L449" i="1"/>
  <c r="K447" i="1"/>
  <c r="G450" i="13"/>
  <c r="J450" i="13" s="1"/>
  <c r="L550" i="1"/>
  <c r="M1011" i="1"/>
  <c r="M1115" i="1" s="1"/>
  <c r="N101" i="1"/>
  <c r="M438" i="1"/>
  <c r="G280" i="13"/>
  <c r="O349" i="1"/>
  <c r="O379" i="1"/>
  <c r="N448" i="1"/>
  <c r="O448" i="1"/>
  <c r="M529" i="1"/>
  <c r="N344" i="1"/>
  <c r="K346" i="1"/>
  <c r="N346" i="1" s="1"/>
  <c r="O344" i="1"/>
  <c r="G474" i="13"/>
  <c r="L574" i="1"/>
  <c r="L480" i="1"/>
  <c r="K434" i="1"/>
  <c r="L537" i="1"/>
  <c r="G437" i="13"/>
  <c r="J437" i="13" s="1"/>
  <c r="M563" i="1"/>
  <c r="M468" i="1"/>
  <c r="L586" i="1"/>
  <c r="G486" i="13"/>
  <c r="J486" i="13" s="1"/>
  <c r="K483" i="1"/>
  <c r="N483" i="1" s="1"/>
  <c r="M585" i="1"/>
  <c r="M800" i="1"/>
  <c r="L570" i="1"/>
  <c r="G470" i="13"/>
  <c r="J470" i="13" s="1"/>
  <c r="K467" i="1"/>
  <c r="M614" i="1"/>
  <c r="M693" i="1"/>
  <c r="M784" i="1"/>
  <c r="O401" i="1"/>
  <c r="M904" i="1"/>
  <c r="M1008" i="1" s="1"/>
  <c r="M1112" i="1" s="1"/>
  <c r="N400" i="1"/>
  <c r="O400" i="1"/>
  <c r="M720" i="1"/>
  <c r="L534" i="1"/>
  <c r="K431" i="1"/>
  <c r="G434" i="13"/>
  <c r="J434" i="13" s="1"/>
  <c r="L438" i="1"/>
  <c r="L619" i="1"/>
  <c r="L519" i="1"/>
  <c r="G519" i="13"/>
  <c r="K516" i="1"/>
  <c r="L617" i="1"/>
  <c r="G517" i="13"/>
  <c r="J517" i="13" s="1"/>
  <c r="K514" i="1"/>
  <c r="K452" i="1"/>
  <c r="N452" i="1" s="1"/>
  <c r="L555" i="1"/>
  <c r="G455" i="13"/>
  <c r="J455" i="13" s="1"/>
  <c r="L548" i="1"/>
  <c r="G448" i="13"/>
  <c r="J448" i="13" s="1"/>
  <c r="J406" i="13"/>
  <c r="J408" i="13" s="1"/>
  <c r="G408" i="13"/>
  <c r="N176" i="1"/>
  <c r="K187" i="1"/>
  <c r="O176" i="1"/>
  <c r="L565" i="1"/>
  <c r="G465" i="13"/>
  <c r="J465" i="13" s="1"/>
  <c r="K463" i="1"/>
  <c r="N463" i="1" s="1"/>
  <c r="L566" i="1"/>
  <c r="G466" i="13"/>
  <c r="J466" i="13" s="1"/>
  <c r="M709" i="1"/>
  <c r="G432" i="13"/>
  <c r="J432" i="13" s="1"/>
  <c r="L532" i="1"/>
  <c r="K429" i="1"/>
  <c r="J370" i="13"/>
  <c r="J379" i="13" s="1"/>
  <c r="G379" i="13"/>
  <c r="J389" i="13"/>
  <c r="G392" i="13"/>
  <c r="N331" i="1"/>
  <c r="O331" i="1"/>
  <c r="M290" i="1"/>
  <c r="N283" i="1"/>
  <c r="K288" i="1"/>
  <c r="N288" i="1" s="1"/>
  <c r="N357" i="1"/>
  <c r="K365" i="1"/>
  <c r="N365" i="1" s="1"/>
  <c r="K433" i="1"/>
  <c r="N433" i="1" s="1"/>
  <c r="M536" i="1"/>
  <c r="N224" i="1"/>
  <c r="K248" i="1"/>
  <c r="O248" i="1" s="1"/>
  <c r="M884" i="1"/>
  <c r="M539" i="1"/>
  <c r="N409" i="1"/>
  <c r="O409" i="1"/>
  <c r="M351" i="1"/>
  <c r="G291" i="13"/>
  <c r="G292" i="13" s="1"/>
  <c r="J289" i="13"/>
  <c r="J291" i="13" s="1"/>
  <c r="J292" i="13" s="1"/>
  <c r="K499" i="1"/>
  <c r="G502" i="13"/>
  <c r="J502" i="13" s="1"/>
  <c r="L602" i="1"/>
  <c r="L590" i="1"/>
  <c r="G490" i="13"/>
  <c r="J490" i="13" s="1"/>
  <c r="K487" i="1"/>
  <c r="O224" i="1"/>
  <c r="L420" i="1"/>
  <c r="L421" i="1" s="1"/>
  <c r="M586" i="1"/>
  <c r="O483" i="1"/>
  <c r="O410" i="1"/>
  <c r="N410" i="1"/>
  <c r="M509" i="1"/>
  <c r="M610" i="1"/>
  <c r="N369" i="1"/>
  <c r="O369" i="1"/>
  <c r="L624" i="1"/>
  <c r="K521" i="1"/>
  <c r="G524" i="13"/>
  <c r="M891" i="1"/>
  <c r="L579" i="1"/>
  <c r="G479" i="13"/>
  <c r="J479" i="13" s="1"/>
  <c r="K476" i="1"/>
  <c r="O476" i="1" s="1"/>
  <c r="N338" i="1"/>
  <c r="O338" i="1"/>
  <c r="M640" i="1"/>
  <c r="M743" i="1" s="1"/>
  <c r="M420" i="1"/>
  <c r="J338" i="13"/>
  <c r="J345" i="13" s="1"/>
  <c r="G345" i="13"/>
  <c r="J401" i="13"/>
  <c r="J405" i="13" s="1"/>
  <c r="G405" i="13"/>
  <c r="K428" i="1"/>
  <c r="L531" i="1"/>
  <c r="G431" i="13"/>
  <c r="J431" i="13" s="1"/>
  <c r="O278" i="1"/>
  <c r="L568" i="1"/>
  <c r="K465" i="1"/>
  <c r="N465" i="1" s="1"/>
  <c r="G468" i="13"/>
  <c r="J468" i="13" s="1"/>
  <c r="M663" i="1"/>
  <c r="M607" i="1"/>
  <c r="J409" i="13"/>
  <c r="J414" i="13" s="1"/>
  <c r="G414" i="13"/>
  <c r="K440" i="1"/>
  <c r="N440" i="1" s="1"/>
  <c r="L543" i="1"/>
  <c r="G443" i="13"/>
  <c r="J443" i="13" s="1"/>
  <c r="L578" i="1"/>
  <c r="G478" i="13"/>
  <c r="J478" i="13" s="1"/>
  <c r="K475" i="1"/>
  <c r="O475" i="1" s="1"/>
  <c r="L608" i="1"/>
  <c r="G508" i="13"/>
  <c r="J508" i="13" s="1"/>
  <c r="K505" i="1"/>
  <c r="O309" i="1"/>
  <c r="L351" i="1"/>
  <c r="L367" i="1" s="1"/>
  <c r="N388" i="1"/>
  <c r="O388" i="1"/>
  <c r="M718" i="1"/>
  <c r="N342" i="1"/>
  <c r="O342" i="1"/>
  <c r="K263" i="1"/>
  <c r="N263" i="1" s="1"/>
  <c r="N253" i="1"/>
  <c r="L611" i="1"/>
  <c r="G511" i="13"/>
  <c r="J511" i="13" s="1"/>
  <c r="K508" i="1"/>
  <c r="M662" i="1"/>
  <c r="O185" i="1"/>
  <c r="N404" i="1"/>
  <c r="K406" i="1"/>
  <c r="N406" i="1" s="1"/>
  <c r="J354" i="13"/>
  <c r="J358" i="13" s="1"/>
  <c r="G358" i="13"/>
  <c r="M619" i="1"/>
  <c r="M519" i="1"/>
  <c r="J380" i="13"/>
  <c r="J383" i="13" s="1"/>
  <c r="G383" i="13"/>
  <c r="L536" i="1"/>
  <c r="G436" i="13"/>
  <c r="J436" i="13" s="1"/>
  <c r="L540" i="1"/>
  <c r="G440" i="13"/>
  <c r="J440" i="13" s="1"/>
  <c r="K466" i="1"/>
  <c r="L569" i="1"/>
  <c r="G469" i="13"/>
  <c r="J469" i="13" s="1"/>
  <c r="K477" i="1"/>
  <c r="O477" i="1" s="1"/>
  <c r="L580" i="1"/>
  <c r="G480" i="13"/>
  <c r="J480" i="13" s="1"/>
  <c r="M535" i="1"/>
  <c r="M786" i="1"/>
  <c r="M889" i="1" s="1"/>
  <c r="M993" i="1" s="1"/>
  <c r="M1097" i="1" s="1"/>
  <c r="M1201" i="1" s="1"/>
  <c r="L559" i="1"/>
  <c r="G459" i="13"/>
  <c r="J459" i="13" s="1"/>
  <c r="K456" i="1"/>
  <c r="M814" i="1"/>
  <c r="N395" i="1"/>
  <c r="K398" i="1"/>
  <c r="O398" i="1" s="1"/>
  <c r="M878" i="1"/>
  <c r="N397" i="1"/>
  <c r="O397" i="1"/>
  <c r="O395" i="1"/>
  <c r="M446" i="1"/>
  <c r="M542" i="1"/>
  <c r="L530" i="1"/>
  <c r="G430" i="13"/>
  <c r="K427" i="1"/>
  <c r="L430" i="1"/>
  <c r="M684" i="1"/>
  <c r="M787" i="1" s="1"/>
  <c r="M890" i="1" s="1"/>
  <c r="M994" i="1" s="1"/>
  <c r="M1098" i="1" s="1"/>
  <c r="M1202" i="1" s="1"/>
  <c r="K511" i="1"/>
  <c r="N511" i="1" s="1"/>
  <c r="L614" i="1"/>
  <c r="G514" i="13"/>
  <c r="J514" i="13" s="1"/>
  <c r="N407" i="1"/>
  <c r="K412" i="1"/>
  <c r="N412" i="1" s="1"/>
  <c r="M649" i="1"/>
  <c r="K350" i="1"/>
  <c r="N350" i="1" s="1"/>
  <c r="N347" i="1"/>
  <c r="M593" i="1"/>
  <c r="M493" i="1"/>
  <c r="K279" i="1"/>
  <c r="N274" i="1"/>
  <c r="L589" i="1"/>
  <c r="G489" i="13"/>
  <c r="L489" i="1"/>
  <c r="K486" i="1"/>
  <c r="O486" i="1" s="1"/>
  <c r="O376" i="1"/>
  <c r="N376" i="1"/>
  <c r="L522" i="1"/>
  <c r="L623" i="1"/>
  <c r="G523" i="13"/>
  <c r="G525" i="13" s="1"/>
  <c r="K520" i="1"/>
  <c r="M682" i="1"/>
  <c r="M785" i="1" s="1"/>
  <c r="M888" i="1" s="1"/>
  <c r="M992" i="1" s="1"/>
  <c r="M1096" i="1" s="1"/>
  <c r="M1200" i="1" s="1"/>
  <c r="L546" i="1"/>
  <c r="K443" i="1"/>
  <c r="G446" i="13"/>
  <c r="J446" i="13" s="1"/>
  <c r="M623" i="1"/>
  <c r="M522" i="1"/>
  <c r="M744" i="1"/>
  <c r="M847" i="1" s="1"/>
  <c r="L382" i="1"/>
  <c r="L393" i="1" s="1"/>
  <c r="L394" i="1" s="1"/>
  <c r="N363" i="1"/>
  <c r="O363" i="1"/>
  <c r="L593" i="1"/>
  <c r="K490" i="1"/>
  <c r="O490" i="1" s="1"/>
  <c r="G493" i="13"/>
  <c r="L493" i="1"/>
  <c r="G161" i="13"/>
  <c r="M613" i="1"/>
  <c r="M515" i="1"/>
  <c r="L538" i="1"/>
  <c r="G438" i="13"/>
  <c r="J438" i="13" s="1"/>
  <c r="K435" i="1"/>
  <c r="M553" i="1"/>
  <c r="M453" i="1"/>
  <c r="M637" i="1"/>
  <c r="M541" i="1"/>
  <c r="O339" i="1"/>
  <c r="M667" i="1"/>
  <c r="M366" i="1"/>
  <c r="O365" i="1"/>
  <c r="O385" i="1"/>
  <c r="M925" i="1"/>
  <c r="O360" i="1"/>
  <c r="L581" i="1"/>
  <c r="G481" i="13"/>
  <c r="J481" i="13" s="1"/>
  <c r="M567" i="1"/>
  <c r="M670" i="1" s="1"/>
  <c r="N384" i="1"/>
  <c r="O384" i="1"/>
  <c r="M264" i="1"/>
  <c r="M459" i="1"/>
  <c r="M558" i="1"/>
  <c r="J397" i="13"/>
  <c r="J400" i="13" s="1"/>
  <c r="G400" i="13"/>
  <c r="O441" i="1"/>
  <c r="L554" i="1"/>
  <c r="G454" i="13"/>
  <c r="J454" i="13" s="1"/>
  <c r="K451" i="1"/>
  <c r="L603" i="1"/>
  <c r="G503" i="13"/>
  <c r="J503" i="13" s="1"/>
  <c r="K500" i="1"/>
  <c r="M555" i="1"/>
  <c r="O452" i="1"/>
  <c r="K436" i="1"/>
  <c r="N436" i="1" s="1"/>
  <c r="L539" i="1"/>
  <c r="G439" i="13"/>
  <c r="J439" i="13" s="1"/>
  <c r="O341" i="1"/>
  <c r="K444" i="1"/>
  <c r="N444" i="1" s="1"/>
  <c r="L547" i="1"/>
  <c r="G447" i="13"/>
  <c r="J447" i="13" s="1"/>
  <c r="O415" i="1"/>
  <c r="M601" i="1"/>
  <c r="M501" i="1"/>
  <c r="K458" i="1"/>
  <c r="N458" i="1" s="1"/>
  <c r="M561" i="1"/>
  <c r="M668" i="1"/>
  <c r="M771" i="1" s="1"/>
  <c r="K461" i="1"/>
  <c r="L564" i="1"/>
  <c r="G464" i="13"/>
  <c r="J464" i="13" s="1"/>
  <c r="M605" i="1"/>
  <c r="M506" i="1"/>
  <c r="L542" i="1"/>
  <c r="K439" i="1"/>
  <c r="G442" i="13"/>
  <c r="L446" i="1"/>
  <c r="K403" i="1"/>
  <c r="N403" i="1" s="1"/>
  <c r="N399" i="1"/>
  <c r="K457" i="1"/>
  <c r="L560" i="1"/>
  <c r="G460" i="13"/>
  <c r="J460" i="13" s="1"/>
  <c r="N325" i="1"/>
  <c r="O325" i="1"/>
  <c r="N324" i="1"/>
  <c r="K327" i="1"/>
  <c r="M933" i="1"/>
  <c r="M706" i="1"/>
  <c r="M809" i="1" s="1"/>
  <c r="O445" i="1"/>
  <c r="K474" i="1"/>
  <c r="O474" i="1" s="1"/>
  <c r="M577" i="1"/>
  <c r="L567" i="1"/>
  <c r="G467" i="13"/>
  <c r="J467" i="13" s="1"/>
  <c r="K464" i="1"/>
  <c r="N464" i="1" s="1"/>
  <c r="O247" i="1"/>
  <c r="L515" i="1"/>
  <c r="L613" i="1"/>
  <c r="K510" i="1"/>
  <c r="G513" i="13"/>
  <c r="L591" i="1"/>
  <c r="G491" i="13"/>
  <c r="J491" i="13" s="1"/>
  <c r="K488" i="1"/>
  <c r="J349" i="13"/>
  <c r="J352" i="13" s="1"/>
  <c r="G352" i="13"/>
  <c r="O263" i="1"/>
  <c r="G318" i="13"/>
  <c r="G319" i="13" s="1"/>
  <c r="L535" i="1"/>
  <c r="G435" i="13"/>
  <c r="K432" i="1"/>
  <c r="N432" i="1" s="1"/>
  <c r="O383" i="1"/>
  <c r="N383" i="1"/>
  <c r="K386" i="1"/>
  <c r="O328" i="1"/>
  <c r="N328" i="1"/>
  <c r="K335" i="1"/>
  <c r="N335" i="1" s="1"/>
  <c r="O413" i="1"/>
  <c r="N413" i="1"/>
  <c r="K416" i="1"/>
  <c r="N416" i="1" s="1"/>
  <c r="L561" i="1"/>
  <c r="G461" i="13"/>
  <c r="J461" i="13" s="1"/>
  <c r="G494" i="13"/>
  <c r="J494" i="13" s="1"/>
  <c r="L594" i="1"/>
  <c r="K491" i="1"/>
  <c r="L582" i="1"/>
  <c r="G482" i="13"/>
  <c r="J482" i="13" s="1"/>
  <c r="K479" i="1"/>
  <c r="M643" i="1"/>
  <c r="K518" i="1"/>
  <c r="N518" i="1" s="1"/>
  <c r="L621" i="1"/>
  <c r="G521" i="13"/>
  <c r="J521" i="13" s="1"/>
  <c r="O417" i="1"/>
  <c r="K419" i="1"/>
  <c r="N419" i="1" s="1"/>
  <c r="N417" i="1"/>
  <c r="O240" i="1"/>
  <c r="G249" i="13"/>
  <c r="G265" i="13" s="1"/>
  <c r="O362" i="1"/>
  <c r="K471" i="1"/>
  <c r="O471" i="1" s="1"/>
  <c r="M574" i="1"/>
  <c r="M480" i="1"/>
  <c r="L509" i="1"/>
  <c r="L610" i="1"/>
  <c r="G510" i="13"/>
  <c r="K507" i="1"/>
  <c r="M714" i="1"/>
  <c r="K455" i="1"/>
  <c r="L558" i="1"/>
  <c r="L459" i="1"/>
  <c r="G458" i="13"/>
  <c r="M584" i="1"/>
  <c r="M484" i="1"/>
  <c r="O378" i="1"/>
  <c r="N378" i="1"/>
  <c r="K381" i="1"/>
  <c r="N381" i="1" s="1"/>
  <c r="K517" i="1"/>
  <c r="N517" i="1" s="1"/>
  <c r="L620" i="1"/>
  <c r="G520" i="13"/>
  <c r="J520" i="13" s="1"/>
  <c r="N387" i="1"/>
  <c r="K390" i="1"/>
  <c r="L563" i="1"/>
  <c r="G463" i="13"/>
  <c r="K460" i="1"/>
  <c r="L468" i="1"/>
  <c r="L595" i="1"/>
  <c r="K492" i="1"/>
  <c r="G495" i="13"/>
  <c r="J495" i="13" s="1"/>
  <c r="L544" i="1"/>
  <c r="G444" i="13"/>
  <c r="J444" i="13" s="1"/>
  <c r="M673" i="1"/>
  <c r="N336" i="1"/>
  <c r="K343" i="1"/>
  <c r="N343" i="1" s="1"/>
  <c r="M589" i="1"/>
  <c r="M489" i="1"/>
  <c r="N359" i="1"/>
  <c r="O359" i="1"/>
  <c r="O427" i="1"/>
  <c r="M530" i="1"/>
  <c r="M430" i="1"/>
  <c r="N334" i="1"/>
  <c r="O334" i="1"/>
  <c r="K161" i="1"/>
  <c r="N145" i="1"/>
  <c r="N326" i="1"/>
  <c r="O326" i="1"/>
  <c r="N368" i="1"/>
  <c r="K377" i="1"/>
  <c r="O316" i="1"/>
  <c r="J359" i="13"/>
  <c r="J367" i="13" s="1"/>
  <c r="G367" i="13"/>
  <c r="K442" i="1"/>
  <c r="N442" i="1" s="1"/>
  <c r="L545" i="1"/>
  <c r="G445" i="13"/>
  <c r="J445" i="13" s="1"/>
  <c r="N332" i="1"/>
  <c r="O332" i="1"/>
  <c r="M543" i="1"/>
  <c r="N160" i="1"/>
  <c r="O160" i="1"/>
  <c r="M545" i="1"/>
  <c r="N389" i="1"/>
  <c r="O389" i="1"/>
  <c r="G515" i="13"/>
  <c r="J515" i="13" s="1"/>
  <c r="L615" i="1"/>
  <c r="K512" i="1"/>
  <c r="M694" i="1"/>
  <c r="O295" i="1"/>
  <c r="N295" i="1"/>
  <c r="K317" i="1"/>
  <c r="N353" i="1"/>
  <c r="O353" i="1"/>
  <c r="O396" i="1"/>
  <c r="N396" i="1"/>
  <c r="O463" i="1"/>
  <c r="M566" i="1"/>
  <c r="O283" i="1"/>
  <c r="M808" i="1"/>
  <c r="L601" i="1"/>
  <c r="G501" i="13"/>
  <c r="K498" i="1"/>
  <c r="L501" i="1"/>
  <c r="K544" i="1"/>
  <c r="N544" i="1" s="1"/>
  <c r="M647" i="1"/>
  <c r="L616" i="1"/>
  <c r="G516" i="13"/>
  <c r="J516" i="13" s="1"/>
  <c r="K513" i="1"/>
  <c r="L575" i="1"/>
  <c r="G475" i="13"/>
  <c r="J475" i="13" s="1"/>
  <c r="K472" i="1"/>
  <c r="N348" i="1"/>
  <c r="O348" i="1"/>
  <c r="O418" i="1"/>
  <c r="N418" i="1"/>
  <c r="L577" i="1"/>
  <c r="G477" i="13"/>
  <c r="J477" i="13" s="1"/>
  <c r="M547" i="1"/>
  <c r="M621" i="1"/>
  <c r="K462" i="1"/>
  <c r="N358" i="1"/>
  <c r="O358" i="1"/>
  <c r="K504" i="1"/>
  <c r="N504" i="1" s="1"/>
  <c r="L607" i="1"/>
  <c r="G507" i="13"/>
  <c r="J507" i="13" s="1"/>
  <c r="L605" i="1"/>
  <c r="K502" i="1"/>
  <c r="G505" i="13"/>
  <c r="L506" i="1"/>
  <c r="K473" i="1"/>
  <c r="O473" i="1" s="1"/>
  <c r="L576" i="1"/>
  <c r="G476" i="13"/>
  <c r="J476" i="13" s="1"/>
  <c r="N354" i="1"/>
  <c r="O354" i="1"/>
  <c r="O336" i="1"/>
  <c r="N364" i="1"/>
  <c r="O364" i="1"/>
  <c r="J326" i="13"/>
  <c r="J329" i="13" s="1"/>
  <c r="G329" i="13"/>
  <c r="M651" i="1"/>
  <c r="O517" i="1"/>
  <c r="M620" i="1"/>
  <c r="J216" i="13"/>
  <c r="O214" i="1"/>
  <c r="O215" i="1" s="1"/>
  <c r="K215" i="1"/>
  <c r="N214" i="1"/>
  <c r="N215" i="1" s="1"/>
  <c r="M634" i="1"/>
  <c r="M737" i="1" s="1"/>
  <c r="L606" i="1"/>
  <c r="G506" i="13"/>
  <c r="J506" i="13" s="1"/>
  <c r="K503" i="1"/>
  <c r="K450" i="1"/>
  <c r="O450" i="1" s="1"/>
  <c r="L553" i="1"/>
  <c r="G453" i="13"/>
  <c r="L453" i="1"/>
  <c r="O402" i="1"/>
  <c r="N402" i="1"/>
  <c r="J318" i="13"/>
  <c r="J319" i="13" s="1"/>
  <c r="O387" i="1"/>
  <c r="J385" i="13"/>
  <c r="J388" i="13" s="1"/>
  <c r="G388" i="13"/>
  <c r="J330" i="13"/>
  <c r="J337" i="13" s="1"/>
  <c r="G337" i="13"/>
  <c r="J415" i="13"/>
  <c r="J418" i="13" s="1"/>
  <c r="G418" i="13"/>
  <c r="N411" i="1"/>
  <c r="O411" i="1"/>
  <c r="J392" i="13"/>
  <c r="J393" i="13" s="1"/>
  <c r="M657" i="1"/>
  <c r="K437" i="1"/>
  <c r="G421" i="13"/>
  <c r="L585" i="1"/>
  <c r="G485" i="13"/>
  <c r="J485" i="13" s="1"/>
  <c r="K482" i="1"/>
  <c r="N482" i="1" s="1"/>
  <c r="N405" i="1"/>
  <c r="O405" i="1"/>
  <c r="J249" i="13"/>
  <c r="J265" i="13" s="1"/>
  <c r="M568" i="1"/>
  <c r="O465" i="1"/>
  <c r="M635" i="1"/>
  <c r="M738" i="1" s="1"/>
  <c r="N340" i="1"/>
  <c r="O340" i="1"/>
  <c r="O419" i="1"/>
  <c r="M382" i="1"/>
  <c r="O377" i="1"/>
  <c r="M989" i="1"/>
  <c r="M1093" i="1" s="1"/>
  <c r="M1197" i="1" s="1"/>
  <c r="M1301" i="1" s="1"/>
  <c r="K356" i="1"/>
  <c r="O356" i="1" s="1"/>
  <c r="N352" i="1"/>
  <c r="L584" i="1"/>
  <c r="L484" i="1"/>
  <c r="K481" i="1"/>
  <c r="O481" i="1" s="1"/>
  <c r="G484" i="13"/>
  <c r="N56" i="17"/>
  <c r="N127" i="17"/>
  <c r="M127" i="17"/>
  <c r="J128" i="17"/>
  <c r="O87" i="1"/>
  <c r="O53" i="1"/>
  <c r="O43" i="1"/>
  <c r="O100" i="1"/>
  <c r="G89" i="13"/>
  <c r="I57" i="13"/>
  <c r="N48" i="1"/>
  <c r="G107" i="13"/>
  <c r="G19" i="13"/>
  <c r="J103" i="13"/>
  <c r="M31" i="17"/>
  <c r="J36" i="17"/>
  <c r="J37" i="17" s="1"/>
  <c r="M37" i="17" s="1"/>
  <c r="H69" i="17"/>
  <c r="N39" i="17"/>
  <c r="M43" i="17"/>
  <c r="Q36" i="17"/>
  <c r="Q37" i="17" s="1"/>
  <c r="N15" i="17"/>
  <c r="N58" i="17"/>
  <c r="M58" i="17"/>
  <c r="N30" i="17"/>
  <c r="N52" i="17"/>
  <c r="N53" i="17"/>
  <c r="N57" i="17"/>
  <c r="M47" i="17"/>
  <c r="N47" i="17"/>
  <c r="J72" i="13"/>
  <c r="J94" i="13"/>
  <c r="J19" i="13"/>
  <c r="I58" i="1"/>
  <c r="L111" i="1"/>
  <c r="L112" i="1" s="1"/>
  <c r="G103" i="13"/>
  <c r="G94" i="13"/>
  <c r="O93" i="1"/>
  <c r="G72" i="13"/>
  <c r="O50" i="1"/>
  <c r="O45" i="1"/>
  <c r="K47" i="1"/>
  <c r="O47" i="1" s="1"/>
  <c r="O44" i="1"/>
  <c r="J47" i="13"/>
  <c r="J57" i="13" s="1"/>
  <c r="G41" i="13"/>
  <c r="O39" i="1"/>
  <c r="N32" i="1"/>
  <c r="J35" i="13"/>
  <c r="O80" i="1"/>
  <c r="N80" i="1"/>
  <c r="I73" i="13"/>
  <c r="G27" i="13"/>
  <c r="O46" i="1"/>
  <c r="O22" i="1"/>
  <c r="G81" i="13"/>
  <c r="F73" i="13"/>
  <c r="G47" i="13"/>
  <c r="G57" i="13" s="1"/>
  <c r="G35" i="13"/>
  <c r="O55" i="1"/>
  <c r="N55" i="1"/>
  <c r="O25" i="1"/>
  <c r="N25" i="1"/>
  <c r="O92" i="1"/>
  <c r="O51" i="1"/>
  <c r="N51" i="1"/>
  <c r="O14" i="1"/>
  <c r="N14" i="1"/>
  <c r="G77" i="13"/>
  <c r="J27" i="13"/>
  <c r="I111" i="13"/>
  <c r="I112" i="13" s="1"/>
  <c r="O109" i="1"/>
  <c r="N109" i="1"/>
  <c r="O54" i="1"/>
  <c r="K67" i="17"/>
  <c r="K68" i="17" s="1"/>
  <c r="J82" i="13"/>
  <c r="K28" i="17"/>
  <c r="L57" i="1"/>
  <c r="F42" i="13"/>
  <c r="O38" i="1"/>
  <c r="K41" i="1"/>
  <c r="N41" i="1" s="1"/>
  <c r="H47" i="16"/>
  <c r="N46" i="17"/>
  <c r="N32" i="17"/>
  <c r="P69" i="17"/>
  <c r="M36" i="17"/>
  <c r="J27" i="17"/>
  <c r="M20" i="17"/>
  <c r="Q19" i="17"/>
  <c r="N29" i="17"/>
  <c r="N48" i="17"/>
  <c r="N45" i="17"/>
  <c r="J19" i="17"/>
  <c r="M14" i="17"/>
  <c r="L37" i="17"/>
  <c r="N60" i="17"/>
  <c r="F67" i="17"/>
  <c r="Q27" i="17"/>
  <c r="N40" i="17"/>
  <c r="N33" i="17"/>
  <c r="J61" i="17"/>
  <c r="M61" i="17" s="1"/>
  <c r="Q61" i="17"/>
  <c r="N59" i="17"/>
  <c r="L67" i="17"/>
  <c r="N26" i="17"/>
  <c r="N38" i="17"/>
  <c r="N24" i="17"/>
  <c r="N50" i="17"/>
  <c r="J55" i="17"/>
  <c r="M55" i="17" s="1"/>
  <c r="Q55" i="17"/>
  <c r="Q67" i="17" s="1"/>
  <c r="Q68" i="17" s="1"/>
  <c r="N34" i="17"/>
  <c r="N21" i="17"/>
  <c r="I19" i="17"/>
  <c r="F28" i="17"/>
  <c r="I28" i="17" s="1"/>
  <c r="N65" i="17"/>
  <c r="N44" i="17"/>
  <c r="N25" i="17"/>
  <c r="N49" i="17"/>
  <c r="N35" i="17"/>
  <c r="N31" i="17"/>
  <c r="N17" i="17"/>
  <c r="I82" i="13"/>
  <c r="I42" i="13"/>
  <c r="I58" i="13" s="1"/>
  <c r="F82" i="13"/>
  <c r="F111" i="13"/>
  <c r="F112" i="13" s="1"/>
  <c r="F57" i="13"/>
  <c r="I84" i="1"/>
  <c r="I85" i="1" s="1"/>
  <c r="I113" i="1" s="1"/>
  <c r="G57" i="1"/>
  <c r="J57" i="1" s="1"/>
  <c r="L42" i="1"/>
  <c r="O17" i="1"/>
  <c r="O24" i="1"/>
  <c r="J89" i="1"/>
  <c r="G111" i="1"/>
  <c r="O99" i="1"/>
  <c r="N98" i="1"/>
  <c r="K103" i="1"/>
  <c r="N103" i="1" s="1"/>
  <c r="G81" i="1"/>
  <c r="J81" i="1" s="1"/>
  <c r="K72" i="1"/>
  <c r="N72" i="1" s="1"/>
  <c r="N69" i="1"/>
  <c r="N59" i="1"/>
  <c r="O59" i="1"/>
  <c r="K26" i="1"/>
  <c r="N26" i="1" s="1"/>
  <c r="N19" i="1"/>
  <c r="K89" i="1"/>
  <c r="N86" i="1"/>
  <c r="O86" i="1"/>
  <c r="O35" i="1"/>
  <c r="K37" i="1"/>
  <c r="N35" i="1"/>
  <c r="K18" i="1"/>
  <c r="O105" i="1"/>
  <c r="O98" i="1"/>
  <c r="G42" i="1"/>
  <c r="J18" i="1"/>
  <c r="O19" i="1"/>
  <c r="K110" i="1"/>
  <c r="N110" i="1" s="1"/>
  <c r="N108" i="1"/>
  <c r="J77" i="1"/>
  <c r="K97" i="1"/>
  <c r="N97" i="1" s="1"/>
  <c r="N95" i="1"/>
  <c r="M82" i="1"/>
  <c r="K94" i="1"/>
  <c r="N94" i="1" s="1"/>
  <c r="N90" i="1"/>
  <c r="O96" i="1"/>
  <c r="K49" i="1"/>
  <c r="O49" i="1" s="1"/>
  <c r="K77" i="1"/>
  <c r="N74" i="1"/>
  <c r="O30" i="1"/>
  <c r="N47" i="1"/>
  <c r="H58" i="1"/>
  <c r="H113" i="1" s="1"/>
  <c r="K34" i="1"/>
  <c r="O52" i="1"/>
  <c r="O20" i="1"/>
  <c r="M42" i="1"/>
  <c r="K107" i="1"/>
  <c r="N107" i="1" s="1"/>
  <c r="L81" i="1"/>
  <c r="L82" i="1" s="1"/>
  <c r="K79" i="1"/>
  <c r="M111" i="1"/>
  <c r="J68" i="1"/>
  <c r="G73" i="1"/>
  <c r="O106" i="1"/>
  <c r="O83" i="1"/>
  <c r="O23" i="1"/>
  <c r="L427" i="17" l="1"/>
  <c r="L486" i="17" s="1"/>
  <c r="L545" i="17" s="1"/>
  <c r="M1306" i="1"/>
  <c r="M1410" i="1" s="1"/>
  <c r="M1514" i="1" s="1"/>
  <c r="M1618" i="1" s="1"/>
  <c r="M1304" i="1"/>
  <c r="M1305" i="1"/>
  <c r="M1216" i="1"/>
  <c r="O426" i="1"/>
  <c r="O346" i="1"/>
  <c r="N282" i="17"/>
  <c r="N299" i="17"/>
  <c r="K368" i="17"/>
  <c r="Q309" i="17"/>
  <c r="J309" i="17"/>
  <c r="I425" i="16"/>
  <c r="F507" i="16"/>
  <c r="M1405" i="1"/>
  <c r="M1509" i="1" s="1"/>
  <c r="M1219" i="1"/>
  <c r="N274" i="17"/>
  <c r="N213" i="17"/>
  <c r="N281" i="17"/>
  <c r="K386" i="17"/>
  <c r="Q327" i="17"/>
  <c r="N293" i="17"/>
  <c r="N277" i="17"/>
  <c r="N252" i="17"/>
  <c r="N287" i="17"/>
  <c r="M250" i="17"/>
  <c r="N250" i="17"/>
  <c r="F522" i="16"/>
  <c r="I440" i="16"/>
  <c r="I426" i="16"/>
  <c r="F508" i="16"/>
  <c r="I373" i="16"/>
  <c r="I430" i="16"/>
  <c r="F512" i="16"/>
  <c r="I463" i="16"/>
  <c r="F545" i="16"/>
  <c r="I449" i="16"/>
  <c r="F531" i="16"/>
  <c r="F525" i="16"/>
  <c r="I443" i="16"/>
  <c r="F544" i="16"/>
  <c r="I462" i="16"/>
  <c r="F573" i="16"/>
  <c r="I491" i="16"/>
  <c r="I496" i="16"/>
  <c r="F578" i="16"/>
  <c r="F566" i="16"/>
  <c r="I484" i="16"/>
  <c r="F524" i="16"/>
  <c r="I442" i="16"/>
  <c r="I433" i="16"/>
  <c r="F515" i="16"/>
  <c r="I459" i="16"/>
  <c r="F541" i="16"/>
  <c r="F532" i="16"/>
  <c r="I450" i="16"/>
  <c r="I441" i="16"/>
  <c r="F523" i="16"/>
  <c r="I396" i="16"/>
  <c r="I357" i="16"/>
  <c r="I467" i="16"/>
  <c r="F549" i="16"/>
  <c r="F535" i="16"/>
  <c r="I453" i="16"/>
  <c r="F559" i="16"/>
  <c r="I477" i="16"/>
  <c r="I438" i="16"/>
  <c r="F520" i="16"/>
  <c r="F552" i="16"/>
  <c r="I470" i="16"/>
  <c r="I448" i="16"/>
  <c r="F530" i="16"/>
  <c r="I293" i="16"/>
  <c r="I497" i="16"/>
  <c r="F579" i="16"/>
  <c r="I417" i="16"/>
  <c r="F543" i="16"/>
  <c r="I461" i="16"/>
  <c r="F565" i="16"/>
  <c r="I483" i="16"/>
  <c r="I444" i="16"/>
  <c r="F526" i="16"/>
  <c r="F518" i="16"/>
  <c r="I436" i="16"/>
  <c r="F551" i="16"/>
  <c r="I469" i="16"/>
  <c r="F570" i="16"/>
  <c r="I488" i="16"/>
  <c r="F555" i="16"/>
  <c r="I473" i="16"/>
  <c r="I338" i="16"/>
  <c r="I498" i="16"/>
  <c r="F580" i="16"/>
  <c r="F510" i="16"/>
  <c r="I428" i="16"/>
  <c r="I482" i="16"/>
  <c r="F564" i="16"/>
  <c r="F569" i="16"/>
  <c r="I487" i="16"/>
  <c r="I486" i="16"/>
  <c r="F568" i="16"/>
  <c r="I464" i="16"/>
  <c r="F546" i="16"/>
  <c r="I460" i="16"/>
  <c r="F542" i="16"/>
  <c r="I446" i="16"/>
  <c r="F528" i="16"/>
  <c r="F513" i="16"/>
  <c r="I431" i="16"/>
  <c r="I475" i="16"/>
  <c r="F557" i="16"/>
  <c r="I485" i="16"/>
  <c r="F567" i="16"/>
  <c r="F548" i="16"/>
  <c r="I466" i="16"/>
  <c r="F574" i="16"/>
  <c r="I492" i="16"/>
  <c r="I447" i="16"/>
  <c r="F529" i="16"/>
  <c r="F547" i="16"/>
  <c r="I465" i="16"/>
  <c r="I437" i="16"/>
  <c r="F519" i="16"/>
  <c r="I494" i="16"/>
  <c r="F576" i="16"/>
  <c r="I490" i="16"/>
  <c r="F572" i="16"/>
  <c r="I476" i="16"/>
  <c r="F558" i="16"/>
  <c r="I481" i="16"/>
  <c r="F563" i="16"/>
  <c r="I369" i="16"/>
  <c r="I375" i="16" s="1"/>
  <c r="I471" i="16"/>
  <c r="F553" i="16"/>
  <c r="F509" i="16"/>
  <c r="I427" i="16"/>
  <c r="F514" i="16"/>
  <c r="I432" i="16"/>
  <c r="F562" i="16"/>
  <c r="I480" i="16"/>
  <c r="F536" i="16"/>
  <c r="I454" i="16"/>
  <c r="F577" i="16"/>
  <c r="I495" i="16"/>
  <c r="F556" i="16"/>
  <c r="I474" i="16"/>
  <c r="I489" i="16"/>
  <c r="F571" i="16"/>
  <c r="I445" i="16"/>
  <c r="F527" i="16"/>
  <c r="I452" i="16"/>
  <c r="F534" i="16"/>
  <c r="I493" i="16"/>
  <c r="F575" i="16"/>
  <c r="F517" i="16"/>
  <c r="I435" i="16"/>
  <c r="F561" i="16"/>
  <c r="I479" i="16"/>
  <c r="F540" i="16"/>
  <c r="I458" i="16"/>
  <c r="I429" i="16"/>
  <c r="F511" i="16"/>
  <c r="I472" i="16"/>
  <c r="F554" i="16"/>
  <c r="I468" i="16"/>
  <c r="F550" i="16"/>
  <c r="I434" i="16"/>
  <c r="F516" i="16"/>
  <c r="L412" i="17"/>
  <c r="L407" i="17"/>
  <c r="L411" i="17"/>
  <c r="L385" i="17"/>
  <c r="L378" i="17"/>
  <c r="L416" i="17"/>
  <c r="Q338" i="17"/>
  <c r="K397" i="17"/>
  <c r="J338" i="17"/>
  <c r="J330" i="17"/>
  <c r="M330" i="17" s="1"/>
  <c r="K389" i="17"/>
  <c r="Q330" i="17"/>
  <c r="J316" i="17"/>
  <c r="M316" i="17" s="1"/>
  <c r="K375" i="17"/>
  <c r="Q316" i="17"/>
  <c r="J343" i="17"/>
  <c r="K402" i="17"/>
  <c r="Q343" i="17"/>
  <c r="Q328" i="17"/>
  <c r="K387" i="17"/>
  <c r="J328" i="17"/>
  <c r="K407" i="17"/>
  <c r="J348" i="17"/>
  <c r="M348" i="17" s="1"/>
  <c r="Q348" i="17"/>
  <c r="Q312" i="17"/>
  <c r="K371" i="17"/>
  <c r="J312" i="17"/>
  <c r="Q361" i="17"/>
  <c r="K420" i="17"/>
  <c r="J361" i="17"/>
  <c r="M361" i="17" s="1"/>
  <c r="Q263" i="17"/>
  <c r="Q255" i="17"/>
  <c r="Q264" i="17" s="1"/>
  <c r="L401" i="17"/>
  <c r="M262" i="17"/>
  <c r="N262" i="17"/>
  <c r="L384" i="17"/>
  <c r="N259" i="17"/>
  <c r="M288" i="17"/>
  <c r="N288" i="17"/>
  <c r="L393" i="17"/>
  <c r="L399" i="17"/>
  <c r="K418" i="17"/>
  <c r="Q359" i="17"/>
  <c r="J359" i="17"/>
  <c r="N270" i="17"/>
  <c r="N146" i="17"/>
  <c r="Q346" i="17"/>
  <c r="K405" i="17"/>
  <c r="J346" i="17"/>
  <c r="M346" i="17" s="1"/>
  <c r="Q358" i="17"/>
  <c r="K417" i="17"/>
  <c r="J358" i="17"/>
  <c r="M358" i="17" s="1"/>
  <c r="K411" i="17"/>
  <c r="J352" i="17"/>
  <c r="M352" i="17" s="1"/>
  <c r="Q352" i="17"/>
  <c r="L394" i="17"/>
  <c r="N335" i="17"/>
  <c r="Q335" i="17"/>
  <c r="K394" i="17"/>
  <c r="J335" i="17"/>
  <c r="M335" i="17" s="1"/>
  <c r="K377" i="17"/>
  <c r="J318" i="17"/>
  <c r="M318" i="17" s="1"/>
  <c r="Q318" i="17"/>
  <c r="Q303" i="17"/>
  <c r="Q304" i="17" s="1"/>
  <c r="L392" i="17"/>
  <c r="M351" i="17"/>
  <c r="N351" i="17"/>
  <c r="L498" i="17"/>
  <c r="K376" i="17"/>
  <c r="Q317" i="17"/>
  <c r="J317" i="17"/>
  <c r="Q353" i="17"/>
  <c r="K412" i="17"/>
  <c r="J353" i="17"/>
  <c r="M353" i="17" s="1"/>
  <c r="K383" i="17"/>
  <c r="Q324" i="17"/>
  <c r="J324" i="17"/>
  <c r="N324" i="17" s="1"/>
  <c r="K331" i="17"/>
  <c r="K332" i="17" s="1"/>
  <c r="K388" i="17"/>
  <c r="Q329" i="17"/>
  <c r="J329" i="17"/>
  <c r="M329" i="17" s="1"/>
  <c r="N269" i="17"/>
  <c r="L691" i="17"/>
  <c r="L750" i="17" s="1"/>
  <c r="L809" i="17" s="1"/>
  <c r="L869" i="17" s="1"/>
  <c r="L420" i="17"/>
  <c r="N361" i="17"/>
  <c r="L374" i="17"/>
  <c r="L322" i="17"/>
  <c r="L273" i="17"/>
  <c r="M253" i="17"/>
  <c r="N253" i="17"/>
  <c r="L264" i="17"/>
  <c r="J311" i="17"/>
  <c r="M311" i="17" s="1"/>
  <c r="K370" i="17"/>
  <c r="Q311" i="17"/>
  <c r="Q315" i="17"/>
  <c r="K374" i="17"/>
  <c r="K322" i="17"/>
  <c r="J315" i="17"/>
  <c r="M251" i="17"/>
  <c r="J255" i="17"/>
  <c r="N345" i="17"/>
  <c r="M345" i="17"/>
  <c r="K398" i="17"/>
  <c r="Q339" i="17"/>
  <c r="J339" i="17"/>
  <c r="Q319" i="17"/>
  <c r="K378" i="17"/>
  <c r="J319" i="17"/>
  <c r="M319" i="17" s="1"/>
  <c r="L772" i="17"/>
  <c r="N311" i="17"/>
  <c r="L370" i="17"/>
  <c r="L405" i="17"/>
  <c r="N346" i="17"/>
  <c r="N214" i="17"/>
  <c r="K462" i="17"/>
  <c r="Q403" i="17"/>
  <c r="J403" i="17"/>
  <c r="M403" i="17" s="1"/>
  <c r="N257" i="17"/>
  <c r="K414" i="17"/>
  <c r="Q355" i="17"/>
  <c r="J355" i="17"/>
  <c r="L377" i="17"/>
  <c r="N318" i="17"/>
  <c r="N290" i="17"/>
  <c r="Q326" i="17"/>
  <c r="K385" i="17"/>
  <c r="J326" i="17"/>
  <c r="M326" i="17" s="1"/>
  <c r="L417" i="17"/>
  <c r="N358" i="17"/>
  <c r="L446" i="17"/>
  <c r="L388" i="17"/>
  <c r="L362" i="17"/>
  <c r="M295" i="17"/>
  <c r="N295" i="17"/>
  <c r="L379" i="17"/>
  <c r="K372" i="17"/>
  <c r="Q313" i="17"/>
  <c r="J313" i="17"/>
  <c r="M313" i="17" s="1"/>
  <c r="K392" i="17"/>
  <c r="Q333" i="17"/>
  <c r="J333" i="17"/>
  <c r="M333" i="17" s="1"/>
  <c r="K362" i="17"/>
  <c r="K363" i="17" s="1"/>
  <c r="M186" i="17"/>
  <c r="J187" i="17"/>
  <c r="M187" i="17" s="1"/>
  <c r="N186" i="17"/>
  <c r="M258" i="17"/>
  <c r="N258" i="17"/>
  <c r="L400" i="17"/>
  <c r="Q337" i="17"/>
  <c r="K396" i="17"/>
  <c r="J337" i="17"/>
  <c r="N350" i="17"/>
  <c r="L489" i="17"/>
  <c r="M265" i="17"/>
  <c r="J272" i="17"/>
  <c r="M272" i="17" s="1"/>
  <c r="M284" i="17"/>
  <c r="N284" i="17"/>
  <c r="L246" i="17"/>
  <c r="L383" i="17"/>
  <c r="L331" i="17"/>
  <c r="L369" i="17"/>
  <c r="L314" i="17"/>
  <c r="N268" i="17"/>
  <c r="N245" i="17"/>
  <c r="M245" i="17"/>
  <c r="Q404" i="17"/>
  <c r="K463" i="17"/>
  <c r="J404" i="17"/>
  <c r="M280" i="17"/>
  <c r="N280" i="17"/>
  <c r="L494" i="17"/>
  <c r="Q342" i="17"/>
  <c r="K401" i="17"/>
  <c r="J342" i="17"/>
  <c r="M342" i="17" s="1"/>
  <c r="Q246" i="17"/>
  <c r="L375" i="17"/>
  <c r="K399" i="17"/>
  <c r="Q340" i="17"/>
  <c r="J340" i="17"/>
  <c r="M340" i="17" s="1"/>
  <c r="K406" i="17"/>
  <c r="J406" i="17" s="1"/>
  <c r="Q347" i="17"/>
  <c r="J347" i="17"/>
  <c r="L408" i="17"/>
  <c r="N244" i="17"/>
  <c r="M244" i="17"/>
  <c r="N254" i="17"/>
  <c r="Q336" i="17"/>
  <c r="K395" i="17"/>
  <c r="J336" i="17"/>
  <c r="M336" i="17" s="1"/>
  <c r="N300" i="17"/>
  <c r="M300" i="17"/>
  <c r="N356" i="17"/>
  <c r="L456" i="17"/>
  <c r="J325" i="17"/>
  <c r="M325" i="17" s="1"/>
  <c r="K384" i="17"/>
  <c r="Q325" i="17"/>
  <c r="K393" i="17"/>
  <c r="J334" i="17"/>
  <c r="M334" i="17" s="1"/>
  <c r="Q334" i="17"/>
  <c r="L462" i="17"/>
  <c r="L587" i="17"/>
  <c r="Q409" i="17"/>
  <c r="K468" i="17"/>
  <c r="J409" i="17"/>
  <c r="M409" i="17" s="1"/>
  <c r="Q354" i="17"/>
  <c r="K413" i="17"/>
  <c r="J354" i="17"/>
  <c r="Q349" i="17"/>
  <c r="K408" i="17"/>
  <c r="J349" i="17"/>
  <c r="M349" i="17" s="1"/>
  <c r="L472" i="17"/>
  <c r="Q410" i="17"/>
  <c r="K469" i="17"/>
  <c r="J410" i="17"/>
  <c r="N330" i="17"/>
  <c r="L389" i="17"/>
  <c r="N260" i="17"/>
  <c r="N298" i="17"/>
  <c r="M279" i="17"/>
  <c r="J303" i="17"/>
  <c r="N279" i="17"/>
  <c r="L468" i="17"/>
  <c r="L419" i="17"/>
  <c r="Q272" i="17"/>
  <c r="Q273" i="17" s="1"/>
  <c r="J320" i="17"/>
  <c r="M320" i="17" s="1"/>
  <c r="K379" i="17"/>
  <c r="Q320" i="17"/>
  <c r="L395" i="17"/>
  <c r="L522" i="17"/>
  <c r="L532" i="17"/>
  <c r="J360" i="17"/>
  <c r="M360" i="17" s="1"/>
  <c r="K419" i="17"/>
  <c r="Q360" i="17"/>
  <c r="M256" i="17"/>
  <c r="J263" i="17"/>
  <c r="M263" i="17" s="1"/>
  <c r="L386" i="17"/>
  <c r="N327" i="17"/>
  <c r="J327" i="17"/>
  <c r="M327" i="17" s="1"/>
  <c r="Q310" i="17"/>
  <c r="K369" i="17"/>
  <c r="J310" i="17"/>
  <c r="N310" i="17" s="1"/>
  <c r="K314" i="17"/>
  <c r="K323" i="17" s="1"/>
  <c r="N283" i="17"/>
  <c r="L520" i="17"/>
  <c r="Q357" i="17"/>
  <c r="K416" i="17"/>
  <c r="J357" i="17"/>
  <c r="M357" i="17" s="1"/>
  <c r="K380" i="17"/>
  <c r="Q321" i="17"/>
  <c r="J321" i="17"/>
  <c r="Q415" i="17"/>
  <c r="K474" i="17"/>
  <c r="J415" i="17"/>
  <c r="M415" i="17" s="1"/>
  <c r="Q341" i="17"/>
  <c r="K400" i="17"/>
  <c r="J341" i="17"/>
  <c r="M341" i="17" s="1"/>
  <c r="L516" i="17"/>
  <c r="N266" i="17"/>
  <c r="M296" i="17"/>
  <c r="N296" i="17"/>
  <c r="M196" i="17"/>
  <c r="J205" i="17"/>
  <c r="M205" i="17" s="1"/>
  <c r="N275" i="17"/>
  <c r="L372" i="17"/>
  <c r="N313" i="17"/>
  <c r="L474" i="17"/>
  <c r="L465" i="17"/>
  <c r="O350" i="1"/>
  <c r="G216" i="13"/>
  <c r="O433" i="1"/>
  <c r="M632" i="1"/>
  <c r="K449" i="1"/>
  <c r="N449" i="1" s="1"/>
  <c r="N447" i="1"/>
  <c r="L701" i="1"/>
  <c r="G602" i="13"/>
  <c r="J602" i="13" s="1"/>
  <c r="K598" i="1"/>
  <c r="K654" i="1"/>
  <c r="L757" i="1"/>
  <c r="G659" i="13"/>
  <c r="O464" i="1"/>
  <c r="O288" i="1"/>
  <c r="L485" i="1"/>
  <c r="O447" i="1"/>
  <c r="K757" i="1"/>
  <c r="N757" i="1" s="1"/>
  <c r="M860" i="1"/>
  <c r="O544" i="1"/>
  <c r="O440" i="1"/>
  <c r="O458" i="1"/>
  <c r="O343" i="1"/>
  <c r="O403" i="1"/>
  <c r="O511" i="1"/>
  <c r="K550" i="1"/>
  <c r="O550" i="1" s="1"/>
  <c r="G554" i="13"/>
  <c r="J554" i="13" s="1"/>
  <c r="L653" i="1"/>
  <c r="L552" i="1"/>
  <c r="N495" i="1"/>
  <c r="O495" i="1"/>
  <c r="L632" i="1"/>
  <c r="G533" i="13"/>
  <c r="J533" i="13" s="1"/>
  <c r="K529" i="1"/>
  <c r="N529" i="1" s="1"/>
  <c r="N551" i="1"/>
  <c r="O551" i="1"/>
  <c r="M653" i="1"/>
  <c r="M552" i="1"/>
  <c r="O97" i="1"/>
  <c r="O406" i="1"/>
  <c r="L494" i="1"/>
  <c r="L496" i="1" s="1"/>
  <c r="L497" i="1" s="1"/>
  <c r="O504" i="1"/>
  <c r="G556" i="13"/>
  <c r="J555" i="13"/>
  <c r="J556" i="13" s="1"/>
  <c r="O449" i="1"/>
  <c r="J353" i="13"/>
  <c r="J422" i="13"/>
  <c r="J423" i="13" s="1"/>
  <c r="G384" i="13"/>
  <c r="K553" i="1"/>
  <c r="O553" i="1" s="1"/>
  <c r="L656" i="1"/>
  <c r="G557" i="13"/>
  <c r="L556" i="1"/>
  <c r="K577" i="1"/>
  <c r="O577" i="1" s="1"/>
  <c r="L680" i="1"/>
  <c r="G581" i="13"/>
  <c r="J581" i="13" s="1"/>
  <c r="N513" i="1"/>
  <c r="O513" i="1"/>
  <c r="M797" i="1"/>
  <c r="M646" i="1"/>
  <c r="K509" i="1"/>
  <c r="N509" i="1" s="1"/>
  <c r="N507" i="1"/>
  <c r="J442" i="13"/>
  <c r="J449" i="13" s="1"/>
  <c r="G449" i="13"/>
  <c r="M664" i="1"/>
  <c r="J430" i="13"/>
  <c r="J433" i="13" s="1"/>
  <c r="G433" i="13"/>
  <c r="O432" i="1"/>
  <c r="N466" i="1"/>
  <c r="O466" i="1"/>
  <c r="M622" i="1"/>
  <c r="M722" i="1"/>
  <c r="M846" i="1"/>
  <c r="L669" i="1"/>
  <c r="G570" i="13"/>
  <c r="J570" i="13" s="1"/>
  <c r="K566" i="1"/>
  <c r="N566" i="1" s="1"/>
  <c r="K555" i="1"/>
  <c r="N555" i="1" s="1"/>
  <c r="L658" i="1"/>
  <c r="G559" i="13"/>
  <c r="J559" i="13" s="1"/>
  <c r="L720" i="1"/>
  <c r="G621" i="13"/>
  <c r="J621" i="13" s="1"/>
  <c r="K617" i="1"/>
  <c r="L637" i="1"/>
  <c r="G538" i="13"/>
  <c r="K534" i="1"/>
  <c r="L541" i="1"/>
  <c r="M688" i="1"/>
  <c r="J484" i="13"/>
  <c r="J487" i="13" s="1"/>
  <c r="G487" i="13"/>
  <c r="O381" i="1"/>
  <c r="N450" i="1"/>
  <c r="K453" i="1"/>
  <c r="N453" i="1" s="1"/>
  <c r="O444" i="1"/>
  <c r="O472" i="1"/>
  <c r="N472" i="1"/>
  <c r="L704" i="1"/>
  <c r="G605" i="13"/>
  <c r="K601" i="1"/>
  <c r="O601" i="1" s="1"/>
  <c r="L604" i="1"/>
  <c r="N512" i="1"/>
  <c r="O512" i="1"/>
  <c r="L422" i="1"/>
  <c r="M692" i="1"/>
  <c r="M592" i="1"/>
  <c r="M776" i="1"/>
  <c r="O492" i="1"/>
  <c r="N492" i="1"/>
  <c r="J463" i="13"/>
  <c r="J471" i="13" s="1"/>
  <c r="G471" i="13"/>
  <c r="M587" i="1"/>
  <c r="M687" i="1"/>
  <c r="N455" i="1"/>
  <c r="K459" i="1"/>
  <c r="J510" i="13"/>
  <c r="J512" i="13" s="1"/>
  <c r="G512" i="13"/>
  <c r="M485" i="1"/>
  <c r="G320" i="13"/>
  <c r="L685" i="1"/>
  <c r="G586" i="13"/>
  <c r="J586" i="13" s="1"/>
  <c r="K582" i="1"/>
  <c r="N386" i="1"/>
  <c r="K391" i="1"/>
  <c r="G441" i="13"/>
  <c r="J435" i="13"/>
  <c r="J441" i="13" s="1"/>
  <c r="L694" i="1"/>
  <c r="G595" i="13"/>
  <c r="J595" i="13" s="1"/>
  <c r="K591" i="1"/>
  <c r="L670" i="1"/>
  <c r="G571" i="13"/>
  <c r="J571" i="13" s="1"/>
  <c r="K567" i="1"/>
  <c r="M1037" i="1"/>
  <c r="M1141" i="1" s="1"/>
  <c r="N439" i="1"/>
  <c r="K446" i="1"/>
  <c r="N446" i="1" s="1"/>
  <c r="M708" i="1"/>
  <c r="L706" i="1"/>
  <c r="G607" i="13"/>
  <c r="J607" i="13" s="1"/>
  <c r="K603" i="1"/>
  <c r="O455" i="1"/>
  <c r="M773" i="1"/>
  <c r="M876" i="1" s="1"/>
  <c r="O453" i="1"/>
  <c r="L641" i="1"/>
  <c r="G542" i="13"/>
  <c r="J542" i="13" s="1"/>
  <c r="K538" i="1"/>
  <c r="M950" i="1"/>
  <c r="M1054" i="1" s="1"/>
  <c r="M726" i="1"/>
  <c r="M625" i="1"/>
  <c r="L625" i="1"/>
  <c r="L726" i="1"/>
  <c r="G627" i="13"/>
  <c r="K623" i="1"/>
  <c r="N486" i="1"/>
  <c r="K489" i="1"/>
  <c r="M696" i="1"/>
  <c r="M596" i="1"/>
  <c r="K530" i="1"/>
  <c r="L633" i="1"/>
  <c r="G534" i="13"/>
  <c r="L533" i="1"/>
  <c r="M982" i="1"/>
  <c r="M1086" i="1" s="1"/>
  <c r="L662" i="1"/>
  <c r="G563" i="13"/>
  <c r="J563" i="13" s="1"/>
  <c r="K559" i="1"/>
  <c r="M638" i="1"/>
  <c r="O412" i="1"/>
  <c r="G368" i="13"/>
  <c r="N505" i="1"/>
  <c r="O505" i="1"/>
  <c r="M609" i="1"/>
  <c r="M710" i="1"/>
  <c r="K579" i="1"/>
  <c r="O579" i="1" s="1"/>
  <c r="L682" i="1"/>
  <c r="G583" i="13"/>
  <c r="J583" i="13" s="1"/>
  <c r="O521" i="1"/>
  <c r="N521" i="1"/>
  <c r="O507" i="1"/>
  <c r="L705" i="1"/>
  <c r="K602" i="1"/>
  <c r="G606" i="13"/>
  <c r="J606" i="13" s="1"/>
  <c r="M988" i="1"/>
  <c r="M1092" i="1" s="1"/>
  <c r="M639" i="1"/>
  <c r="J384" i="13"/>
  <c r="J395" i="13" s="1"/>
  <c r="J396" i="13" s="1"/>
  <c r="N187" i="1"/>
  <c r="N188" i="1" s="1"/>
  <c r="K188" i="1"/>
  <c r="K216" i="1" s="1"/>
  <c r="O187" i="1"/>
  <c r="O188" i="1" s="1"/>
  <c r="O516" i="1"/>
  <c r="N516" i="1"/>
  <c r="K519" i="1"/>
  <c r="N519" i="1" s="1"/>
  <c r="M887" i="1"/>
  <c r="M991" i="1" s="1"/>
  <c r="M1095" i="1" s="1"/>
  <c r="M1199" i="1" s="1"/>
  <c r="M1303" i="1" s="1"/>
  <c r="M717" i="1"/>
  <c r="L677" i="1"/>
  <c r="G578" i="13"/>
  <c r="L583" i="1"/>
  <c r="K574" i="1"/>
  <c r="O574" i="1" s="1"/>
  <c r="M841" i="1"/>
  <c r="M944" i="1" s="1"/>
  <c r="M1048" i="1" s="1"/>
  <c r="M760" i="1"/>
  <c r="M863" i="1" s="1"/>
  <c r="L609" i="1"/>
  <c r="L708" i="1"/>
  <c r="G609" i="13"/>
  <c r="K605" i="1"/>
  <c r="M750" i="1"/>
  <c r="O317" i="1"/>
  <c r="O318" i="1" s="1"/>
  <c r="K318" i="1"/>
  <c r="N317" i="1"/>
  <c r="N318" i="1" s="1"/>
  <c r="M494" i="1"/>
  <c r="N460" i="1"/>
  <c r="K468" i="1"/>
  <c r="N468" i="1" s="1"/>
  <c r="M704" i="1"/>
  <c r="M604" i="1"/>
  <c r="L657" i="1"/>
  <c r="G558" i="13"/>
  <c r="J558" i="13" s="1"/>
  <c r="K554" i="1"/>
  <c r="L696" i="1"/>
  <c r="G597" i="13"/>
  <c r="L596" i="1"/>
  <c r="K593" i="1"/>
  <c r="L649" i="1"/>
  <c r="G550" i="13"/>
  <c r="J550" i="13" s="1"/>
  <c r="K546" i="1"/>
  <c r="L692" i="1"/>
  <c r="K589" i="1"/>
  <c r="O589" i="1" s="1"/>
  <c r="G593" i="13"/>
  <c r="L592" i="1"/>
  <c r="L597" i="1" s="1"/>
  <c r="O446" i="1"/>
  <c r="L639" i="1"/>
  <c r="G540" i="13"/>
  <c r="J540" i="13" s="1"/>
  <c r="K536" i="1"/>
  <c r="N536" i="1" s="1"/>
  <c r="N508" i="1"/>
  <c r="O508" i="1"/>
  <c r="M821" i="1"/>
  <c r="K543" i="1"/>
  <c r="N543" i="1" s="1"/>
  <c r="L646" i="1"/>
  <c r="G547" i="13"/>
  <c r="J547" i="13" s="1"/>
  <c r="K590" i="1"/>
  <c r="L693" i="1"/>
  <c r="G594" i="13"/>
  <c r="J594" i="13" s="1"/>
  <c r="L722" i="1"/>
  <c r="K619" i="1"/>
  <c r="G623" i="13"/>
  <c r="L622" i="1"/>
  <c r="K570" i="1"/>
  <c r="L673" i="1"/>
  <c r="G574" i="13"/>
  <c r="J574" i="13" s="1"/>
  <c r="N481" i="1"/>
  <c r="K484" i="1"/>
  <c r="N484" i="1" s="1"/>
  <c r="M671" i="1"/>
  <c r="N437" i="1"/>
  <c r="O437" i="1"/>
  <c r="G353" i="13"/>
  <c r="N503" i="1"/>
  <c r="O503" i="1"/>
  <c r="M840" i="1"/>
  <c r="M754" i="1"/>
  <c r="J505" i="13"/>
  <c r="J509" i="13" s="1"/>
  <c r="G509" i="13"/>
  <c r="L710" i="1"/>
  <c r="G611" i="13"/>
  <c r="J611" i="13" s="1"/>
  <c r="K607" i="1"/>
  <c r="N607" i="1" s="1"/>
  <c r="N462" i="1"/>
  <c r="O462" i="1"/>
  <c r="M650" i="1"/>
  <c r="K616" i="1"/>
  <c r="L719" i="1"/>
  <c r="G620" i="13"/>
  <c r="J620" i="13" s="1"/>
  <c r="L523" i="1"/>
  <c r="L524" i="1" s="1"/>
  <c r="M669" i="1"/>
  <c r="G619" i="13"/>
  <c r="J619" i="13" s="1"/>
  <c r="L718" i="1"/>
  <c r="K615" i="1"/>
  <c r="O442" i="1"/>
  <c r="K382" i="1"/>
  <c r="O382" i="1" s="1"/>
  <c r="N377" i="1"/>
  <c r="M454" i="1"/>
  <c r="L698" i="1"/>
  <c r="G599" i="13"/>
  <c r="J599" i="13" s="1"/>
  <c r="K595" i="1"/>
  <c r="L666" i="1"/>
  <c r="G567" i="13"/>
  <c r="L571" i="1"/>
  <c r="K563" i="1"/>
  <c r="O563" i="1" s="1"/>
  <c r="K620" i="1"/>
  <c r="N620" i="1" s="1"/>
  <c r="L723" i="1"/>
  <c r="G624" i="13"/>
  <c r="J624" i="13" s="1"/>
  <c r="J458" i="13"/>
  <c r="J462" i="13" s="1"/>
  <c r="J472" i="13" s="1"/>
  <c r="G462" i="13"/>
  <c r="L612" i="1"/>
  <c r="L713" i="1"/>
  <c r="G614" i="13"/>
  <c r="K610" i="1"/>
  <c r="O610" i="1" s="1"/>
  <c r="M677" i="1"/>
  <c r="M583" i="1"/>
  <c r="M746" i="1"/>
  <c r="O491" i="1"/>
  <c r="N491" i="1"/>
  <c r="L664" i="1"/>
  <c r="G565" i="13"/>
  <c r="J565" i="13" s="1"/>
  <c r="K561" i="1"/>
  <c r="N561" i="1" s="1"/>
  <c r="L638" i="1"/>
  <c r="G539" i="13"/>
  <c r="J539" i="13" s="1"/>
  <c r="K535" i="1"/>
  <c r="N535" i="1" s="1"/>
  <c r="J513" i="13"/>
  <c r="J518" i="13" s="1"/>
  <c r="G518" i="13"/>
  <c r="O327" i="1"/>
  <c r="N327" i="1"/>
  <c r="K351" i="1"/>
  <c r="L549" i="1"/>
  <c r="L645" i="1"/>
  <c r="K542" i="1"/>
  <c r="O542" i="1" s="1"/>
  <c r="G546" i="13"/>
  <c r="M874" i="1"/>
  <c r="M523" i="1"/>
  <c r="M658" i="1"/>
  <c r="N451" i="1"/>
  <c r="O451" i="1"/>
  <c r="M562" i="1"/>
  <c r="M661" i="1"/>
  <c r="M1029" i="1"/>
  <c r="M1133" i="1" s="1"/>
  <c r="M770" i="1"/>
  <c r="M556" i="1"/>
  <c r="M656" i="1"/>
  <c r="J493" i="13"/>
  <c r="J496" i="13" s="1"/>
  <c r="G496" i="13"/>
  <c r="O386" i="1"/>
  <c r="O279" i="1"/>
  <c r="K290" i="1"/>
  <c r="O290" i="1" s="1"/>
  <c r="O291" i="1" s="1"/>
  <c r="N279" i="1"/>
  <c r="M752" i="1"/>
  <c r="L717" i="1"/>
  <c r="G618" i="13"/>
  <c r="J618" i="13" s="1"/>
  <c r="K614" i="1"/>
  <c r="N614" i="1" s="1"/>
  <c r="L454" i="1"/>
  <c r="O439" i="1"/>
  <c r="K420" i="1"/>
  <c r="N398" i="1"/>
  <c r="M917" i="1"/>
  <c r="L643" i="1"/>
  <c r="G544" i="13"/>
  <c r="J544" i="13" s="1"/>
  <c r="K540" i="1"/>
  <c r="J368" i="13"/>
  <c r="J369" i="13" s="1"/>
  <c r="L714" i="1"/>
  <c r="K611" i="1"/>
  <c r="G615" i="13"/>
  <c r="J615" i="13" s="1"/>
  <c r="L681" i="1"/>
  <c r="G582" i="13"/>
  <c r="J582" i="13" s="1"/>
  <c r="K578" i="1"/>
  <c r="O578" i="1" s="1"/>
  <c r="L671" i="1"/>
  <c r="G572" i="13"/>
  <c r="J572" i="13" s="1"/>
  <c r="K568" i="1"/>
  <c r="N568" i="1" s="1"/>
  <c r="L634" i="1"/>
  <c r="G535" i="13"/>
  <c r="J535" i="13" s="1"/>
  <c r="K531" i="1"/>
  <c r="M421" i="1"/>
  <c r="O420" i="1"/>
  <c r="O421" i="1" s="1"/>
  <c r="M995" i="1"/>
  <c r="M1099" i="1" s="1"/>
  <c r="K624" i="1"/>
  <c r="L727" i="1"/>
  <c r="G628" i="13"/>
  <c r="M612" i="1"/>
  <c r="M713" i="1"/>
  <c r="N487" i="1"/>
  <c r="O487" i="1"/>
  <c r="O335" i="1"/>
  <c r="O436" i="1"/>
  <c r="N248" i="1"/>
  <c r="K264" i="1"/>
  <c r="G393" i="13"/>
  <c r="N429" i="1"/>
  <c r="O429" i="1"/>
  <c r="M812" i="1"/>
  <c r="L651" i="1"/>
  <c r="G552" i="13"/>
  <c r="J552" i="13" s="1"/>
  <c r="K548" i="1"/>
  <c r="N514" i="1"/>
  <c r="O514" i="1"/>
  <c r="J519" i="13"/>
  <c r="J522" i="13" s="1"/>
  <c r="G522" i="13"/>
  <c r="M823" i="1"/>
  <c r="N467" i="1"/>
  <c r="O467" i="1"/>
  <c r="M903" i="1"/>
  <c r="O460" i="1"/>
  <c r="K537" i="1"/>
  <c r="L640" i="1"/>
  <c r="G541" i="13"/>
  <c r="J541" i="13" s="1"/>
  <c r="J474" i="13"/>
  <c r="J483" i="13" s="1"/>
  <c r="G483" i="13"/>
  <c r="L587" i="1"/>
  <c r="L687" i="1"/>
  <c r="G588" i="13"/>
  <c r="K584" i="1"/>
  <c r="L688" i="1"/>
  <c r="K585" i="1"/>
  <c r="N585" i="1" s="1"/>
  <c r="G589" i="13"/>
  <c r="J589" i="13" s="1"/>
  <c r="K606" i="1"/>
  <c r="L709" i="1"/>
  <c r="G610" i="13"/>
  <c r="J610" i="13" s="1"/>
  <c r="M724" i="1"/>
  <c r="J501" i="13"/>
  <c r="J504" i="13" s="1"/>
  <c r="G504" i="13"/>
  <c r="M911" i="1"/>
  <c r="K545" i="1"/>
  <c r="N545" i="1" s="1"/>
  <c r="L648" i="1"/>
  <c r="G549" i="13"/>
  <c r="J549" i="13" s="1"/>
  <c r="K558" i="1"/>
  <c r="O558" i="1" s="1"/>
  <c r="L661" i="1"/>
  <c r="G562" i="13"/>
  <c r="L562" i="1"/>
  <c r="L716" i="1"/>
  <c r="G617" i="13"/>
  <c r="L618" i="1"/>
  <c r="K613" i="1"/>
  <c r="O613" i="1" s="1"/>
  <c r="N457" i="1"/>
  <c r="O457" i="1"/>
  <c r="N461" i="1"/>
  <c r="O461" i="1"/>
  <c r="N356" i="1"/>
  <c r="K366" i="1"/>
  <c r="N366" i="1" s="1"/>
  <c r="M393" i="1"/>
  <c r="J320" i="13"/>
  <c r="J453" i="13"/>
  <c r="J456" i="13" s="1"/>
  <c r="G456" i="13"/>
  <c r="M723" i="1"/>
  <c r="L679" i="1"/>
  <c r="G580" i="13"/>
  <c r="J580" i="13" s="1"/>
  <c r="K576" i="1"/>
  <c r="O576" i="1" s="1"/>
  <c r="N502" i="1"/>
  <c r="K506" i="1"/>
  <c r="N506" i="1" s="1"/>
  <c r="O518" i="1"/>
  <c r="L678" i="1"/>
  <c r="G579" i="13"/>
  <c r="J579" i="13" s="1"/>
  <c r="K575" i="1"/>
  <c r="N498" i="1"/>
  <c r="K501" i="1"/>
  <c r="M648" i="1"/>
  <c r="N161" i="1"/>
  <c r="O161" i="1"/>
  <c r="M633" i="1"/>
  <c r="O530" i="1"/>
  <c r="M533" i="1"/>
  <c r="L647" i="1"/>
  <c r="G548" i="13"/>
  <c r="J548" i="13" s="1"/>
  <c r="N390" i="1"/>
  <c r="O390" i="1"/>
  <c r="L469" i="1"/>
  <c r="M817" i="1"/>
  <c r="N471" i="1"/>
  <c r="K480" i="1"/>
  <c r="L724" i="1"/>
  <c r="G625" i="13"/>
  <c r="J625" i="13" s="1"/>
  <c r="K621" i="1"/>
  <c r="N621" i="1" s="1"/>
  <c r="N479" i="1"/>
  <c r="O479" i="1"/>
  <c r="K594" i="1"/>
  <c r="L697" i="1"/>
  <c r="G598" i="13"/>
  <c r="J598" i="13" s="1"/>
  <c r="O488" i="1"/>
  <c r="N488" i="1"/>
  <c r="O510" i="1"/>
  <c r="N510" i="1"/>
  <c r="K515" i="1"/>
  <c r="N515" i="1" s="1"/>
  <c r="M680" i="1"/>
  <c r="M783" i="1" s="1"/>
  <c r="M886" i="1" s="1"/>
  <c r="M990" i="1" s="1"/>
  <c r="M1094" i="1" s="1"/>
  <c r="M1198" i="1" s="1"/>
  <c r="M912" i="1"/>
  <c r="K560" i="1"/>
  <c r="L663" i="1"/>
  <c r="G564" i="13"/>
  <c r="J564" i="13" s="1"/>
  <c r="O502" i="1"/>
  <c r="K564" i="1"/>
  <c r="L667" i="1"/>
  <c r="G568" i="13"/>
  <c r="J568" i="13" s="1"/>
  <c r="O498" i="1"/>
  <c r="K547" i="1"/>
  <c r="N547" i="1" s="1"/>
  <c r="L650" i="1"/>
  <c r="G551" i="13"/>
  <c r="J551" i="13" s="1"/>
  <c r="L642" i="1"/>
  <c r="G543" i="13"/>
  <c r="J543" i="13" s="1"/>
  <c r="K539" i="1"/>
  <c r="N539" i="1" s="1"/>
  <c r="N500" i="1"/>
  <c r="O500" i="1"/>
  <c r="G422" i="13"/>
  <c r="G423" i="13" s="1"/>
  <c r="M469" i="1"/>
  <c r="O459" i="1"/>
  <c r="K581" i="1"/>
  <c r="O581" i="1" s="1"/>
  <c r="L684" i="1"/>
  <c r="G585" i="13"/>
  <c r="J585" i="13" s="1"/>
  <c r="M740" i="1"/>
  <c r="N435" i="1"/>
  <c r="O435" i="1"/>
  <c r="M716" i="1"/>
  <c r="M618" i="1"/>
  <c r="N490" i="1"/>
  <c r="K493" i="1"/>
  <c r="N493" i="1" s="1"/>
  <c r="O416" i="1"/>
  <c r="N443" i="1"/>
  <c r="O443" i="1"/>
  <c r="O520" i="1"/>
  <c r="K522" i="1"/>
  <c r="N522" i="1" s="1"/>
  <c r="N520" i="1"/>
  <c r="J489" i="13"/>
  <c r="J492" i="13" s="1"/>
  <c r="G492" i="13"/>
  <c r="N427" i="1"/>
  <c r="K430" i="1"/>
  <c r="O430" i="1" s="1"/>
  <c r="M549" i="1"/>
  <c r="M645" i="1"/>
  <c r="N456" i="1"/>
  <c r="O456" i="1"/>
  <c r="L683" i="1"/>
  <c r="G584" i="13"/>
  <c r="J584" i="13" s="1"/>
  <c r="K580" i="1"/>
  <c r="O580" i="1" s="1"/>
  <c r="K569" i="1"/>
  <c r="L672" i="1"/>
  <c r="G573" i="13"/>
  <c r="J573" i="13" s="1"/>
  <c r="M765" i="1"/>
  <c r="K608" i="1"/>
  <c r="L711" i="1"/>
  <c r="G612" i="13"/>
  <c r="J612" i="13" s="1"/>
  <c r="M766" i="1"/>
  <c r="N428" i="1"/>
  <c r="O428" i="1"/>
  <c r="M689" i="1"/>
  <c r="N499" i="1"/>
  <c r="O499" i="1"/>
  <c r="M367" i="1"/>
  <c r="O351" i="1"/>
  <c r="M642" i="1"/>
  <c r="M291" i="1"/>
  <c r="M319" i="1" s="1"/>
  <c r="L635" i="1"/>
  <c r="K532" i="1"/>
  <c r="G536" i="13"/>
  <c r="J536" i="13" s="1"/>
  <c r="L668" i="1"/>
  <c r="G569" i="13"/>
  <c r="J569" i="13" s="1"/>
  <c r="K565" i="1"/>
  <c r="N431" i="1"/>
  <c r="K438" i="1"/>
  <c r="O431" i="1"/>
  <c r="M796" i="1"/>
  <c r="O482" i="1"/>
  <c r="K586" i="1"/>
  <c r="N586" i="1" s="1"/>
  <c r="L689" i="1"/>
  <c r="G590" i="13"/>
  <c r="J590" i="13" s="1"/>
  <c r="M666" i="1"/>
  <c r="M571" i="1"/>
  <c r="N434" i="1"/>
  <c r="O434" i="1"/>
  <c r="M128" i="17"/>
  <c r="N128" i="17"/>
  <c r="G111" i="13"/>
  <c r="G112" i="13" s="1"/>
  <c r="J111" i="13"/>
  <c r="J112" i="13" s="1"/>
  <c r="F84" i="13"/>
  <c r="F85" i="13" s="1"/>
  <c r="J42" i="13"/>
  <c r="J58" i="13" s="1"/>
  <c r="K69" i="17"/>
  <c r="N36" i="17"/>
  <c r="G82" i="13"/>
  <c r="G42" i="13"/>
  <c r="G58" i="13" s="1"/>
  <c r="O110" i="1"/>
  <c r="O41" i="1"/>
  <c r="O107" i="1"/>
  <c r="F58" i="13"/>
  <c r="O72" i="1"/>
  <c r="I84" i="13"/>
  <c r="I85" i="13" s="1"/>
  <c r="I113" i="13" s="1"/>
  <c r="L58" i="1"/>
  <c r="L68" i="17"/>
  <c r="J67" i="17"/>
  <c r="N55" i="17"/>
  <c r="I67" i="17"/>
  <c r="F68" i="17"/>
  <c r="M27" i="17"/>
  <c r="N27" i="17"/>
  <c r="N37" i="17"/>
  <c r="M19" i="17"/>
  <c r="J28" i="17"/>
  <c r="N19" i="17"/>
  <c r="Q28" i="17"/>
  <c r="Q69" i="17" s="1"/>
  <c r="N61" i="17"/>
  <c r="O103" i="1"/>
  <c r="G82" i="1"/>
  <c r="J82" i="1" s="1"/>
  <c r="J73" i="1"/>
  <c r="O94" i="1"/>
  <c r="N79" i="1"/>
  <c r="O79" i="1"/>
  <c r="K81" i="1"/>
  <c r="N34" i="1"/>
  <c r="O34" i="1"/>
  <c r="N18" i="1"/>
  <c r="K42" i="1"/>
  <c r="O42" i="1" s="1"/>
  <c r="O18" i="1"/>
  <c r="O26" i="1"/>
  <c r="G112" i="1"/>
  <c r="J111" i="1"/>
  <c r="J112" i="1" s="1"/>
  <c r="M112" i="1"/>
  <c r="M58" i="1"/>
  <c r="N77" i="1"/>
  <c r="J42" i="1"/>
  <c r="G58" i="1"/>
  <c r="N49" i="1"/>
  <c r="K56" i="1"/>
  <c r="O77" i="1"/>
  <c r="N37" i="1"/>
  <c r="O37" i="1"/>
  <c r="N89" i="1"/>
  <c r="K111" i="1"/>
  <c r="O111" i="1" s="1"/>
  <c r="O112" i="1" s="1"/>
  <c r="O89" i="1"/>
  <c r="O484" i="1" l="1"/>
  <c r="M1203" i="1"/>
  <c r="M1407" i="1"/>
  <c r="M1511" i="1" s="1"/>
  <c r="M1158" i="1"/>
  <c r="M1262" i="1" s="1"/>
  <c r="M1366" i="1" s="1"/>
  <c r="I455" i="16"/>
  <c r="I508" i="16"/>
  <c r="F590" i="16"/>
  <c r="M1408" i="1"/>
  <c r="L929" i="17"/>
  <c r="L989" i="17" s="1"/>
  <c r="L1049" i="17" s="1"/>
  <c r="I522" i="16"/>
  <c r="F604" i="16"/>
  <c r="Q386" i="17"/>
  <c r="K445" i="17"/>
  <c r="F589" i="16"/>
  <c r="I507" i="16"/>
  <c r="Q368" i="17"/>
  <c r="K427" i="17"/>
  <c r="J368" i="17"/>
  <c r="M1409" i="1"/>
  <c r="M1513" i="1" s="1"/>
  <c r="M1617" i="1" s="1"/>
  <c r="M1721" i="1" s="1"/>
  <c r="M1302" i="1"/>
  <c r="M588" i="1"/>
  <c r="M1196" i="1"/>
  <c r="M1300" i="1" s="1"/>
  <c r="M1404" i="1" s="1"/>
  <c r="M1190" i="1"/>
  <c r="M1294" i="1" s="1"/>
  <c r="N415" i="17"/>
  <c r="Q314" i="17"/>
  <c r="M1613" i="1"/>
  <c r="M309" i="17"/>
  <c r="N309" i="17"/>
  <c r="M1320" i="1"/>
  <c r="M1323" i="1"/>
  <c r="M1722" i="1"/>
  <c r="L572" i="1"/>
  <c r="M1237" i="1"/>
  <c r="M1152" i="1"/>
  <c r="M1256" i="1" s="1"/>
  <c r="M1360" i="1" s="1"/>
  <c r="M1245" i="1"/>
  <c r="M1349" i="1" s="1"/>
  <c r="N409" i="17"/>
  <c r="N349" i="17"/>
  <c r="K364" i="17"/>
  <c r="N320" i="17"/>
  <c r="N329" i="17"/>
  <c r="N334" i="17"/>
  <c r="L604" i="17"/>
  <c r="L663" i="17" s="1"/>
  <c r="L722" i="17" s="1"/>
  <c r="L781" i="17" s="1"/>
  <c r="L841" i="17" s="1"/>
  <c r="I550" i="16"/>
  <c r="F632" i="16"/>
  <c r="I511" i="16"/>
  <c r="F593" i="16"/>
  <c r="I499" i="16"/>
  <c r="I575" i="16"/>
  <c r="F657" i="16"/>
  <c r="F609" i="16"/>
  <c r="I527" i="16"/>
  <c r="I553" i="16"/>
  <c r="F635" i="16"/>
  <c r="F654" i="16"/>
  <c r="I572" i="16"/>
  <c r="F601" i="16"/>
  <c r="I519" i="16"/>
  <c r="I529" i="16"/>
  <c r="F611" i="16"/>
  <c r="F639" i="16"/>
  <c r="I557" i="16"/>
  <c r="I528" i="16"/>
  <c r="F610" i="16"/>
  <c r="F628" i="16"/>
  <c r="I546" i="16"/>
  <c r="F662" i="16"/>
  <c r="I580" i="16"/>
  <c r="I555" i="16"/>
  <c r="F637" i="16"/>
  <c r="I551" i="16"/>
  <c r="F633" i="16"/>
  <c r="F647" i="16"/>
  <c r="I565" i="16"/>
  <c r="I579" i="16"/>
  <c r="F661" i="16"/>
  <c r="I535" i="16"/>
  <c r="F617" i="16"/>
  <c r="I420" i="16"/>
  <c r="I532" i="16"/>
  <c r="F614" i="16"/>
  <c r="F597" i="16"/>
  <c r="I515" i="16"/>
  <c r="F627" i="16"/>
  <c r="I545" i="16"/>
  <c r="I561" i="16"/>
  <c r="F643" i="16"/>
  <c r="I556" i="16"/>
  <c r="F638" i="16"/>
  <c r="I536" i="16"/>
  <c r="F618" i="16"/>
  <c r="F596" i="16"/>
  <c r="I514" i="16"/>
  <c r="I478" i="16"/>
  <c r="F640" i="16"/>
  <c r="I558" i="16"/>
  <c r="I548" i="16"/>
  <c r="F630" i="16"/>
  <c r="F651" i="16"/>
  <c r="I569" i="16"/>
  <c r="F592" i="16"/>
  <c r="I510" i="16"/>
  <c r="I549" i="16"/>
  <c r="F631" i="16"/>
  <c r="F605" i="16"/>
  <c r="I523" i="16"/>
  <c r="I566" i="16"/>
  <c r="F648" i="16"/>
  <c r="F655" i="16"/>
  <c r="I573" i="16"/>
  <c r="I525" i="16"/>
  <c r="F607" i="16"/>
  <c r="I516" i="16"/>
  <c r="F598" i="16"/>
  <c r="I554" i="16"/>
  <c r="F636" i="16"/>
  <c r="F616" i="16"/>
  <c r="I534" i="16"/>
  <c r="I537" i="16" s="1"/>
  <c r="I571" i="16"/>
  <c r="F653" i="16"/>
  <c r="I439" i="16"/>
  <c r="F658" i="16"/>
  <c r="I576" i="16"/>
  <c r="I567" i="16"/>
  <c r="F649" i="16"/>
  <c r="F624" i="16"/>
  <c r="I542" i="16"/>
  <c r="F650" i="16"/>
  <c r="I568" i="16"/>
  <c r="I564" i="16"/>
  <c r="F646" i="16"/>
  <c r="I570" i="16"/>
  <c r="F652" i="16"/>
  <c r="F600" i="16"/>
  <c r="I518" i="16"/>
  <c r="I543" i="16"/>
  <c r="F625" i="16"/>
  <c r="I552" i="16"/>
  <c r="F634" i="16"/>
  <c r="I559" i="16"/>
  <c r="F641" i="16"/>
  <c r="I451" i="16"/>
  <c r="I541" i="16"/>
  <c r="F623" i="16"/>
  <c r="I578" i="16"/>
  <c r="F660" i="16"/>
  <c r="F613" i="16"/>
  <c r="I531" i="16"/>
  <c r="I512" i="16"/>
  <c r="F594" i="16"/>
  <c r="I540" i="16"/>
  <c r="F622" i="16"/>
  <c r="I517" i="16"/>
  <c r="F599" i="16"/>
  <c r="F659" i="16"/>
  <c r="I577" i="16"/>
  <c r="I562" i="16"/>
  <c r="F644" i="16"/>
  <c r="I509" i="16"/>
  <c r="F591" i="16"/>
  <c r="F645" i="16"/>
  <c r="I563" i="16"/>
  <c r="I547" i="16"/>
  <c r="F629" i="16"/>
  <c r="I574" i="16"/>
  <c r="F656" i="16"/>
  <c r="I513" i="16"/>
  <c r="F595" i="16"/>
  <c r="F608" i="16"/>
  <c r="I526" i="16"/>
  <c r="I530" i="16"/>
  <c r="F612" i="16"/>
  <c r="I520" i="16"/>
  <c r="F602" i="16"/>
  <c r="I524" i="16"/>
  <c r="F606" i="16"/>
  <c r="I544" i="16"/>
  <c r="F626" i="16"/>
  <c r="N406" i="17"/>
  <c r="M406" i="17"/>
  <c r="Q362" i="17"/>
  <c r="Q363" i="17" s="1"/>
  <c r="L515" i="17"/>
  <c r="M347" i="17"/>
  <c r="N347" i="17"/>
  <c r="M404" i="17"/>
  <c r="N404" i="17"/>
  <c r="N315" i="17"/>
  <c r="M315" i="17"/>
  <c r="J322" i="17"/>
  <c r="M322" i="17" s="1"/>
  <c r="M324" i="17"/>
  <c r="J331" i="17"/>
  <c r="M331" i="17" s="1"/>
  <c r="K453" i="17"/>
  <c r="Q394" i="17"/>
  <c r="J394" i="17"/>
  <c r="M394" i="17" s="1"/>
  <c r="Q417" i="17"/>
  <c r="K476" i="17"/>
  <c r="J417" i="17"/>
  <c r="M417" i="17" s="1"/>
  <c r="N338" i="17"/>
  <c r="J362" i="17"/>
  <c r="M362" i="17" s="1"/>
  <c r="M338" i="17"/>
  <c r="L475" i="17"/>
  <c r="L444" i="17"/>
  <c r="M321" i="17"/>
  <c r="N321" i="17"/>
  <c r="J304" i="17"/>
  <c r="M303" i="17"/>
  <c r="N303" i="17"/>
  <c r="Q384" i="17"/>
  <c r="K443" i="17"/>
  <c r="J384" i="17"/>
  <c r="M384" i="17" s="1"/>
  <c r="L548" i="17"/>
  <c r="M355" i="17"/>
  <c r="N355" i="17"/>
  <c r="N322" i="17"/>
  <c r="K471" i="17"/>
  <c r="Q412" i="17"/>
  <c r="J412" i="17"/>
  <c r="M412" i="17" s="1"/>
  <c r="K435" i="17"/>
  <c r="Q376" i="17"/>
  <c r="J376" i="17"/>
  <c r="Q322" i="17"/>
  <c r="Q323" i="17" s="1"/>
  <c r="J332" i="17"/>
  <c r="M332" i="17" s="1"/>
  <c r="N328" i="17"/>
  <c r="K461" i="17"/>
  <c r="Q402" i="17"/>
  <c r="J402" i="17"/>
  <c r="L466" i="17"/>
  <c r="L431" i="17"/>
  <c r="L575" i="17"/>
  <c r="N336" i="17"/>
  <c r="L646" i="17"/>
  <c r="Q395" i="17"/>
  <c r="K454" i="17"/>
  <c r="J395" i="17"/>
  <c r="M395" i="17" s="1"/>
  <c r="K458" i="17"/>
  <c r="Q399" i="17"/>
  <c r="J399" i="17"/>
  <c r="M399" i="17" s="1"/>
  <c r="L553" i="17"/>
  <c r="J463" i="17"/>
  <c r="K522" i="17"/>
  <c r="Q463" i="17"/>
  <c r="L428" i="17"/>
  <c r="L373" i="17"/>
  <c r="L442" i="17"/>
  <c r="L390" i="17"/>
  <c r="N341" i="17"/>
  <c r="L447" i="17"/>
  <c r="L476" i="17"/>
  <c r="N417" i="17"/>
  <c r="L464" i="17"/>
  <c r="L832" i="17"/>
  <c r="L892" i="17" s="1"/>
  <c r="L952" i="17" s="1"/>
  <c r="M339" i="17"/>
  <c r="N339" i="17"/>
  <c r="Q370" i="17"/>
  <c r="K429" i="17"/>
  <c r="J370" i="17"/>
  <c r="M370" i="17" s="1"/>
  <c r="L433" i="17"/>
  <c r="L381" i="17"/>
  <c r="Q331" i="17"/>
  <c r="Q332" i="17" s="1"/>
  <c r="L557" i="17"/>
  <c r="N333" i="17"/>
  <c r="Q418" i="17"/>
  <c r="K477" i="17"/>
  <c r="J418" i="17"/>
  <c r="L452" i="17"/>
  <c r="N325" i="17"/>
  <c r="M312" i="17"/>
  <c r="N312" i="17"/>
  <c r="J387" i="17"/>
  <c r="K446" i="17"/>
  <c r="Q387" i="17"/>
  <c r="M343" i="17"/>
  <c r="N343" i="17"/>
  <c r="Q397" i="17"/>
  <c r="K456" i="17"/>
  <c r="J397" i="17"/>
  <c r="N319" i="17"/>
  <c r="N352" i="17"/>
  <c r="N353" i="17"/>
  <c r="L524" i="17"/>
  <c r="L581" i="17"/>
  <c r="L640" i="17" s="1"/>
  <c r="K467" i="17"/>
  <c r="Q408" i="17"/>
  <c r="J408" i="17"/>
  <c r="M408" i="17" s="1"/>
  <c r="K439" i="17"/>
  <c r="Q380" i="17"/>
  <c r="J380" i="17"/>
  <c r="M310" i="17"/>
  <c r="J314" i="17"/>
  <c r="L591" i="17"/>
  <c r="L454" i="17"/>
  <c r="N395" i="17"/>
  <c r="L527" i="17"/>
  <c r="N410" i="17"/>
  <c r="M410" i="17"/>
  <c r="L531" i="17"/>
  <c r="M354" i="17"/>
  <c r="N354" i="17"/>
  <c r="Q468" i="17"/>
  <c r="K527" i="17"/>
  <c r="J468" i="17"/>
  <c r="M468" i="17" s="1"/>
  <c r="N403" i="17"/>
  <c r="K452" i="17"/>
  <c r="Q393" i="17"/>
  <c r="J393" i="17"/>
  <c r="M393" i="17" s="1"/>
  <c r="K465" i="17"/>
  <c r="Q406" i="17"/>
  <c r="N316" i="17"/>
  <c r="Q401" i="17"/>
  <c r="K460" i="17"/>
  <c r="J401" i="17"/>
  <c r="M401" i="17" s="1"/>
  <c r="J363" i="17"/>
  <c r="L459" i="17"/>
  <c r="K431" i="17"/>
  <c r="Q372" i="17"/>
  <c r="J372" i="17"/>
  <c r="M372" i="17" s="1"/>
  <c r="Q414" i="17"/>
  <c r="K473" i="17"/>
  <c r="J414" i="17"/>
  <c r="J462" i="17"/>
  <c r="M462" i="17" s="1"/>
  <c r="K521" i="17"/>
  <c r="Q462" i="17"/>
  <c r="L429" i="17"/>
  <c r="N255" i="17"/>
  <c r="J264" i="17"/>
  <c r="M264" i="17" s="1"/>
  <c r="M255" i="17"/>
  <c r="K433" i="17"/>
  <c r="K381" i="17"/>
  <c r="Q374" i="17"/>
  <c r="J374" i="17"/>
  <c r="N374" i="17" s="1"/>
  <c r="N272" i="17"/>
  <c r="K447" i="17"/>
  <c r="Q388" i="17"/>
  <c r="J388" i="17"/>
  <c r="M388" i="17" s="1"/>
  <c r="J383" i="17"/>
  <c r="K442" i="17"/>
  <c r="Q383" i="17"/>
  <c r="K390" i="17"/>
  <c r="K391" i="17" s="1"/>
  <c r="M317" i="17"/>
  <c r="N317" i="17"/>
  <c r="J392" i="17"/>
  <c r="M392" i="17" s="1"/>
  <c r="L451" i="17"/>
  <c r="J377" i="17"/>
  <c r="M377" i="17" s="1"/>
  <c r="K436" i="17"/>
  <c r="Q377" i="17"/>
  <c r="K470" i="17"/>
  <c r="Q411" i="17"/>
  <c r="J411" i="17"/>
  <c r="M411" i="17" s="1"/>
  <c r="N340" i="17"/>
  <c r="L443" i="17"/>
  <c r="N384" i="17"/>
  <c r="N342" i="17"/>
  <c r="Q371" i="17"/>
  <c r="K430" i="17"/>
  <c r="J371" i="17"/>
  <c r="K466" i="17"/>
  <c r="Q407" i="17"/>
  <c r="J407" i="17"/>
  <c r="M407" i="17" s="1"/>
  <c r="Q389" i="17"/>
  <c r="K448" i="17"/>
  <c r="J389" i="17"/>
  <c r="M389" i="17" s="1"/>
  <c r="L437" i="17"/>
  <c r="L470" i="17"/>
  <c r="L471" i="17"/>
  <c r="N412" i="17"/>
  <c r="K475" i="17"/>
  <c r="Q416" i="17"/>
  <c r="J416" i="17"/>
  <c r="M416" i="17" s="1"/>
  <c r="Q379" i="17"/>
  <c r="K438" i="17"/>
  <c r="J379" i="17"/>
  <c r="M379" i="17" s="1"/>
  <c r="L478" i="17"/>
  <c r="L448" i="17"/>
  <c r="N389" i="17"/>
  <c r="J474" i="17"/>
  <c r="M474" i="17" s="1"/>
  <c r="K533" i="17"/>
  <c r="Q474" i="17"/>
  <c r="L533" i="17"/>
  <c r="N474" i="17"/>
  <c r="K459" i="17"/>
  <c r="Q400" i="17"/>
  <c r="J400" i="17"/>
  <c r="M400" i="17" s="1"/>
  <c r="L579" i="17"/>
  <c r="K428" i="17"/>
  <c r="Q369" i="17"/>
  <c r="K373" i="17"/>
  <c r="K382" i="17" s="1"/>
  <c r="K423" i="17" s="1"/>
  <c r="J369" i="17"/>
  <c r="L445" i="17"/>
  <c r="J386" i="17"/>
  <c r="M386" i="17" s="1"/>
  <c r="K478" i="17"/>
  <c r="Q419" i="17"/>
  <c r="J419" i="17"/>
  <c r="M419" i="17" s="1"/>
  <c r="N360" i="17"/>
  <c r="K528" i="17"/>
  <c r="Q469" i="17"/>
  <c r="J469" i="17"/>
  <c r="Q413" i="17"/>
  <c r="K472" i="17"/>
  <c r="J413" i="17"/>
  <c r="L521" i="17"/>
  <c r="N462" i="17"/>
  <c r="L421" i="17"/>
  <c r="L422" i="17" s="1"/>
  <c r="L467" i="17"/>
  <c r="L434" i="17"/>
  <c r="J246" i="17"/>
  <c r="M246" i="17" s="1"/>
  <c r="L323" i="17"/>
  <c r="L332" i="17"/>
  <c r="N332" i="17" s="1"/>
  <c r="N331" i="17"/>
  <c r="K455" i="17"/>
  <c r="Q396" i="17"/>
  <c r="J396" i="17"/>
  <c r="Q392" i="17"/>
  <c r="K451" i="17"/>
  <c r="K421" i="17"/>
  <c r="K422" i="17" s="1"/>
  <c r="L438" i="17"/>
  <c r="N379" i="17"/>
  <c r="L363" i="17"/>
  <c r="N362" i="17"/>
  <c r="L505" i="17"/>
  <c r="L564" i="17" s="1"/>
  <c r="Q385" i="17"/>
  <c r="K444" i="17"/>
  <c r="J385" i="17"/>
  <c r="M385" i="17" s="1"/>
  <c r="L436" i="17"/>
  <c r="N377" i="17"/>
  <c r="K437" i="17"/>
  <c r="J378" i="17"/>
  <c r="M378" i="17" s="1"/>
  <c r="Q378" i="17"/>
  <c r="K457" i="17"/>
  <c r="Q398" i="17"/>
  <c r="J398" i="17"/>
  <c r="L305" i="17"/>
  <c r="N264" i="17"/>
  <c r="L479" i="17"/>
  <c r="J273" i="17"/>
  <c r="M273" i="17" s="1"/>
  <c r="Q305" i="17"/>
  <c r="L453" i="17"/>
  <c r="N394" i="17"/>
  <c r="Q405" i="17"/>
  <c r="K464" i="17"/>
  <c r="J405" i="17"/>
  <c r="M405" i="17" s="1"/>
  <c r="M359" i="17"/>
  <c r="N359" i="17"/>
  <c r="L458" i="17"/>
  <c r="N399" i="17"/>
  <c r="N205" i="17"/>
  <c r="L460" i="17"/>
  <c r="K479" i="17"/>
  <c r="Q420" i="17"/>
  <c r="J420" i="17"/>
  <c r="M420" i="17" s="1"/>
  <c r="N263" i="17"/>
  <c r="Q375" i="17"/>
  <c r="K434" i="17"/>
  <c r="J375" i="17"/>
  <c r="M375" i="17" s="1"/>
  <c r="N357" i="17"/>
  <c r="N326" i="17"/>
  <c r="N348" i="17"/>
  <c r="N187" i="17"/>
  <c r="O555" i="1"/>
  <c r="G472" i="13"/>
  <c r="O568" i="1"/>
  <c r="N654" i="1"/>
  <c r="O654" i="1"/>
  <c r="L735" i="1"/>
  <c r="G637" i="13"/>
  <c r="J637" i="13" s="1"/>
  <c r="K632" i="1"/>
  <c r="N632" i="1" s="1"/>
  <c r="L756" i="1"/>
  <c r="K653" i="1"/>
  <c r="L655" i="1"/>
  <c r="G658" i="13"/>
  <c r="J658" i="13" s="1"/>
  <c r="O598" i="1"/>
  <c r="N598" i="1"/>
  <c r="M655" i="1"/>
  <c r="M756" i="1"/>
  <c r="O653" i="1"/>
  <c r="O509" i="1"/>
  <c r="O519" i="1"/>
  <c r="O757" i="1"/>
  <c r="J659" i="13"/>
  <c r="J660" i="13" s="1"/>
  <c r="G660" i="13"/>
  <c r="O529" i="1"/>
  <c r="O539" i="1"/>
  <c r="O566" i="1"/>
  <c r="O561" i="1"/>
  <c r="N550" i="1"/>
  <c r="K552" i="1"/>
  <c r="N552" i="1" s="1"/>
  <c r="M964" i="1"/>
  <c r="M1068" i="1" s="1"/>
  <c r="M1172" i="1" s="1"/>
  <c r="L860" i="1"/>
  <c r="K860" i="1" s="1"/>
  <c r="G763" i="13"/>
  <c r="K701" i="1"/>
  <c r="L804" i="1"/>
  <c r="G706" i="13"/>
  <c r="J706" i="13" s="1"/>
  <c r="M735" i="1"/>
  <c r="O632" i="1"/>
  <c r="J488" i="13"/>
  <c r="G395" i="13"/>
  <c r="G396" i="13" s="1"/>
  <c r="G497" i="13"/>
  <c r="J526" i="13"/>
  <c r="J527" i="13" s="1"/>
  <c r="J424" i="13"/>
  <c r="G369" i="13"/>
  <c r="G424" i="13" s="1"/>
  <c r="N565" i="1"/>
  <c r="O565" i="1"/>
  <c r="L775" i="1"/>
  <c r="G677" i="13"/>
  <c r="J677" i="13" s="1"/>
  <c r="K672" i="1"/>
  <c r="G702" i="13"/>
  <c r="J702" i="13" s="1"/>
  <c r="L800" i="1"/>
  <c r="K697" i="1"/>
  <c r="L781" i="1"/>
  <c r="G683" i="13"/>
  <c r="J683" i="13" s="1"/>
  <c r="K678" i="1"/>
  <c r="M826" i="1"/>
  <c r="N613" i="1"/>
  <c r="K618" i="1"/>
  <c r="N618" i="1" s="1"/>
  <c r="M1015" i="1"/>
  <c r="M1119" i="1" s="1"/>
  <c r="K727" i="1"/>
  <c r="L830" i="1"/>
  <c r="G732" i="13"/>
  <c r="L737" i="1"/>
  <c r="G639" i="13"/>
  <c r="J639" i="13" s="1"/>
  <c r="K634" i="1"/>
  <c r="N611" i="1"/>
  <c r="O611" i="1"/>
  <c r="L822" i="1"/>
  <c r="G724" i="13"/>
  <c r="J724" i="13" s="1"/>
  <c r="K719" i="1"/>
  <c r="M857" i="1"/>
  <c r="L795" i="1"/>
  <c r="G697" i="13"/>
  <c r="L695" i="1"/>
  <c r="K692" i="1"/>
  <c r="L728" i="1"/>
  <c r="L829" i="1"/>
  <c r="G731" i="13"/>
  <c r="K726" i="1"/>
  <c r="M980" i="1"/>
  <c r="M1084" i="1" s="1"/>
  <c r="J605" i="13"/>
  <c r="J608" i="13" s="1"/>
  <c r="G608" i="13"/>
  <c r="L557" i="1"/>
  <c r="L573" i="1" s="1"/>
  <c r="N617" i="1"/>
  <c r="O617" i="1"/>
  <c r="K658" i="1"/>
  <c r="N658" i="1" s="1"/>
  <c r="L761" i="1"/>
  <c r="G663" i="13"/>
  <c r="J663" i="13" s="1"/>
  <c r="M725" i="1"/>
  <c r="M825" i="1"/>
  <c r="J557" i="13"/>
  <c r="J560" i="13" s="1"/>
  <c r="G560" i="13"/>
  <c r="M572" i="1"/>
  <c r="L738" i="1"/>
  <c r="K635" i="1"/>
  <c r="G640" i="13"/>
  <c r="J640" i="13" s="1"/>
  <c r="M745" i="1"/>
  <c r="M868" i="1"/>
  <c r="N569" i="1"/>
  <c r="O569" i="1"/>
  <c r="M748" i="1"/>
  <c r="M652" i="1"/>
  <c r="O493" i="1"/>
  <c r="M644" i="1"/>
  <c r="G689" i="13"/>
  <c r="J689" i="13" s="1"/>
  <c r="L787" i="1"/>
  <c r="K684" i="1"/>
  <c r="O684" i="1" s="1"/>
  <c r="N564" i="1"/>
  <c r="O564" i="1"/>
  <c r="N560" i="1"/>
  <c r="O560" i="1"/>
  <c r="N594" i="1"/>
  <c r="O594" i="1"/>
  <c r="M557" i="1"/>
  <c r="M394" i="1"/>
  <c r="J562" i="13"/>
  <c r="J566" i="13" s="1"/>
  <c r="G566" i="13"/>
  <c r="K648" i="1"/>
  <c r="N648" i="1" s="1"/>
  <c r="L751" i="1"/>
  <c r="G653" i="13"/>
  <c r="J653" i="13" s="1"/>
  <c r="G526" i="13"/>
  <c r="G527" i="13" s="1"/>
  <c r="L790" i="1"/>
  <c r="G692" i="13"/>
  <c r="L690" i="1"/>
  <c r="K687" i="1"/>
  <c r="O687" i="1" s="1"/>
  <c r="N548" i="1"/>
  <c r="O548" i="1"/>
  <c r="M915" i="1"/>
  <c r="O264" i="1"/>
  <c r="N264" i="1"/>
  <c r="M816" i="1"/>
  <c r="M715" i="1"/>
  <c r="N624" i="1"/>
  <c r="O624" i="1"/>
  <c r="L817" i="1"/>
  <c r="G719" i="13"/>
  <c r="J719" i="13" s="1"/>
  <c r="K714" i="1"/>
  <c r="L746" i="1"/>
  <c r="G648" i="13"/>
  <c r="J648" i="13" s="1"/>
  <c r="K643" i="1"/>
  <c r="N420" i="1"/>
  <c r="N421" i="1" s="1"/>
  <c r="K421" i="1"/>
  <c r="M759" i="1"/>
  <c r="M659" i="1"/>
  <c r="M873" i="1"/>
  <c r="M665" i="1"/>
  <c r="M764" i="1"/>
  <c r="K638" i="1"/>
  <c r="N638" i="1" s="1"/>
  <c r="L741" i="1"/>
  <c r="G643" i="13"/>
  <c r="J643" i="13" s="1"/>
  <c r="J614" i="13"/>
  <c r="J616" i="13" s="1"/>
  <c r="G616" i="13"/>
  <c r="N563" i="1"/>
  <c r="K571" i="1"/>
  <c r="N571" i="1" s="1"/>
  <c r="N595" i="1"/>
  <c r="O595" i="1"/>
  <c r="M470" i="1"/>
  <c r="N615" i="1"/>
  <c r="O615" i="1"/>
  <c r="M772" i="1"/>
  <c r="N616" i="1"/>
  <c r="O616" i="1"/>
  <c r="M774" i="1"/>
  <c r="G678" i="13"/>
  <c r="J678" i="13" s="1"/>
  <c r="L776" i="1"/>
  <c r="K673" i="1"/>
  <c r="O619" i="1"/>
  <c r="N619" i="1"/>
  <c r="K622" i="1"/>
  <c r="N622" i="1" s="1"/>
  <c r="N590" i="1"/>
  <c r="O590" i="1"/>
  <c r="N546" i="1"/>
  <c r="O546" i="1"/>
  <c r="M807" i="1"/>
  <c r="M707" i="1"/>
  <c r="N605" i="1"/>
  <c r="K609" i="1"/>
  <c r="N609" i="1" s="1"/>
  <c r="K583" i="1"/>
  <c r="N574" i="1"/>
  <c r="O468" i="1"/>
  <c r="O536" i="1"/>
  <c r="O535" i="1"/>
  <c r="L765" i="1"/>
  <c r="G667" i="13"/>
  <c r="J667" i="13" s="1"/>
  <c r="K662" i="1"/>
  <c r="J534" i="13"/>
  <c r="J537" i="13" s="1"/>
  <c r="G537" i="13"/>
  <c r="L744" i="1"/>
  <c r="G646" i="13"/>
  <c r="J646" i="13" s="1"/>
  <c r="K641" i="1"/>
  <c r="L809" i="1"/>
  <c r="G711" i="13"/>
  <c r="J711" i="13" s="1"/>
  <c r="K706" i="1"/>
  <c r="L797" i="1"/>
  <c r="G699" i="13"/>
  <c r="J699" i="13" s="1"/>
  <c r="K694" i="1"/>
  <c r="L807" i="1"/>
  <c r="G709" i="13"/>
  <c r="L707" i="1"/>
  <c r="K704" i="1"/>
  <c r="O704" i="1" s="1"/>
  <c r="N534" i="1"/>
  <c r="K541" i="1"/>
  <c r="O534" i="1"/>
  <c r="G457" i="13"/>
  <c r="G473" i="13" s="1"/>
  <c r="M767" i="1"/>
  <c r="M870" i="1" s="1"/>
  <c r="M900" i="1"/>
  <c r="M1004" i="1" s="1"/>
  <c r="M1108" i="1" s="1"/>
  <c r="K680" i="1"/>
  <c r="O680" i="1" s="1"/>
  <c r="L783" i="1"/>
  <c r="G685" i="13"/>
  <c r="J685" i="13" s="1"/>
  <c r="K656" i="1"/>
  <c r="O656" i="1" s="1"/>
  <c r="L759" i="1"/>
  <c r="G661" i="13"/>
  <c r="L659" i="1"/>
  <c r="K689" i="1"/>
  <c r="N689" i="1" s="1"/>
  <c r="L792" i="1"/>
  <c r="G694" i="13"/>
  <c r="J694" i="13" s="1"/>
  <c r="M869" i="1"/>
  <c r="K683" i="1"/>
  <c r="O683" i="1" s="1"/>
  <c r="L786" i="1"/>
  <c r="G688" i="13"/>
  <c r="J688" i="13" s="1"/>
  <c r="L770" i="1"/>
  <c r="G672" i="13"/>
  <c r="J672" i="13" s="1"/>
  <c r="K667" i="1"/>
  <c r="M827" i="1"/>
  <c r="J588" i="13"/>
  <c r="J591" i="13" s="1"/>
  <c r="G591" i="13"/>
  <c r="M855" i="1"/>
  <c r="M978" i="1"/>
  <c r="M1082" i="1" s="1"/>
  <c r="M849" i="1"/>
  <c r="K612" i="1"/>
  <c r="N612" i="1" s="1"/>
  <c r="N610" i="1"/>
  <c r="J623" i="13"/>
  <c r="J626" i="13" s="1"/>
  <c r="G626" i="13"/>
  <c r="K596" i="1"/>
  <c r="N596" i="1" s="1"/>
  <c r="N593" i="1"/>
  <c r="N554" i="1"/>
  <c r="O554" i="1"/>
  <c r="M853" i="1"/>
  <c r="L788" i="1"/>
  <c r="G690" i="13"/>
  <c r="J690" i="13" s="1"/>
  <c r="K685" i="1"/>
  <c r="K669" i="1"/>
  <c r="N669" i="1" s="1"/>
  <c r="L772" i="1"/>
  <c r="G674" i="13"/>
  <c r="J674" i="13" s="1"/>
  <c r="N438" i="1"/>
  <c r="O438" i="1"/>
  <c r="M819" i="1"/>
  <c r="M721" i="1"/>
  <c r="G647" i="13"/>
  <c r="J647" i="13" s="1"/>
  <c r="L745" i="1"/>
  <c r="K642" i="1"/>
  <c r="N642" i="1" s="1"/>
  <c r="L827" i="1"/>
  <c r="G729" i="13"/>
  <c r="J729" i="13" s="1"/>
  <c r="K724" i="1"/>
  <c r="N724" i="1" s="1"/>
  <c r="M920" i="1"/>
  <c r="M751" i="1"/>
  <c r="O648" i="1"/>
  <c r="N575" i="1"/>
  <c r="O575" i="1"/>
  <c r="K679" i="1"/>
  <c r="O679" i="1" s="1"/>
  <c r="L782" i="1"/>
  <c r="G684" i="13"/>
  <c r="J684" i="13" s="1"/>
  <c r="J617" i="13"/>
  <c r="J622" i="13" s="1"/>
  <c r="G622" i="13"/>
  <c r="K661" i="1"/>
  <c r="L764" i="1"/>
  <c r="G666" i="13"/>
  <c r="L665" i="1"/>
  <c r="L812" i="1"/>
  <c r="G714" i="13"/>
  <c r="J714" i="13" s="1"/>
  <c r="K709" i="1"/>
  <c r="L791" i="1"/>
  <c r="G693" i="13"/>
  <c r="J693" i="13" s="1"/>
  <c r="K688" i="1"/>
  <c r="N688" i="1" s="1"/>
  <c r="L743" i="1"/>
  <c r="G645" i="13"/>
  <c r="J645" i="13" s="1"/>
  <c r="K640" i="1"/>
  <c r="M1007" i="1"/>
  <c r="M1111" i="1" s="1"/>
  <c r="N531" i="1"/>
  <c r="O531" i="1"/>
  <c r="L784" i="1"/>
  <c r="G686" i="13"/>
  <c r="J686" i="13" s="1"/>
  <c r="K681" i="1"/>
  <c r="O681" i="1" s="1"/>
  <c r="M1021" i="1"/>
  <c r="M1125" i="1" s="1"/>
  <c r="L820" i="1"/>
  <c r="G722" i="13"/>
  <c r="J722" i="13" s="1"/>
  <c r="K717" i="1"/>
  <c r="N717" i="1" s="1"/>
  <c r="K291" i="1"/>
  <c r="K319" i="1" s="1"/>
  <c r="N319" i="1" s="1"/>
  <c r="N290" i="1"/>
  <c r="N291" i="1" s="1"/>
  <c r="M761" i="1"/>
  <c r="J546" i="13"/>
  <c r="J553" i="13" s="1"/>
  <c r="G553" i="13"/>
  <c r="N351" i="1"/>
  <c r="K367" i="1"/>
  <c r="N367" i="1" s="1"/>
  <c r="L715" i="1"/>
  <c r="L816" i="1"/>
  <c r="G718" i="13"/>
  <c r="K713" i="1"/>
  <c r="L821" i="1"/>
  <c r="G723" i="13"/>
  <c r="J723" i="13" s="1"/>
  <c r="K718" i="1"/>
  <c r="M753" i="1"/>
  <c r="M943" i="1"/>
  <c r="M1047" i="1" s="1"/>
  <c r="N570" i="1"/>
  <c r="O570" i="1"/>
  <c r="L825" i="1"/>
  <c r="G727" i="13"/>
  <c r="K722" i="1"/>
  <c r="O722" i="1" s="1"/>
  <c r="L725" i="1"/>
  <c r="M924" i="1"/>
  <c r="J593" i="13"/>
  <c r="J596" i="13" s="1"/>
  <c r="G596" i="13"/>
  <c r="J597" i="13"/>
  <c r="J600" i="13" s="1"/>
  <c r="G600" i="13"/>
  <c r="L760" i="1"/>
  <c r="G662" i="13"/>
  <c r="J662" i="13" s="1"/>
  <c r="K657" i="1"/>
  <c r="O506" i="1"/>
  <c r="J609" i="13"/>
  <c r="J613" i="13" s="1"/>
  <c r="G613" i="13"/>
  <c r="M967" i="1"/>
  <c r="M1071" i="1" s="1"/>
  <c r="L588" i="1"/>
  <c r="L599" i="1" s="1"/>
  <c r="L600" i="1" s="1"/>
  <c r="O614" i="1"/>
  <c r="N216" i="1"/>
  <c r="O216" i="1"/>
  <c r="M742" i="1"/>
  <c r="N602" i="1"/>
  <c r="O602" i="1"/>
  <c r="O607" i="1"/>
  <c r="M741" i="1"/>
  <c r="K633" i="1"/>
  <c r="L736" i="1"/>
  <c r="G638" i="13"/>
  <c r="L636" i="1"/>
  <c r="O593" i="1"/>
  <c r="O623" i="1"/>
  <c r="N623" i="1"/>
  <c r="K625" i="1"/>
  <c r="N625" i="1" s="1"/>
  <c r="O605" i="1"/>
  <c r="K670" i="1"/>
  <c r="L773" i="1"/>
  <c r="G675" i="13"/>
  <c r="J675" i="13" s="1"/>
  <c r="N582" i="1"/>
  <c r="O582" i="1"/>
  <c r="M496" i="1"/>
  <c r="N459" i="1"/>
  <c r="K469" i="1"/>
  <c r="N469" i="1" s="1"/>
  <c r="M695" i="1"/>
  <c r="M795" i="1"/>
  <c r="O692" i="1"/>
  <c r="L626" i="1"/>
  <c r="L627" i="1" s="1"/>
  <c r="O585" i="1"/>
  <c r="J538" i="13"/>
  <c r="J545" i="13" s="1"/>
  <c r="G545" i="13"/>
  <c r="L823" i="1"/>
  <c r="G725" i="13"/>
  <c r="J725" i="13" s="1"/>
  <c r="K720" i="1"/>
  <c r="J457" i="13"/>
  <c r="J473" i="13" s="1"/>
  <c r="O543" i="1"/>
  <c r="N553" i="1"/>
  <c r="K556" i="1"/>
  <c r="N556" i="1" s="1"/>
  <c r="M899" i="1"/>
  <c r="N532" i="1"/>
  <c r="O532" i="1"/>
  <c r="K650" i="1"/>
  <c r="N650" i="1" s="1"/>
  <c r="L753" i="1"/>
  <c r="G655" i="13"/>
  <c r="J655" i="13" s="1"/>
  <c r="K663" i="1"/>
  <c r="L766" i="1"/>
  <c r="G668" i="13"/>
  <c r="J668" i="13" s="1"/>
  <c r="K647" i="1"/>
  <c r="L750" i="1"/>
  <c r="G652" i="13"/>
  <c r="J652" i="13" s="1"/>
  <c r="O501" i="1"/>
  <c r="N501" i="1"/>
  <c r="K523" i="1"/>
  <c r="O523" i="1" s="1"/>
  <c r="O524" i="1" s="1"/>
  <c r="L748" i="1"/>
  <c r="G650" i="13"/>
  <c r="K645" i="1"/>
  <c r="O645" i="1" s="1"/>
  <c r="L652" i="1"/>
  <c r="L767" i="1"/>
  <c r="G669" i="13"/>
  <c r="J669" i="13" s="1"/>
  <c r="K664" i="1"/>
  <c r="N664" i="1" s="1"/>
  <c r="L674" i="1"/>
  <c r="L769" i="1"/>
  <c r="G671" i="13"/>
  <c r="K666" i="1"/>
  <c r="K710" i="1"/>
  <c r="N710" i="1" s="1"/>
  <c r="L813" i="1"/>
  <c r="G715" i="13"/>
  <c r="J715" i="13" s="1"/>
  <c r="K693" i="1"/>
  <c r="L796" i="1"/>
  <c r="G698" i="13"/>
  <c r="J698" i="13" s="1"/>
  <c r="L780" i="1"/>
  <c r="G682" i="13"/>
  <c r="K677" i="1"/>
  <c r="L686" i="1"/>
  <c r="L785" i="1"/>
  <c r="G687" i="13"/>
  <c r="J687" i="13" s="1"/>
  <c r="K682" i="1"/>
  <c r="O682" i="1" s="1"/>
  <c r="N489" i="1"/>
  <c r="K494" i="1"/>
  <c r="N494" i="1" s="1"/>
  <c r="O567" i="1"/>
  <c r="N567" i="1"/>
  <c r="N391" i="1"/>
  <c r="O391" i="1"/>
  <c r="M790" i="1"/>
  <c r="M690" i="1"/>
  <c r="M597" i="1"/>
  <c r="M599" i="1" s="1"/>
  <c r="M600" i="1" s="1"/>
  <c r="M769" i="1"/>
  <c r="M674" i="1"/>
  <c r="O666" i="1"/>
  <c r="L771" i="1"/>
  <c r="G673" i="13"/>
  <c r="J673" i="13" s="1"/>
  <c r="K668" i="1"/>
  <c r="M792" i="1"/>
  <c r="K711" i="1"/>
  <c r="L814" i="1"/>
  <c r="G716" i="13"/>
  <c r="J716" i="13" s="1"/>
  <c r="O319" i="1"/>
  <c r="M422" i="1"/>
  <c r="O367" i="1"/>
  <c r="O586" i="1"/>
  <c r="N608" i="1"/>
  <c r="O608" i="1"/>
  <c r="N430" i="1"/>
  <c r="K454" i="1"/>
  <c r="O454" i="1" s="1"/>
  <c r="J497" i="13"/>
  <c r="J499" i="13" s="1"/>
  <c r="J500" i="13" s="1"/>
  <c r="M747" i="1"/>
  <c r="M843" i="1"/>
  <c r="M1016" i="1"/>
  <c r="M1120" i="1" s="1"/>
  <c r="K485" i="1"/>
  <c r="N480" i="1"/>
  <c r="M736" i="1"/>
  <c r="O633" i="1"/>
  <c r="M636" i="1"/>
  <c r="O545" i="1"/>
  <c r="O620" i="1"/>
  <c r="L819" i="1"/>
  <c r="G721" i="13"/>
  <c r="K716" i="1"/>
  <c r="O716" i="1" s="1"/>
  <c r="L721" i="1"/>
  <c r="N558" i="1"/>
  <c r="K562" i="1"/>
  <c r="O621" i="1"/>
  <c r="N606" i="1"/>
  <c r="O606" i="1"/>
  <c r="O584" i="1"/>
  <c r="K587" i="1"/>
  <c r="N587" i="1" s="1"/>
  <c r="N584" i="1"/>
  <c r="G488" i="13"/>
  <c r="N537" i="1"/>
  <c r="O537" i="1"/>
  <c r="M926" i="1"/>
  <c r="L754" i="1"/>
  <c r="G656" i="13"/>
  <c r="J656" i="13" s="1"/>
  <c r="K651" i="1"/>
  <c r="K671" i="1"/>
  <c r="N671" i="1" s="1"/>
  <c r="L774" i="1"/>
  <c r="G676" i="13"/>
  <c r="J676" i="13" s="1"/>
  <c r="N540" i="1"/>
  <c r="O540" i="1"/>
  <c r="L470" i="1"/>
  <c r="L525" i="1" s="1"/>
  <c r="O515" i="1"/>
  <c r="M524" i="1"/>
  <c r="N542" i="1"/>
  <c r="K549" i="1"/>
  <c r="N549" i="1" s="1"/>
  <c r="M780" i="1"/>
  <c r="M686" i="1"/>
  <c r="K723" i="1"/>
  <c r="N723" i="1" s="1"/>
  <c r="L826" i="1"/>
  <c r="G728" i="13"/>
  <c r="J728" i="13" s="1"/>
  <c r="J567" i="13"/>
  <c r="J575" i="13" s="1"/>
  <c r="G575" i="13"/>
  <c r="L801" i="1"/>
  <c r="G703" i="13"/>
  <c r="J703" i="13" s="1"/>
  <c r="K698" i="1"/>
  <c r="N382" i="1"/>
  <c r="K393" i="1"/>
  <c r="O547" i="1"/>
  <c r="K646" i="1"/>
  <c r="N646" i="1" s="1"/>
  <c r="L749" i="1"/>
  <c r="G651" i="13"/>
  <c r="J651" i="13" s="1"/>
  <c r="K639" i="1"/>
  <c r="N639" i="1" s="1"/>
  <c r="L742" i="1"/>
  <c r="G644" i="13"/>
  <c r="J644" i="13" s="1"/>
  <c r="N589" i="1"/>
  <c r="K592" i="1"/>
  <c r="O592" i="1" s="1"/>
  <c r="L752" i="1"/>
  <c r="G654" i="13"/>
  <c r="J654" i="13" s="1"/>
  <c r="K649" i="1"/>
  <c r="L799" i="1"/>
  <c r="G701" i="13"/>
  <c r="K696" i="1"/>
  <c r="L699" i="1"/>
  <c r="M626" i="1"/>
  <c r="O489" i="1"/>
  <c r="L811" i="1"/>
  <c r="G713" i="13"/>
  <c r="K708" i="1"/>
  <c r="N708" i="1" s="1"/>
  <c r="L712" i="1"/>
  <c r="J578" i="13"/>
  <c r="J587" i="13" s="1"/>
  <c r="G587" i="13"/>
  <c r="M820" i="1"/>
  <c r="G710" i="13"/>
  <c r="J710" i="13" s="1"/>
  <c r="L808" i="1"/>
  <c r="K705" i="1"/>
  <c r="M813" i="1"/>
  <c r="N559" i="1"/>
  <c r="O559" i="1"/>
  <c r="N530" i="1"/>
  <c r="K533" i="1"/>
  <c r="M799" i="1"/>
  <c r="M699" i="1"/>
  <c r="O696" i="1"/>
  <c r="G629" i="13"/>
  <c r="M829" i="1"/>
  <c r="M728" i="1"/>
  <c r="O726" i="1"/>
  <c r="N538" i="1"/>
  <c r="O538" i="1"/>
  <c r="O366" i="1"/>
  <c r="N603" i="1"/>
  <c r="O603" i="1"/>
  <c r="M811" i="1"/>
  <c r="M914" i="1" s="1"/>
  <c r="M712" i="1"/>
  <c r="O708" i="1"/>
  <c r="N591" i="1"/>
  <c r="O591" i="1"/>
  <c r="O480" i="1"/>
  <c r="M879" i="1"/>
  <c r="N601" i="1"/>
  <c r="K604" i="1"/>
  <c r="M791" i="1"/>
  <c r="L644" i="1"/>
  <c r="L740" i="1"/>
  <c r="G642" i="13"/>
  <c r="K637" i="1"/>
  <c r="M949" i="1"/>
  <c r="M1053" i="1" s="1"/>
  <c r="O522" i="1"/>
  <c r="M749" i="1"/>
  <c r="F113" i="13"/>
  <c r="G84" i="1"/>
  <c r="G85" i="1" s="1"/>
  <c r="G113" i="1" s="1"/>
  <c r="J113" i="1" s="1"/>
  <c r="M28" i="17"/>
  <c r="N28" i="17"/>
  <c r="M67" i="17"/>
  <c r="J68" i="17"/>
  <c r="I68" i="17"/>
  <c r="F69" i="17"/>
  <c r="I69" i="17" s="1"/>
  <c r="L69" i="17"/>
  <c r="N67" i="17"/>
  <c r="N42" i="1"/>
  <c r="N56" i="1"/>
  <c r="K57" i="1"/>
  <c r="O56" i="1"/>
  <c r="J58" i="1"/>
  <c r="N81" i="1"/>
  <c r="O81" i="1"/>
  <c r="K112" i="1"/>
  <c r="N111" i="1"/>
  <c r="N112" i="1" s="1"/>
  <c r="K82" i="1"/>
  <c r="M68" i="1"/>
  <c r="M73" i="1" s="1"/>
  <c r="M84" i="1" s="1"/>
  <c r="M85" i="1" s="1"/>
  <c r="M113" i="1" s="1"/>
  <c r="M1157" i="1" l="1"/>
  <c r="M1229" i="1"/>
  <c r="M1464" i="1"/>
  <c r="M1224" i="1"/>
  <c r="M1151" i="1"/>
  <c r="O622" i="1"/>
  <c r="M1188" i="1"/>
  <c r="Q373" i="17"/>
  <c r="Q381" i="17"/>
  <c r="L1012" i="17"/>
  <c r="M1826" i="1"/>
  <c r="M1930" i="1" s="1"/>
  <c r="M1424" i="1"/>
  <c r="M1528" i="1" s="1"/>
  <c r="M1717" i="1"/>
  <c r="M1398" i="1"/>
  <c r="M368" i="17"/>
  <c r="N368" i="17"/>
  <c r="F671" i="16"/>
  <c r="I589" i="16"/>
  <c r="M1186" i="1"/>
  <c r="M1290" i="1" s="1"/>
  <c r="F686" i="16"/>
  <c r="I604" i="16"/>
  <c r="M1512" i="1"/>
  <c r="M1616" i="1" s="1"/>
  <c r="M1215" i="1"/>
  <c r="M1319" i="1" s="1"/>
  <c r="M1212" i="1"/>
  <c r="M1316" i="1" s="1"/>
  <c r="M1420" i="1" s="1"/>
  <c r="M1223" i="1"/>
  <c r="M1276" i="1"/>
  <c r="N401" i="17"/>
  <c r="L480" i="17"/>
  <c r="N408" i="17"/>
  <c r="N468" i="17"/>
  <c r="I457" i="16"/>
  <c r="L901" i="17"/>
  <c r="M1453" i="1"/>
  <c r="M1341" i="1"/>
  <c r="M1406" i="1"/>
  <c r="M1510" i="1" s="1"/>
  <c r="K486" i="17"/>
  <c r="Q427" i="17"/>
  <c r="J427" i="17"/>
  <c r="K504" i="17"/>
  <c r="Q445" i="17"/>
  <c r="F672" i="16"/>
  <c r="I590" i="16"/>
  <c r="M1470" i="1"/>
  <c r="M1307" i="1"/>
  <c r="M1175" i="1"/>
  <c r="N370" i="17"/>
  <c r="Q364" i="17"/>
  <c r="M1427" i="1"/>
  <c r="M1508" i="1"/>
  <c r="M1825" i="1"/>
  <c r="L1109" i="17"/>
  <c r="M1615" i="1"/>
  <c r="I533" i="16"/>
  <c r="I599" i="16"/>
  <c r="F681" i="16"/>
  <c r="F706" i="16"/>
  <c r="I624" i="16"/>
  <c r="F740" i="16"/>
  <c r="I658" i="16"/>
  <c r="F680" i="16"/>
  <c r="I598" i="16"/>
  <c r="I651" i="16"/>
  <c r="F733" i="16"/>
  <c r="F722" i="16"/>
  <c r="I640" i="16"/>
  <c r="I618" i="16"/>
  <c r="F700" i="16"/>
  <c r="I643" i="16"/>
  <c r="F725" i="16"/>
  <c r="F744" i="16"/>
  <c r="I662" i="16"/>
  <c r="F736" i="16"/>
  <c r="I654" i="16"/>
  <c r="F691" i="16"/>
  <c r="I609" i="16"/>
  <c r="F675" i="16"/>
  <c r="I593" i="16"/>
  <c r="I656" i="16"/>
  <c r="F738" i="16"/>
  <c r="F676" i="16"/>
  <c r="I594" i="16"/>
  <c r="I606" i="16"/>
  <c r="F688" i="16"/>
  <c r="F694" i="16"/>
  <c r="I612" i="16"/>
  <c r="F727" i="16"/>
  <c r="I645" i="16"/>
  <c r="I641" i="16"/>
  <c r="F723" i="16"/>
  <c r="I625" i="16"/>
  <c r="F707" i="16"/>
  <c r="I649" i="16"/>
  <c r="F731" i="16"/>
  <c r="F698" i="16"/>
  <c r="I616" i="16"/>
  <c r="I655" i="16"/>
  <c r="F737" i="16"/>
  <c r="I605" i="16"/>
  <c r="F687" i="16"/>
  <c r="I630" i="16"/>
  <c r="F712" i="16"/>
  <c r="I502" i="16"/>
  <c r="I581" i="16"/>
  <c r="F679" i="16"/>
  <c r="I597" i="16"/>
  <c r="I617" i="16"/>
  <c r="F699" i="16"/>
  <c r="I637" i="16"/>
  <c r="F719" i="16"/>
  <c r="F717" i="16"/>
  <c r="I635" i="16"/>
  <c r="I657" i="16"/>
  <c r="F739" i="16"/>
  <c r="F690" i="16"/>
  <c r="I608" i="16"/>
  <c r="I644" i="16"/>
  <c r="F726" i="16"/>
  <c r="I660" i="16"/>
  <c r="F742" i="16"/>
  <c r="I595" i="16"/>
  <c r="F677" i="16"/>
  <c r="I629" i="16"/>
  <c r="F711" i="16"/>
  <c r="I591" i="16"/>
  <c r="F673" i="16"/>
  <c r="I622" i="16"/>
  <c r="F704" i="16"/>
  <c r="F705" i="16"/>
  <c r="I623" i="16"/>
  <c r="I600" i="16"/>
  <c r="F682" i="16"/>
  <c r="F732" i="16"/>
  <c r="I650" i="16"/>
  <c r="I653" i="16"/>
  <c r="F735" i="16"/>
  <c r="F718" i="16"/>
  <c r="I636" i="16"/>
  <c r="I607" i="16"/>
  <c r="F689" i="16"/>
  <c r="I648" i="16"/>
  <c r="F730" i="16"/>
  <c r="F713" i="16"/>
  <c r="I631" i="16"/>
  <c r="I592" i="16"/>
  <c r="F674" i="16"/>
  <c r="I638" i="16"/>
  <c r="F720" i="16"/>
  <c r="I614" i="16"/>
  <c r="F696" i="16"/>
  <c r="I647" i="16"/>
  <c r="F729" i="16"/>
  <c r="F710" i="16"/>
  <c r="I628" i="16"/>
  <c r="F721" i="16"/>
  <c r="I639" i="16"/>
  <c r="F683" i="16"/>
  <c r="I601" i="16"/>
  <c r="I560" i="16"/>
  <c r="F714" i="16"/>
  <c r="I632" i="16"/>
  <c r="I626" i="16"/>
  <c r="F708" i="16"/>
  <c r="F684" i="16"/>
  <c r="I602" i="16"/>
  <c r="I521" i="16"/>
  <c r="I539" i="16" s="1"/>
  <c r="I659" i="16"/>
  <c r="F741" i="16"/>
  <c r="F695" i="16"/>
  <c r="I613" i="16"/>
  <c r="I634" i="16"/>
  <c r="F716" i="16"/>
  <c r="I652" i="16"/>
  <c r="F734" i="16"/>
  <c r="I646" i="16"/>
  <c r="F728" i="16"/>
  <c r="I596" i="16"/>
  <c r="F678" i="16"/>
  <c r="F709" i="16"/>
  <c r="I627" i="16"/>
  <c r="I661" i="16"/>
  <c r="F743" i="16"/>
  <c r="I633" i="16"/>
  <c r="F715" i="16"/>
  <c r="I610" i="16"/>
  <c r="F692" i="16"/>
  <c r="I611" i="16"/>
  <c r="F693" i="16"/>
  <c r="L481" i="17"/>
  <c r="K497" i="17"/>
  <c r="Q438" i="17"/>
  <c r="J438" i="17"/>
  <c r="M438" i="17" s="1"/>
  <c r="K507" i="17"/>
  <c r="Q448" i="17"/>
  <c r="J448" i="17"/>
  <c r="M448" i="17" s="1"/>
  <c r="J431" i="17"/>
  <c r="M431" i="17" s="1"/>
  <c r="K490" i="17"/>
  <c r="Q431" i="17"/>
  <c r="N246" i="17"/>
  <c r="Q527" i="17"/>
  <c r="K586" i="17"/>
  <c r="J527" i="17"/>
  <c r="M527" i="17" s="1"/>
  <c r="N380" i="17"/>
  <c r="M380" i="17"/>
  <c r="K493" i="17"/>
  <c r="Q434" i="17"/>
  <c r="J434" i="17"/>
  <c r="M434" i="17" s="1"/>
  <c r="N420" i="17"/>
  <c r="L495" i="17"/>
  <c r="Q421" i="17"/>
  <c r="Q422" i="17" s="1"/>
  <c r="N375" i="17"/>
  <c r="Q472" i="17"/>
  <c r="K531" i="17"/>
  <c r="J472" i="17"/>
  <c r="J528" i="17"/>
  <c r="K587" i="17"/>
  <c r="Q528" i="17"/>
  <c r="J478" i="17"/>
  <c r="M478" i="17" s="1"/>
  <c r="K537" i="17"/>
  <c r="Q478" i="17"/>
  <c r="M369" i="17"/>
  <c r="J373" i="17"/>
  <c r="N373" i="17" s="1"/>
  <c r="L638" i="17"/>
  <c r="J459" i="17"/>
  <c r="M459" i="17" s="1"/>
  <c r="K518" i="17"/>
  <c r="Q459" i="17"/>
  <c r="J533" i="17"/>
  <c r="M533" i="17" s="1"/>
  <c r="K592" i="17"/>
  <c r="Q533" i="17"/>
  <c r="N419" i="17"/>
  <c r="N378" i="17"/>
  <c r="N371" i="17"/>
  <c r="M371" i="17"/>
  <c r="K501" i="17"/>
  <c r="J442" i="17"/>
  <c r="N442" i="17" s="1"/>
  <c r="K449" i="17"/>
  <c r="K450" i="17" s="1"/>
  <c r="Q442" i="17"/>
  <c r="K506" i="17"/>
  <c r="J447" i="17"/>
  <c r="M447" i="17" s="1"/>
  <c r="Q447" i="17"/>
  <c r="K580" i="17"/>
  <c r="Q521" i="17"/>
  <c r="J521" i="17"/>
  <c r="M521" i="17" s="1"/>
  <c r="N400" i="17"/>
  <c r="J452" i="17"/>
  <c r="M452" i="17" s="1"/>
  <c r="K511" i="17"/>
  <c r="Q452" i="17"/>
  <c r="L590" i="17"/>
  <c r="L586" i="17"/>
  <c r="N527" i="17"/>
  <c r="L650" i="17"/>
  <c r="J467" i="17"/>
  <c r="M467" i="17" s="1"/>
  <c r="K526" i="17"/>
  <c r="Q467" i="17"/>
  <c r="L583" i="17"/>
  <c r="J421" i="17"/>
  <c r="M397" i="17"/>
  <c r="N397" i="17"/>
  <c r="N452" i="17"/>
  <c r="L511" i="17"/>
  <c r="K488" i="17"/>
  <c r="Q429" i="17"/>
  <c r="J429" i="17"/>
  <c r="M429" i="17" s="1"/>
  <c r="L382" i="17"/>
  <c r="K581" i="17"/>
  <c r="J522" i="17"/>
  <c r="Q522" i="17"/>
  <c r="Q454" i="17"/>
  <c r="K513" i="17"/>
  <c r="J454" i="17"/>
  <c r="M454" i="17" s="1"/>
  <c r="L490" i="17"/>
  <c r="N431" i="17"/>
  <c r="L534" i="17"/>
  <c r="L364" i="17"/>
  <c r="N363" i="17"/>
  <c r="Q455" i="17"/>
  <c r="K514" i="17"/>
  <c r="J455" i="17"/>
  <c r="M413" i="17"/>
  <c r="N413" i="17"/>
  <c r="L504" i="17"/>
  <c r="N445" i="17"/>
  <c r="J445" i="17"/>
  <c r="M445" i="17" s="1"/>
  <c r="L507" i="17"/>
  <c r="L529" i="17"/>
  <c r="J466" i="17"/>
  <c r="M466" i="17" s="1"/>
  <c r="K525" i="17"/>
  <c r="Q466" i="17"/>
  <c r="K532" i="17"/>
  <c r="Q473" i="17"/>
  <c r="J473" i="17"/>
  <c r="J479" i="17"/>
  <c r="M479" i="17" s="1"/>
  <c r="K538" i="17"/>
  <c r="Q479" i="17"/>
  <c r="L512" i="17"/>
  <c r="L538" i="17"/>
  <c r="N479" i="17"/>
  <c r="N398" i="17"/>
  <c r="M398" i="17"/>
  <c r="L623" i="17"/>
  <c r="L682" i="17" s="1"/>
  <c r="L497" i="17"/>
  <c r="N438" i="17"/>
  <c r="J422" i="17"/>
  <c r="N422" i="17" s="1"/>
  <c r="L493" i="17"/>
  <c r="N434" i="17"/>
  <c r="L537" i="17"/>
  <c r="L530" i="17"/>
  <c r="L496" i="17"/>
  <c r="K489" i="17"/>
  <c r="J430" i="17"/>
  <c r="Q430" i="17"/>
  <c r="L502" i="17"/>
  <c r="J470" i="17"/>
  <c r="M470" i="17" s="1"/>
  <c r="K529" i="17"/>
  <c r="Q470" i="17"/>
  <c r="N392" i="17"/>
  <c r="M383" i="17"/>
  <c r="J390" i="17"/>
  <c r="M390" i="17" s="1"/>
  <c r="K492" i="17"/>
  <c r="K440" i="17"/>
  <c r="Q433" i="17"/>
  <c r="J433" i="17"/>
  <c r="L518" i="17"/>
  <c r="N459" i="17"/>
  <c r="Q460" i="17"/>
  <c r="K519" i="17"/>
  <c r="J460" i="17"/>
  <c r="M460" i="17" s="1"/>
  <c r="K524" i="17"/>
  <c r="Q465" i="17"/>
  <c r="J465" i="17"/>
  <c r="N314" i="17"/>
  <c r="M314" i="17"/>
  <c r="J323" i="17"/>
  <c r="M323" i="17" s="1"/>
  <c r="J439" i="17"/>
  <c r="K498" i="17"/>
  <c r="Q439" i="17"/>
  <c r="Q456" i="17"/>
  <c r="K515" i="17"/>
  <c r="J456" i="17"/>
  <c r="N418" i="17"/>
  <c r="M418" i="17"/>
  <c r="L616" i="17"/>
  <c r="L535" i="17"/>
  <c r="L391" i="17"/>
  <c r="L423" i="17" s="1"/>
  <c r="N390" i="17"/>
  <c r="N369" i="17"/>
  <c r="M463" i="17"/>
  <c r="N463" i="17"/>
  <c r="L634" i="17"/>
  <c r="N407" i="17"/>
  <c r="K520" i="17"/>
  <c r="Q461" i="17"/>
  <c r="J461" i="17"/>
  <c r="N376" i="17"/>
  <c r="M376" i="17"/>
  <c r="Q443" i="17"/>
  <c r="K502" i="17"/>
  <c r="J443" i="17"/>
  <c r="M443" i="17" s="1"/>
  <c r="M304" i="17"/>
  <c r="J305" i="17"/>
  <c r="M305" i="17" s="1"/>
  <c r="N304" i="17"/>
  <c r="N385" i="17"/>
  <c r="Q476" i="17"/>
  <c r="K535" i="17"/>
  <c r="J476" i="17"/>
  <c r="M476" i="17" s="1"/>
  <c r="J453" i="17"/>
  <c r="M453" i="17" s="1"/>
  <c r="K512" i="17"/>
  <c r="Q453" i="17"/>
  <c r="L519" i="17"/>
  <c r="K516" i="17"/>
  <c r="Q457" i="17"/>
  <c r="J457" i="17"/>
  <c r="J451" i="17"/>
  <c r="M451" i="17" s="1"/>
  <c r="K510" i="17"/>
  <c r="Q451" i="17"/>
  <c r="K480" i="17"/>
  <c r="K481" i="17" s="1"/>
  <c r="L526" i="17"/>
  <c r="N467" i="17"/>
  <c r="K487" i="17"/>
  <c r="J428" i="17"/>
  <c r="K432" i="17"/>
  <c r="Q428" i="17"/>
  <c r="Q432" i="17" s="1"/>
  <c r="J475" i="17"/>
  <c r="M475" i="17" s="1"/>
  <c r="K534" i="17"/>
  <c r="Q475" i="17"/>
  <c r="K495" i="17"/>
  <c r="Q436" i="17"/>
  <c r="J436" i="17"/>
  <c r="M436" i="17" s="1"/>
  <c r="Q390" i="17"/>
  <c r="Q391" i="17" s="1"/>
  <c r="L517" i="17"/>
  <c r="Q464" i="17"/>
  <c r="K523" i="17"/>
  <c r="J464" i="17"/>
  <c r="M464" i="17" s="1"/>
  <c r="N273" i="17"/>
  <c r="K496" i="17"/>
  <c r="Q437" i="17"/>
  <c r="J437" i="17"/>
  <c r="M437" i="17" s="1"/>
  <c r="J444" i="17"/>
  <c r="M444" i="17" s="1"/>
  <c r="K503" i="17"/>
  <c r="Q444" i="17"/>
  <c r="N323" i="17"/>
  <c r="L580" i="17"/>
  <c r="N521" i="17"/>
  <c r="M469" i="17"/>
  <c r="N469" i="17"/>
  <c r="N386" i="17"/>
  <c r="Q382" i="17"/>
  <c r="L592" i="17"/>
  <c r="N411" i="17"/>
  <c r="N451" i="17"/>
  <c r="L510" i="17"/>
  <c r="M374" i="17"/>
  <c r="J381" i="17"/>
  <c r="M381" i="17" s="1"/>
  <c r="L488" i="17"/>
  <c r="N414" i="17"/>
  <c r="M414" i="17"/>
  <c r="M363" i="17"/>
  <c r="J364" i="17"/>
  <c r="M364" i="17" s="1"/>
  <c r="L513" i="17"/>
  <c r="L699" i="17"/>
  <c r="K505" i="17"/>
  <c r="Q446" i="17"/>
  <c r="J446" i="17"/>
  <c r="K536" i="17"/>
  <c r="J477" i="17"/>
  <c r="Q477" i="17"/>
  <c r="L492" i="17"/>
  <c r="L440" i="17"/>
  <c r="N433" i="17"/>
  <c r="N405" i="17"/>
  <c r="N388" i="17"/>
  <c r="N383" i="17"/>
  <c r="L487" i="17"/>
  <c r="L432" i="17"/>
  <c r="N428" i="17"/>
  <c r="J458" i="17"/>
  <c r="M458" i="17" s="1"/>
  <c r="K517" i="17"/>
  <c r="Q458" i="17"/>
  <c r="N466" i="17"/>
  <c r="L525" i="17"/>
  <c r="J471" i="17"/>
  <c r="M471" i="17" s="1"/>
  <c r="K530" i="17"/>
  <c r="Q471" i="17"/>
  <c r="N444" i="17"/>
  <c r="L503" i="17"/>
  <c r="J391" i="17"/>
  <c r="M391" i="17" s="1"/>
  <c r="N387" i="17"/>
  <c r="N393" i="17"/>
  <c r="L523" i="17"/>
  <c r="N464" i="17"/>
  <c r="L506" i="17"/>
  <c r="N447" i="17"/>
  <c r="L501" i="17"/>
  <c r="L449" i="17"/>
  <c r="Q480" i="17"/>
  <c r="Q481" i="17" s="1"/>
  <c r="L612" i="17"/>
  <c r="L705" i="17"/>
  <c r="N372" i="17"/>
  <c r="N402" i="17"/>
  <c r="M402" i="17"/>
  <c r="J435" i="17"/>
  <c r="K494" i="17"/>
  <c r="Q435" i="17"/>
  <c r="L607" i="17"/>
  <c r="N416" i="17"/>
  <c r="L574" i="17"/>
  <c r="L539" i="17"/>
  <c r="L700" i="1"/>
  <c r="O689" i="1"/>
  <c r="O638" i="1"/>
  <c r="O618" i="1"/>
  <c r="O658" i="1"/>
  <c r="O669" i="1"/>
  <c r="N860" i="1"/>
  <c r="O860" i="1"/>
  <c r="M838" i="1"/>
  <c r="G764" i="13"/>
  <c r="J763" i="13"/>
  <c r="J764" i="13" s="1"/>
  <c r="N653" i="1"/>
  <c r="K655" i="1"/>
  <c r="N655" i="1" s="1"/>
  <c r="L838" i="1"/>
  <c r="G741" i="13"/>
  <c r="J741" i="13" s="1"/>
  <c r="K735" i="1"/>
  <c r="N735" i="1" s="1"/>
  <c r="O664" i="1"/>
  <c r="L729" i="1"/>
  <c r="L730" i="1" s="1"/>
  <c r="L964" i="1"/>
  <c r="L1068" i="1" s="1"/>
  <c r="G867" i="13"/>
  <c r="G762" i="13"/>
  <c r="J762" i="13" s="1"/>
  <c r="L859" i="1"/>
  <c r="K756" i="1"/>
  <c r="L758" i="1"/>
  <c r="O646" i="1"/>
  <c r="K804" i="1"/>
  <c r="L907" i="1"/>
  <c r="G810" i="13"/>
  <c r="J810" i="13" s="1"/>
  <c r="M859" i="1"/>
  <c r="M758" i="1"/>
  <c r="O756" i="1"/>
  <c r="N701" i="1"/>
  <c r="O701" i="1"/>
  <c r="O552" i="1"/>
  <c r="O655" i="1"/>
  <c r="G499" i="13"/>
  <c r="G500" i="13" s="1"/>
  <c r="G528" i="13" s="1"/>
  <c r="J561" i="13"/>
  <c r="G592" i="13"/>
  <c r="J576" i="13"/>
  <c r="J577" i="13" s="1"/>
  <c r="M932" i="1"/>
  <c r="M831" i="1"/>
  <c r="M902" i="1"/>
  <c r="M802" i="1"/>
  <c r="L810" i="1"/>
  <c r="L911" i="1"/>
  <c r="G814" i="13"/>
  <c r="J814" i="13" s="1"/>
  <c r="K808" i="1"/>
  <c r="J713" i="13"/>
  <c r="J717" i="13" s="1"/>
  <c r="G717" i="13"/>
  <c r="L902" i="1"/>
  <c r="G805" i="13"/>
  <c r="K799" i="1"/>
  <c r="M883" i="1"/>
  <c r="M789" i="1"/>
  <c r="L857" i="1"/>
  <c r="K754" i="1"/>
  <c r="G760" i="13"/>
  <c r="N562" i="1"/>
  <c r="K572" i="1"/>
  <c r="N572" i="1" s="1"/>
  <c r="K785" i="1"/>
  <c r="O785" i="1" s="1"/>
  <c r="L888" i="1"/>
  <c r="G791" i="13"/>
  <c r="J791" i="13" s="1"/>
  <c r="M700" i="1"/>
  <c r="L660" i="1"/>
  <c r="N685" i="1"/>
  <c r="O685" i="1"/>
  <c r="J661" i="13"/>
  <c r="J664" i="13" s="1"/>
  <c r="G664" i="13"/>
  <c r="L886" i="1"/>
  <c r="G789" i="13"/>
  <c r="J789" i="13" s="1"/>
  <c r="K783" i="1"/>
  <c r="O783" i="1" s="1"/>
  <c r="N694" i="1"/>
  <c r="O694" i="1"/>
  <c r="L847" i="1"/>
  <c r="G750" i="13"/>
  <c r="J750" i="13" s="1"/>
  <c r="K744" i="1"/>
  <c r="O671" i="1"/>
  <c r="M867" i="1"/>
  <c r="M768" i="1"/>
  <c r="M573" i="1"/>
  <c r="K787" i="1"/>
  <c r="O787" i="1" s="1"/>
  <c r="L890" i="1"/>
  <c r="G793" i="13"/>
  <c r="J793" i="13" s="1"/>
  <c r="O642" i="1"/>
  <c r="K738" i="1"/>
  <c r="L841" i="1"/>
  <c r="G744" i="13"/>
  <c r="L831" i="1"/>
  <c r="L932" i="1"/>
  <c r="G835" i="13"/>
  <c r="K829" i="1"/>
  <c r="L898" i="1"/>
  <c r="G801" i="13"/>
  <c r="K795" i="1"/>
  <c r="L798" i="1"/>
  <c r="M929" i="1"/>
  <c r="N697" i="1"/>
  <c r="O697" i="1"/>
  <c r="M852" i="1"/>
  <c r="N637" i="1"/>
  <c r="K644" i="1"/>
  <c r="N644" i="1" s="1"/>
  <c r="O637" i="1"/>
  <c r="O688" i="1"/>
  <c r="N533" i="1"/>
  <c r="K557" i="1"/>
  <c r="O710" i="1"/>
  <c r="J592" i="13"/>
  <c r="L914" i="1"/>
  <c r="K811" i="1"/>
  <c r="G817" i="13"/>
  <c r="L815" i="1"/>
  <c r="N649" i="1"/>
  <c r="O649" i="1"/>
  <c r="K394" i="1"/>
  <c r="K422" i="1" s="1"/>
  <c r="N422" i="1" s="1"/>
  <c r="N393" i="1"/>
  <c r="N394" i="1" s="1"/>
  <c r="L904" i="1"/>
  <c r="G807" i="13"/>
  <c r="J807" i="13" s="1"/>
  <c r="K801" i="1"/>
  <c r="L929" i="1"/>
  <c r="G832" i="13"/>
  <c r="J832" i="13" s="1"/>
  <c r="K826" i="1"/>
  <c r="N826" i="1" s="1"/>
  <c r="L922" i="1"/>
  <c r="G825" i="13"/>
  <c r="L824" i="1"/>
  <c r="K819" i="1"/>
  <c r="K814" i="1"/>
  <c r="L917" i="1"/>
  <c r="G820" i="13"/>
  <c r="O668" i="1"/>
  <c r="N668" i="1"/>
  <c r="L691" i="1"/>
  <c r="L702" i="1" s="1"/>
  <c r="L703" i="1" s="1"/>
  <c r="L916" i="1"/>
  <c r="G819" i="13"/>
  <c r="J819" i="13" s="1"/>
  <c r="K813" i="1"/>
  <c r="N813" i="1" s="1"/>
  <c r="L872" i="1"/>
  <c r="G775" i="13"/>
  <c r="L777" i="1"/>
  <c r="K769" i="1"/>
  <c r="K767" i="1"/>
  <c r="L870" i="1"/>
  <c r="G773" i="13"/>
  <c r="J773" i="13" s="1"/>
  <c r="K748" i="1"/>
  <c r="L851" i="1"/>
  <c r="G754" i="13"/>
  <c r="L755" i="1"/>
  <c r="J760" i="13" s="1"/>
  <c r="K753" i="1"/>
  <c r="N753" i="1" s="1"/>
  <c r="L856" i="1"/>
  <c r="G759" i="13"/>
  <c r="J759" i="13" s="1"/>
  <c r="L926" i="1"/>
  <c r="K823" i="1"/>
  <c r="G829" i="13"/>
  <c r="N670" i="1"/>
  <c r="O670" i="1"/>
  <c r="J638" i="13"/>
  <c r="G641" i="13"/>
  <c r="M844" i="1"/>
  <c r="O639" i="1"/>
  <c r="N657" i="1"/>
  <c r="O657" i="1"/>
  <c r="M1028" i="1"/>
  <c r="M1132" i="1" s="1"/>
  <c r="L928" i="1"/>
  <c r="G831" i="13"/>
  <c r="K825" i="1"/>
  <c r="L828" i="1"/>
  <c r="N718" i="1"/>
  <c r="O718" i="1"/>
  <c r="J718" i="13"/>
  <c r="J720" i="13" s="1"/>
  <c r="G720" i="13"/>
  <c r="O556" i="1"/>
  <c r="O640" i="1"/>
  <c r="N640" i="1"/>
  <c r="G818" i="13"/>
  <c r="J818" i="13" s="1"/>
  <c r="L915" i="1"/>
  <c r="K812" i="1"/>
  <c r="N661" i="1"/>
  <c r="K665" i="1"/>
  <c r="O665" i="1" s="1"/>
  <c r="L885" i="1"/>
  <c r="G788" i="13"/>
  <c r="J788" i="13" s="1"/>
  <c r="K782" i="1"/>
  <c r="O782" i="1" s="1"/>
  <c r="L848" i="1"/>
  <c r="K745" i="1"/>
  <c r="N745" i="1" s="1"/>
  <c r="G751" i="13"/>
  <c r="J751" i="13" s="1"/>
  <c r="M824" i="1"/>
  <c r="M922" i="1"/>
  <c r="O819" i="1"/>
  <c r="M958" i="1"/>
  <c r="M1062" i="1" s="1"/>
  <c r="O724" i="1"/>
  <c r="K770" i="1"/>
  <c r="L873" i="1"/>
  <c r="G776" i="13"/>
  <c r="J776" i="13" s="1"/>
  <c r="K792" i="1"/>
  <c r="N792" i="1" s="1"/>
  <c r="L895" i="1"/>
  <c r="G798" i="13"/>
  <c r="L762" i="1"/>
  <c r="L862" i="1"/>
  <c r="G765" i="13"/>
  <c r="K759" i="1"/>
  <c r="M974" i="1"/>
  <c r="M1078" i="1" s="1"/>
  <c r="N541" i="1"/>
  <c r="O541" i="1"/>
  <c r="J709" i="13"/>
  <c r="J712" i="13" s="1"/>
  <c r="G712" i="13"/>
  <c r="L912" i="1"/>
  <c r="G815" i="13"/>
  <c r="K809" i="1"/>
  <c r="N662" i="1"/>
  <c r="O662" i="1"/>
  <c r="J630" i="13"/>
  <c r="J631" i="13" s="1"/>
  <c r="M729" i="1"/>
  <c r="M730" i="1" s="1"/>
  <c r="L879" i="1"/>
  <c r="G782" i="13"/>
  <c r="J782" i="13" s="1"/>
  <c r="K776" i="1"/>
  <c r="M875" i="1"/>
  <c r="L844" i="1"/>
  <c r="G747" i="13"/>
  <c r="J747" i="13" s="1"/>
  <c r="K741" i="1"/>
  <c r="N741" i="1" s="1"/>
  <c r="M675" i="1"/>
  <c r="N643" i="1"/>
  <c r="O643" i="1"/>
  <c r="J692" i="13"/>
  <c r="J695" i="13" s="1"/>
  <c r="G695" i="13"/>
  <c r="L854" i="1"/>
  <c r="K751" i="1"/>
  <c r="N751" i="1" s="1"/>
  <c r="G757" i="13"/>
  <c r="J757" i="13" s="1"/>
  <c r="O393" i="1"/>
  <c r="O394" i="1" s="1"/>
  <c r="M848" i="1"/>
  <c r="M951" i="1" s="1"/>
  <c r="M1055" i="1" s="1"/>
  <c r="O571" i="1"/>
  <c r="L864" i="1"/>
  <c r="G767" i="13"/>
  <c r="J767" i="13" s="1"/>
  <c r="K761" i="1"/>
  <c r="N761" i="1" s="1"/>
  <c r="L628" i="1"/>
  <c r="N692" i="1"/>
  <c r="K695" i="1"/>
  <c r="M960" i="1"/>
  <c r="M1064" i="1" s="1"/>
  <c r="K822" i="1"/>
  <c r="L925" i="1"/>
  <c r="G828" i="13"/>
  <c r="J828" i="13" s="1"/>
  <c r="O634" i="1"/>
  <c r="N634" i="1"/>
  <c r="K830" i="1"/>
  <c r="L933" i="1"/>
  <c r="G836" i="13"/>
  <c r="N678" i="1"/>
  <c r="O678" i="1"/>
  <c r="L802" i="1"/>
  <c r="L903" i="1"/>
  <c r="G806" i="13"/>
  <c r="J806" i="13" s="1"/>
  <c r="K800" i="1"/>
  <c r="L878" i="1"/>
  <c r="K775" i="1"/>
  <c r="G781" i="13"/>
  <c r="J781" i="13" s="1"/>
  <c r="M1018" i="1"/>
  <c r="M1122" i="1" s="1"/>
  <c r="M627" i="1"/>
  <c r="N592" i="1"/>
  <c r="K597" i="1"/>
  <c r="N597" i="1" s="1"/>
  <c r="L883" i="1"/>
  <c r="G786" i="13"/>
  <c r="L789" i="1"/>
  <c r="K780" i="1"/>
  <c r="J671" i="13"/>
  <c r="J679" i="13" s="1"/>
  <c r="G679" i="13"/>
  <c r="J727" i="13"/>
  <c r="J730" i="13" s="1"/>
  <c r="G730" i="13"/>
  <c r="K715" i="1"/>
  <c r="N715" i="1" s="1"/>
  <c r="N713" i="1"/>
  <c r="O562" i="1"/>
  <c r="M1024" i="1"/>
  <c r="M1128" i="1" s="1"/>
  <c r="K786" i="1"/>
  <c r="O786" i="1" s="1"/>
  <c r="L889" i="1"/>
  <c r="G792" i="13"/>
  <c r="J792" i="13" s="1"/>
  <c r="N714" i="1"/>
  <c r="O714" i="1"/>
  <c r="M815" i="1"/>
  <c r="M983" i="1"/>
  <c r="M1087" i="1" s="1"/>
  <c r="M1030" i="1"/>
  <c r="M1134" i="1" s="1"/>
  <c r="M839" i="1"/>
  <c r="M739" i="1"/>
  <c r="K470" i="1"/>
  <c r="N454" i="1"/>
  <c r="N711" i="1"/>
  <c r="O711" i="1"/>
  <c r="M872" i="1"/>
  <c r="M777" i="1"/>
  <c r="O769" i="1"/>
  <c r="M691" i="1"/>
  <c r="O677" i="1"/>
  <c r="N677" i="1"/>
  <c r="K686" i="1"/>
  <c r="O686" i="1" s="1"/>
  <c r="L899" i="1"/>
  <c r="G802" i="13"/>
  <c r="J802" i="13" s="1"/>
  <c r="K796" i="1"/>
  <c r="L869" i="1"/>
  <c r="G772" i="13"/>
  <c r="J772" i="13" s="1"/>
  <c r="K766" i="1"/>
  <c r="M1003" i="1"/>
  <c r="M1107" i="1" s="1"/>
  <c r="J528" i="13"/>
  <c r="G561" i="13"/>
  <c r="K736" i="1"/>
  <c r="O736" i="1" s="1"/>
  <c r="L839" i="1"/>
  <c r="G742" i="13"/>
  <c r="J742" i="13" s="1"/>
  <c r="L739" i="1"/>
  <c r="M845" i="1"/>
  <c r="G601" i="13"/>
  <c r="G603" i="13" s="1"/>
  <c r="G604" i="13" s="1"/>
  <c r="L818" i="1"/>
  <c r="L919" i="1"/>
  <c r="G822" i="13"/>
  <c r="K816" i="1"/>
  <c r="L923" i="1"/>
  <c r="G826" i="13"/>
  <c r="J826" i="13" s="1"/>
  <c r="K820" i="1"/>
  <c r="N820" i="1" s="1"/>
  <c r="O612" i="1"/>
  <c r="L894" i="1"/>
  <c r="G797" i="13"/>
  <c r="J797" i="13" s="1"/>
  <c r="K791" i="1"/>
  <c r="N791" i="1" s="1"/>
  <c r="L675" i="1"/>
  <c r="M854" i="1"/>
  <c r="O549" i="1"/>
  <c r="L875" i="1"/>
  <c r="G778" i="13"/>
  <c r="J778" i="13" s="1"/>
  <c r="K772" i="1"/>
  <c r="N772" i="1" s="1"/>
  <c r="K788" i="1"/>
  <c r="L891" i="1"/>
  <c r="G794" i="13"/>
  <c r="J794" i="13" s="1"/>
  <c r="M952" i="1"/>
  <c r="M1056" i="1" s="1"/>
  <c r="M930" i="1"/>
  <c r="O469" i="1"/>
  <c r="N656" i="1"/>
  <c r="K659" i="1"/>
  <c r="N659" i="1" s="1"/>
  <c r="L910" i="1"/>
  <c r="G813" i="13"/>
  <c r="K807" i="1"/>
  <c r="O807" i="1" s="1"/>
  <c r="L900" i="1"/>
  <c r="G803" i="13"/>
  <c r="J803" i="13" s="1"/>
  <c r="K797" i="1"/>
  <c r="N641" i="1"/>
  <c r="O641" i="1"/>
  <c r="O596" i="1"/>
  <c r="O583" i="1"/>
  <c r="K588" i="1"/>
  <c r="N583" i="1"/>
  <c r="M862" i="1"/>
  <c r="M762" i="1"/>
  <c r="O759" i="1"/>
  <c r="L920" i="1"/>
  <c r="G823" i="13"/>
  <c r="J823" i="13" s="1"/>
  <c r="K817" i="1"/>
  <c r="O713" i="1"/>
  <c r="L893" i="1"/>
  <c r="G796" i="13"/>
  <c r="L793" i="1"/>
  <c r="K790" i="1"/>
  <c r="M660" i="1"/>
  <c r="O644" i="1"/>
  <c r="J641" i="13"/>
  <c r="O572" i="1"/>
  <c r="M928" i="1"/>
  <c r="M828" i="1"/>
  <c r="G630" i="13"/>
  <c r="G631" i="13" s="1"/>
  <c r="K728" i="1"/>
  <c r="N728" i="1" s="1"/>
  <c r="N726" i="1"/>
  <c r="O609" i="1"/>
  <c r="N727" i="1"/>
  <c r="O727" i="1"/>
  <c r="J721" i="13"/>
  <c r="J726" i="13" s="1"/>
  <c r="G726" i="13"/>
  <c r="N485" i="1"/>
  <c r="K496" i="1"/>
  <c r="O496" i="1" s="1"/>
  <c r="O497" i="1" s="1"/>
  <c r="O422" i="1"/>
  <c r="M895" i="1"/>
  <c r="J650" i="13"/>
  <c r="J657" i="13" s="1"/>
  <c r="G657" i="13"/>
  <c r="N647" i="1"/>
  <c r="O647" i="1"/>
  <c r="M497" i="1"/>
  <c r="M525" i="1" s="1"/>
  <c r="K773" i="1"/>
  <c r="L876" i="1"/>
  <c r="G779" i="13"/>
  <c r="J779" i="13" s="1"/>
  <c r="M856" i="1"/>
  <c r="O753" i="1"/>
  <c r="L768" i="1"/>
  <c r="L778" i="1" s="1"/>
  <c r="L867" i="1"/>
  <c r="K764" i="1"/>
  <c r="G770" i="13"/>
  <c r="N673" i="1"/>
  <c r="O673" i="1"/>
  <c r="G649" i="13"/>
  <c r="J642" i="13"/>
  <c r="J649" i="13" s="1"/>
  <c r="M894" i="1"/>
  <c r="M998" i="1" s="1"/>
  <c r="M1102" i="1" s="1"/>
  <c r="O791" i="1"/>
  <c r="M916" i="1"/>
  <c r="M918" i="1" s="1"/>
  <c r="O813" i="1"/>
  <c r="O717" i="1"/>
  <c r="K699" i="1"/>
  <c r="N699" i="1" s="1"/>
  <c r="N696" i="1"/>
  <c r="K749" i="1"/>
  <c r="N749" i="1" s="1"/>
  <c r="L852" i="1"/>
  <c r="G755" i="13"/>
  <c r="J755" i="13" s="1"/>
  <c r="N651" i="1"/>
  <c r="O651" i="1"/>
  <c r="L843" i="1"/>
  <c r="G746" i="13"/>
  <c r="K740" i="1"/>
  <c r="L747" i="1"/>
  <c r="K626" i="1"/>
  <c r="N604" i="1"/>
  <c r="O728" i="1"/>
  <c r="N705" i="1"/>
  <c r="O705" i="1"/>
  <c r="M923" i="1"/>
  <c r="O820" i="1"/>
  <c r="O604" i="1"/>
  <c r="J701" i="13"/>
  <c r="J704" i="13" s="1"/>
  <c r="G704" i="13"/>
  <c r="K752" i="1"/>
  <c r="L855" i="1"/>
  <c r="G758" i="13"/>
  <c r="J758" i="13" s="1"/>
  <c r="K742" i="1"/>
  <c r="N742" i="1" s="1"/>
  <c r="L845" i="1"/>
  <c r="G748" i="13"/>
  <c r="J748" i="13" s="1"/>
  <c r="O698" i="1"/>
  <c r="N698" i="1"/>
  <c r="L877" i="1"/>
  <c r="G780" i="13"/>
  <c r="J780" i="13" s="1"/>
  <c r="K774" i="1"/>
  <c r="N774" i="1" s="1"/>
  <c r="N716" i="1"/>
  <c r="K721" i="1"/>
  <c r="N721" i="1" s="1"/>
  <c r="M946" i="1"/>
  <c r="M1050" i="1" s="1"/>
  <c r="K771" i="1"/>
  <c r="L874" i="1"/>
  <c r="G777" i="13"/>
  <c r="J777" i="13" s="1"/>
  <c r="M893" i="1"/>
  <c r="M793" i="1"/>
  <c r="O790" i="1"/>
  <c r="J682" i="13"/>
  <c r="J691" i="13" s="1"/>
  <c r="G691" i="13"/>
  <c r="N693" i="1"/>
  <c r="O693" i="1"/>
  <c r="N666" i="1"/>
  <c r="K674" i="1"/>
  <c r="N674" i="1" s="1"/>
  <c r="N645" i="1"/>
  <c r="K652" i="1"/>
  <c r="N652" i="1" s="1"/>
  <c r="N523" i="1"/>
  <c r="N524" i="1" s="1"/>
  <c r="K524" i="1"/>
  <c r="L853" i="1"/>
  <c r="G756" i="13"/>
  <c r="J756" i="13" s="1"/>
  <c r="K750" i="1"/>
  <c r="N663" i="1"/>
  <c r="O663" i="1"/>
  <c r="N720" i="1"/>
  <c r="O720" i="1"/>
  <c r="M898" i="1"/>
  <c r="M798" i="1"/>
  <c r="O485" i="1"/>
  <c r="O625" i="1"/>
  <c r="N633" i="1"/>
  <c r="K636" i="1"/>
  <c r="O636" i="1" s="1"/>
  <c r="O494" i="1"/>
  <c r="K760" i="1"/>
  <c r="L863" i="1"/>
  <c r="G766" i="13"/>
  <c r="J766" i="13" s="1"/>
  <c r="J601" i="13"/>
  <c r="N722" i="1"/>
  <c r="K725" i="1"/>
  <c r="N725" i="1" s="1"/>
  <c r="O650" i="1"/>
  <c r="L924" i="1"/>
  <c r="G827" i="13"/>
  <c r="J827" i="13" s="1"/>
  <c r="K821" i="1"/>
  <c r="M864" i="1"/>
  <c r="O761" i="1"/>
  <c r="K784" i="1"/>
  <c r="O784" i="1" s="1"/>
  <c r="L887" i="1"/>
  <c r="G790" i="13"/>
  <c r="J790" i="13" s="1"/>
  <c r="L846" i="1"/>
  <c r="G749" i="13"/>
  <c r="J749" i="13" s="1"/>
  <c r="K743" i="1"/>
  <c r="K712" i="1"/>
  <c r="N712" i="1" s="1"/>
  <c r="N709" i="1"/>
  <c r="O709" i="1"/>
  <c r="J666" i="13"/>
  <c r="J670" i="13" s="1"/>
  <c r="G670" i="13"/>
  <c r="G680" i="13" s="1"/>
  <c r="L930" i="1"/>
  <c r="G833" i="13"/>
  <c r="K827" i="1"/>
  <c r="N827" i="1" s="1"/>
  <c r="M956" i="1"/>
  <c r="M1060" i="1" s="1"/>
  <c r="N667" i="1"/>
  <c r="O667" i="1"/>
  <c r="M973" i="1"/>
  <c r="M1077" i="1" s="1"/>
  <c r="N704" i="1"/>
  <c r="K707" i="1"/>
  <c r="O587" i="1"/>
  <c r="O706" i="1"/>
  <c r="N706" i="1"/>
  <c r="K765" i="1"/>
  <c r="L868" i="1"/>
  <c r="G771" i="13"/>
  <c r="J771" i="13" s="1"/>
  <c r="M910" i="1"/>
  <c r="M810" i="1"/>
  <c r="M877" i="1"/>
  <c r="O661" i="1"/>
  <c r="M977" i="1"/>
  <c r="M1081" i="1" s="1"/>
  <c r="K746" i="1"/>
  <c r="L849" i="1"/>
  <c r="G752" i="13"/>
  <c r="M818" i="1"/>
  <c r="M919" i="1"/>
  <c r="M1019" i="1"/>
  <c r="M1123" i="1" s="1"/>
  <c r="N687" i="1"/>
  <c r="K690" i="1"/>
  <c r="N690" i="1" s="1"/>
  <c r="G576" i="13"/>
  <c r="O533" i="1"/>
  <c r="M851" i="1"/>
  <c r="O748" i="1"/>
  <c r="M755" i="1"/>
  <c r="M972" i="1"/>
  <c r="M1076" i="1" s="1"/>
  <c r="O635" i="1"/>
  <c r="N635" i="1"/>
  <c r="O725" i="1"/>
  <c r="G733" i="13"/>
  <c r="J697" i="13"/>
  <c r="J700" i="13" s="1"/>
  <c r="G700" i="13"/>
  <c r="G705" i="13" s="1"/>
  <c r="N719" i="1"/>
  <c r="O719" i="1"/>
  <c r="L840" i="1"/>
  <c r="G743" i="13"/>
  <c r="J743" i="13" s="1"/>
  <c r="K737" i="1"/>
  <c r="O723" i="1"/>
  <c r="K781" i="1"/>
  <c r="L884" i="1"/>
  <c r="G787" i="13"/>
  <c r="J787" i="13" s="1"/>
  <c r="O672" i="1"/>
  <c r="N672" i="1"/>
  <c r="J84" i="1"/>
  <c r="J85" i="1" s="1"/>
  <c r="M68" i="17"/>
  <c r="J69" i="17"/>
  <c r="M69" i="17" s="1"/>
  <c r="N68" i="17"/>
  <c r="N57" i="1"/>
  <c r="O57" i="1"/>
  <c r="K58" i="1"/>
  <c r="N82" i="1"/>
  <c r="O82" i="1"/>
  <c r="M1279" i="1" l="1"/>
  <c r="M1383" i="1" s="1"/>
  <c r="M1614" i="1"/>
  <c r="M1423" i="1"/>
  <c r="F753" i="16"/>
  <c r="I671" i="16"/>
  <c r="M1502" i="1"/>
  <c r="L1072" i="17"/>
  <c r="M1181" i="1"/>
  <c r="M1238" i="1"/>
  <c r="L1172" i="1"/>
  <c r="K1068" i="1"/>
  <c r="G1077" i="13"/>
  <c r="J1077" i="13" s="1"/>
  <c r="N454" i="17"/>
  <c r="N448" i="17"/>
  <c r="L1169" i="17"/>
  <c r="N427" i="17"/>
  <c r="M427" i="17"/>
  <c r="M1557" i="1"/>
  <c r="M1661" i="1" s="1"/>
  <c r="M1765" i="1" s="1"/>
  <c r="M1869" i="1" s="1"/>
  <c r="M1821" i="1"/>
  <c r="M1925" i="1" s="1"/>
  <c r="M2029" i="1" s="1"/>
  <c r="M2133" i="1" s="1"/>
  <c r="M1328" i="1"/>
  <c r="M1333" i="1"/>
  <c r="M1164" i="1"/>
  <c r="M1236" i="1"/>
  <c r="M1340" i="1" s="1"/>
  <c r="M1444" i="1" s="1"/>
  <c r="M1531" i="1"/>
  <c r="M1574" i="1"/>
  <c r="M1678" i="1" s="1"/>
  <c r="K563" i="17"/>
  <c r="Q504" i="17"/>
  <c r="M1327" i="1"/>
  <c r="F768" i="16"/>
  <c r="I686" i="16"/>
  <c r="M1632" i="1"/>
  <c r="M1736" i="1" s="1"/>
  <c r="M1840" i="1" s="1"/>
  <c r="M1292" i="1"/>
  <c r="M1227" i="1"/>
  <c r="O721" i="1"/>
  <c r="M1211" i="1"/>
  <c r="M1232" i="1"/>
  <c r="O792" i="1"/>
  <c r="M1191" i="1"/>
  <c r="M1168" i="1"/>
  <c r="M1159" i="1"/>
  <c r="M1182" i="1"/>
  <c r="M1166" i="1"/>
  <c r="N533" i="17"/>
  <c r="K441" i="17"/>
  <c r="N460" i="17"/>
  <c r="M1612" i="1"/>
  <c r="M1411" i="1"/>
  <c r="F754" i="16"/>
  <c r="I672" i="16"/>
  <c r="M1380" i="1"/>
  <c r="M1524" i="1"/>
  <c r="M1720" i="1"/>
  <c r="M1394" i="1"/>
  <c r="M2034" i="1"/>
  <c r="M2138" i="1" s="1"/>
  <c r="M1160" i="1"/>
  <c r="M1226" i="1"/>
  <c r="M1180" i="1"/>
  <c r="M1185" i="1"/>
  <c r="O597" i="1"/>
  <c r="M1154" i="1"/>
  <c r="M1206" i="1"/>
  <c r="N429" i="17"/>
  <c r="N478" i="17"/>
  <c r="M1719" i="1"/>
  <c r="M1929" i="1"/>
  <c r="K545" i="17"/>
  <c r="Q486" i="17"/>
  <c r="J486" i="17"/>
  <c r="M1445" i="1"/>
  <c r="L961" i="17"/>
  <c r="M1255" i="1"/>
  <c r="M1568" i="1"/>
  <c r="M1672" i="1" s="1"/>
  <c r="M1261" i="1"/>
  <c r="I603" i="16"/>
  <c r="I743" i="16"/>
  <c r="F825" i="16"/>
  <c r="I734" i="16"/>
  <c r="F816" i="16"/>
  <c r="F796" i="16"/>
  <c r="I714" i="16"/>
  <c r="F811" i="16"/>
  <c r="I729" i="16"/>
  <c r="I689" i="16"/>
  <c r="F771" i="16"/>
  <c r="F787" i="16"/>
  <c r="I705" i="16"/>
  <c r="F791" i="16"/>
  <c r="I709" i="16"/>
  <c r="I663" i="16"/>
  <c r="I716" i="16"/>
  <c r="F798" i="16"/>
  <c r="I741" i="16"/>
  <c r="F823" i="16"/>
  <c r="I684" i="16"/>
  <c r="F766" i="16"/>
  <c r="I683" i="16"/>
  <c r="F765" i="16"/>
  <c r="F792" i="16"/>
  <c r="I710" i="16"/>
  <c r="F800" i="16"/>
  <c r="I718" i="16"/>
  <c r="F814" i="16"/>
  <c r="I732" i="16"/>
  <c r="I673" i="16"/>
  <c r="F755" i="16"/>
  <c r="I677" i="16"/>
  <c r="F759" i="16"/>
  <c r="I726" i="16"/>
  <c r="F808" i="16"/>
  <c r="I739" i="16"/>
  <c r="F821" i="16"/>
  <c r="I719" i="16"/>
  <c r="F801" i="16"/>
  <c r="I712" i="16"/>
  <c r="F794" i="16"/>
  <c r="I737" i="16"/>
  <c r="F819" i="16"/>
  <c r="I731" i="16"/>
  <c r="F813" i="16"/>
  <c r="I707" i="16"/>
  <c r="F789" i="16"/>
  <c r="I688" i="16"/>
  <c r="F770" i="16"/>
  <c r="I738" i="16"/>
  <c r="F820" i="16"/>
  <c r="I700" i="16"/>
  <c r="F782" i="16"/>
  <c r="I733" i="16"/>
  <c r="F815" i="16"/>
  <c r="I679" i="16"/>
  <c r="F761" i="16"/>
  <c r="F809" i="16"/>
  <c r="I727" i="16"/>
  <c r="I691" i="16"/>
  <c r="F773" i="16"/>
  <c r="F826" i="16"/>
  <c r="I744" i="16"/>
  <c r="F822" i="16"/>
  <c r="I740" i="16"/>
  <c r="I692" i="16"/>
  <c r="F774" i="16"/>
  <c r="F760" i="16"/>
  <c r="I678" i="16"/>
  <c r="I708" i="16"/>
  <c r="F790" i="16"/>
  <c r="I720" i="16"/>
  <c r="F802" i="16"/>
  <c r="I735" i="16"/>
  <c r="F817" i="16"/>
  <c r="F803" i="16"/>
  <c r="I721" i="16"/>
  <c r="F795" i="16"/>
  <c r="I713" i="16"/>
  <c r="F764" i="16"/>
  <c r="I682" i="16"/>
  <c r="I704" i="16"/>
  <c r="F786" i="16"/>
  <c r="I711" i="16"/>
  <c r="F793" i="16"/>
  <c r="I742" i="16"/>
  <c r="F824" i="16"/>
  <c r="I699" i="16"/>
  <c r="F781" i="16"/>
  <c r="I584" i="16"/>
  <c r="I687" i="16"/>
  <c r="F769" i="16"/>
  <c r="I619" i="16"/>
  <c r="I723" i="16"/>
  <c r="F805" i="16"/>
  <c r="I725" i="16"/>
  <c r="F807" i="16"/>
  <c r="I681" i="16"/>
  <c r="F763" i="16"/>
  <c r="I693" i="16"/>
  <c r="F775" i="16"/>
  <c r="I715" i="16"/>
  <c r="F797" i="16"/>
  <c r="F810" i="16"/>
  <c r="I728" i="16"/>
  <c r="I695" i="16"/>
  <c r="F777" i="16"/>
  <c r="I696" i="16"/>
  <c r="F778" i="16"/>
  <c r="I674" i="16"/>
  <c r="F756" i="16"/>
  <c r="I730" i="16"/>
  <c r="F812" i="16"/>
  <c r="I642" i="16"/>
  <c r="F772" i="16"/>
  <c r="I690" i="16"/>
  <c r="F799" i="16"/>
  <c r="I717" i="16"/>
  <c r="I615" i="16"/>
  <c r="I698" i="16"/>
  <c r="F780" i="16"/>
  <c r="F776" i="16"/>
  <c r="I694" i="16"/>
  <c r="I676" i="16"/>
  <c r="F758" i="16"/>
  <c r="I675" i="16"/>
  <c r="F757" i="16"/>
  <c r="F818" i="16"/>
  <c r="I736" i="16"/>
  <c r="F804" i="16"/>
  <c r="I722" i="16"/>
  <c r="I680" i="16"/>
  <c r="F762" i="16"/>
  <c r="I706" i="16"/>
  <c r="F788" i="16"/>
  <c r="L540" i="17"/>
  <c r="L666" i="17"/>
  <c r="L764" i="17"/>
  <c r="L565" i="17"/>
  <c r="L624" i="17" s="1"/>
  <c r="L551" i="17"/>
  <c r="L499" i="17"/>
  <c r="N446" i="17"/>
  <c r="L758" i="17"/>
  <c r="L547" i="17"/>
  <c r="K562" i="17"/>
  <c r="Q503" i="17"/>
  <c r="J503" i="17"/>
  <c r="M503" i="17" s="1"/>
  <c r="K555" i="17"/>
  <c r="J496" i="17"/>
  <c r="M496" i="17" s="1"/>
  <c r="Q496" i="17"/>
  <c r="J534" i="17"/>
  <c r="M534" i="17" s="1"/>
  <c r="K593" i="17"/>
  <c r="Q534" i="17"/>
  <c r="M428" i="17"/>
  <c r="J432" i="17"/>
  <c r="N432" i="17" s="1"/>
  <c r="K482" i="17"/>
  <c r="M457" i="17"/>
  <c r="N457" i="17"/>
  <c r="L578" i="17"/>
  <c r="Q502" i="17"/>
  <c r="K561" i="17"/>
  <c r="J502" i="17"/>
  <c r="M502" i="17" s="1"/>
  <c r="M461" i="17"/>
  <c r="N461" i="17"/>
  <c r="L594" i="17"/>
  <c r="Q440" i="17"/>
  <c r="M430" i="17"/>
  <c r="N430" i="17"/>
  <c r="N471" i="17"/>
  <c r="L556" i="17"/>
  <c r="L571" i="17"/>
  <c r="L630" i="17" s="1"/>
  <c r="M473" i="17"/>
  <c r="N473" i="17"/>
  <c r="J525" i="17"/>
  <c r="M525" i="17" s="1"/>
  <c r="K584" i="17"/>
  <c r="Q525" i="17"/>
  <c r="L563" i="17"/>
  <c r="J504" i="17"/>
  <c r="M504" i="17" s="1"/>
  <c r="Q514" i="17"/>
  <c r="K573" i="17"/>
  <c r="J514" i="17"/>
  <c r="N475" i="17"/>
  <c r="M522" i="17"/>
  <c r="N522" i="17"/>
  <c r="L645" i="17"/>
  <c r="K570" i="17"/>
  <c r="Q511" i="17"/>
  <c r="J511" i="17"/>
  <c r="M511" i="17" s="1"/>
  <c r="K565" i="17"/>
  <c r="J506" i="17"/>
  <c r="M506" i="17" s="1"/>
  <c r="Q506" i="17"/>
  <c r="K560" i="17"/>
  <c r="J501" i="17"/>
  <c r="Q501" i="17"/>
  <c r="K508" i="17"/>
  <c r="K509" i="17" s="1"/>
  <c r="L697" i="17"/>
  <c r="J537" i="17"/>
  <c r="M537" i="17" s="1"/>
  <c r="K596" i="17"/>
  <c r="Q537" i="17"/>
  <c r="M528" i="17"/>
  <c r="N528" i="17"/>
  <c r="N436" i="17"/>
  <c r="L633" i="17"/>
  <c r="L450" i="17"/>
  <c r="J530" i="17"/>
  <c r="M530" i="17" s="1"/>
  <c r="K589" i="17"/>
  <c r="Q530" i="17"/>
  <c r="L639" i="17"/>
  <c r="N580" i="17"/>
  <c r="N458" i="17"/>
  <c r="K546" i="17"/>
  <c r="J487" i="17"/>
  <c r="N487" i="17" s="1"/>
  <c r="Q487" i="17"/>
  <c r="K491" i="17"/>
  <c r="Q535" i="17"/>
  <c r="K594" i="17"/>
  <c r="J535" i="17"/>
  <c r="M535" i="17" s="1"/>
  <c r="L693" i="17"/>
  <c r="N381" i="17"/>
  <c r="K583" i="17"/>
  <c r="J524" i="17"/>
  <c r="Q524" i="17"/>
  <c r="N443" i="17"/>
  <c r="J489" i="17"/>
  <c r="K548" i="17"/>
  <c r="Q489" i="17"/>
  <c r="L589" i="17"/>
  <c r="L648" i="17" s="1"/>
  <c r="N530" i="17"/>
  <c r="L552" i="17"/>
  <c r="L566" i="17"/>
  <c r="L593" i="17"/>
  <c r="N534" i="17"/>
  <c r="Q513" i="17"/>
  <c r="K572" i="17"/>
  <c r="J513" i="17"/>
  <c r="M513" i="17" s="1"/>
  <c r="Q581" i="17"/>
  <c r="K640" i="17"/>
  <c r="J581" i="17"/>
  <c r="L642" i="17"/>
  <c r="Q580" i="17"/>
  <c r="K639" i="17"/>
  <c r="J580" i="17"/>
  <c r="M580" i="17" s="1"/>
  <c r="Q449" i="17"/>
  <c r="Q450" i="17" s="1"/>
  <c r="K577" i="17"/>
  <c r="J518" i="17"/>
  <c r="M518" i="17" s="1"/>
  <c r="Q518" i="17"/>
  <c r="J382" i="17"/>
  <c r="M382" i="17" s="1"/>
  <c r="M373" i="17"/>
  <c r="M472" i="17"/>
  <c r="N472" i="17"/>
  <c r="L554" i="17"/>
  <c r="K556" i="17"/>
  <c r="Q497" i="17"/>
  <c r="J497" i="17"/>
  <c r="M497" i="17" s="1"/>
  <c r="J494" i="17"/>
  <c r="K553" i="17"/>
  <c r="Q494" i="17"/>
  <c r="L671" i="17"/>
  <c r="L560" i="17"/>
  <c r="L508" i="17"/>
  <c r="N501" i="17"/>
  <c r="L582" i="17"/>
  <c r="L562" i="17"/>
  <c r="N503" i="17"/>
  <c r="J517" i="17"/>
  <c r="M517" i="17" s="1"/>
  <c r="K576" i="17"/>
  <c r="Q517" i="17"/>
  <c r="L546" i="17"/>
  <c r="L491" i="17"/>
  <c r="N477" i="17"/>
  <c r="M477" i="17"/>
  <c r="K564" i="17"/>
  <c r="Q505" i="17"/>
  <c r="J505" i="17"/>
  <c r="L572" i="17"/>
  <c r="L576" i="17"/>
  <c r="N517" i="17"/>
  <c r="K554" i="17"/>
  <c r="Q495" i="17"/>
  <c r="J495" i="17"/>
  <c r="M495" i="17" s="1"/>
  <c r="Q441" i="17"/>
  <c r="J510" i="17"/>
  <c r="M510" i="17" s="1"/>
  <c r="K569" i="17"/>
  <c r="Q510" i="17"/>
  <c r="K539" i="17"/>
  <c r="K540" i="17" s="1"/>
  <c r="J516" i="17"/>
  <c r="K575" i="17"/>
  <c r="Q516" i="17"/>
  <c r="K571" i="17"/>
  <c r="J512" i="17"/>
  <c r="M512" i="17" s="1"/>
  <c r="Q512" i="17"/>
  <c r="J520" i="17"/>
  <c r="K579" i="17"/>
  <c r="Q520" i="17"/>
  <c r="N391" i="17"/>
  <c r="N456" i="17"/>
  <c r="M456" i="17"/>
  <c r="J480" i="17"/>
  <c r="J498" i="17"/>
  <c r="K557" i="17"/>
  <c r="Q498" i="17"/>
  <c r="L577" i="17"/>
  <c r="K551" i="17"/>
  <c r="Q492" i="17"/>
  <c r="J492" i="17"/>
  <c r="K499" i="17"/>
  <c r="L561" i="17"/>
  <c r="N502" i="17"/>
  <c r="N437" i="17"/>
  <c r="L596" i="17"/>
  <c r="N537" i="17"/>
  <c r="M422" i="17"/>
  <c r="L741" i="17"/>
  <c r="L597" i="17"/>
  <c r="J538" i="17"/>
  <c r="M538" i="17" s="1"/>
  <c r="K597" i="17"/>
  <c r="Q538" i="17"/>
  <c r="K591" i="17"/>
  <c r="Q532" i="17"/>
  <c r="J532" i="17"/>
  <c r="L588" i="17"/>
  <c r="K547" i="17"/>
  <c r="Q488" i="17"/>
  <c r="J488" i="17"/>
  <c r="M488" i="17" s="1"/>
  <c r="L709" i="17"/>
  <c r="L649" i="17"/>
  <c r="K651" i="17"/>
  <c r="J592" i="17"/>
  <c r="M592" i="17" s="1"/>
  <c r="Q592" i="17"/>
  <c r="Q531" i="17"/>
  <c r="K590" i="17"/>
  <c r="J531" i="17"/>
  <c r="N305" i="17"/>
  <c r="K552" i="17"/>
  <c r="Q493" i="17"/>
  <c r="J493" i="17"/>
  <c r="M493" i="17" s="1"/>
  <c r="K645" i="17"/>
  <c r="Q586" i="17"/>
  <c r="J586" i="17"/>
  <c r="M586" i="17" s="1"/>
  <c r="K549" i="17"/>
  <c r="Q490" i="17"/>
  <c r="J490" i="17"/>
  <c r="M490" i="17" s="1"/>
  <c r="Q507" i="17"/>
  <c r="K566" i="17"/>
  <c r="J507" i="17"/>
  <c r="M507" i="17" s="1"/>
  <c r="M435" i="17"/>
  <c r="N435" i="17"/>
  <c r="L584" i="17"/>
  <c r="N525" i="17"/>
  <c r="L441" i="17"/>
  <c r="L482" i="17" s="1"/>
  <c r="N440" i="17"/>
  <c r="K595" i="17"/>
  <c r="Q536" i="17"/>
  <c r="J536" i="17"/>
  <c r="L569" i="17"/>
  <c r="L651" i="17"/>
  <c r="Q523" i="17"/>
  <c r="K582" i="17"/>
  <c r="J523" i="17"/>
  <c r="M523" i="17" s="1"/>
  <c r="L585" i="17"/>
  <c r="N526" i="17"/>
  <c r="N476" i="17"/>
  <c r="L675" i="17"/>
  <c r="Q515" i="17"/>
  <c r="K574" i="17"/>
  <c r="J515" i="17"/>
  <c r="M439" i="17"/>
  <c r="N439" i="17"/>
  <c r="M465" i="17"/>
  <c r="N465" i="17"/>
  <c r="Q519" i="17"/>
  <c r="K578" i="17"/>
  <c r="J519" i="17"/>
  <c r="M519" i="17" s="1"/>
  <c r="M433" i="17"/>
  <c r="J440" i="17"/>
  <c r="M440" i="17" s="1"/>
  <c r="J529" i="17"/>
  <c r="M529" i="17" s="1"/>
  <c r="K588" i="17"/>
  <c r="Q529" i="17"/>
  <c r="L555" i="17"/>
  <c r="N496" i="17"/>
  <c r="N453" i="17"/>
  <c r="N470" i="17"/>
  <c r="N364" i="17"/>
  <c r="L549" i="17"/>
  <c r="N490" i="17"/>
  <c r="N382" i="17"/>
  <c r="L570" i="17"/>
  <c r="N511" i="17"/>
  <c r="N421" i="17"/>
  <c r="M421" i="17"/>
  <c r="J526" i="17"/>
  <c r="M526" i="17" s="1"/>
  <c r="K585" i="17"/>
  <c r="Q526" i="17"/>
  <c r="M442" i="17"/>
  <c r="J449" i="17"/>
  <c r="M449" i="17" s="1"/>
  <c r="K646" i="17"/>
  <c r="Q587" i="17"/>
  <c r="J587" i="17"/>
  <c r="Q423" i="17"/>
  <c r="J696" i="13"/>
  <c r="O699" i="1"/>
  <c r="M962" i="1"/>
  <c r="M861" i="1"/>
  <c r="O735" i="1"/>
  <c r="L803" i="1"/>
  <c r="G868" i="13"/>
  <c r="J867" i="13"/>
  <c r="M941" i="1"/>
  <c r="M1045" i="1" s="1"/>
  <c r="K907" i="1"/>
  <c r="L1011" i="1"/>
  <c r="L1115" i="1" s="1"/>
  <c r="G914" i="13"/>
  <c r="J914" i="13" s="1"/>
  <c r="N756" i="1"/>
  <c r="K758" i="1"/>
  <c r="N758" i="1" s="1"/>
  <c r="G972" i="13"/>
  <c r="K964" i="1"/>
  <c r="O690" i="1"/>
  <c r="O715" i="1"/>
  <c r="O758" i="1"/>
  <c r="N804" i="1"/>
  <c r="O804" i="1"/>
  <c r="L962" i="1"/>
  <c r="G866" i="13"/>
  <c r="J866" i="13" s="1"/>
  <c r="K859" i="1"/>
  <c r="L861" i="1"/>
  <c r="L941" i="1"/>
  <c r="L1045" i="1" s="1"/>
  <c r="K838" i="1"/>
  <c r="N838" i="1" s="1"/>
  <c r="G845" i="13"/>
  <c r="J845" i="13" s="1"/>
  <c r="G696" i="13"/>
  <c r="J752" i="13"/>
  <c r="J798" i="13"/>
  <c r="G665" i="13"/>
  <c r="G681" i="13" s="1"/>
  <c r="N765" i="1"/>
  <c r="O765" i="1"/>
  <c r="L980" i="1"/>
  <c r="L1084" i="1" s="1"/>
  <c r="G883" i="13"/>
  <c r="J883" i="13" s="1"/>
  <c r="K876" i="1"/>
  <c r="M1034" i="1"/>
  <c r="M1138" i="1" s="1"/>
  <c r="L901" i="1"/>
  <c r="L1003" i="1"/>
  <c r="L1107" i="1" s="1"/>
  <c r="K899" i="1"/>
  <c r="G906" i="13"/>
  <c r="J906" i="13" s="1"/>
  <c r="M976" i="1"/>
  <c r="M1080" i="1" s="1"/>
  <c r="M880" i="1"/>
  <c r="L993" i="1"/>
  <c r="L1097" i="1" s="1"/>
  <c r="G896" i="13"/>
  <c r="J896" i="13" s="1"/>
  <c r="K889" i="1"/>
  <c r="O889" i="1" s="1"/>
  <c r="N822" i="1"/>
  <c r="O822" i="1"/>
  <c r="L1016" i="1"/>
  <c r="L1120" i="1" s="1"/>
  <c r="G919" i="13"/>
  <c r="J919" i="13" s="1"/>
  <c r="K912" i="1"/>
  <c r="G768" i="13"/>
  <c r="J765" i="13"/>
  <c r="J768" i="13" s="1"/>
  <c r="N770" i="1"/>
  <c r="O770" i="1"/>
  <c r="K885" i="1"/>
  <c r="O885" i="1" s="1"/>
  <c r="L989" i="1"/>
  <c r="L1093" i="1" s="1"/>
  <c r="G892" i="13"/>
  <c r="J892" i="13" s="1"/>
  <c r="L1019" i="1"/>
  <c r="L1123" i="1" s="1"/>
  <c r="G922" i="13"/>
  <c r="K915" i="1"/>
  <c r="K856" i="1"/>
  <c r="N856" i="1" s="1"/>
  <c r="L959" i="1"/>
  <c r="L1063" i="1" s="1"/>
  <c r="G863" i="13"/>
  <c r="J863" i="13" s="1"/>
  <c r="O767" i="1"/>
  <c r="N767" i="1"/>
  <c r="L976" i="1"/>
  <c r="L1080" i="1" s="1"/>
  <c r="G879" i="13"/>
  <c r="K872" i="1"/>
  <c r="O872" i="1" s="1"/>
  <c r="L880" i="1"/>
  <c r="J829" i="13"/>
  <c r="L1008" i="1"/>
  <c r="L1112" i="1" s="1"/>
  <c r="G911" i="13"/>
  <c r="J911" i="13" s="1"/>
  <c r="K904" i="1"/>
  <c r="L1018" i="1"/>
  <c r="L1122" i="1" s="1"/>
  <c r="G921" i="13"/>
  <c r="J921" i="13" s="1"/>
  <c r="K914" i="1"/>
  <c r="L918" i="1"/>
  <c r="O744" i="1"/>
  <c r="N744" i="1"/>
  <c r="N754" i="1"/>
  <c r="O754" i="1"/>
  <c r="M1006" i="1"/>
  <c r="M1110" i="1" s="1"/>
  <c r="M905" i="1"/>
  <c r="N781" i="1"/>
  <c r="O781" i="1"/>
  <c r="L943" i="1"/>
  <c r="L1047" i="1" s="1"/>
  <c r="G847" i="13"/>
  <c r="J847" i="13" s="1"/>
  <c r="K840" i="1"/>
  <c r="M921" i="1"/>
  <c r="M1023" i="1"/>
  <c r="M1127" i="1" s="1"/>
  <c r="N746" i="1"/>
  <c r="O746" i="1"/>
  <c r="O774" i="1"/>
  <c r="M1014" i="1"/>
  <c r="M1118" i="1" s="1"/>
  <c r="M913" i="1"/>
  <c r="M968" i="1"/>
  <c r="M1072" i="1" s="1"/>
  <c r="K660" i="1"/>
  <c r="O660" i="1" s="1"/>
  <c r="N636" i="1"/>
  <c r="M803" i="1"/>
  <c r="L956" i="1"/>
  <c r="L1060" i="1" s="1"/>
  <c r="G860" i="13"/>
  <c r="J860" i="13" s="1"/>
  <c r="K853" i="1"/>
  <c r="G881" i="13"/>
  <c r="J881" i="13" s="1"/>
  <c r="L978" i="1"/>
  <c r="L1082" i="1" s="1"/>
  <c r="K874" i="1"/>
  <c r="J705" i="13"/>
  <c r="J707" i="13" s="1"/>
  <c r="J708" i="13" s="1"/>
  <c r="O712" i="1"/>
  <c r="O740" i="1"/>
  <c r="N740" i="1"/>
  <c r="K747" i="1"/>
  <c r="G774" i="13"/>
  <c r="J770" i="13"/>
  <c r="J774" i="13" s="1"/>
  <c r="O773" i="1"/>
  <c r="N773" i="1"/>
  <c r="M999" i="1"/>
  <c r="M1103" i="1" s="1"/>
  <c r="J665" i="13"/>
  <c r="N817" i="1"/>
  <c r="O817" i="1"/>
  <c r="N797" i="1"/>
  <c r="O797" i="1"/>
  <c r="G816" i="13"/>
  <c r="J813" i="13"/>
  <c r="N788" i="1"/>
  <c r="O788" i="1"/>
  <c r="J822" i="13"/>
  <c r="J824" i="13" s="1"/>
  <c r="G824" i="13"/>
  <c r="O742" i="1"/>
  <c r="K839" i="1"/>
  <c r="L942" i="1"/>
  <c r="L1046" i="1" s="1"/>
  <c r="G846" i="13"/>
  <c r="L842" i="1"/>
  <c r="K869" i="1"/>
  <c r="L973" i="1"/>
  <c r="L1077" i="1" s="1"/>
  <c r="G876" i="13"/>
  <c r="J876" i="13" s="1"/>
  <c r="N686" i="1"/>
  <c r="K691" i="1"/>
  <c r="O691" i="1" s="1"/>
  <c r="M702" i="1"/>
  <c r="M703" i="1" s="1"/>
  <c r="L794" i="1"/>
  <c r="N775" i="1"/>
  <c r="O775" i="1"/>
  <c r="L1007" i="1"/>
  <c r="L1111" i="1" s="1"/>
  <c r="K903" i="1"/>
  <c r="G910" i="13"/>
  <c r="J910" i="13" s="1"/>
  <c r="K864" i="1"/>
  <c r="N864" i="1" s="1"/>
  <c r="L968" i="1"/>
  <c r="L1072" i="1" s="1"/>
  <c r="G871" i="13"/>
  <c r="J871" i="13" s="1"/>
  <c r="O652" i="1"/>
  <c r="K854" i="1"/>
  <c r="N854" i="1" s="1"/>
  <c r="L957" i="1"/>
  <c r="L1061" i="1" s="1"/>
  <c r="G861" i="13"/>
  <c r="J861" i="13" s="1"/>
  <c r="O772" i="1"/>
  <c r="L983" i="1"/>
  <c r="L1087" i="1" s="1"/>
  <c r="G886" i="13"/>
  <c r="J886" i="13" s="1"/>
  <c r="K879" i="1"/>
  <c r="G734" i="13"/>
  <c r="G735" i="13" s="1"/>
  <c r="L966" i="1"/>
  <c r="L1070" i="1" s="1"/>
  <c r="G869" i="13"/>
  <c r="L865" i="1"/>
  <c r="K862" i="1"/>
  <c r="M1026" i="1"/>
  <c r="M1130" i="1" s="1"/>
  <c r="M927" i="1"/>
  <c r="G855" i="13"/>
  <c r="J855" i="13" s="1"/>
  <c r="L951" i="1"/>
  <c r="L1055" i="1" s="1"/>
  <c r="K848" i="1"/>
  <c r="K675" i="1"/>
  <c r="N675" i="1" s="1"/>
  <c r="N665" i="1"/>
  <c r="J833" i="13"/>
  <c r="N823" i="1"/>
  <c r="O823" i="1"/>
  <c r="K755" i="1"/>
  <c r="N755" i="1" s="1"/>
  <c r="N748" i="1"/>
  <c r="K777" i="1"/>
  <c r="N777" i="1" s="1"/>
  <c r="N769" i="1"/>
  <c r="O674" i="1"/>
  <c r="K917" i="1"/>
  <c r="L1021" i="1"/>
  <c r="L1125" i="1" s="1"/>
  <c r="G924" i="13"/>
  <c r="J924" i="13" s="1"/>
  <c r="J825" i="13"/>
  <c r="G830" i="13"/>
  <c r="K929" i="1"/>
  <c r="N929" i="1" s="1"/>
  <c r="L1033" i="1"/>
  <c r="L1137" i="1" s="1"/>
  <c r="G936" i="13"/>
  <c r="J936" i="13" s="1"/>
  <c r="J820" i="13"/>
  <c r="J603" i="13"/>
  <c r="J604" i="13" s="1"/>
  <c r="J632" i="13" s="1"/>
  <c r="O749" i="1"/>
  <c r="O826" i="1"/>
  <c r="O795" i="1"/>
  <c r="N795" i="1"/>
  <c r="G837" i="13"/>
  <c r="G848" i="13"/>
  <c r="J848" i="13" s="1"/>
  <c r="L944" i="1"/>
  <c r="L1048" i="1" s="1"/>
  <c r="K841" i="1"/>
  <c r="L994" i="1"/>
  <c r="L1098" i="1" s="1"/>
  <c r="G897" i="13"/>
  <c r="J897" i="13" s="1"/>
  <c r="K890" i="1"/>
  <c r="O890" i="1" s="1"/>
  <c r="M778" i="1"/>
  <c r="L960" i="1"/>
  <c r="L1064" i="1" s="1"/>
  <c r="G864" i="13"/>
  <c r="J864" i="13" s="1"/>
  <c r="K857" i="1"/>
  <c r="N799" i="1"/>
  <c r="K802" i="1"/>
  <c r="N802" i="1" s="1"/>
  <c r="J815" i="13"/>
  <c r="L832" i="1"/>
  <c r="L833" i="1" s="1"/>
  <c r="O707" i="1"/>
  <c r="K729" i="1"/>
  <c r="N707" i="1"/>
  <c r="K924" i="1"/>
  <c r="L1028" i="1"/>
  <c r="L1132" i="1" s="1"/>
  <c r="G931" i="13"/>
  <c r="J931" i="13" s="1"/>
  <c r="N588" i="1"/>
  <c r="K599" i="1"/>
  <c r="O588" i="1"/>
  <c r="K810" i="1"/>
  <c r="N807" i="1"/>
  <c r="L995" i="1"/>
  <c r="L1099" i="1" s="1"/>
  <c r="G898" i="13"/>
  <c r="J898" i="13" s="1"/>
  <c r="K891" i="1"/>
  <c r="K789" i="1"/>
  <c r="N780" i="1"/>
  <c r="L850" i="1"/>
  <c r="L947" i="1"/>
  <c r="L1051" i="1" s="1"/>
  <c r="K844" i="1"/>
  <c r="N844" i="1" s="1"/>
  <c r="G851" i="13"/>
  <c r="J851" i="13" s="1"/>
  <c r="L999" i="1"/>
  <c r="L1103" i="1" s="1"/>
  <c r="G902" i="13"/>
  <c r="J902" i="13" s="1"/>
  <c r="K895" i="1"/>
  <c r="N895" i="1" s="1"/>
  <c r="L1032" i="1"/>
  <c r="L1136" i="1" s="1"/>
  <c r="G935" i="13"/>
  <c r="K928" i="1"/>
  <c r="L931" i="1"/>
  <c r="L954" i="1"/>
  <c r="L1058" i="1" s="1"/>
  <c r="G858" i="13"/>
  <c r="L858" i="1"/>
  <c r="K851" i="1"/>
  <c r="O829" i="1"/>
  <c r="N829" i="1"/>
  <c r="K831" i="1"/>
  <c r="N831" i="1" s="1"/>
  <c r="G745" i="13"/>
  <c r="J744" i="13"/>
  <c r="J745" i="13" s="1"/>
  <c r="M628" i="1"/>
  <c r="M987" i="1"/>
  <c r="M892" i="1"/>
  <c r="K911" i="1"/>
  <c r="L1015" i="1"/>
  <c r="L1119" i="1" s="1"/>
  <c r="G918" i="13"/>
  <c r="J918" i="13" s="1"/>
  <c r="M858" i="1"/>
  <c r="M954" i="1"/>
  <c r="M1058" i="1" s="1"/>
  <c r="O851" i="1"/>
  <c r="M981" i="1"/>
  <c r="M1085" i="1" s="1"/>
  <c r="J680" i="13"/>
  <c r="N743" i="1"/>
  <c r="O743" i="1"/>
  <c r="L991" i="1"/>
  <c r="L1095" i="1" s="1"/>
  <c r="G894" i="13"/>
  <c r="J894" i="13" s="1"/>
  <c r="K887" i="1"/>
  <c r="O887" i="1" s="1"/>
  <c r="N821" i="1"/>
  <c r="O821" i="1"/>
  <c r="L967" i="1"/>
  <c r="L1071" i="1" s="1"/>
  <c r="K863" i="1"/>
  <c r="G870" i="13"/>
  <c r="J870" i="13" s="1"/>
  <c r="M1002" i="1"/>
  <c r="M1106" i="1" s="1"/>
  <c r="M901" i="1"/>
  <c r="G707" i="13"/>
  <c r="G708" i="13" s="1"/>
  <c r="M997" i="1"/>
  <c r="M1101" i="1" s="1"/>
  <c r="M896" i="1"/>
  <c r="N771" i="1"/>
  <c r="O771" i="1"/>
  <c r="K877" i="1"/>
  <c r="N877" i="1" s="1"/>
  <c r="L981" i="1"/>
  <c r="L1085" i="1" s="1"/>
  <c r="G884" i="13"/>
  <c r="J884" i="13" s="1"/>
  <c r="L958" i="1"/>
  <c r="L1062" i="1" s="1"/>
  <c r="G862" i="13"/>
  <c r="J862" i="13" s="1"/>
  <c r="K855" i="1"/>
  <c r="J746" i="13"/>
  <c r="G753" i="13"/>
  <c r="M1020" i="1"/>
  <c r="M1124" i="1" s="1"/>
  <c r="O764" i="1"/>
  <c r="K768" i="1"/>
  <c r="O768" i="1" s="1"/>
  <c r="N764" i="1"/>
  <c r="M959" i="1"/>
  <c r="M1063" i="1" s="1"/>
  <c r="M1167" i="1" s="1"/>
  <c r="J796" i="13"/>
  <c r="G799" i="13"/>
  <c r="M865" i="1"/>
  <c r="M966" i="1"/>
  <c r="M1070" i="1" s="1"/>
  <c r="L1014" i="1"/>
  <c r="L1118" i="1" s="1"/>
  <c r="G917" i="13"/>
  <c r="L913" i="1"/>
  <c r="K910" i="1"/>
  <c r="O751" i="1"/>
  <c r="L921" i="1"/>
  <c r="L1023" i="1"/>
  <c r="L1127" i="1" s="1"/>
  <c r="G926" i="13"/>
  <c r="K919" i="1"/>
  <c r="M948" i="1"/>
  <c r="M1052" i="1" s="1"/>
  <c r="N736" i="1"/>
  <c r="K739" i="1"/>
  <c r="O739" i="1" s="1"/>
  <c r="K798" i="1"/>
  <c r="N796" i="1"/>
  <c r="O796" i="1"/>
  <c r="M763" i="1"/>
  <c r="J786" i="13"/>
  <c r="J795" i="13" s="1"/>
  <c r="G795" i="13"/>
  <c r="G800" i="13" s="1"/>
  <c r="G885" i="13"/>
  <c r="J885" i="13" s="1"/>
  <c r="L982" i="1"/>
  <c r="L1086" i="1" s="1"/>
  <c r="K878" i="1"/>
  <c r="K933" i="1"/>
  <c r="L1037" i="1"/>
  <c r="L1141" i="1" s="1"/>
  <c r="G940" i="13"/>
  <c r="M979" i="1"/>
  <c r="M1083" i="1" s="1"/>
  <c r="N809" i="1"/>
  <c r="O809" i="1"/>
  <c r="J734" i="13"/>
  <c r="J735" i="13" s="1"/>
  <c r="O825" i="1"/>
  <c r="N825" i="1"/>
  <c r="K828" i="1"/>
  <c r="N828" i="1" s="1"/>
  <c r="O741" i="1"/>
  <c r="L1030" i="1"/>
  <c r="L1134" i="1" s="1"/>
  <c r="K926" i="1"/>
  <c r="G933" i="13"/>
  <c r="J933" i="13" s="1"/>
  <c r="N814" i="1"/>
  <c r="O814" i="1"/>
  <c r="L927" i="1"/>
  <c r="L1026" i="1"/>
  <c r="L1130" i="1" s="1"/>
  <c r="G929" i="13"/>
  <c r="K922" i="1"/>
  <c r="O922" i="1" s="1"/>
  <c r="N801" i="1"/>
  <c r="O801" i="1"/>
  <c r="G821" i="13"/>
  <c r="J817" i="13"/>
  <c r="M955" i="1"/>
  <c r="M1059" i="1" s="1"/>
  <c r="M1033" i="1"/>
  <c r="M1137" i="1" s="1"/>
  <c r="M1241" i="1" s="1"/>
  <c r="O929" i="1"/>
  <c r="J801" i="13"/>
  <c r="J804" i="13" s="1"/>
  <c r="G804" i="13"/>
  <c r="L934" i="1"/>
  <c r="L1036" i="1"/>
  <c r="L1140" i="1" s="1"/>
  <c r="G939" i="13"/>
  <c r="K932" i="1"/>
  <c r="O932" i="1" s="1"/>
  <c r="N738" i="1"/>
  <c r="O738" i="1"/>
  <c r="M971" i="1"/>
  <c r="M1075" i="1" s="1"/>
  <c r="M871" i="1"/>
  <c r="M881" i="1" s="1"/>
  <c r="K847" i="1"/>
  <c r="L950" i="1"/>
  <c r="L1054" i="1" s="1"/>
  <c r="G854" i="13"/>
  <c r="J854" i="13" s="1"/>
  <c r="L676" i="1"/>
  <c r="L731" i="1" s="1"/>
  <c r="L992" i="1"/>
  <c r="L1096" i="1" s="1"/>
  <c r="G895" i="13"/>
  <c r="J895" i="13" s="1"/>
  <c r="K888" i="1"/>
  <c r="O888" i="1" s="1"/>
  <c r="O780" i="1"/>
  <c r="J805" i="13"/>
  <c r="J808" i="13" s="1"/>
  <c r="G808" i="13"/>
  <c r="N808" i="1"/>
  <c r="O808" i="1"/>
  <c r="O799" i="1"/>
  <c r="M1036" i="1"/>
  <c r="M1140" i="1" s="1"/>
  <c r="M934" i="1"/>
  <c r="L988" i="1"/>
  <c r="L1092" i="1" s="1"/>
  <c r="G891" i="13"/>
  <c r="J891" i="13" s="1"/>
  <c r="K884" i="1"/>
  <c r="L952" i="1"/>
  <c r="L1056" i="1" s="1"/>
  <c r="G856" i="13"/>
  <c r="J856" i="13" s="1"/>
  <c r="K849" i="1"/>
  <c r="L1034" i="1"/>
  <c r="L1138" i="1" s="1"/>
  <c r="G937" i="13"/>
  <c r="J937" i="13" s="1"/>
  <c r="K930" i="1"/>
  <c r="N930" i="1" s="1"/>
  <c r="L949" i="1"/>
  <c r="L1053" i="1" s="1"/>
  <c r="G853" i="13"/>
  <c r="J853" i="13" s="1"/>
  <c r="K846" i="1"/>
  <c r="M1027" i="1"/>
  <c r="M1131" i="1" s="1"/>
  <c r="K852" i="1"/>
  <c r="N852" i="1" s="1"/>
  <c r="L955" i="1"/>
  <c r="L1059" i="1" s="1"/>
  <c r="G859" i="13"/>
  <c r="J859" i="13" s="1"/>
  <c r="K793" i="1"/>
  <c r="N793" i="1" s="1"/>
  <c r="N790" i="1"/>
  <c r="L979" i="1"/>
  <c r="G882" i="13"/>
  <c r="J882" i="13" s="1"/>
  <c r="K875" i="1"/>
  <c r="N875" i="1" s="1"/>
  <c r="O816" i="1"/>
  <c r="K818" i="1"/>
  <c r="N818" i="1" s="1"/>
  <c r="N816" i="1"/>
  <c r="O470" i="1"/>
  <c r="N470" i="1"/>
  <c r="N737" i="1"/>
  <c r="O737" i="1"/>
  <c r="M832" i="1"/>
  <c r="M833" i="1" s="1"/>
  <c r="L972" i="1"/>
  <c r="L1076" i="1" s="1"/>
  <c r="G875" i="13"/>
  <c r="J875" i="13" s="1"/>
  <c r="K868" i="1"/>
  <c r="O760" i="1"/>
  <c r="N760" i="1"/>
  <c r="N750" i="1"/>
  <c r="O750" i="1"/>
  <c r="M850" i="1"/>
  <c r="K845" i="1"/>
  <c r="N845" i="1" s="1"/>
  <c r="L948" i="1"/>
  <c r="L1052" i="1" s="1"/>
  <c r="G852" i="13"/>
  <c r="J852" i="13" s="1"/>
  <c r="N752" i="1"/>
  <c r="O752" i="1"/>
  <c r="K627" i="1"/>
  <c r="N626" i="1"/>
  <c r="N627" i="1" s="1"/>
  <c r="K843" i="1"/>
  <c r="L946" i="1"/>
  <c r="L1050" i="1" s="1"/>
  <c r="G850" i="13"/>
  <c r="L971" i="1"/>
  <c r="L1075" i="1" s="1"/>
  <c r="G874" i="13"/>
  <c r="K867" i="1"/>
  <c r="O867" i="1" s="1"/>
  <c r="L871" i="1"/>
  <c r="L881" i="1" s="1"/>
  <c r="O525" i="1"/>
  <c r="K497" i="1"/>
  <c r="K525" i="1" s="1"/>
  <c r="N525" i="1" s="1"/>
  <c r="N496" i="1"/>
  <c r="N497" i="1" s="1"/>
  <c r="M1032" i="1"/>
  <c r="M1136" i="1" s="1"/>
  <c r="M931" i="1"/>
  <c r="M676" i="1"/>
  <c r="L896" i="1"/>
  <c r="L997" i="1"/>
  <c r="L1101" i="1" s="1"/>
  <c r="G900" i="13"/>
  <c r="K893" i="1"/>
  <c r="L1024" i="1"/>
  <c r="L1128" i="1" s="1"/>
  <c r="G927" i="13"/>
  <c r="J927" i="13" s="1"/>
  <c r="K920" i="1"/>
  <c r="L1004" i="1"/>
  <c r="L1108" i="1" s="1"/>
  <c r="G907" i="13"/>
  <c r="J907" i="13" s="1"/>
  <c r="K900" i="1"/>
  <c r="O827" i="1"/>
  <c r="M957" i="1"/>
  <c r="M1061" i="1" s="1"/>
  <c r="O854" i="1"/>
  <c r="L998" i="1"/>
  <c r="L1102" i="1" s="1"/>
  <c r="G901" i="13"/>
  <c r="J901" i="13" s="1"/>
  <c r="K894" i="1"/>
  <c r="K923" i="1"/>
  <c r="N923" i="1" s="1"/>
  <c r="L1027" i="1"/>
  <c r="L1131" i="1" s="1"/>
  <c r="G930" i="13"/>
  <c r="J930" i="13" s="1"/>
  <c r="L763" i="1"/>
  <c r="L779" i="1" s="1"/>
  <c r="G577" i="13"/>
  <c r="G632" i="13" s="1"/>
  <c r="N766" i="1"/>
  <c r="O766" i="1"/>
  <c r="O777" i="1"/>
  <c r="O839" i="1"/>
  <c r="M942" i="1"/>
  <c r="M1046" i="1" s="1"/>
  <c r="M842" i="1"/>
  <c r="L987" i="1"/>
  <c r="L1091" i="1" s="1"/>
  <c r="G890" i="13"/>
  <c r="K883" i="1"/>
  <c r="L892" i="1"/>
  <c r="O626" i="1"/>
  <c r="O627" i="1" s="1"/>
  <c r="M1022" i="1"/>
  <c r="N800" i="1"/>
  <c r="O800" i="1"/>
  <c r="N830" i="1"/>
  <c r="O830" i="1"/>
  <c r="K925" i="1"/>
  <c r="L1029" i="1"/>
  <c r="L1133" i="1" s="1"/>
  <c r="G932" i="13"/>
  <c r="J932" i="13" s="1"/>
  <c r="K700" i="1"/>
  <c r="N700" i="1" s="1"/>
  <c r="N695" i="1"/>
  <c r="O745" i="1"/>
  <c r="O659" i="1"/>
  <c r="N776" i="1"/>
  <c r="O776" i="1"/>
  <c r="K762" i="1"/>
  <c r="N762" i="1" s="1"/>
  <c r="N759" i="1"/>
  <c r="K873" i="1"/>
  <c r="L977" i="1"/>
  <c r="L1081" i="1" s="1"/>
  <c r="G880" i="13"/>
  <c r="J880" i="13" s="1"/>
  <c r="N812" i="1"/>
  <c r="O812" i="1"/>
  <c r="J831" i="13"/>
  <c r="G834" i="13"/>
  <c r="M947" i="1"/>
  <c r="M1051" i="1" s="1"/>
  <c r="O844" i="1"/>
  <c r="J754" i="13"/>
  <c r="J761" i="13" s="1"/>
  <c r="G761" i="13"/>
  <c r="L974" i="1"/>
  <c r="L1078" i="1" s="1"/>
  <c r="G877" i="13"/>
  <c r="J877" i="13" s="1"/>
  <c r="K870" i="1"/>
  <c r="J775" i="13"/>
  <c r="J783" i="13" s="1"/>
  <c r="G783" i="13"/>
  <c r="L1020" i="1"/>
  <c r="L1124" i="1" s="1"/>
  <c r="G923" i="13"/>
  <c r="J923" i="13" s="1"/>
  <c r="K916" i="1"/>
  <c r="N916" i="1" s="1"/>
  <c r="N819" i="1"/>
  <c r="K824" i="1"/>
  <c r="N824" i="1" s="1"/>
  <c r="O811" i="1"/>
  <c r="N811" i="1"/>
  <c r="K815" i="1"/>
  <c r="N815" i="1" s="1"/>
  <c r="K573" i="1"/>
  <c r="N573" i="1" s="1"/>
  <c r="N557" i="1"/>
  <c r="L1002" i="1"/>
  <c r="L1106" i="1" s="1"/>
  <c r="K898" i="1"/>
  <c r="G905" i="13"/>
  <c r="O557" i="1"/>
  <c r="K886" i="1"/>
  <c r="O886" i="1" s="1"/>
  <c r="L990" i="1"/>
  <c r="L1094" i="1" s="1"/>
  <c r="G893" i="13"/>
  <c r="J893" i="13" s="1"/>
  <c r="O695" i="1"/>
  <c r="M794" i="1"/>
  <c r="L1006" i="1"/>
  <c r="L1110" i="1" s="1"/>
  <c r="G909" i="13"/>
  <c r="K902" i="1"/>
  <c r="L905" i="1"/>
  <c r="K64" i="1"/>
  <c r="G64" i="13"/>
  <c r="L68" i="1"/>
  <c r="L73" i="1" s="1"/>
  <c r="L84" i="1" s="1"/>
  <c r="L85" i="1" s="1"/>
  <c r="N69" i="17"/>
  <c r="N58" i="1"/>
  <c r="O58" i="1"/>
  <c r="L1228" i="1" l="1"/>
  <c r="K1124" i="1"/>
  <c r="N1124" i="1" s="1"/>
  <c r="G1133" i="13"/>
  <c r="J1133" i="13" s="1"/>
  <c r="L1232" i="1"/>
  <c r="K1128" i="1"/>
  <c r="G1137" i="13"/>
  <c r="J1137" i="13" s="1"/>
  <c r="M1240" i="1"/>
  <c r="M1139" i="1"/>
  <c r="L1156" i="1"/>
  <c r="G1061" i="13"/>
  <c r="J1061" i="13" s="1"/>
  <c r="K1052" i="1"/>
  <c r="N1052" i="1" s="1"/>
  <c r="G987" i="13"/>
  <c r="J987" i="13" s="1"/>
  <c r="L1083" i="1"/>
  <c r="L1065" i="1"/>
  <c r="L1163" i="1"/>
  <c r="G1068" i="13"/>
  <c r="J1068" i="13" s="1"/>
  <c r="K1059" i="1"/>
  <c r="N1059" i="1" s="1"/>
  <c r="L1242" i="1"/>
  <c r="G1147" i="13"/>
  <c r="J1147" i="13" s="1"/>
  <c r="K1138" i="1"/>
  <c r="N1138" i="1" s="1"/>
  <c r="M1244" i="1"/>
  <c r="M1142" i="1"/>
  <c r="O1140" i="1"/>
  <c r="G1063" i="13"/>
  <c r="J1063" i="13" s="1"/>
  <c r="L1158" i="1"/>
  <c r="K1054" i="1"/>
  <c r="L1142" i="1"/>
  <c r="L1244" i="1"/>
  <c r="G1149" i="13"/>
  <c r="K1140" i="1"/>
  <c r="K1086" i="1"/>
  <c r="L1190" i="1"/>
  <c r="G1095" i="13"/>
  <c r="J1095" i="13" s="1"/>
  <c r="M1271" i="1"/>
  <c r="L1189" i="1"/>
  <c r="K1085" i="1"/>
  <c r="N1085" i="1" s="1"/>
  <c r="G1094" i="13"/>
  <c r="J1094" i="13" s="1"/>
  <c r="M1210" i="1"/>
  <c r="M1109" i="1"/>
  <c r="K1051" i="1"/>
  <c r="N1051" i="1" s="1"/>
  <c r="L1155" i="1"/>
  <c r="G1060" i="13"/>
  <c r="J1060" i="13" s="1"/>
  <c r="L1168" i="1"/>
  <c r="G1073" i="13"/>
  <c r="J1073" i="13" s="1"/>
  <c r="K1064" i="1"/>
  <c r="K1061" i="1"/>
  <c r="N1061" i="1" s="1"/>
  <c r="L1165" i="1"/>
  <c r="G1070" i="13"/>
  <c r="J1070" i="13" s="1"/>
  <c r="K1111" i="1"/>
  <c r="L1215" i="1"/>
  <c r="G1120" i="13"/>
  <c r="J1120" i="13" s="1"/>
  <c r="L1150" i="1"/>
  <c r="G1055" i="13"/>
  <c r="J1055" i="13" s="1"/>
  <c r="K1046" i="1"/>
  <c r="N1046" i="1" s="1"/>
  <c r="K1084" i="1"/>
  <c r="L1188" i="1"/>
  <c r="G1093" i="13"/>
  <c r="J1093" i="13" s="1"/>
  <c r="L1021" i="17"/>
  <c r="M1330" i="1"/>
  <c r="M1230" i="1"/>
  <c r="M1484" i="1"/>
  <c r="M1944" i="1"/>
  <c r="M2048" i="1" s="1"/>
  <c r="M1431" i="1"/>
  <c r="M1437" i="1"/>
  <c r="L1198" i="1"/>
  <c r="K1094" i="1"/>
  <c r="O1094" i="1" s="1"/>
  <c r="G1103" i="13"/>
  <c r="J1103" i="13" s="1"/>
  <c r="L1182" i="1"/>
  <c r="G1087" i="13"/>
  <c r="J1087" i="13" s="1"/>
  <c r="K1078" i="1"/>
  <c r="L1195" i="1"/>
  <c r="G1100" i="13"/>
  <c r="L1100" i="1"/>
  <c r="L1212" i="1"/>
  <c r="G1117" i="13"/>
  <c r="J1117" i="13" s="1"/>
  <c r="K1108" i="1"/>
  <c r="L1154" i="1"/>
  <c r="G1059" i="13"/>
  <c r="L1057" i="1"/>
  <c r="K1050" i="1"/>
  <c r="L1180" i="1"/>
  <c r="G1085" i="13"/>
  <c r="J1085" i="13" s="1"/>
  <c r="K1076" i="1"/>
  <c r="L1157" i="1"/>
  <c r="G1062" i="13"/>
  <c r="J1062" i="13" s="1"/>
  <c r="K1053" i="1"/>
  <c r="L1200" i="1"/>
  <c r="G1105" i="13"/>
  <c r="J1105" i="13" s="1"/>
  <c r="K1096" i="1"/>
  <c r="O1096" i="1" s="1"/>
  <c r="M1345" i="1"/>
  <c r="M1449" i="1" s="1"/>
  <c r="L1234" i="1"/>
  <c r="K1130" i="1"/>
  <c r="L1135" i="1"/>
  <c r="G1139" i="13"/>
  <c r="M1228" i="1"/>
  <c r="M1332" i="1" s="1"/>
  <c r="M1436" i="1" s="1"/>
  <c r="O1124" i="1"/>
  <c r="M1205" i="1"/>
  <c r="M1104" i="1"/>
  <c r="L1236" i="1"/>
  <c r="G1141" i="13"/>
  <c r="J1141" i="13" s="1"/>
  <c r="K1132" i="1"/>
  <c r="L1174" i="1"/>
  <c r="G1079" i="13"/>
  <c r="K1070" i="1"/>
  <c r="L1164" i="1"/>
  <c r="G1069" i="13"/>
  <c r="J1069" i="13" s="1"/>
  <c r="K1060" i="1"/>
  <c r="K1093" i="1"/>
  <c r="O1093" i="1" s="1"/>
  <c r="L1197" i="1"/>
  <c r="G1102" i="13"/>
  <c r="J1102" i="13" s="1"/>
  <c r="L1224" i="1"/>
  <c r="G1129" i="13"/>
  <c r="J1129" i="13" s="1"/>
  <c r="K1120" i="1"/>
  <c r="L1149" i="1"/>
  <c r="G1054" i="13"/>
  <c r="L1049" i="1"/>
  <c r="K1045" i="1"/>
  <c r="M1823" i="1"/>
  <c r="M1927" i="1" s="1"/>
  <c r="M2031" i="1" s="1"/>
  <c r="M1284" i="1"/>
  <c r="M1286" i="1"/>
  <c r="M1390" i="1" s="1"/>
  <c r="M1973" i="1"/>
  <c r="M1342" i="1"/>
  <c r="L1132" i="17"/>
  <c r="M1718" i="1"/>
  <c r="L906" i="1"/>
  <c r="L1210" i="1"/>
  <c r="K1106" i="1"/>
  <c r="G1115" i="13"/>
  <c r="L1109" i="1"/>
  <c r="K1133" i="1"/>
  <c r="L1237" i="1"/>
  <c r="G1142" i="13"/>
  <c r="J1142" i="13" s="1"/>
  <c r="M1235" i="1"/>
  <c r="K1092" i="1"/>
  <c r="L1196" i="1"/>
  <c r="G1101" i="13"/>
  <c r="J1101" i="13" s="1"/>
  <c r="M1163" i="1"/>
  <c r="O1059" i="1"/>
  <c r="M1156" i="1"/>
  <c r="M1161" i="1" s="1"/>
  <c r="L1166" i="1"/>
  <c r="G1071" i="13"/>
  <c r="J1071" i="13" s="1"/>
  <c r="K1062" i="1"/>
  <c r="M1162" i="1"/>
  <c r="M1065" i="1"/>
  <c r="O1058" i="1"/>
  <c r="L1162" i="1"/>
  <c r="G1067" i="13"/>
  <c r="K1058" i="1"/>
  <c r="L1240" i="1"/>
  <c r="G1145" i="13"/>
  <c r="K1136" i="1"/>
  <c r="L1139" i="1"/>
  <c r="K1099" i="1"/>
  <c r="L1203" i="1"/>
  <c r="G1108" i="13"/>
  <c r="J1108" i="13" s="1"/>
  <c r="L1152" i="1"/>
  <c r="G1057" i="13"/>
  <c r="J1057" i="13" s="1"/>
  <c r="K1048" i="1"/>
  <c r="G1064" i="13"/>
  <c r="J1064" i="13" s="1"/>
  <c r="L1159" i="1"/>
  <c r="K1055" i="1"/>
  <c r="M1207" i="1"/>
  <c r="L1216" i="1"/>
  <c r="G1121" i="13"/>
  <c r="J1121" i="13" s="1"/>
  <c r="K1112" i="1"/>
  <c r="L1201" i="1"/>
  <c r="K1097" i="1"/>
  <c r="O1097" i="1" s="1"/>
  <c r="G1106" i="13"/>
  <c r="J1106" i="13" s="1"/>
  <c r="M1149" i="1"/>
  <c r="M1049" i="1"/>
  <c r="O1045" i="1"/>
  <c r="N592" i="17"/>
  <c r="N449" i="17"/>
  <c r="N504" i="17"/>
  <c r="M1365" i="1"/>
  <c r="M1549" i="1"/>
  <c r="M1310" i="1"/>
  <c r="M1264" i="1"/>
  <c r="M1628" i="1"/>
  <c r="F836" i="16"/>
  <c r="I754" i="16"/>
  <c r="M1716" i="1"/>
  <c r="M1336" i="1"/>
  <c r="F850" i="16"/>
  <c r="I768" i="16"/>
  <c r="K622" i="17"/>
  <c r="Q563" i="17"/>
  <c r="M1635" i="1"/>
  <c r="M1268" i="1"/>
  <c r="M1372" i="1" s="1"/>
  <c r="M1432" i="1"/>
  <c r="M1536" i="1" s="1"/>
  <c r="L1229" i="17"/>
  <c r="L1289" i="17" s="1"/>
  <c r="O1068" i="1"/>
  <c r="N1068" i="1"/>
  <c r="M1174" i="1"/>
  <c r="M1073" i="1"/>
  <c r="L1199" i="1"/>
  <c r="G1104" i="13"/>
  <c r="J1104" i="13" s="1"/>
  <c r="K1095" i="1"/>
  <c r="O1095" i="1" s="1"/>
  <c r="M1189" i="1"/>
  <c r="O1085" i="1"/>
  <c r="M996" i="1"/>
  <c r="M1091" i="1"/>
  <c r="K1091" i="1" s="1"/>
  <c r="K1098" i="1"/>
  <c r="O1098" i="1" s="1"/>
  <c r="L1202" i="1"/>
  <c r="G1107" i="13"/>
  <c r="J1107" i="13" s="1"/>
  <c r="L1241" i="1"/>
  <c r="K1137" i="1"/>
  <c r="G1146" i="13"/>
  <c r="J1146" i="13" s="1"/>
  <c r="L1176" i="1"/>
  <c r="G1081" i="13"/>
  <c r="J1081" i="13" s="1"/>
  <c r="K1072" i="1"/>
  <c r="N1072" i="1" s="1"/>
  <c r="L1181" i="1"/>
  <c r="G1086" i="13"/>
  <c r="J1086" i="13" s="1"/>
  <c r="K1077" i="1"/>
  <c r="M1184" i="1"/>
  <c r="M1088" i="1"/>
  <c r="K1115" i="1"/>
  <c r="L1219" i="1"/>
  <c r="G1124" i="13"/>
  <c r="J1124" i="13" s="1"/>
  <c r="M965" i="1"/>
  <c r="M1066" i="1"/>
  <c r="M1776" i="1"/>
  <c r="M1258" i="1"/>
  <c r="M2242" i="1"/>
  <c r="M1824" i="1"/>
  <c r="M1515" i="1"/>
  <c r="M1315" i="1"/>
  <c r="M1548" i="1"/>
  <c r="M2237" i="1"/>
  <c r="M2341" i="1" s="1"/>
  <c r="L1214" i="1"/>
  <c r="G1119" i="13"/>
  <c r="K1110" i="1"/>
  <c r="L1113" i="1"/>
  <c r="M1155" i="1"/>
  <c r="O1051" i="1"/>
  <c r="M1165" i="1"/>
  <c r="M1269" i="1" s="1"/>
  <c r="M1373" i="1" s="1"/>
  <c r="O1061" i="1"/>
  <c r="L1245" i="1"/>
  <c r="G1150" i="13"/>
  <c r="G1151" i="13" s="1"/>
  <c r="K1141" i="1"/>
  <c r="K1127" i="1"/>
  <c r="L1231" i="1"/>
  <c r="G1136" i="13"/>
  <c r="L1129" i="1"/>
  <c r="O856" i="1"/>
  <c r="L1223" i="1"/>
  <c r="G1128" i="13"/>
  <c r="J1128" i="13" s="1"/>
  <c r="K1119" i="1"/>
  <c r="L1207" i="1"/>
  <c r="G1112" i="13"/>
  <c r="J1112" i="13" s="1"/>
  <c r="K1103" i="1"/>
  <c r="N1103" i="1" s="1"/>
  <c r="L1229" i="1"/>
  <c r="K1125" i="1"/>
  <c r="G1134" i="13"/>
  <c r="J1134" i="13" s="1"/>
  <c r="M1234" i="1"/>
  <c r="M1135" i="1"/>
  <c r="L1191" i="1"/>
  <c r="K1087" i="1"/>
  <c r="G1096" i="13"/>
  <c r="J1096" i="13" s="1"/>
  <c r="L1186" i="1"/>
  <c r="K1082" i="1"/>
  <c r="G1091" i="13"/>
  <c r="J1091" i="13" s="1"/>
  <c r="M1176" i="1"/>
  <c r="O1072" i="1"/>
  <c r="M1242" i="1"/>
  <c r="O1138" i="1"/>
  <c r="L965" i="1"/>
  <c r="L1066" i="1"/>
  <c r="N510" i="17"/>
  <c r="M1359" i="1"/>
  <c r="Q545" i="17"/>
  <c r="K604" i="17"/>
  <c r="J545" i="17"/>
  <c r="M1498" i="1"/>
  <c r="M1272" i="1"/>
  <c r="M1376" i="1" s="1"/>
  <c r="M1396" i="1"/>
  <c r="F835" i="16"/>
  <c r="I753" i="16"/>
  <c r="G1090" i="13"/>
  <c r="J1090" i="13" s="1"/>
  <c r="L1185" i="1"/>
  <c r="K1081" i="1"/>
  <c r="M1150" i="1"/>
  <c r="O1046" i="1"/>
  <c r="K1131" i="1"/>
  <c r="N1131" i="1" s="1"/>
  <c r="L1235" i="1"/>
  <c r="G1140" i="13"/>
  <c r="J1140" i="13" s="1"/>
  <c r="K1102" i="1"/>
  <c r="L1206" i="1"/>
  <c r="K1206" i="1" s="1"/>
  <c r="G1111" i="13"/>
  <c r="J1111" i="13" s="1"/>
  <c r="L1205" i="1"/>
  <c r="G1110" i="13"/>
  <c r="L1104" i="1"/>
  <c r="K1101" i="1"/>
  <c r="K1075" i="1"/>
  <c r="L1179" i="1"/>
  <c r="G1084" i="13"/>
  <c r="L1079" i="1"/>
  <c r="L1160" i="1"/>
  <c r="G1065" i="13"/>
  <c r="J1065" i="13" s="1"/>
  <c r="K1056" i="1"/>
  <c r="M1179" i="1"/>
  <c r="M1079" i="1"/>
  <c r="G941" i="13"/>
  <c r="L1238" i="1"/>
  <c r="K1238" i="1" s="1"/>
  <c r="G1143" i="13"/>
  <c r="J1143" i="13" s="1"/>
  <c r="K1134" i="1"/>
  <c r="M1187" i="1"/>
  <c r="L1222" i="1"/>
  <c r="G1127" i="13"/>
  <c r="K1118" i="1"/>
  <c r="L1121" i="1"/>
  <c r="J799" i="13"/>
  <c r="J800" i="13" s="1"/>
  <c r="J753" i="13"/>
  <c r="J769" i="13" s="1"/>
  <c r="L1073" i="1"/>
  <c r="L1175" i="1"/>
  <c r="K1071" i="1"/>
  <c r="G1080" i="13"/>
  <c r="J1080" i="13" s="1"/>
  <c r="L805" i="1"/>
  <c r="L806" i="1" s="1"/>
  <c r="M1222" i="1"/>
  <c r="M1121" i="1"/>
  <c r="O1118" i="1"/>
  <c r="M1231" i="1"/>
  <c r="O1127" i="1"/>
  <c r="M1129" i="1"/>
  <c r="K1047" i="1"/>
  <c r="L1151" i="1"/>
  <c r="G1056" i="13"/>
  <c r="J1056" i="13" s="1"/>
  <c r="M1214" i="1"/>
  <c r="M1113" i="1"/>
  <c r="L1226" i="1"/>
  <c r="G1131" i="13"/>
  <c r="K1122" i="1"/>
  <c r="L1126" i="1"/>
  <c r="K1080" i="1"/>
  <c r="L1184" i="1"/>
  <c r="G1089" i="13"/>
  <c r="L1088" i="1"/>
  <c r="L1167" i="1"/>
  <c r="K1063" i="1"/>
  <c r="G1072" i="13"/>
  <c r="J1072" i="13" s="1"/>
  <c r="G1132" i="13"/>
  <c r="J1132" i="13" s="1"/>
  <c r="L1227" i="1"/>
  <c r="K1123" i="1"/>
  <c r="K1107" i="1"/>
  <c r="L1211" i="1"/>
  <c r="G1116" i="13"/>
  <c r="J1116" i="13" s="1"/>
  <c r="N538" i="17"/>
  <c r="N513" i="17"/>
  <c r="N493" i="17"/>
  <c r="N486" i="17"/>
  <c r="M486" i="17"/>
  <c r="M2033" i="1"/>
  <c r="M2137" i="1" s="1"/>
  <c r="M1057" i="1"/>
  <c r="M1289" i="1"/>
  <c r="M1126" i="1"/>
  <c r="M1270" i="1"/>
  <c r="M1263" i="1"/>
  <c r="M1367" i="1" s="1"/>
  <c r="M1471" i="1" s="1"/>
  <c r="M1295" i="1"/>
  <c r="M1331" i="1"/>
  <c r="M1782" i="1"/>
  <c r="K1172" i="1"/>
  <c r="L1276" i="1"/>
  <c r="G1182" i="13"/>
  <c r="J1182" i="13" s="1"/>
  <c r="M1285" i="1"/>
  <c r="M1389" i="1" s="1"/>
  <c r="M1606" i="1"/>
  <c r="M1527" i="1"/>
  <c r="M1487" i="1"/>
  <c r="F886" i="16"/>
  <c r="I804" i="16"/>
  <c r="I621" i="16"/>
  <c r="I666" i="16" s="1"/>
  <c r="F854" i="16"/>
  <c r="I772" i="16"/>
  <c r="I756" i="16"/>
  <c r="F838" i="16"/>
  <c r="I777" i="16"/>
  <c r="F859" i="16"/>
  <c r="I797" i="16"/>
  <c r="F879" i="16"/>
  <c r="I763" i="16"/>
  <c r="F845" i="16"/>
  <c r="I805" i="16"/>
  <c r="F887" i="16"/>
  <c r="I781" i="16"/>
  <c r="F863" i="16"/>
  <c r="I793" i="16"/>
  <c r="F875" i="16"/>
  <c r="I802" i="16"/>
  <c r="F884" i="16"/>
  <c r="F896" i="16"/>
  <c r="I814" i="16"/>
  <c r="F874" i="16"/>
  <c r="I792" i="16"/>
  <c r="I816" i="16"/>
  <c r="F898" i="16"/>
  <c r="F844" i="16"/>
  <c r="I762" i="16"/>
  <c r="F840" i="16"/>
  <c r="I758" i="16"/>
  <c r="F851" i="16"/>
  <c r="I769" i="16"/>
  <c r="I764" i="16"/>
  <c r="F846" i="16"/>
  <c r="F885" i="16"/>
  <c r="I803" i="16"/>
  <c r="I760" i="16"/>
  <c r="F842" i="16"/>
  <c r="F908" i="16"/>
  <c r="I826" i="16"/>
  <c r="F891" i="16"/>
  <c r="I809" i="16"/>
  <c r="F897" i="16"/>
  <c r="I815" i="16"/>
  <c r="I820" i="16"/>
  <c r="F902" i="16"/>
  <c r="I789" i="16"/>
  <c r="F871" i="16"/>
  <c r="F901" i="16"/>
  <c r="I819" i="16"/>
  <c r="I801" i="16"/>
  <c r="F883" i="16"/>
  <c r="I808" i="16"/>
  <c r="F890" i="16"/>
  <c r="I755" i="16"/>
  <c r="F837" i="16"/>
  <c r="F847" i="16"/>
  <c r="I765" i="16"/>
  <c r="F905" i="16"/>
  <c r="I823" i="16"/>
  <c r="F869" i="16"/>
  <c r="I787" i="16"/>
  <c r="F893" i="16"/>
  <c r="I811" i="16"/>
  <c r="F900" i="16"/>
  <c r="I818" i="16"/>
  <c r="F862" i="16"/>
  <c r="I780" i="16"/>
  <c r="F881" i="16"/>
  <c r="I799" i="16"/>
  <c r="I812" i="16"/>
  <c r="F894" i="16"/>
  <c r="I778" i="16"/>
  <c r="F860" i="16"/>
  <c r="I775" i="16"/>
  <c r="F857" i="16"/>
  <c r="I807" i="16"/>
  <c r="F889" i="16"/>
  <c r="I697" i="16"/>
  <c r="I824" i="16"/>
  <c r="F906" i="16"/>
  <c r="I786" i="16"/>
  <c r="F868" i="16"/>
  <c r="I817" i="16"/>
  <c r="F899" i="16"/>
  <c r="I790" i="16"/>
  <c r="F872" i="16"/>
  <c r="I774" i="16"/>
  <c r="F856" i="16"/>
  <c r="F855" i="16"/>
  <c r="I773" i="16"/>
  <c r="F843" i="16"/>
  <c r="I761" i="16"/>
  <c r="I685" i="16"/>
  <c r="F882" i="16"/>
  <c r="I800" i="16"/>
  <c r="I771" i="16"/>
  <c r="F853" i="16"/>
  <c r="I825" i="16"/>
  <c r="F907" i="16"/>
  <c r="F858" i="16"/>
  <c r="I776" i="16"/>
  <c r="F870" i="16"/>
  <c r="I788" i="16"/>
  <c r="F839" i="16"/>
  <c r="I757" i="16"/>
  <c r="I701" i="16"/>
  <c r="I810" i="16"/>
  <c r="F892" i="16"/>
  <c r="I745" i="16"/>
  <c r="I724" i="16"/>
  <c r="F877" i="16"/>
  <c r="I795" i="16"/>
  <c r="F904" i="16"/>
  <c r="I822" i="16"/>
  <c r="I782" i="16"/>
  <c r="F864" i="16"/>
  <c r="I770" i="16"/>
  <c r="F852" i="16"/>
  <c r="I813" i="16"/>
  <c r="F895" i="16"/>
  <c r="I794" i="16"/>
  <c r="F876" i="16"/>
  <c r="I821" i="16"/>
  <c r="F903" i="16"/>
  <c r="I759" i="16"/>
  <c r="F841" i="16"/>
  <c r="F848" i="16"/>
  <c r="I766" i="16"/>
  <c r="I798" i="16"/>
  <c r="F880" i="16"/>
  <c r="F873" i="16"/>
  <c r="I791" i="16"/>
  <c r="F878" i="16"/>
  <c r="I796" i="16"/>
  <c r="N515" i="17"/>
  <c r="M515" i="17"/>
  <c r="J539" i="17"/>
  <c r="J540" i="17" s="1"/>
  <c r="N540" i="17" s="1"/>
  <c r="L710" i="17"/>
  <c r="K649" i="17"/>
  <c r="Q590" i="17"/>
  <c r="J590" i="17"/>
  <c r="Q651" i="17"/>
  <c r="K710" i="17"/>
  <c r="J651" i="17"/>
  <c r="M651" i="17" s="1"/>
  <c r="L647" i="17"/>
  <c r="Q591" i="17"/>
  <c r="K650" i="17"/>
  <c r="J591" i="17"/>
  <c r="M492" i="17"/>
  <c r="J499" i="17"/>
  <c r="M499" i="17" s="1"/>
  <c r="L636" i="17"/>
  <c r="J481" i="17"/>
  <c r="M480" i="17"/>
  <c r="N480" i="17"/>
  <c r="M516" i="17"/>
  <c r="N516" i="17"/>
  <c r="Q554" i="17"/>
  <c r="K613" i="17"/>
  <c r="J554" i="17"/>
  <c r="M554" i="17" s="1"/>
  <c r="L631" i="17"/>
  <c r="L605" i="17"/>
  <c r="L550" i="17"/>
  <c r="L730" i="17"/>
  <c r="L613" i="17"/>
  <c r="J546" i="17"/>
  <c r="N546" i="17" s="1"/>
  <c r="Q546" i="17"/>
  <c r="K550" i="17"/>
  <c r="K605" i="17"/>
  <c r="L692" i="17"/>
  <c r="L756" i="17"/>
  <c r="K619" i="17"/>
  <c r="Q560" i="17"/>
  <c r="J560" i="17"/>
  <c r="K567" i="17"/>
  <c r="K568" i="17" s="1"/>
  <c r="L704" i="17"/>
  <c r="L689" i="17"/>
  <c r="L653" i="17"/>
  <c r="J561" i="17"/>
  <c r="M561" i="17" s="1"/>
  <c r="K620" i="17"/>
  <c r="Q561" i="17"/>
  <c r="N492" i="17"/>
  <c r="L683" i="17"/>
  <c r="L725" i="17"/>
  <c r="M587" i="17"/>
  <c r="N587" i="17"/>
  <c r="L734" i="17"/>
  <c r="L768" i="17"/>
  <c r="Q588" i="17"/>
  <c r="K647" i="17"/>
  <c r="J588" i="17"/>
  <c r="M588" i="17" s="1"/>
  <c r="J574" i="17"/>
  <c r="K633" i="17"/>
  <c r="Q574" i="17"/>
  <c r="J582" i="17"/>
  <c r="M582" i="17" s="1"/>
  <c r="K641" i="17"/>
  <c r="Q582" i="17"/>
  <c r="L628" i="17"/>
  <c r="N569" i="17"/>
  <c r="Q595" i="17"/>
  <c r="K654" i="17"/>
  <c r="J595" i="17"/>
  <c r="L643" i="17"/>
  <c r="K611" i="17"/>
  <c r="Q552" i="17"/>
  <c r="J552" i="17"/>
  <c r="M552" i="17" s="1"/>
  <c r="N529" i="17"/>
  <c r="L656" i="17"/>
  <c r="J423" i="17"/>
  <c r="Q499" i="17"/>
  <c r="J579" i="17"/>
  <c r="K638" i="17"/>
  <c r="Q579" i="17"/>
  <c r="Q571" i="17"/>
  <c r="K630" i="17"/>
  <c r="J571" i="17"/>
  <c r="Q482" i="17"/>
  <c r="N505" i="17"/>
  <c r="L621" i="17"/>
  <c r="L509" i="17"/>
  <c r="L701" i="17"/>
  <c r="L652" i="17"/>
  <c r="N593" i="17"/>
  <c r="L611" i="17"/>
  <c r="Q548" i="17"/>
  <c r="K607" i="17"/>
  <c r="J548" i="17"/>
  <c r="M524" i="17"/>
  <c r="N524" i="17"/>
  <c r="L752" i="17"/>
  <c r="K500" i="17"/>
  <c r="K541" i="17" s="1"/>
  <c r="K655" i="17"/>
  <c r="Q596" i="17"/>
  <c r="J596" i="17"/>
  <c r="M596" i="17" s="1"/>
  <c r="K632" i="17"/>
  <c r="Q573" i="17"/>
  <c r="J573" i="17"/>
  <c r="L622" i="17"/>
  <c r="J563" i="17"/>
  <c r="M563" i="17" s="1"/>
  <c r="N497" i="17"/>
  <c r="J562" i="17"/>
  <c r="M562" i="17" s="1"/>
  <c r="K621" i="17"/>
  <c r="Q562" i="17"/>
  <c r="L818" i="17"/>
  <c r="L878" i="17" s="1"/>
  <c r="L500" i="17"/>
  <c r="L541" i="17" s="1"/>
  <c r="N499" i="17"/>
  <c r="Q646" i="17"/>
  <c r="K705" i="17"/>
  <c r="J646" i="17"/>
  <c r="J585" i="17"/>
  <c r="M585" i="17" s="1"/>
  <c r="K644" i="17"/>
  <c r="Q585" i="17"/>
  <c r="L608" i="17"/>
  <c r="Q645" i="17"/>
  <c r="K704" i="17"/>
  <c r="J645" i="17"/>
  <c r="M645" i="17" s="1"/>
  <c r="L708" i="17"/>
  <c r="M532" i="17"/>
  <c r="N532" i="17"/>
  <c r="J597" i="17"/>
  <c r="M597" i="17" s="1"/>
  <c r="K656" i="17"/>
  <c r="Q597" i="17"/>
  <c r="L800" i="17"/>
  <c r="L860" i="17" s="1"/>
  <c r="L920" i="17" s="1"/>
  <c r="L620" i="17"/>
  <c r="Q551" i="17"/>
  <c r="K610" i="17"/>
  <c r="J551" i="17"/>
  <c r="K558" i="17"/>
  <c r="K616" i="17"/>
  <c r="Q557" i="17"/>
  <c r="J557" i="17"/>
  <c r="M520" i="17"/>
  <c r="N520" i="17"/>
  <c r="Q539" i="17"/>
  <c r="Q540" i="17" s="1"/>
  <c r="L635" i="17"/>
  <c r="N576" i="17"/>
  <c r="Q576" i="17"/>
  <c r="K635" i="17"/>
  <c r="J576" i="17"/>
  <c r="M576" i="17" s="1"/>
  <c r="N523" i="17"/>
  <c r="L619" i="17"/>
  <c r="L567" i="17"/>
  <c r="K612" i="17"/>
  <c r="J553" i="17"/>
  <c r="Q553" i="17"/>
  <c r="K615" i="17"/>
  <c r="Q556" i="17"/>
  <c r="J556" i="17"/>
  <c r="M556" i="17" s="1"/>
  <c r="K698" i="17"/>
  <c r="Q639" i="17"/>
  <c r="J639" i="17"/>
  <c r="M639" i="17" s="1"/>
  <c r="N581" i="17"/>
  <c r="M581" i="17"/>
  <c r="K631" i="17"/>
  <c r="Q572" i="17"/>
  <c r="J572" i="17"/>
  <c r="M572" i="17" s="1"/>
  <c r="N507" i="17"/>
  <c r="M489" i="17"/>
  <c r="N489" i="17"/>
  <c r="K642" i="17"/>
  <c r="J583" i="17"/>
  <c r="Q583" i="17"/>
  <c r="Q491" i="17"/>
  <c r="Q589" i="17"/>
  <c r="K648" i="17"/>
  <c r="J589" i="17"/>
  <c r="L598" i="17"/>
  <c r="L599" i="17" s="1"/>
  <c r="Q508" i="17"/>
  <c r="Q509" i="17" s="1"/>
  <c r="Q570" i="17"/>
  <c r="K629" i="17"/>
  <c r="J570" i="17"/>
  <c r="M570" i="17" s="1"/>
  <c r="L615" i="17"/>
  <c r="N519" i="17"/>
  <c r="Q593" i="17"/>
  <c r="K652" i="17"/>
  <c r="J593" i="17"/>
  <c r="M593" i="17" s="1"/>
  <c r="Q555" i="17"/>
  <c r="K614" i="17"/>
  <c r="J555" i="17"/>
  <c r="M555" i="17" s="1"/>
  <c r="N488" i="17"/>
  <c r="L610" i="17"/>
  <c r="L558" i="17"/>
  <c r="L824" i="17"/>
  <c r="L884" i="17" s="1"/>
  <c r="J578" i="17"/>
  <c r="M578" i="17" s="1"/>
  <c r="K637" i="17"/>
  <c r="Q578" i="17"/>
  <c r="L629" i="17"/>
  <c r="N570" i="17"/>
  <c r="L614" i="17"/>
  <c r="N555" i="17"/>
  <c r="L644" i="17"/>
  <c r="M536" i="17"/>
  <c r="N536" i="17"/>
  <c r="K625" i="17"/>
  <c r="Q566" i="17"/>
  <c r="J566" i="17"/>
  <c r="M566" i="17" s="1"/>
  <c r="Q549" i="17"/>
  <c r="K608" i="17"/>
  <c r="J549" i="17"/>
  <c r="M549" i="17" s="1"/>
  <c r="M531" i="17"/>
  <c r="N531" i="17"/>
  <c r="Q547" i="17"/>
  <c r="J547" i="17"/>
  <c r="M547" i="17" s="1"/>
  <c r="K606" i="17"/>
  <c r="L655" i="17"/>
  <c r="N518" i="17"/>
  <c r="M498" i="17"/>
  <c r="N498" i="17"/>
  <c r="J575" i="17"/>
  <c r="K634" i="17"/>
  <c r="Q575" i="17"/>
  <c r="Q569" i="17"/>
  <c r="K628" i="17"/>
  <c r="J569" i="17"/>
  <c r="M569" i="17" s="1"/>
  <c r="K598" i="17"/>
  <c r="K599" i="17" s="1"/>
  <c r="Q564" i="17"/>
  <c r="K623" i="17"/>
  <c r="J564" i="17"/>
  <c r="L641" i="17"/>
  <c r="M494" i="17"/>
  <c r="N494" i="17"/>
  <c r="N495" i="17"/>
  <c r="Q577" i="17"/>
  <c r="K636" i="17"/>
  <c r="J577" i="17"/>
  <c r="M577" i="17" s="1"/>
  <c r="K699" i="17"/>
  <c r="Q640" i="17"/>
  <c r="J640" i="17"/>
  <c r="L625" i="17"/>
  <c r="L707" i="17"/>
  <c r="Q594" i="17"/>
  <c r="K653" i="17"/>
  <c r="J594" i="17"/>
  <c r="M594" i="17" s="1"/>
  <c r="M487" i="17"/>
  <c r="J491" i="17"/>
  <c r="N491" i="17" s="1"/>
  <c r="L698" i="17"/>
  <c r="N639" i="17"/>
  <c r="M501" i="17"/>
  <c r="J508" i="17"/>
  <c r="M508" i="17" s="1"/>
  <c r="Q565" i="17"/>
  <c r="K624" i="17"/>
  <c r="J565" i="17"/>
  <c r="N586" i="17"/>
  <c r="J584" i="17"/>
  <c r="M584" i="17" s="1"/>
  <c r="K643" i="17"/>
  <c r="Q584" i="17"/>
  <c r="N512" i="17"/>
  <c r="N535" i="17"/>
  <c r="L637" i="17"/>
  <c r="M432" i="17"/>
  <c r="J441" i="17"/>
  <c r="M441" i="17" s="1"/>
  <c r="L606" i="17"/>
  <c r="J450" i="17"/>
  <c r="M450" i="17" s="1"/>
  <c r="N506" i="17"/>
  <c r="M953" i="1"/>
  <c r="L834" i="1"/>
  <c r="J821" i="13"/>
  <c r="L897" i="1"/>
  <c r="L908" i="1" s="1"/>
  <c r="L909" i="1" s="1"/>
  <c r="J868" i="13"/>
  <c r="J834" i="13"/>
  <c r="M1000" i="1"/>
  <c r="K861" i="1"/>
  <c r="N861" i="1" s="1"/>
  <c r="N859" i="1"/>
  <c r="N964" i="1"/>
  <c r="O964" i="1"/>
  <c r="J972" i="13"/>
  <c r="G973" i="13"/>
  <c r="K1011" i="1"/>
  <c r="G1019" i="13"/>
  <c r="J1019" i="13" s="1"/>
  <c r="O861" i="1"/>
  <c r="O793" i="1"/>
  <c r="K941" i="1"/>
  <c r="N941" i="1" s="1"/>
  <c r="G949" i="13"/>
  <c r="J949" i="13" s="1"/>
  <c r="G970" i="13"/>
  <c r="J970" i="13" s="1"/>
  <c r="K962" i="1"/>
  <c r="O962" i="1" s="1"/>
  <c r="N907" i="1"/>
  <c r="O907" i="1"/>
  <c r="O859" i="1"/>
  <c r="O762" i="1"/>
  <c r="O895" i="1"/>
  <c r="O838" i="1"/>
  <c r="G736" i="13"/>
  <c r="J809" i="13"/>
  <c r="J816" i="13"/>
  <c r="J784" i="13"/>
  <c r="G985" i="13"/>
  <c r="J985" i="13" s="1"/>
  <c r="K977" i="1"/>
  <c r="G1042" i="13"/>
  <c r="J1042" i="13" s="1"/>
  <c r="K1034" i="1"/>
  <c r="N1034" i="1" s="1"/>
  <c r="J926" i="13"/>
  <c r="J928" i="13" s="1"/>
  <c r="G928" i="13"/>
  <c r="M906" i="1"/>
  <c r="M1001" i="1"/>
  <c r="O810" i="1"/>
  <c r="N810" i="1"/>
  <c r="K832" i="1"/>
  <c r="N924" i="1"/>
  <c r="O924" i="1"/>
  <c r="G968" i="13"/>
  <c r="J968" i="13" s="1"/>
  <c r="K960" i="1"/>
  <c r="J846" i="13"/>
  <c r="J849" i="13" s="1"/>
  <c r="G849" i="13"/>
  <c r="G951" i="13"/>
  <c r="J951" i="13" s="1"/>
  <c r="K943" i="1"/>
  <c r="G1016" i="13"/>
  <c r="J1016" i="13" s="1"/>
  <c r="K1008" i="1"/>
  <c r="J879" i="13"/>
  <c r="J887" i="13" s="1"/>
  <c r="G887" i="13"/>
  <c r="N915" i="1"/>
  <c r="O915" i="1"/>
  <c r="G1024" i="13"/>
  <c r="J1024" i="13" s="1"/>
  <c r="K1016" i="1"/>
  <c r="G1011" i="13"/>
  <c r="J1011" i="13" s="1"/>
  <c r="K1003" i="1"/>
  <c r="N876" i="1"/>
  <c r="O876" i="1"/>
  <c r="O802" i="1"/>
  <c r="G1014" i="13"/>
  <c r="K1006" i="1"/>
  <c r="O1006" i="1" s="1"/>
  <c r="L1009" i="1"/>
  <c r="K990" i="1"/>
  <c r="O990" i="1" s="1"/>
  <c r="G998" i="13"/>
  <c r="J998" i="13" s="1"/>
  <c r="O898" i="1"/>
  <c r="N898" i="1"/>
  <c r="K901" i="1"/>
  <c r="O901" i="1" s="1"/>
  <c r="K974" i="1"/>
  <c r="G982" i="13"/>
  <c r="J982" i="13" s="1"/>
  <c r="N873" i="1"/>
  <c r="O873" i="1"/>
  <c r="N883" i="1"/>
  <c r="K892" i="1"/>
  <c r="O894" i="1"/>
  <c r="N894" i="1"/>
  <c r="G1032" i="13"/>
  <c r="J1032" i="13" s="1"/>
  <c r="K1024" i="1"/>
  <c r="M1035" i="1"/>
  <c r="J850" i="13"/>
  <c r="J857" i="13" s="1"/>
  <c r="G857" i="13"/>
  <c r="K948" i="1"/>
  <c r="N948" i="1" s="1"/>
  <c r="G956" i="13"/>
  <c r="J956" i="13" s="1"/>
  <c r="N868" i="1"/>
  <c r="O868" i="1"/>
  <c r="O923" i="1"/>
  <c r="G957" i="13"/>
  <c r="J957" i="13" s="1"/>
  <c r="K949" i="1"/>
  <c r="N884" i="1"/>
  <c r="O884" i="1"/>
  <c r="N932" i="1"/>
  <c r="K934" i="1"/>
  <c r="N934" i="1" s="1"/>
  <c r="G809" i="13"/>
  <c r="G811" i="13" s="1"/>
  <c r="G812" i="13" s="1"/>
  <c r="O852" i="1"/>
  <c r="L1031" i="1"/>
  <c r="G1034" i="13"/>
  <c r="K1026" i="1"/>
  <c r="O824" i="1"/>
  <c r="G990" i="13"/>
  <c r="J990" i="13" s="1"/>
  <c r="K982" i="1"/>
  <c r="N798" i="1"/>
  <c r="K803" i="1"/>
  <c r="N803" i="1" s="1"/>
  <c r="L1025" i="1"/>
  <c r="K1023" i="1"/>
  <c r="O1023" i="1" s="1"/>
  <c r="G1031" i="13"/>
  <c r="O910" i="1"/>
  <c r="K913" i="1"/>
  <c r="N910" i="1"/>
  <c r="O916" i="1"/>
  <c r="N855" i="1"/>
  <c r="O855" i="1"/>
  <c r="G989" i="13"/>
  <c r="J989" i="13" s="1"/>
  <c r="K981" i="1"/>
  <c r="N981" i="1" s="1"/>
  <c r="M1005" i="1"/>
  <c r="G999" i="13"/>
  <c r="J999" i="13" s="1"/>
  <c r="K991" i="1"/>
  <c r="O877" i="1"/>
  <c r="M961" i="1"/>
  <c r="N911" i="1"/>
  <c r="O911" i="1"/>
  <c r="O700" i="1"/>
  <c r="K858" i="1"/>
  <c r="N858" i="1" s="1"/>
  <c r="N851" i="1"/>
  <c r="O831" i="1"/>
  <c r="G1002" i="13"/>
  <c r="J1002" i="13" s="1"/>
  <c r="K994" i="1"/>
  <c r="O994" i="1" s="1"/>
  <c r="G1041" i="13"/>
  <c r="J1041" i="13" s="1"/>
  <c r="K1033" i="1"/>
  <c r="N1033" i="1" s="1"/>
  <c r="N879" i="1"/>
  <c r="O879" i="1"/>
  <c r="O675" i="1"/>
  <c r="M731" i="1"/>
  <c r="G981" i="13"/>
  <c r="J981" i="13" s="1"/>
  <c r="K973" i="1"/>
  <c r="K942" i="1"/>
  <c r="G950" i="13"/>
  <c r="L945" i="1"/>
  <c r="G838" i="13"/>
  <c r="G839" i="13" s="1"/>
  <c r="G784" i="13"/>
  <c r="N874" i="1"/>
  <c r="O874" i="1"/>
  <c r="N853" i="1"/>
  <c r="O853" i="1"/>
  <c r="O798" i="1"/>
  <c r="M969" i="1"/>
  <c r="M1009" i="1"/>
  <c r="G1026" i="13"/>
  <c r="K1018" i="1"/>
  <c r="L1022" i="1"/>
  <c r="J830" i="13"/>
  <c r="K976" i="1"/>
  <c r="G984" i="13"/>
  <c r="L984" i="1"/>
  <c r="G967" i="13"/>
  <c r="J967" i="13" s="1"/>
  <c r="K959" i="1"/>
  <c r="N959" i="1" s="1"/>
  <c r="G925" i="13"/>
  <c r="J922" i="13"/>
  <c r="J925" i="13" s="1"/>
  <c r="M984" i="1"/>
  <c r="J909" i="13"/>
  <c r="J912" i="13" s="1"/>
  <c r="G912" i="13"/>
  <c r="J905" i="13"/>
  <c r="J908" i="13" s="1"/>
  <c r="G908" i="13"/>
  <c r="G1028" i="13"/>
  <c r="J1028" i="13" s="1"/>
  <c r="K1020" i="1"/>
  <c r="N1020" i="1" s="1"/>
  <c r="L975" i="1"/>
  <c r="G979" i="13"/>
  <c r="G934" i="13"/>
  <c r="J929" i="13"/>
  <c r="J934" i="13" s="1"/>
  <c r="L1017" i="1"/>
  <c r="G1023" i="13"/>
  <c r="J1023" i="13" s="1"/>
  <c r="K1015" i="1"/>
  <c r="L1035" i="1"/>
  <c r="G1040" i="13"/>
  <c r="K1032" i="1"/>
  <c r="K865" i="1"/>
  <c r="N865" i="1" s="1"/>
  <c r="N862" i="1"/>
  <c r="O864" i="1"/>
  <c r="M1025" i="1"/>
  <c r="K989" i="1"/>
  <c r="O989" i="1" s="1"/>
  <c r="G997" i="13"/>
  <c r="J997" i="13" s="1"/>
  <c r="M805" i="1"/>
  <c r="M806" i="1" s="1"/>
  <c r="G1010" i="13"/>
  <c r="K1002" i="1"/>
  <c r="L1005" i="1"/>
  <c r="J890" i="13"/>
  <c r="J899" i="13" s="1"/>
  <c r="G899" i="13"/>
  <c r="M866" i="1"/>
  <c r="M882" i="1" s="1"/>
  <c r="G1012" i="13"/>
  <c r="J1012" i="13" s="1"/>
  <c r="K1004" i="1"/>
  <c r="O893" i="1"/>
  <c r="K896" i="1"/>
  <c r="N896" i="1" s="1"/>
  <c r="N893" i="1"/>
  <c r="K871" i="1"/>
  <c r="N867" i="1"/>
  <c r="G954" i="13"/>
  <c r="K946" i="1"/>
  <c r="L953" i="1"/>
  <c r="N849" i="1"/>
  <c r="O849" i="1"/>
  <c r="M1038" i="1"/>
  <c r="G958" i="13"/>
  <c r="J958" i="13" s="1"/>
  <c r="K950" i="1"/>
  <c r="K971" i="1"/>
  <c r="O971" i="1" s="1"/>
  <c r="M975" i="1"/>
  <c r="N926" i="1"/>
  <c r="O926" i="1"/>
  <c r="O875" i="1"/>
  <c r="G1045" i="13"/>
  <c r="K1037" i="1"/>
  <c r="M779" i="1"/>
  <c r="O845" i="1"/>
  <c r="O862" i="1"/>
  <c r="O858" i="1"/>
  <c r="M897" i="1"/>
  <c r="O573" i="1"/>
  <c r="O928" i="1"/>
  <c r="N928" i="1"/>
  <c r="K931" i="1"/>
  <c r="N931" i="1" s="1"/>
  <c r="K947" i="1"/>
  <c r="N947" i="1" s="1"/>
  <c r="G955" i="13"/>
  <c r="J955" i="13" s="1"/>
  <c r="O789" i="1"/>
  <c r="N789" i="1"/>
  <c r="K794" i="1"/>
  <c r="O794" i="1" s="1"/>
  <c r="K995" i="1"/>
  <c r="G1003" i="13"/>
  <c r="J1003" i="13" s="1"/>
  <c r="O599" i="1"/>
  <c r="O600" i="1" s="1"/>
  <c r="K600" i="1"/>
  <c r="K628" i="1" s="1"/>
  <c r="N599" i="1"/>
  <c r="N600" i="1" s="1"/>
  <c r="O729" i="1"/>
  <c r="O730" i="1" s="1"/>
  <c r="K730" i="1"/>
  <c r="N729" i="1"/>
  <c r="N730" i="1" s="1"/>
  <c r="N857" i="1"/>
  <c r="O857" i="1"/>
  <c r="O841" i="1"/>
  <c r="N841" i="1"/>
  <c r="G1029" i="13"/>
  <c r="J1029" i="13" s="1"/>
  <c r="K1021" i="1"/>
  <c r="O848" i="1"/>
  <c r="N848" i="1"/>
  <c r="J869" i="13"/>
  <c r="J872" i="13" s="1"/>
  <c r="G872" i="13"/>
  <c r="N903" i="1"/>
  <c r="O903" i="1"/>
  <c r="N691" i="1"/>
  <c r="K702" i="1"/>
  <c r="N869" i="1"/>
  <c r="O869" i="1"/>
  <c r="N839" i="1"/>
  <c r="K842" i="1"/>
  <c r="N747" i="1"/>
  <c r="O747" i="1"/>
  <c r="K978" i="1"/>
  <c r="G986" i="13"/>
  <c r="J986" i="13" s="1"/>
  <c r="M935" i="1"/>
  <c r="M936" i="1" s="1"/>
  <c r="N840" i="1"/>
  <c r="O840" i="1"/>
  <c r="L935" i="1"/>
  <c r="L936" i="1" s="1"/>
  <c r="O904" i="1"/>
  <c r="N904" i="1"/>
  <c r="G1027" i="13"/>
  <c r="J1027" i="13" s="1"/>
  <c r="K1019" i="1"/>
  <c r="N912" i="1"/>
  <c r="O912" i="1"/>
  <c r="K993" i="1"/>
  <c r="O993" i="1" s="1"/>
  <c r="G1001" i="13"/>
  <c r="J1001" i="13" s="1"/>
  <c r="O930" i="1"/>
  <c r="K980" i="1"/>
  <c r="G988" i="13"/>
  <c r="J988" i="13" s="1"/>
  <c r="O755" i="1"/>
  <c r="N925" i="1"/>
  <c r="O925" i="1"/>
  <c r="O900" i="1"/>
  <c r="N900" i="1"/>
  <c r="K997" i="1"/>
  <c r="G1005" i="13"/>
  <c r="L1000" i="1"/>
  <c r="K952" i="1"/>
  <c r="G960" i="13"/>
  <c r="J960" i="13" s="1"/>
  <c r="N878" i="1"/>
  <c r="O878" i="1"/>
  <c r="K1014" i="1"/>
  <c r="O1014" i="1" s="1"/>
  <c r="G1022" i="13"/>
  <c r="K967" i="1"/>
  <c r="G975" i="13"/>
  <c r="J975" i="13" s="1"/>
  <c r="K954" i="1"/>
  <c r="G962" i="13"/>
  <c r="L961" i="1"/>
  <c r="N891" i="1"/>
  <c r="O891" i="1"/>
  <c r="K905" i="1"/>
  <c r="N905" i="1" s="1"/>
  <c r="N902" i="1"/>
  <c r="N870" i="1"/>
  <c r="O870" i="1"/>
  <c r="G1037" i="13"/>
  <c r="J1037" i="13" s="1"/>
  <c r="K1029" i="1"/>
  <c r="G995" i="13"/>
  <c r="K987" i="1"/>
  <c r="L996" i="1"/>
  <c r="M945" i="1"/>
  <c r="G1035" i="13"/>
  <c r="J1035" i="13" s="1"/>
  <c r="K1027" i="1"/>
  <c r="N1027" i="1" s="1"/>
  <c r="K998" i="1"/>
  <c r="G1006" i="13"/>
  <c r="J1006" i="13" s="1"/>
  <c r="N920" i="1"/>
  <c r="O920" i="1"/>
  <c r="J900" i="13"/>
  <c r="J903" i="13" s="1"/>
  <c r="G903" i="13"/>
  <c r="J874" i="13"/>
  <c r="J878" i="13" s="1"/>
  <c r="G878" i="13"/>
  <c r="N843" i="1"/>
  <c r="K850" i="1"/>
  <c r="N850" i="1" s="1"/>
  <c r="O843" i="1"/>
  <c r="K972" i="1"/>
  <c r="G980" i="13"/>
  <c r="J980" i="13" s="1"/>
  <c r="G963" i="13"/>
  <c r="J963" i="13" s="1"/>
  <c r="K955" i="1"/>
  <c r="N846" i="1"/>
  <c r="O846" i="1"/>
  <c r="K988" i="1"/>
  <c r="G996" i="13"/>
  <c r="J996" i="13" s="1"/>
  <c r="K992" i="1"/>
  <c r="O992" i="1" s="1"/>
  <c r="G1000" i="13"/>
  <c r="J1000" i="13" s="1"/>
  <c r="N847" i="1"/>
  <c r="O847" i="1"/>
  <c r="L1038" i="1"/>
  <c r="G1044" i="13"/>
  <c r="K1036" i="1"/>
  <c r="O1036" i="1" s="1"/>
  <c r="K927" i="1"/>
  <c r="N927" i="1" s="1"/>
  <c r="N922" i="1"/>
  <c r="K1030" i="1"/>
  <c r="G1038" i="13"/>
  <c r="J1038" i="13" s="1"/>
  <c r="K979" i="1"/>
  <c r="N979" i="1" s="1"/>
  <c r="N933" i="1"/>
  <c r="O933" i="1"/>
  <c r="N739" i="1"/>
  <c r="K763" i="1"/>
  <c r="O763" i="1" s="1"/>
  <c r="K921" i="1"/>
  <c r="N921" i="1" s="1"/>
  <c r="N919" i="1"/>
  <c r="J917" i="13"/>
  <c r="J920" i="13" s="1"/>
  <c r="G920" i="13"/>
  <c r="O828" i="1"/>
  <c r="N768" i="1"/>
  <c r="K778" i="1"/>
  <c r="N778" i="1" s="1"/>
  <c r="G769" i="13"/>
  <c r="K958" i="1"/>
  <c r="G966" i="13"/>
  <c r="J966" i="13" s="1"/>
  <c r="N863" i="1"/>
  <c r="O863" i="1"/>
  <c r="O818" i="1"/>
  <c r="O883" i="1"/>
  <c r="J858" i="13"/>
  <c r="J865" i="13" s="1"/>
  <c r="G865" i="13"/>
  <c r="J935" i="13"/>
  <c r="J938" i="13" s="1"/>
  <c r="G938" i="13"/>
  <c r="G1007" i="13"/>
  <c r="J1007" i="13" s="1"/>
  <c r="K999" i="1"/>
  <c r="N999" i="1" s="1"/>
  <c r="O815" i="1"/>
  <c r="G1036" i="13"/>
  <c r="J1036" i="13" s="1"/>
  <c r="K1028" i="1"/>
  <c r="G952" i="13"/>
  <c r="J952" i="13" s="1"/>
  <c r="K944" i="1"/>
  <c r="N917" i="1"/>
  <c r="O917" i="1"/>
  <c r="G959" i="13"/>
  <c r="J959" i="13" s="1"/>
  <c r="K951" i="1"/>
  <c r="M1031" i="1"/>
  <c r="O1026" i="1"/>
  <c r="L969" i="1"/>
  <c r="K966" i="1"/>
  <c r="G974" i="13"/>
  <c r="G991" i="13"/>
  <c r="J991" i="13" s="1"/>
  <c r="K983" i="1"/>
  <c r="K957" i="1"/>
  <c r="N957" i="1" s="1"/>
  <c r="G965" i="13"/>
  <c r="J965" i="13" s="1"/>
  <c r="G976" i="13"/>
  <c r="J976" i="13" s="1"/>
  <c r="K968" i="1"/>
  <c r="N968" i="1" s="1"/>
  <c r="G1015" i="13"/>
  <c r="J1015" i="13" s="1"/>
  <c r="K1007" i="1"/>
  <c r="L866" i="1"/>
  <c r="L882" i="1" s="1"/>
  <c r="J681" i="13"/>
  <c r="J736" i="13" s="1"/>
  <c r="G964" i="13"/>
  <c r="J964" i="13" s="1"/>
  <c r="K956" i="1"/>
  <c r="N660" i="1"/>
  <c r="K676" i="1"/>
  <c r="N676" i="1" s="1"/>
  <c r="M1017" i="1"/>
  <c r="O919" i="1"/>
  <c r="O902" i="1"/>
  <c r="N914" i="1"/>
  <c r="K918" i="1"/>
  <c r="O914" i="1"/>
  <c r="N872" i="1"/>
  <c r="K880" i="1"/>
  <c r="N880" i="1" s="1"/>
  <c r="N899" i="1"/>
  <c r="O899" i="1"/>
  <c r="O1034" i="1"/>
  <c r="L113" i="1"/>
  <c r="J64" i="13"/>
  <c r="J68" i="13" s="1"/>
  <c r="J73" i="13" s="1"/>
  <c r="J84" i="13" s="1"/>
  <c r="J85" i="13" s="1"/>
  <c r="G68" i="13"/>
  <c r="G73" i="13" s="1"/>
  <c r="G84" i="13" s="1"/>
  <c r="G85" i="13" s="1"/>
  <c r="O64" i="1"/>
  <c r="K68" i="1"/>
  <c r="I26" i="16"/>
  <c r="I27" i="16"/>
  <c r="N1206" i="1" l="1"/>
  <c r="O1206" i="1"/>
  <c r="N1091" i="1"/>
  <c r="K1100" i="1"/>
  <c r="N1238" i="1"/>
  <c r="O1238" i="1"/>
  <c r="Q541" i="17"/>
  <c r="N1172" i="1"/>
  <c r="O1172" i="1"/>
  <c r="M1435" i="1"/>
  <c r="M1539" i="1" s="1"/>
  <c r="M2241" i="1"/>
  <c r="M2345" i="1" s="1"/>
  <c r="M1291" i="1"/>
  <c r="J1110" i="13"/>
  <c r="J1113" i="13" s="1"/>
  <c r="G1113" i="13"/>
  <c r="K1066" i="1"/>
  <c r="L1170" i="1"/>
  <c r="L1069" i="1"/>
  <c r="G1075" i="13"/>
  <c r="L1290" i="1"/>
  <c r="K1186" i="1"/>
  <c r="G1196" i="13"/>
  <c r="J1196" i="13" s="1"/>
  <c r="L1333" i="1"/>
  <c r="G1239" i="13"/>
  <c r="J1239" i="13" s="1"/>
  <c r="K1229" i="1"/>
  <c r="N1141" i="1"/>
  <c r="O1141" i="1"/>
  <c r="M1928" i="1"/>
  <c r="M2032" i="1" s="1"/>
  <c r="M2136" i="1" s="1"/>
  <c r="M2240" i="1" s="1"/>
  <c r="M2344" i="1" s="1"/>
  <c r="M1880" i="1"/>
  <c r="L1285" i="1"/>
  <c r="G1191" i="13"/>
  <c r="J1191" i="13" s="1"/>
  <c r="K1181" i="1"/>
  <c r="M1653" i="1"/>
  <c r="M1253" i="1"/>
  <c r="O1149" i="1"/>
  <c r="M1153" i="1"/>
  <c r="M1208" i="1"/>
  <c r="M1311" i="1"/>
  <c r="O1207" i="1"/>
  <c r="L1307" i="1"/>
  <c r="G1213" i="13"/>
  <c r="J1213" i="13" s="1"/>
  <c r="K1203" i="1"/>
  <c r="K1162" i="1"/>
  <c r="O1162" i="1" s="1"/>
  <c r="L1266" i="1"/>
  <c r="G1172" i="13"/>
  <c r="L1169" i="1"/>
  <c r="N1062" i="1"/>
  <c r="O1062" i="1"/>
  <c r="L1300" i="1"/>
  <c r="K1196" i="1"/>
  <c r="G1206" i="13"/>
  <c r="J1206" i="13" s="1"/>
  <c r="J1115" i="13"/>
  <c r="J1118" i="13" s="1"/>
  <c r="G1118" i="13"/>
  <c r="M2077" i="1"/>
  <c r="M1388" i="1"/>
  <c r="K1073" i="1"/>
  <c r="N1073" i="1" s="1"/>
  <c r="N1070" i="1"/>
  <c r="M1553" i="1"/>
  <c r="N1053" i="1"/>
  <c r="O1053" i="1"/>
  <c r="G1066" i="13"/>
  <c r="J1059" i="13"/>
  <c r="J1066" i="13" s="1"/>
  <c r="L1299" i="1"/>
  <c r="G1205" i="13"/>
  <c r="L1204" i="1"/>
  <c r="M2152" i="1"/>
  <c r="N1111" i="1"/>
  <c r="O1111" i="1"/>
  <c r="G1165" i="13"/>
  <c r="J1165" i="13" s="1"/>
  <c r="L1259" i="1"/>
  <c r="K1155" i="1"/>
  <c r="N1155" i="1" s="1"/>
  <c r="N1086" i="1"/>
  <c r="O1086" i="1"/>
  <c r="K1163" i="1"/>
  <c r="N1163" i="1" s="1"/>
  <c r="L1267" i="1"/>
  <c r="G1173" i="13"/>
  <c r="J1173" i="13" s="1"/>
  <c r="L1336" i="1"/>
  <c r="G1242" i="13"/>
  <c r="J1242" i="13" s="1"/>
  <c r="K1232" i="1"/>
  <c r="N547" i="17"/>
  <c r="N596" i="17"/>
  <c r="L938" i="17"/>
  <c r="N552" i="17"/>
  <c r="M1631" i="1"/>
  <c r="M1493" i="1"/>
  <c r="M1393" i="1"/>
  <c r="N1123" i="1"/>
  <c r="O1123" i="1"/>
  <c r="O1063" i="1"/>
  <c r="N1063" i="1"/>
  <c r="L1288" i="1"/>
  <c r="G1194" i="13"/>
  <c r="K1184" i="1"/>
  <c r="J1131" i="13"/>
  <c r="J1135" i="13" s="1"/>
  <c r="G1135" i="13"/>
  <c r="M1318" i="1"/>
  <c r="M1217" i="1"/>
  <c r="M1143" i="1"/>
  <c r="N1071" i="1"/>
  <c r="O1071" i="1"/>
  <c r="L1326" i="1"/>
  <c r="K1222" i="1"/>
  <c r="O1222" i="1" s="1"/>
  <c r="G1232" i="13"/>
  <c r="L1225" i="1"/>
  <c r="N1134" i="1"/>
  <c r="O1134" i="1"/>
  <c r="M1089" i="1"/>
  <c r="K1160" i="1"/>
  <c r="L1264" i="1"/>
  <c r="G1170" i="13"/>
  <c r="J1170" i="13" s="1"/>
  <c r="O1075" i="1"/>
  <c r="N1075" i="1"/>
  <c r="K1079" i="1"/>
  <c r="L1309" i="1"/>
  <c r="K1205" i="1"/>
  <c r="G1215" i="13"/>
  <c r="L1208" i="1"/>
  <c r="M1254" i="1"/>
  <c r="M545" i="17"/>
  <c r="N545" i="17"/>
  <c r="M1463" i="1"/>
  <c r="M1280" i="1"/>
  <c r="O1176" i="1"/>
  <c r="M1338" i="1"/>
  <c r="M1239" i="1"/>
  <c r="J1136" i="13"/>
  <c r="J1138" i="13" s="1"/>
  <c r="G1138" i="13"/>
  <c r="J1119" i="13"/>
  <c r="J1122" i="13" s="1"/>
  <c r="G1122" i="13"/>
  <c r="L1323" i="1"/>
  <c r="G1229" i="13"/>
  <c r="J1229" i="13" s="1"/>
  <c r="K1219" i="1"/>
  <c r="M1288" i="1"/>
  <c r="M1192" i="1"/>
  <c r="O1137" i="1"/>
  <c r="N1137" i="1"/>
  <c r="M1293" i="1"/>
  <c r="O1070" i="1"/>
  <c r="M1640" i="1"/>
  <c r="M1744" i="1" s="1"/>
  <c r="M1848" i="1" s="1"/>
  <c r="M1739" i="1"/>
  <c r="M1843" i="1" s="1"/>
  <c r="I850" i="16"/>
  <c r="F932" i="16"/>
  <c r="M1820" i="1"/>
  <c r="M1732" i="1"/>
  <c r="M1414" i="1"/>
  <c r="N1055" i="1"/>
  <c r="O1055" i="1"/>
  <c r="N1099" i="1"/>
  <c r="O1099" i="1"/>
  <c r="L1344" i="1"/>
  <c r="G1250" i="13"/>
  <c r="L1243" i="1"/>
  <c r="K1240" i="1"/>
  <c r="N1092" i="1"/>
  <c r="O1092" i="1"/>
  <c r="L1341" i="1"/>
  <c r="K1237" i="1"/>
  <c r="G1247" i="13"/>
  <c r="J1247" i="13" s="1"/>
  <c r="N1106" i="1"/>
  <c r="K1109" i="1"/>
  <c r="M1822" i="1"/>
  <c r="M1926" i="1" s="1"/>
  <c r="M2030" i="1" s="1"/>
  <c r="M2134" i="1" s="1"/>
  <c r="M1446" i="1"/>
  <c r="M1550" i="1" s="1"/>
  <c r="G1058" i="13"/>
  <c r="J1054" i="13"/>
  <c r="J1058" i="13" s="1"/>
  <c r="L1328" i="1"/>
  <c r="K1224" i="1"/>
  <c r="G1234" i="13"/>
  <c r="J1234" i="13" s="1"/>
  <c r="N1060" i="1"/>
  <c r="O1060" i="1"/>
  <c r="J1079" i="13"/>
  <c r="J1082" i="13" s="1"/>
  <c r="G1082" i="13"/>
  <c r="L1340" i="1"/>
  <c r="K1236" i="1"/>
  <c r="G1246" i="13"/>
  <c r="J1246" i="13" s="1"/>
  <c r="O1130" i="1"/>
  <c r="K1135" i="1"/>
  <c r="N1135" i="1" s="1"/>
  <c r="N1130" i="1"/>
  <c r="L1284" i="1"/>
  <c r="G1190" i="13"/>
  <c r="J1190" i="13" s="1"/>
  <c r="K1180" i="1"/>
  <c r="L1258" i="1"/>
  <c r="G1164" i="13"/>
  <c r="K1154" i="1"/>
  <c r="L1161" i="1"/>
  <c r="N1078" i="1"/>
  <c r="O1078" i="1"/>
  <c r="M1434" i="1"/>
  <c r="M1334" i="1"/>
  <c r="L1292" i="1"/>
  <c r="G1198" i="13"/>
  <c r="J1198" i="13" s="1"/>
  <c r="K1188" i="1"/>
  <c r="K1150" i="1"/>
  <c r="N1150" i="1" s="1"/>
  <c r="L1254" i="1"/>
  <c r="G1160" i="13"/>
  <c r="J1160" i="13" s="1"/>
  <c r="M1375" i="1"/>
  <c r="N1140" i="1"/>
  <c r="K1142" i="1"/>
  <c r="N1142" i="1" s="1"/>
  <c r="N1054" i="1"/>
  <c r="O1054" i="1"/>
  <c r="L1346" i="1"/>
  <c r="G1252" i="13"/>
  <c r="J1252" i="13" s="1"/>
  <c r="K1242" i="1"/>
  <c r="N1242" i="1" s="1"/>
  <c r="M1344" i="1"/>
  <c r="M1243" i="1"/>
  <c r="O1240" i="1"/>
  <c r="J973" i="13"/>
  <c r="M1575" i="1"/>
  <c r="N1107" i="1"/>
  <c r="O1107" i="1"/>
  <c r="J1089" i="13"/>
  <c r="K1126" i="1"/>
  <c r="N1126" i="1" s="1"/>
  <c r="N1122" i="1"/>
  <c r="O1122" i="1"/>
  <c r="N1047" i="1"/>
  <c r="O1047" i="1"/>
  <c r="J1127" i="13"/>
  <c r="J1130" i="13" s="1"/>
  <c r="G1130" i="13"/>
  <c r="L1283" i="1"/>
  <c r="G1189" i="13"/>
  <c r="L1183" i="1"/>
  <c r="K1179" i="1"/>
  <c r="N1102" i="1"/>
  <c r="O1102" i="1"/>
  <c r="M1500" i="1"/>
  <c r="N1119" i="1"/>
  <c r="O1119" i="1"/>
  <c r="M1477" i="1"/>
  <c r="N1110" i="1"/>
  <c r="K1113" i="1"/>
  <c r="N1113" i="1" s="1"/>
  <c r="M1419" i="1"/>
  <c r="L1306" i="1"/>
  <c r="G1212" i="13"/>
  <c r="J1212" i="13" s="1"/>
  <c r="K1202" i="1"/>
  <c r="O1202" i="1" s="1"/>
  <c r="K1199" i="1"/>
  <c r="O1199" i="1" s="1"/>
  <c r="L1303" i="1"/>
  <c r="G1209" i="13"/>
  <c r="J1209" i="13" s="1"/>
  <c r="N1112" i="1"/>
  <c r="O1112" i="1"/>
  <c r="N1048" i="1"/>
  <c r="O1048" i="1"/>
  <c r="J1145" i="13"/>
  <c r="J1148" i="13" s="1"/>
  <c r="G1148" i="13"/>
  <c r="M1260" i="1"/>
  <c r="L1074" i="1"/>
  <c r="M1309" i="1"/>
  <c r="O1205" i="1"/>
  <c r="L1316" i="1"/>
  <c r="K1212" i="1"/>
  <c r="G1222" i="13"/>
  <c r="J1222" i="13" s="1"/>
  <c r="N1064" i="1"/>
  <c r="O1064" i="1"/>
  <c r="M1314" i="1"/>
  <c r="O1210" i="1"/>
  <c r="M1213" i="1"/>
  <c r="J838" i="13"/>
  <c r="J839" i="13" s="1"/>
  <c r="J811" i="13"/>
  <c r="J812" i="13" s="1"/>
  <c r="L944" i="17"/>
  <c r="Q500" i="17"/>
  <c r="L657" i="17"/>
  <c r="L658" i="17" s="1"/>
  <c r="L980" i="17"/>
  <c r="N554" i="17"/>
  <c r="M1886" i="1"/>
  <c r="M1399" i="1"/>
  <c r="M1374" i="1"/>
  <c r="O1057" i="1"/>
  <c r="K1227" i="1"/>
  <c r="L1331" i="1"/>
  <c r="G1237" i="13"/>
  <c r="J1237" i="13" s="1"/>
  <c r="K1167" i="1"/>
  <c r="L1271" i="1"/>
  <c r="G1177" i="13"/>
  <c r="J1177" i="13" s="1"/>
  <c r="N1080" i="1"/>
  <c r="K1088" i="1"/>
  <c r="N1088" i="1" s="1"/>
  <c r="L1330" i="1"/>
  <c r="G1236" i="13"/>
  <c r="K1226" i="1"/>
  <c r="L1230" i="1"/>
  <c r="M1225" i="1"/>
  <c r="M1326" i="1"/>
  <c r="L1279" i="1"/>
  <c r="G1185" i="13"/>
  <c r="J1185" i="13" s="1"/>
  <c r="K1175" i="1"/>
  <c r="L1143" i="1"/>
  <c r="L1144" i="1" s="1"/>
  <c r="M1283" i="1"/>
  <c r="O1179" i="1"/>
  <c r="M1183" i="1"/>
  <c r="L1089" i="1"/>
  <c r="N1101" i="1"/>
  <c r="K1104" i="1"/>
  <c r="N1104" i="1" s="1"/>
  <c r="L1339" i="1"/>
  <c r="G1245" i="13"/>
  <c r="J1245" i="13" s="1"/>
  <c r="K1235" i="1"/>
  <c r="N1235" i="1" s="1"/>
  <c r="N1081" i="1"/>
  <c r="O1081" i="1"/>
  <c r="I835" i="16"/>
  <c r="F917" i="16"/>
  <c r="M1480" i="1"/>
  <c r="K663" i="17"/>
  <c r="J604" i="17"/>
  <c r="Q604" i="17"/>
  <c r="N1087" i="1"/>
  <c r="O1087" i="1"/>
  <c r="L1327" i="1"/>
  <c r="G1233" i="13"/>
  <c r="J1233" i="13" s="1"/>
  <c r="K1223" i="1"/>
  <c r="L1335" i="1"/>
  <c r="G1241" i="13"/>
  <c r="K1231" i="1"/>
  <c r="L1233" i="1"/>
  <c r="L1349" i="1"/>
  <c r="G1255" i="13"/>
  <c r="K1245" i="1"/>
  <c r="M1259" i="1"/>
  <c r="M1363" i="1" s="1"/>
  <c r="O1155" i="1"/>
  <c r="L1318" i="1"/>
  <c r="G1224" i="13"/>
  <c r="K1214" i="1"/>
  <c r="L1217" i="1"/>
  <c r="M1652" i="1"/>
  <c r="M1619" i="1"/>
  <c r="M1362" i="1"/>
  <c r="M1170" i="1"/>
  <c r="M1069" i="1"/>
  <c r="O1066" i="1"/>
  <c r="N1115" i="1"/>
  <c r="O1115" i="1"/>
  <c r="N1077" i="1"/>
  <c r="O1077" i="1"/>
  <c r="K1241" i="1"/>
  <c r="L1345" i="1"/>
  <c r="G1251" i="13"/>
  <c r="J1251" i="13" s="1"/>
  <c r="M1195" i="1"/>
  <c r="M1100" i="1"/>
  <c r="O1091" i="1"/>
  <c r="O1073" i="1"/>
  <c r="M1368" i="1"/>
  <c r="M1469" i="1"/>
  <c r="K1216" i="1"/>
  <c r="L1320" i="1"/>
  <c r="G1226" i="13"/>
  <c r="J1226" i="13" s="1"/>
  <c r="K1159" i="1"/>
  <c r="L1263" i="1"/>
  <c r="G1169" i="13"/>
  <c r="J1169" i="13" s="1"/>
  <c r="L1256" i="1"/>
  <c r="K1152" i="1"/>
  <c r="G1162" i="13"/>
  <c r="J1162" i="13" s="1"/>
  <c r="N1058" i="1"/>
  <c r="K1065" i="1"/>
  <c r="N1065" i="1" s="1"/>
  <c r="O1065" i="1"/>
  <c r="K1166" i="1"/>
  <c r="L1270" i="1"/>
  <c r="G1176" i="13"/>
  <c r="J1176" i="13" s="1"/>
  <c r="M1267" i="1"/>
  <c r="O1163" i="1"/>
  <c r="O1131" i="1"/>
  <c r="N1133" i="1"/>
  <c r="O1133" i="1"/>
  <c r="L1314" i="1"/>
  <c r="G1220" i="13"/>
  <c r="L1213" i="1"/>
  <c r="K1210" i="1"/>
  <c r="M1494" i="1"/>
  <c r="M2135" i="1"/>
  <c r="M2239" i="1" s="1"/>
  <c r="M2343" i="1" s="1"/>
  <c r="L1153" i="1"/>
  <c r="L1253" i="1"/>
  <c r="G1159" i="13"/>
  <c r="K1149" i="1"/>
  <c r="L1177" i="1"/>
  <c r="L1278" i="1"/>
  <c r="G1184" i="13"/>
  <c r="K1174" i="1"/>
  <c r="O1101" i="1"/>
  <c r="M1540" i="1"/>
  <c r="L1239" i="1"/>
  <c r="L1338" i="1"/>
  <c r="K1234" i="1"/>
  <c r="O1234" i="1" s="1"/>
  <c r="G1244" i="13"/>
  <c r="K1157" i="1"/>
  <c r="L1261" i="1"/>
  <c r="G1167" i="13"/>
  <c r="J1167" i="13" s="1"/>
  <c r="O1050" i="1"/>
  <c r="K1057" i="1"/>
  <c r="N1057" i="1" s="1"/>
  <c r="N1050" i="1"/>
  <c r="N1108" i="1"/>
  <c r="O1108" i="1"/>
  <c r="L1105" i="1"/>
  <c r="K1198" i="1"/>
  <c r="O1198" i="1" s="1"/>
  <c r="L1302" i="1"/>
  <c r="G1208" i="13"/>
  <c r="J1208" i="13" s="1"/>
  <c r="M1535" i="1"/>
  <c r="M1588" i="1"/>
  <c r="N1084" i="1"/>
  <c r="O1084" i="1"/>
  <c r="L1269" i="1"/>
  <c r="G1175" i="13"/>
  <c r="J1175" i="13" s="1"/>
  <c r="K1165" i="1"/>
  <c r="L1272" i="1"/>
  <c r="G1178" i="13"/>
  <c r="J1178" i="13" s="1"/>
  <c r="K1168" i="1"/>
  <c r="M1114" i="1"/>
  <c r="L1262" i="1"/>
  <c r="K1158" i="1"/>
  <c r="G1168" i="13"/>
  <c r="J1168" i="13" s="1"/>
  <c r="M1348" i="1"/>
  <c r="M1246" i="1"/>
  <c r="L1187" i="1"/>
  <c r="L1192" i="1" s="1"/>
  <c r="G1092" i="13"/>
  <c r="J1092" i="13" s="1"/>
  <c r="K1083" i="1"/>
  <c r="K1156" i="1"/>
  <c r="N1156" i="1" s="1"/>
  <c r="L1260" i="1"/>
  <c r="G1166" i="13"/>
  <c r="J1166" i="13" s="1"/>
  <c r="M1591" i="1"/>
  <c r="M1710" i="1"/>
  <c r="K1276" i="1"/>
  <c r="L1380" i="1"/>
  <c r="G1287" i="13"/>
  <c r="J1287" i="13" s="1"/>
  <c r="L1315" i="1"/>
  <c r="G1221" i="13"/>
  <c r="J1221" i="13" s="1"/>
  <c r="K1211" i="1"/>
  <c r="O1110" i="1"/>
  <c r="K1151" i="1"/>
  <c r="L1255" i="1"/>
  <c r="G1161" i="13"/>
  <c r="J1161" i="13" s="1"/>
  <c r="M1233" i="1"/>
  <c r="M1335" i="1"/>
  <c r="O1231" i="1"/>
  <c r="K1121" i="1"/>
  <c r="O1121" i="1" s="1"/>
  <c r="N1118" i="1"/>
  <c r="L1342" i="1"/>
  <c r="G1248" i="13"/>
  <c r="J1248" i="13" s="1"/>
  <c r="N1056" i="1"/>
  <c r="O1056" i="1"/>
  <c r="J1084" i="13"/>
  <c r="J1088" i="13" s="1"/>
  <c r="G1088" i="13"/>
  <c r="L1310" i="1"/>
  <c r="G1216" i="13"/>
  <c r="J1216" i="13" s="1"/>
  <c r="G1195" i="13"/>
  <c r="J1195" i="13" s="1"/>
  <c r="L1289" i="1"/>
  <c r="K1185" i="1"/>
  <c r="M1602" i="1"/>
  <c r="M1346" i="1"/>
  <c r="O1242" i="1"/>
  <c r="N1082" i="1"/>
  <c r="O1082" i="1"/>
  <c r="L1295" i="1"/>
  <c r="K1191" i="1"/>
  <c r="G1201" i="13"/>
  <c r="J1201" i="13" s="1"/>
  <c r="N1125" i="1"/>
  <c r="O1125" i="1"/>
  <c r="L1311" i="1"/>
  <c r="K1207" i="1"/>
  <c r="N1207" i="1" s="1"/>
  <c r="G1217" i="13"/>
  <c r="J1217" i="13" s="1"/>
  <c r="N1127" i="1"/>
  <c r="K1129" i="1"/>
  <c r="N1129" i="1" s="1"/>
  <c r="M2346" i="1"/>
  <c r="O1080" i="1"/>
  <c r="L1280" i="1"/>
  <c r="G1186" i="13"/>
  <c r="J1186" i="13" s="1"/>
  <c r="K1176" i="1"/>
  <c r="N1176" i="1" s="1"/>
  <c r="M1278" i="1"/>
  <c r="M1177" i="1"/>
  <c r="O1174" i="1"/>
  <c r="M1476" i="1"/>
  <c r="Q622" i="17"/>
  <c r="K681" i="17"/>
  <c r="M1440" i="1"/>
  <c r="M1544" i="1" s="1"/>
  <c r="I836" i="16"/>
  <c r="F918" i="16"/>
  <c r="O1049" i="1"/>
  <c r="L1305" i="1"/>
  <c r="K1201" i="1"/>
  <c r="O1201" i="1" s="1"/>
  <c r="G1211" i="13"/>
  <c r="J1211" i="13" s="1"/>
  <c r="O1103" i="1"/>
  <c r="N1136" i="1"/>
  <c r="K1139" i="1"/>
  <c r="N1139" i="1" s="1"/>
  <c r="J1067" i="13"/>
  <c r="J1074" i="13" s="1"/>
  <c r="G1074" i="13"/>
  <c r="M1169" i="1"/>
  <c r="M1266" i="1"/>
  <c r="O1052" i="1"/>
  <c r="M1339" i="1"/>
  <c r="M1443" i="1" s="1"/>
  <c r="L1114" i="1"/>
  <c r="L1192" i="17"/>
  <c r="L1252" i="17" s="1"/>
  <c r="L1312" i="17" s="1"/>
  <c r="N1045" i="1"/>
  <c r="K1049" i="1"/>
  <c r="N1120" i="1"/>
  <c r="O1120" i="1"/>
  <c r="L1301" i="1"/>
  <c r="K1197" i="1"/>
  <c r="O1197" i="1" s="1"/>
  <c r="G1207" i="13"/>
  <c r="J1207" i="13" s="1"/>
  <c r="L1268" i="1"/>
  <c r="G1174" i="13"/>
  <c r="J1174" i="13" s="1"/>
  <c r="K1164" i="1"/>
  <c r="N1132" i="1"/>
  <c r="O1132" i="1"/>
  <c r="J1139" i="13"/>
  <c r="J1144" i="13" s="1"/>
  <c r="G1144" i="13"/>
  <c r="K1200" i="1"/>
  <c r="O1200" i="1" s="1"/>
  <c r="L1304" i="1"/>
  <c r="G1210" i="13"/>
  <c r="J1210" i="13" s="1"/>
  <c r="N1076" i="1"/>
  <c r="O1076" i="1"/>
  <c r="J1100" i="13"/>
  <c r="J1109" i="13" s="1"/>
  <c r="J1114" i="13" s="1"/>
  <c r="G1109" i="13"/>
  <c r="G1114" i="13" s="1"/>
  <c r="L1286" i="1"/>
  <c r="G1192" i="13"/>
  <c r="J1192" i="13" s="1"/>
  <c r="K1182" i="1"/>
  <c r="M1541" i="1"/>
  <c r="L1081" i="17"/>
  <c r="L1319" i="1"/>
  <c r="G1225" i="13"/>
  <c r="J1225" i="13" s="1"/>
  <c r="K1215" i="1"/>
  <c r="O1106" i="1"/>
  <c r="K1189" i="1"/>
  <c r="N1189" i="1" s="1"/>
  <c r="L1293" i="1"/>
  <c r="G1199" i="13"/>
  <c r="J1199" i="13" s="1"/>
  <c r="L1294" i="1"/>
  <c r="K1190" i="1"/>
  <c r="G1200" i="13"/>
  <c r="J1200" i="13" s="1"/>
  <c r="L1246" i="1"/>
  <c r="L1348" i="1"/>
  <c r="G1254" i="13"/>
  <c r="G1256" i="13" s="1"/>
  <c r="K1244" i="1"/>
  <c r="O1136" i="1"/>
  <c r="N1128" i="1"/>
  <c r="O1128" i="1"/>
  <c r="L1332" i="1"/>
  <c r="K1228" i="1"/>
  <c r="G1238" i="13"/>
  <c r="J1238" i="13" s="1"/>
  <c r="F960" i="16"/>
  <c r="I878" i="16"/>
  <c r="I872" i="16"/>
  <c r="F954" i="16"/>
  <c r="I703" i="16"/>
  <c r="I748" i="16" s="1"/>
  <c r="F982" i="16"/>
  <c r="I900" i="16"/>
  <c r="I847" i="16"/>
  <c r="F929" i="16"/>
  <c r="I891" i="16"/>
  <c r="F973" i="16"/>
  <c r="I846" i="16"/>
  <c r="F928" i="16"/>
  <c r="I898" i="16"/>
  <c r="F980" i="16"/>
  <c r="I884" i="16"/>
  <c r="F966" i="16"/>
  <c r="F927" i="16"/>
  <c r="I845" i="16"/>
  <c r="I903" i="16"/>
  <c r="F985" i="16"/>
  <c r="I895" i="16"/>
  <c r="F977" i="16"/>
  <c r="I864" i="16"/>
  <c r="F946" i="16"/>
  <c r="I853" i="16"/>
  <c r="F935" i="16"/>
  <c r="F937" i="16"/>
  <c r="I855" i="16"/>
  <c r="I857" i="16"/>
  <c r="F939" i="16"/>
  <c r="I894" i="16"/>
  <c r="F976" i="16"/>
  <c r="I783" i="16"/>
  <c r="F919" i="16"/>
  <c r="I837" i="16"/>
  <c r="F965" i="16"/>
  <c r="I883" i="16"/>
  <c r="F953" i="16"/>
  <c r="I871" i="16"/>
  <c r="F922" i="16"/>
  <c r="I840" i="16"/>
  <c r="F978" i="16"/>
  <c r="I896" i="16"/>
  <c r="I854" i="16"/>
  <c r="F936" i="16"/>
  <c r="F964" i="16"/>
  <c r="I882" i="16"/>
  <c r="I868" i="16"/>
  <c r="F950" i="16"/>
  <c r="I859" i="16"/>
  <c r="F941" i="16"/>
  <c r="I873" i="16"/>
  <c r="F955" i="16"/>
  <c r="F930" i="16"/>
  <c r="I848" i="16"/>
  <c r="I877" i="16"/>
  <c r="F959" i="16"/>
  <c r="I892" i="16"/>
  <c r="F974" i="16"/>
  <c r="I839" i="16"/>
  <c r="F921" i="16"/>
  <c r="I858" i="16"/>
  <c r="F940" i="16"/>
  <c r="F938" i="16"/>
  <c r="I856" i="16"/>
  <c r="I899" i="16"/>
  <c r="F981" i="16"/>
  <c r="I906" i="16"/>
  <c r="F988" i="16"/>
  <c r="F944" i="16"/>
  <c r="I862" i="16"/>
  <c r="F975" i="16"/>
  <c r="I893" i="16"/>
  <c r="F987" i="16"/>
  <c r="I905" i="16"/>
  <c r="I767" i="16"/>
  <c r="F979" i="16"/>
  <c r="I897" i="16"/>
  <c r="F990" i="16"/>
  <c r="I908" i="16"/>
  <c r="I779" i="16"/>
  <c r="F957" i="16"/>
  <c r="I875" i="16"/>
  <c r="F969" i="16"/>
  <c r="I887" i="16"/>
  <c r="F961" i="16"/>
  <c r="I879" i="16"/>
  <c r="I838" i="16"/>
  <c r="F920" i="16"/>
  <c r="F986" i="16"/>
  <c r="I904" i="16"/>
  <c r="F952" i="16"/>
  <c r="I870" i="16"/>
  <c r="I827" i="16"/>
  <c r="I881" i="16"/>
  <c r="F963" i="16"/>
  <c r="I869" i="16"/>
  <c r="F951" i="16"/>
  <c r="F983" i="16"/>
  <c r="I901" i="16"/>
  <c r="I842" i="16"/>
  <c r="F924" i="16"/>
  <c r="F945" i="16"/>
  <c r="I863" i="16"/>
  <c r="F968" i="16"/>
  <c r="I886" i="16"/>
  <c r="I880" i="16"/>
  <c r="F962" i="16"/>
  <c r="F923" i="16"/>
  <c r="I841" i="16"/>
  <c r="I876" i="16"/>
  <c r="F958" i="16"/>
  <c r="F934" i="16"/>
  <c r="I852" i="16"/>
  <c r="I907" i="16"/>
  <c r="F989" i="16"/>
  <c r="I843" i="16"/>
  <c r="F925" i="16"/>
  <c r="I889" i="16"/>
  <c r="F971" i="16"/>
  <c r="F942" i="16"/>
  <c r="I860" i="16"/>
  <c r="I890" i="16"/>
  <c r="F972" i="16"/>
  <c r="I902" i="16"/>
  <c r="F984" i="16"/>
  <c r="I885" i="16"/>
  <c r="F967" i="16"/>
  <c r="F933" i="16"/>
  <c r="I851" i="16"/>
  <c r="F926" i="16"/>
  <c r="I844" i="16"/>
  <c r="F956" i="16"/>
  <c r="I874" i="16"/>
  <c r="I806" i="16"/>
  <c r="N549" i="17"/>
  <c r="Q550" i="17"/>
  <c r="K690" i="17"/>
  <c r="J631" i="17"/>
  <c r="M631" i="17" s="1"/>
  <c r="Q631" i="17"/>
  <c r="K674" i="17"/>
  <c r="Q615" i="17"/>
  <c r="J615" i="17"/>
  <c r="M615" i="17" s="1"/>
  <c r="K694" i="17"/>
  <c r="Q635" i="17"/>
  <c r="J635" i="17"/>
  <c r="M635" i="17" s="1"/>
  <c r="J509" i="17"/>
  <c r="M509" i="17" s="1"/>
  <c r="Q638" i="17"/>
  <c r="K697" i="17"/>
  <c r="J638" i="17"/>
  <c r="N597" i="17"/>
  <c r="L702" i="17"/>
  <c r="L828" i="17"/>
  <c r="L888" i="17" s="1"/>
  <c r="L748" i="17"/>
  <c r="K664" i="17"/>
  <c r="K609" i="17"/>
  <c r="J605" i="17"/>
  <c r="Q605" i="17"/>
  <c r="M481" i="17"/>
  <c r="J482" i="17"/>
  <c r="N481" i="17"/>
  <c r="N578" i="17"/>
  <c r="N565" i="17"/>
  <c r="M565" i="17"/>
  <c r="M640" i="17"/>
  <c r="N640" i="17"/>
  <c r="K695" i="17"/>
  <c r="Q636" i="17"/>
  <c r="J636" i="17"/>
  <c r="M636" i="17" s="1"/>
  <c r="N564" i="17"/>
  <c r="Q634" i="17"/>
  <c r="K693" i="17"/>
  <c r="J634" i="17"/>
  <c r="L673" i="17"/>
  <c r="K696" i="17"/>
  <c r="Q637" i="17"/>
  <c r="J637" i="17"/>
  <c r="M637" i="17" s="1"/>
  <c r="N556" i="17"/>
  <c r="K707" i="17"/>
  <c r="Q648" i="17"/>
  <c r="J648" i="17"/>
  <c r="M583" i="17"/>
  <c r="N583" i="17"/>
  <c r="J698" i="17"/>
  <c r="M698" i="17" s="1"/>
  <c r="K757" i="17"/>
  <c r="Q698" i="17"/>
  <c r="L678" i="17"/>
  <c r="L626" i="17"/>
  <c r="Q616" i="17"/>
  <c r="K675" i="17"/>
  <c r="J616" i="17"/>
  <c r="L667" i="17"/>
  <c r="M646" i="17"/>
  <c r="N646" i="17"/>
  <c r="Q621" i="17"/>
  <c r="K680" i="17"/>
  <c r="J621" i="17"/>
  <c r="M621" i="17" s="1"/>
  <c r="N563" i="17"/>
  <c r="Q632" i="17"/>
  <c r="K691" i="17"/>
  <c r="J632" i="17"/>
  <c r="N450" i="17"/>
  <c r="L711" i="17"/>
  <c r="K689" i="17"/>
  <c r="J630" i="17"/>
  <c r="Q630" i="17"/>
  <c r="M579" i="17"/>
  <c r="N579" i="17"/>
  <c r="L715" i="17"/>
  <c r="J611" i="17"/>
  <c r="M611" i="17" s="1"/>
  <c r="K670" i="17"/>
  <c r="Q611" i="17"/>
  <c r="N595" i="17"/>
  <c r="M595" i="17"/>
  <c r="L687" i="17"/>
  <c r="K706" i="17"/>
  <c r="Q647" i="17"/>
  <c r="J647" i="17"/>
  <c r="M647" i="17" s="1"/>
  <c r="N594" i="17"/>
  <c r="M540" i="17"/>
  <c r="N560" i="17"/>
  <c r="M560" i="17"/>
  <c r="J567" i="17"/>
  <c r="M567" i="17" s="1"/>
  <c r="L816" i="17"/>
  <c r="L876" i="17" s="1"/>
  <c r="L936" i="17" s="1"/>
  <c r="K559" i="17"/>
  <c r="L672" i="17"/>
  <c r="L559" i="17"/>
  <c r="N577" i="17"/>
  <c r="M591" i="17"/>
  <c r="N591" i="17"/>
  <c r="L706" i="17"/>
  <c r="M590" i="17"/>
  <c r="N590" i="17"/>
  <c r="L769" i="17"/>
  <c r="K688" i="17"/>
  <c r="Q629" i="17"/>
  <c r="J629" i="17"/>
  <c r="M629" i="17" s="1"/>
  <c r="L568" i="17"/>
  <c r="N567" i="17"/>
  <c r="K669" i="17"/>
  <c r="K617" i="17"/>
  <c r="J610" i="17"/>
  <c r="Q610" i="17"/>
  <c r="K714" i="17"/>
  <c r="Q655" i="17"/>
  <c r="J655" i="17"/>
  <c r="M655" i="17" s="1"/>
  <c r="N508" i="17"/>
  <c r="L665" i="17"/>
  <c r="L696" i="17"/>
  <c r="N637" i="17"/>
  <c r="K702" i="17"/>
  <c r="Q643" i="17"/>
  <c r="J643" i="17"/>
  <c r="M643" i="17" s="1"/>
  <c r="K683" i="17"/>
  <c r="Q624" i="17"/>
  <c r="J624" i="17"/>
  <c r="L766" i="17"/>
  <c r="N582" i="17"/>
  <c r="J623" i="17"/>
  <c r="K682" i="17"/>
  <c r="Q623" i="17"/>
  <c r="Q628" i="17"/>
  <c r="K687" i="17"/>
  <c r="J628" i="17"/>
  <c r="M628" i="17" s="1"/>
  <c r="K657" i="17"/>
  <c r="K658" i="17" s="1"/>
  <c r="M575" i="17"/>
  <c r="N575" i="17"/>
  <c r="K667" i="17"/>
  <c r="Q608" i="17"/>
  <c r="J608" i="17"/>
  <c r="M608" i="17" s="1"/>
  <c r="K684" i="17"/>
  <c r="Q625" i="17"/>
  <c r="J625" i="17"/>
  <c r="M625" i="17" s="1"/>
  <c r="N585" i="17"/>
  <c r="K711" i="17"/>
  <c r="Q652" i="17"/>
  <c r="J652" i="17"/>
  <c r="M652" i="17" s="1"/>
  <c r="L674" i="17"/>
  <c r="Q642" i="17"/>
  <c r="K701" i="17"/>
  <c r="J642" i="17"/>
  <c r="M553" i="17"/>
  <c r="N553" i="17"/>
  <c r="N561" i="17"/>
  <c r="Q704" i="17"/>
  <c r="K763" i="17"/>
  <c r="J704" i="17"/>
  <c r="M704" i="17" s="1"/>
  <c r="K764" i="17"/>
  <c r="Q705" i="17"/>
  <c r="J705" i="17"/>
  <c r="L681" i="17"/>
  <c r="N622" i="17"/>
  <c r="J622" i="17"/>
  <c r="M622" i="17" s="1"/>
  <c r="N562" i="17"/>
  <c r="Q654" i="17"/>
  <c r="K713" i="17"/>
  <c r="J654" i="17"/>
  <c r="Q633" i="17"/>
  <c r="K692" i="17"/>
  <c r="J633" i="17"/>
  <c r="L793" i="17"/>
  <c r="L853" i="17" s="1"/>
  <c r="L784" i="17"/>
  <c r="L844" i="17" s="1"/>
  <c r="L712" i="17"/>
  <c r="N645" i="17"/>
  <c r="Q567" i="17"/>
  <c r="Q568" i="17" s="1"/>
  <c r="L664" i="17"/>
  <c r="L609" i="17"/>
  <c r="N605" i="17"/>
  <c r="K672" i="17"/>
  <c r="Q613" i="17"/>
  <c r="J613" i="17"/>
  <c r="M613" i="17" s="1"/>
  <c r="L695" i="17"/>
  <c r="L716" i="17" s="1"/>
  <c r="N636" i="17"/>
  <c r="Q650" i="17"/>
  <c r="K709" i="17"/>
  <c r="J650" i="17"/>
  <c r="M539" i="17"/>
  <c r="N539" i="17"/>
  <c r="J500" i="17"/>
  <c r="M500" i="17" s="1"/>
  <c r="M491" i="17"/>
  <c r="L684" i="17"/>
  <c r="K600" i="17"/>
  <c r="K665" i="17"/>
  <c r="Q606" i="17"/>
  <c r="J606" i="17"/>
  <c r="M606" i="17" s="1"/>
  <c r="L669" i="17"/>
  <c r="L617" i="17"/>
  <c r="N589" i="17"/>
  <c r="M589" i="17"/>
  <c r="L767" i="17"/>
  <c r="L812" i="17"/>
  <c r="L872" i="17" s="1"/>
  <c r="L932" i="17" s="1"/>
  <c r="K666" i="17"/>
  <c r="Q607" i="17"/>
  <c r="J607" i="17"/>
  <c r="N571" i="17"/>
  <c r="M571" i="17"/>
  <c r="Q558" i="17"/>
  <c r="Q559" i="17" s="1"/>
  <c r="L742" i="17"/>
  <c r="L690" i="17"/>
  <c r="N588" i="17"/>
  <c r="L757" i="17"/>
  <c r="N698" i="17"/>
  <c r="K712" i="17"/>
  <c r="J653" i="17"/>
  <c r="M653" i="17" s="1"/>
  <c r="Q653" i="17"/>
  <c r="N566" i="17"/>
  <c r="K758" i="17"/>
  <c r="Q699" i="17"/>
  <c r="J699" i="17"/>
  <c r="L700" i="17"/>
  <c r="Q598" i="17"/>
  <c r="Q599" i="17" s="1"/>
  <c r="L714" i="17"/>
  <c r="N655" i="17"/>
  <c r="N441" i="17"/>
  <c r="L703" i="17"/>
  <c r="L688" i="17"/>
  <c r="K673" i="17"/>
  <c r="J614" i="17"/>
  <c r="M614" i="17" s="1"/>
  <c r="Q614" i="17"/>
  <c r="L600" i="17"/>
  <c r="Q612" i="17"/>
  <c r="K671" i="17"/>
  <c r="J612" i="17"/>
  <c r="L694" i="17"/>
  <c r="M557" i="17"/>
  <c r="N557" i="17"/>
  <c r="N551" i="17"/>
  <c r="J558" i="17"/>
  <c r="M558" i="17" s="1"/>
  <c r="M551" i="17"/>
  <c r="L679" i="17"/>
  <c r="L685" i="17" s="1"/>
  <c r="K715" i="17"/>
  <c r="J656" i="17"/>
  <c r="M656" i="17" s="1"/>
  <c r="Q656" i="17"/>
  <c r="K703" i="17"/>
  <c r="Q644" i="17"/>
  <c r="J644" i="17"/>
  <c r="M644" i="17" s="1"/>
  <c r="M548" i="17"/>
  <c r="N548" i="17"/>
  <c r="L670" i="17"/>
  <c r="L760" i="17"/>
  <c r="L680" i="17"/>
  <c r="N621" i="17"/>
  <c r="M423" i="17"/>
  <c r="N423" i="17"/>
  <c r="N584" i="17"/>
  <c r="K700" i="17"/>
  <c r="J641" i="17"/>
  <c r="M641" i="17" s="1"/>
  <c r="Q641" i="17"/>
  <c r="M574" i="17"/>
  <c r="J598" i="17"/>
  <c r="N574" i="17"/>
  <c r="K679" i="17"/>
  <c r="Q620" i="17"/>
  <c r="J620" i="17"/>
  <c r="M620" i="17" s="1"/>
  <c r="L763" i="17"/>
  <c r="N704" i="17"/>
  <c r="K678" i="17"/>
  <c r="Q619" i="17"/>
  <c r="K626" i="17"/>
  <c r="K627" i="17" s="1"/>
  <c r="J619" i="17"/>
  <c r="L751" i="17"/>
  <c r="M546" i="17"/>
  <c r="J550" i="17"/>
  <c r="L789" i="17"/>
  <c r="L849" i="17" s="1"/>
  <c r="N572" i="17"/>
  <c r="K769" i="17"/>
  <c r="Q710" i="17"/>
  <c r="J710" i="17"/>
  <c r="M710" i="17" s="1"/>
  <c r="K708" i="17"/>
  <c r="J649" i="17"/>
  <c r="Q649" i="17"/>
  <c r="N651" i="17"/>
  <c r="O676" i="1"/>
  <c r="M970" i="1"/>
  <c r="O981" i="1"/>
  <c r="L1001" i="1"/>
  <c r="O1020" i="1"/>
  <c r="O803" i="1"/>
  <c r="O948" i="1"/>
  <c r="N628" i="1"/>
  <c r="O628" i="1"/>
  <c r="N962" i="1"/>
  <c r="K965" i="1"/>
  <c r="N965" i="1" s="1"/>
  <c r="N1011" i="1"/>
  <c r="O1011" i="1"/>
  <c r="O968" i="1"/>
  <c r="O999" i="1"/>
  <c r="O927" i="1"/>
  <c r="L937" i="1"/>
  <c r="O880" i="1"/>
  <c r="O941" i="1"/>
  <c r="J785" i="13"/>
  <c r="J840" i="13" s="1"/>
  <c r="J904" i="13"/>
  <c r="J913" i="13"/>
  <c r="J888" i="13"/>
  <c r="G1046" i="13"/>
  <c r="G785" i="13"/>
  <c r="G888" i="13"/>
  <c r="N1030" i="1"/>
  <c r="O1030" i="1"/>
  <c r="N967" i="1"/>
  <c r="O967" i="1"/>
  <c r="J1005" i="13"/>
  <c r="J1008" i="13" s="1"/>
  <c r="G1008" i="13"/>
  <c r="N980" i="1"/>
  <c r="O980" i="1"/>
  <c r="O1037" i="1"/>
  <c r="N1037" i="1"/>
  <c r="N946" i="1"/>
  <c r="K953" i="1"/>
  <c r="O946" i="1"/>
  <c r="J942" i="13"/>
  <c r="J943" i="13" s="1"/>
  <c r="N976" i="1"/>
  <c r="K984" i="1"/>
  <c r="N984" i="1" s="1"/>
  <c r="M1010" i="1"/>
  <c r="M1012" i="1" s="1"/>
  <c r="J1034" i="13"/>
  <c r="J1039" i="13" s="1"/>
  <c r="G1039" i="13"/>
  <c r="J1014" i="13"/>
  <c r="J1017" i="13" s="1"/>
  <c r="G1017" i="13"/>
  <c r="N1003" i="1"/>
  <c r="O1003" i="1"/>
  <c r="N1008" i="1"/>
  <c r="O1008" i="1"/>
  <c r="N977" i="1"/>
  <c r="O977" i="1"/>
  <c r="M1039" i="1"/>
  <c r="M1040" i="1" s="1"/>
  <c r="N966" i="1"/>
  <c r="K969" i="1"/>
  <c r="N969" i="1" s="1"/>
  <c r="N951" i="1"/>
  <c r="O951" i="1"/>
  <c r="N944" i="1"/>
  <c r="O944" i="1"/>
  <c r="O979" i="1"/>
  <c r="O972" i="1"/>
  <c r="N972" i="1"/>
  <c r="J995" i="13"/>
  <c r="J1004" i="13" s="1"/>
  <c r="G1004" i="13"/>
  <c r="K961" i="1"/>
  <c r="N961" i="1" s="1"/>
  <c r="N954" i="1"/>
  <c r="J1022" i="13"/>
  <c r="J1025" i="13" s="1"/>
  <c r="G1025" i="13"/>
  <c r="N997" i="1"/>
  <c r="K1000" i="1"/>
  <c r="N995" i="1"/>
  <c r="O995" i="1"/>
  <c r="M985" i="1"/>
  <c r="G961" i="13"/>
  <c r="J954" i="13"/>
  <c r="J961" i="13" s="1"/>
  <c r="M834" i="1"/>
  <c r="O1032" i="1"/>
  <c r="N1032" i="1"/>
  <c r="K1035" i="1"/>
  <c r="N1035" i="1" s="1"/>
  <c r="G942" i="13"/>
  <c r="G943" i="13" s="1"/>
  <c r="O931" i="1"/>
  <c r="O976" i="1"/>
  <c r="O969" i="1"/>
  <c r="N973" i="1"/>
  <c r="O973" i="1"/>
  <c r="K996" i="1"/>
  <c r="O991" i="1"/>
  <c r="O896" i="1"/>
  <c r="O949" i="1"/>
  <c r="N949" i="1"/>
  <c r="O892" i="1"/>
  <c r="K897" i="1"/>
  <c r="N892" i="1"/>
  <c r="K906" i="1"/>
  <c r="N906" i="1" s="1"/>
  <c r="N901" i="1"/>
  <c r="G873" i="13"/>
  <c r="O1033" i="1"/>
  <c r="J974" i="13"/>
  <c r="J977" i="13" s="1"/>
  <c r="G977" i="13"/>
  <c r="O987" i="1"/>
  <c r="N987" i="1"/>
  <c r="J962" i="13"/>
  <c r="J969" i="13" s="1"/>
  <c r="G969" i="13"/>
  <c r="N1015" i="1"/>
  <c r="O1015" i="1"/>
  <c r="N942" i="1"/>
  <c r="K945" i="1"/>
  <c r="O982" i="1"/>
  <c r="N982" i="1"/>
  <c r="N958" i="1"/>
  <c r="O958" i="1"/>
  <c r="O955" i="1"/>
  <c r="N955" i="1"/>
  <c r="O850" i="1"/>
  <c r="N998" i="1"/>
  <c r="O998" i="1"/>
  <c r="O942" i="1"/>
  <c r="N1029" i="1"/>
  <c r="O1029" i="1"/>
  <c r="N1014" i="1"/>
  <c r="K1017" i="1"/>
  <c r="N952" i="1"/>
  <c r="O952" i="1"/>
  <c r="N1019" i="1"/>
  <c r="O1019" i="1"/>
  <c r="N842" i="1"/>
  <c r="K866" i="1"/>
  <c r="O702" i="1"/>
  <c r="O703" i="1" s="1"/>
  <c r="K703" i="1"/>
  <c r="K731" i="1" s="1"/>
  <c r="N731" i="1" s="1"/>
  <c r="N702" i="1"/>
  <c r="N703" i="1" s="1"/>
  <c r="K805" i="1"/>
  <c r="N794" i="1"/>
  <c r="O997" i="1"/>
  <c r="O1027" i="1"/>
  <c r="O842" i="1"/>
  <c r="N1002" i="1"/>
  <c r="K1005" i="1"/>
  <c r="O1005" i="1" s="1"/>
  <c r="G1043" i="13"/>
  <c r="J1040" i="13"/>
  <c r="J1043" i="13" s="1"/>
  <c r="O934" i="1"/>
  <c r="G913" i="13"/>
  <c r="L985" i="1"/>
  <c r="L1039" i="1"/>
  <c r="L1040" i="1" s="1"/>
  <c r="L970" i="1"/>
  <c r="O954" i="1"/>
  <c r="J1031" i="13"/>
  <c r="J1033" i="13" s="1"/>
  <c r="G1033" i="13"/>
  <c r="O957" i="1"/>
  <c r="O947" i="1"/>
  <c r="L1010" i="1"/>
  <c r="N1016" i="1"/>
  <c r="O1016" i="1"/>
  <c r="O905" i="1"/>
  <c r="J873" i="13"/>
  <c r="O959" i="1"/>
  <c r="N918" i="1"/>
  <c r="O918" i="1"/>
  <c r="N956" i="1"/>
  <c r="O956" i="1"/>
  <c r="N1007" i="1"/>
  <c r="O1007" i="1"/>
  <c r="K779" i="1"/>
  <c r="N779" i="1" s="1"/>
  <c r="N763" i="1"/>
  <c r="N950" i="1"/>
  <c r="O950" i="1"/>
  <c r="J1026" i="13"/>
  <c r="J1030" i="13" s="1"/>
  <c r="G1030" i="13"/>
  <c r="O913" i="1"/>
  <c r="N913" i="1"/>
  <c r="K935" i="1"/>
  <c r="N1024" i="1"/>
  <c r="O1024" i="1"/>
  <c r="N974" i="1"/>
  <c r="O974" i="1"/>
  <c r="N983" i="1"/>
  <c r="O983" i="1"/>
  <c r="N1028" i="1"/>
  <c r="O1028" i="1"/>
  <c r="G840" i="13"/>
  <c r="O966" i="1"/>
  <c r="N1036" i="1"/>
  <c r="K1038" i="1"/>
  <c r="N1038" i="1" s="1"/>
  <c r="N988" i="1"/>
  <c r="O988" i="1"/>
  <c r="O978" i="1"/>
  <c r="N978" i="1"/>
  <c r="O1021" i="1"/>
  <c r="N1021" i="1"/>
  <c r="O778" i="1"/>
  <c r="M908" i="1"/>
  <c r="O897" i="1"/>
  <c r="K975" i="1"/>
  <c r="N971" i="1"/>
  <c r="O871" i="1"/>
  <c r="N871" i="1"/>
  <c r="K881" i="1"/>
  <c r="N1004" i="1"/>
  <c r="O1004" i="1"/>
  <c r="G904" i="13"/>
  <c r="J1010" i="13"/>
  <c r="J1013" i="13" s="1"/>
  <c r="G1013" i="13"/>
  <c r="O865" i="1"/>
  <c r="J979" i="13"/>
  <c r="J983" i="13" s="1"/>
  <c r="G983" i="13"/>
  <c r="G992" i="13"/>
  <c r="J984" i="13"/>
  <c r="J992" i="13" s="1"/>
  <c r="N1018" i="1"/>
  <c r="K1022" i="1"/>
  <c r="O1018" i="1"/>
  <c r="O921" i="1"/>
  <c r="J950" i="13"/>
  <c r="J953" i="13" s="1"/>
  <c r="G953" i="13"/>
  <c r="O1002" i="1"/>
  <c r="N1023" i="1"/>
  <c r="K1025" i="1"/>
  <c r="N1025" i="1" s="1"/>
  <c r="N1026" i="1"/>
  <c r="K1031" i="1"/>
  <c r="N1031" i="1" s="1"/>
  <c r="N1006" i="1"/>
  <c r="K1009" i="1"/>
  <c r="N1009" i="1" s="1"/>
  <c r="O943" i="1"/>
  <c r="N943" i="1"/>
  <c r="N960" i="1"/>
  <c r="O960" i="1"/>
  <c r="O832" i="1"/>
  <c r="O833" i="1" s="1"/>
  <c r="N832" i="1"/>
  <c r="N833" i="1" s="1"/>
  <c r="K833" i="1"/>
  <c r="G113" i="13"/>
  <c r="J113" i="13"/>
  <c r="O68" i="1"/>
  <c r="N68" i="1"/>
  <c r="K73" i="1"/>
  <c r="I82" i="16"/>
  <c r="I81" i="16"/>
  <c r="C20" i="14"/>
  <c r="L21" i="14"/>
  <c r="K21" i="14" s="1"/>
  <c r="L14" i="14"/>
  <c r="K14" i="14" s="1"/>
  <c r="C16" i="14"/>
  <c r="L28" i="14"/>
  <c r="K28" i="14" s="1"/>
  <c r="G28" i="14"/>
  <c r="C28" i="14"/>
  <c r="L27" i="14"/>
  <c r="K27" i="14" s="1"/>
  <c r="G27" i="14"/>
  <c r="C27" i="14"/>
  <c r="L26" i="14"/>
  <c r="K26" i="14" s="1"/>
  <c r="G26" i="14"/>
  <c r="C26" i="14"/>
  <c r="L25" i="14"/>
  <c r="K25" i="14" s="1"/>
  <c r="G25" i="14"/>
  <c r="C25" i="14"/>
  <c r="L24" i="14"/>
  <c r="K24" i="14" s="1"/>
  <c r="G24" i="14"/>
  <c r="C24" i="14"/>
  <c r="L23" i="14"/>
  <c r="K23" i="14" s="1"/>
  <c r="G23" i="14"/>
  <c r="C23" i="14"/>
  <c r="L22" i="14"/>
  <c r="K22" i="14" s="1"/>
  <c r="G22" i="14"/>
  <c r="C22" i="14"/>
  <c r="G21" i="14"/>
  <c r="L20" i="14"/>
  <c r="G20" i="14"/>
  <c r="L19" i="14"/>
  <c r="G19" i="14"/>
  <c r="C19" i="14"/>
  <c r="L18" i="14"/>
  <c r="K18" i="14" s="1"/>
  <c r="G18" i="14"/>
  <c r="C18" i="14"/>
  <c r="L17" i="14"/>
  <c r="K17" i="14" s="1"/>
  <c r="G17" i="14"/>
  <c r="C17" i="14"/>
  <c r="L16" i="14"/>
  <c r="K16" i="14" s="1"/>
  <c r="G16" i="14"/>
  <c r="L15" i="14"/>
  <c r="K15" i="14" s="1"/>
  <c r="G15" i="14"/>
  <c r="C15" i="14"/>
  <c r="G14" i="14"/>
  <c r="C14" i="14"/>
  <c r="L13" i="14"/>
  <c r="K13" i="14" s="1"/>
  <c r="G13" i="14"/>
  <c r="C13" i="14"/>
  <c r="O1035" i="1" l="1"/>
  <c r="L1390" i="1"/>
  <c r="K1286" i="1"/>
  <c r="G1297" i="13"/>
  <c r="J1297" i="13" s="1"/>
  <c r="M1580" i="1"/>
  <c r="M1450" i="1"/>
  <c r="O1346" i="1"/>
  <c r="L1376" i="1"/>
  <c r="G1283" i="13"/>
  <c r="J1283" i="13" s="1"/>
  <c r="K1272" i="1"/>
  <c r="M1598" i="1"/>
  <c r="N1166" i="1"/>
  <c r="O1166" i="1"/>
  <c r="G1274" i="13"/>
  <c r="J1274" i="13" s="1"/>
  <c r="L1367" i="1"/>
  <c r="K1263" i="1"/>
  <c r="M1472" i="1"/>
  <c r="M1756" i="1"/>
  <c r="L1329" i="1"/>
  <c r="L1431" i="1"/>
  <c r="G1338" i="13"/>
  <c r="J1338" i="13" s="1"/>
  <c r="K1327" i="1"/>
  <c r="F999" i="16"/>
  <c r="I917" i="16"/>
  <c r="L1383" i="1"/>
  <c r="G1290" i="13"/>
  <c r="J1290" i="13" s="1"/>
  <c r="K1279" i="1"/>
  <c r="N1167" i="1"/>
  <c r="O1167" i="1"/>
  <c r="M1364" i="1"/>
  <c r="K1303" i="1"/>
  <c r="O1303" i="1" s="1"/>
  <c r="L1407" i="1"/>
  <c r="G1314" i="13"/>
  <c r="J1314" i="13" s="1"/>
  <c r="J1189" i="13"/>
  <c r="J1193" i="13" s="1"/>
  <c r="G1193" i="13"/>
  <c r="N1188" i="1"/>
  <c r="O1188" i="1"/>
  <c r="N1180" i="1"/>
  <c r="O1180" i="1"/>
  <c r="J1083" i="13"/>
  <c r="M1397" i="1"/>
  <c r="K1323" i="1"/>
  <c r="L1427" i="1"/>
  <c r="G1334" i="13"/>
  <c r="J1334" i="13" s="1"/>
  <c r="K1089" i="1"/>
  <c r="N1089" i="1" s="1"/>
  <c r="N1079" i="1"/>
  <c r="M1735" i="1"/>
  <c r="N1181" i="1"/>
  <c r="O1181" i="1"/>
  <c r="K1290" i="1"/>
  <c r="L1394" i="1"/>
  <c r="G1301" i="13"/>
  <c r="J1301" i="13" s="1"/>
  <c r="N1066" i="1"/>
  <c r="K1069" i="1"/>
  <c r="N1069" i="1" s="1"/>
  <c r="M1395" i="1"/>
  <c r="N611" i="17"/>
  <c r="N635" i="17"/>
  <c r="N641" i="17"/>
  <c r="N631" i="17"/>
  <c r="N625" i="17"/>
  <c r="L904" i="17"/>
  <c r="N615" i="17"/>
  <c r="N647" i="17"/>
  <c r="L996" i="17"/>
  <c r="L948" i="17"/>
  <c r="L1350" i="1"/>
  <c r="L1452" i="1"/>
  <c r="G1359" i="13"/>
  <c r="K1348" i="1"/>
  <c r="L1398" i="1"/>
  <c r="G1305" i="13"/>
  <c r="J1305" i="13" s="1"/>
  <c r="K1294" i="1"/>
  <c r="M1645" i="1"/>
  <c r="N1164" i="1"/>
  <c r="O1164" i="1"/>
  <c r="K1074" i="1"/>
  <c r="N1049" i="1"/>
  <c r="F1000" i="16"/>
  <c r="I918" i="16"/>
  <c r="K740" i="17"/>
  <c r="Q681" i="17"/>
  <c r="M1706" i="1"/>
  <c r="L1446" i="1"/>
  <c r="G1353" i="13"/>
  <c r="J1353" i="13" s="1"/>
  <c r="K1342" i="1"/>
  <c r="M1337" i="1"/>
  <c r="M1439" i="1"/>
  <c r="N1151" i="1"/>
  <c r="O1151" i="1"/>
  <c r="K1315" i="1"/>
  <c r="L1419" i="1"/>
  <c r="G1326" i="13"/>
  <c r="J1326" i="13" s="1"/>
  <c r="N1276" i="1"/>
  <c r="O1276" i="1"/>
  <c r="M1695" i="1"/>
  <c r="N1083" i="1"/>
  <c r="O1083" i="1"/>
  <c r="M1452" i="1"/>
  <c r="M1350" i="1"/>
  <c r="O1348" i="1"/>
  <c r="O1165" i="1"/>
  <c r="N1165" i="1"/>
  <c r="M1639" i="1"/>
  <c r="L1116" i="1"/>
  <c r="L1117" i="1" s="1"/>
  <c r="N1157" i="1"/>
  <c r="O1157" i="1"/>
  <c r="N1174" i="1"/>
  <c r="K1177" i="1"/>
  <c r="N1177" i="1" s="1"/>
  <c r="N1149" i="1"/>
  <c r="K1153" i="1"/>
  <c r="N1210" i="1"/>
  <c r="K1213" i="1"/>
  <c r="M1371" i="1"/>
  <c r="O1152" i="1"/>
  <c r="N1152" i="1"/>
  <c r="N1159" i="1"/>
  <c r="O1159" i="1"/>
  <c r="K1349" i="1"/>
  <c r="L1453" i="1"/>
  <c r="G1360" i="13"/>
  <c r="L1337" i="1"/>
  <c r="G1347" i="13" s="1"/>
  <c r="J1347" i="13" s="1"/>
  <c r="L1439" i="1"/>
  <c r="K1335" i="1"/>
  <c r="Q663" i="17"/>
  <c r="K722" i="17"/>
  <c r="J663" i="17"/>
  <c r="N1226" i="1"/>
  <c r="K1230" i="1"/>
  <c r="O1226" i="1"/>
  <c r="M1074" i="1"/>
  <c r="M1503" i="1"/>
  <c r="M1317" i="1"/>
  <c r="M1418" i="1"/>
  <c r="O1314" i="1"/>
  <c r="M1413" i="1"/>
  <c r="M1312" i="1"/>
  <c r="M1523" i="1"/>
  <c r="M1627" i="1" s="1"/>
  <c r="O1135" i="1"/>
  <c r="K1283" i="1"/>
  <c r="L1387" i="1"/>
  <c r="G1294" i="13"/>
  <c r="L1287" i="1"/>
  <c r="G1097" i="13"/>
  <c r="G1098" i="13" s="1"/>
  <c r="O1243" i="1"/>
  <c r="K1346" i="1"/>
  <c r="N1346" i="1" s="1"/>
  <c r="L1450" i="1"/>
  <c r="G1357" i="13"/>
  <c r="J1357" i="13" s="1"/>
  <c r="M1538" i="1"/>
  <c r="M1438" i="1"/>
  <c r="N1154" i="1"/>
  <c r="K1161" i="1"/>
  <c r="O1154" i="1"/>
  <c r="M2238" i="1"/>
  <c r="L1347" i="1"/>
  <c r="L1448" i="1"/>
  <c r="G1355" i="13"/>
  <c r="K1344" i="1"/>
  <c r="M1836" i="1"/>
  <c r="M1952" i="1"/>
  <c r="M1392" i="1"/>
  <c r="M1296" i="1"/>
  <c r="M1384" i="1"/>
  <c r="O1280" i="1"/>
  <c r="J1215" i="13"/>
  <c r="J1218" i="13" s="1"/>
  <c r="G1218" i="13"/>
  <c r="N1160" i="1"/>
  <c r="O1160" i="1"/>
  <c r="L1430" i="1"/>
  <c r="G1337" i="13"/>
  <c r="K1326" i="1"/>
  <c r="M1144" i="1"/>
  <c r="M1422" i="1"/>
  <c r="M1321" i="1"/>
  <c r="M1497" i="1"/>
  <c r="K1336" i="1"/>
  <c r="L1440" i="1"/>
  <c r="G1346" i="13"/>
  <c r="M2256" i="1"/>
  <c r="L1403" i="1"/>
  <c r="G1310" i="13"/>
  <c r="L1308" i="1"/>
  <c r="M2181" i="1"/>
  <c r="O1196" i="1"/>
  <c r="N1196" i="1"/>
  <c r="N1203" i="1"/>
  <c r="O1203" i="1"/>
  <c r="M1415" i="1"/>
  <c r="M1519" i="1" s="1"/>
  <c r="M1357" i="1"/>
  <c r="M1257" i="1"/>
  <c r="M1984" i="1"/>
  <c r="K1333" i="1"/>
  <c r="L1437" i="1"/>
  <c r="G1344" i="13"/>
  <c r="J1344" i="13" s="1"/>
  <c r="J1075" i="13"/>
  <c r="J1078" i="13" s="1"/>
  <c r="G1078" i="13"/>
  <c r="G1083" i="13" s="1"/>
  <c r="G1099" i="13" s="1"/>
  <c r="G1154" i="13" s="1"/>
  <c r="O1113" i="1"/>
  <c r="M1643" i="1"/>
  <c r="O1190" i="1"/>
  <c r="N1190" i="1"/>
  <c r="L1321" i="1"/>
  <c r="L1423" i="1"/>
  <c r="G1330" i="13"/>
  <c r="J1330" i="13" s="1"/>
  <c r="K1319" i="1"/>
  <c r="M1281" i="1"/>
  <c r="M1382" i="1"/>
  <c r="K1295" i="1"/>
  <c r="L1399" i="1"/>
  <c r="G1306" i="13"/>
  <c r="J1306" i="13" s="1"/>
  <c r="L1393" i="1"/>
  <c r="G1300" i="13"/>
  <c r="J1300" i="13" s="1"/>
  <c r="K1289" i="1"/>
  <c r="K1255" i="1"/>
  <c r="L1359" i="1"/>
  <c r="G1266" i="13"/>
  <c r="J1266" i="13" s="1"/>
  <c r="L1484" i="1"/>
  <c r="G1392" i="13"/>
  <c r="J1392" i="13" s="1"/>
  <c r="K1380" i="1"/>
  <c r="L1366" i="1"/>
  <c r="G1273" i="13"/>
  <c r="J1273" i="13" s="1"/>
  <c r="K1262" i="1"/>
  <c r="L1365" i="1"/>
  <c r="G1272" i="13"/>
  <c r="J1272" i="13" s="1"/>
  <c r="K1261" i="1"/>
  <c r="G1349" i="13"/>
  <c r="L1442" i="1"/>
  <c r="K1338" i="1"/>
  <c r="L1343" i="1"/>
  <c r="L1317" i="1"/>
  <c r="L1322" i="1" s="1"/>
  <c r="L1418" i="1"/>
  <c r="G1325" i="13"/>
  <c r="K1314" i="1"/>
  <c r="N1216" i="1"/>
  <c r="O1216" i="1"/>
  <c r="M1299" i="1"/>
  <c r="M1204" i="1"/>
  <c r="M1466" i="1"/>
  <c r="M1369" i="1"/>
  <c r="L1422" i="1"/>
  <c r="G1329" i="13"/>
  <c r="K1318" i="1"/>
  <c r="J1241" i="13"/>
  <c r="J1243" i="13" s="1"/>
  <c r="G1243" i="13"/>
  <c r="N604" i="17"/>
  <c r="M604" i="17"/>
  <c r="M1287" i="1"/>
  <c r="M1387" i="1"/>
  <c r="O1283" i="1"/>
  <c r="L1410" i="1"/>
  <c r="G1317" i="13"/>
  <c r="J1317" i="13" s="1"/>
  <c r="K1306" i="1"/>
  <c r="O1306" i="1" s="1"/>
  <c r="M1479" i="1"/>
  <c r="L1444" i="1"/>
  <c r="G1351" i="13"/>
  <c r="J1351" i="13" s="1"/>
  <c r="K1340" i="1"/>
  <c r="J1250" i="13"/>
  <c r="J1253" i="13" s="1"/>
  <c r="G1253" i="13"/>
  <c r="F1014" i="16"/>
  <c r="I932" i="16"/>
  <c r="K1264" i="1"/>
  <c r="L1368" i="1"/>
  <c r="G1275" i="13"/>
  <c r="J1275" i="13" s="1"/>
  <c r="N1222" i="1"/>
  <c r="K1225" i="1"/>
  <c r="N1184" i="1"/>
  <c r="L998" i="17"/>
  <c r="L1363" i="1"/>
  <c r="K1259" i="1"/>
  <c r="G1270" i="13"/>
  <c r="J1270" i="13" s="1"/>
  <c r="J1205" i="13"/>
  <c r="G1214" i="13"/>
  <c r="G1219" i="13" s="1"/>
  <c r="N1162" i="1"/>
  <c r="K1169" i="1"/>
  <c r="N1169" i="1" s="1"/>
  <c r="G1009" i="13"/>
  <c r="Q626" i="17"/>
  <c r="Q627" i="17" s="1"/>
  <c r="N629" i="17"/>
  <c r="Q609" i="17"/>
  <c r="L913" i="17"/>
  <c r="N509" i="17"/>
  <c r="O1228" i="1"/>
  <c r="N1228" i="1"/>
  <c r="O1215" i="1"/>
  <c r="N1215" i="1"/>
  <c r="L1141" i="17"/>
  <c r="L1201" i="17" s="1"/>
  <c r="N1182" i="1"/>
  <c r="O1182" i="1"/>
  <c r="L1408" i="1"/>
  <c r="G1315" i="13"/>
  <c r="J1315" i="13" s="1"/>
  <c r="K1304" i="1"/>
  <c r="O1304" i="1" s="1"/>
  <c r="O1104" i="1"/>
  <c r="K1301" i="1"/>
  <c r="O1301" i="1" s="1"/>
  <c r="L1405" i="1"/>
  <c r="G1312" i="13"/>
  <c r="J1312" i="13" s="1"/>
  <c r="O1235" i="1"/>
  <c r="M1273" i="1"/>
  <c r="M1370" i="1"/>
  <c r="O1126" i="1"/>
  <c r="N1168" i="1"/>
  <c r="O1168" i="1"/>
  <c r="M1692" i="1"/>
  <c r="J1244" i="13"/>
  <c r="J1249" i="13" s="1"/>
  <c r="G1249" i="13"/>
  <c r="J1184" i="13"/>
  <c r="J1187" i="13" s="1"/>
  <c r="G1187" i="13"/>
  <c r="G1163" i="13"/>
  <c r="J1159" i="13"/>
  <c r="J1163" i="13" s="1"/>
  <c r="L1218" i="1"/>
  <c r="L1360" i="1"/>
  <c r="G1267" i="13"/>
  <c r="J1267" i="13" s="1"/>
  <c r="K1256" i="1"/>
  <c r="M1573" i="1"/>
  <c r="L1449" i="1"/>
  <c r="G1356" i="13"/>
  <c r="J1356" i="13" s="1"/>
  <c r="K1345" i="1"/>
  <c r="M1274" i="1"/>
  <c r="M1173" i="1"/>
  <c r="M1178" i="1" s="1"/>
  <c r="M1723" i="1"/>
  <c r="M1827" i="1" s="1"/>
  <c r="K1217" i="1"/>
  <c r="N1217" i="1" s="1"/>
  <c r="N1214" i="1"/>
  <c r="M1467" i="1"/>
  <c r="N1223" i="1"/>
  <c r="O1223" i="1"/>
  <c r="L1443" i="1"/>
  <c r="K1339" i="1"/>
  <c r="G1350" i="13"/>
  <c r="J1350" i="13" s="1"/>
  <c r="M1193" i="1"/>
  <c r="N1175" i="1"/>
  <c r="O1175" i="1"/>
  <c r="M1329" i="1"/>
  <c r="M1430" i="1"/>
  <c r="J1236" i="13"/>
  <c r="J1240" i="13" s="1"/>
  <c r="G1240" i="13"/>
  <c r="L1435" i="1"/>
  <c r="K1331" i="1"/>
  <c r="G1342" i="13"/>
  <c r="J1342" i="13" s="1"/>
  <c r="O1139" i="1"/>
  <c r="O1212" i="1"/>
  <c r="N1212" i="1"/>
  <c r="L1090" i="1"/>
  <c r="L1145" i="1" s="1"/>
  <c r="M1581" i="1"/>
  <c r="N1179" i="1"/>
  <c r="K1183" i="1"/>
  <c r="G1152" i="13"/>
  <c r="G1153" i="13" s="1"/>
  <c r="J1097" i="13"/>
  <c r="J1098" i="13" s="1"/>
  <c r="M1679" i="1"/>
  <c r="M1347" i="1"/>
  <c r="M1448" i="1"/>
  <c r="O1142" i="1"/>
  <c r="K1254" i="1"/>
  <c r="N1254" i="1" s="1"/>
  <c r="L1358" i="1"/>
  <c r="G1265" i="13"/>
  <c r="J1265" i="13" s="1"/>
  <c r="L1396" i="1"/>
  <c r="G1303" i="13"/>
  <c r="J1303" i="13" s="1"/>
  <c r="K1292" i="1"/>
  <c r="J1164" i="13"/>
  <c r="J1171" i="13" s="1"/>
  <c r="G1171" i="13"/>
  <c r="K1284" i="1"/>
  <c r="L1388" i="1"/>
  <c r="G1295" i="13"/>
  <c r="J1295" i="13" s="1"/>
  <c r="N1224" i="1"/>
  <c r="O1224" i="1"/>
  <c r="N1237" i="1"/>
  <c r="O1237" i="1"/>
  <c r="N1240" i="1"/>
  <c r="K1243" i="1"/>
  <c r="N1243" i="1" s="1"/>
  <c r="N1219" i="1"/>
  <c r="O1219" i="1"/>
  <c r="M1247" i="1"/>
  <c r="O1239" i="1"/>
  <c r="O1150" i="1"/>
  <c r="N1205" i="1"/>
  <c r="K1208" i="1"/>
  <c r="N1208" i="1" s="1"/>
  <c r="O1079" i="1"/>
  <c r="L1247" i="1"/>
  <c r="L1248" i="1" s="1"/>
  <c r="O1129" i="1"/>
  <c r="J1194" i="13"/>
  <c r="L1209" i="1"/>
  <c r="L1220" i="1" s="1"/>
  <c r="L1221" i="1" s="1"/>
  <c r="M1492" i="1"/>
  <c r="G1123" i="13"/>
  <c r="G1125" i="13" s="1"/>
  <c r="G1126" i="13" s="1"/>
  <c r="L1404" i="1"/>
  <c r="K1300" i="1"/>
  <c r="G1311" i="13"/>
  <c r="J1311" i="13" s="1"/>
  <c r="J1172" i="13"/>
  <c r="J1179" i="13" s="1"/>
  <c r="G1179" i="13"/>
  <c r="O1208" i="1"/>
  <c r="L1389" i="1"/>
  <c r="G1296" i="13"/>
  <c r="J1296" i="13" s="1"/>
  <c r="K1285" i="1"/>
  <c r="L909" i="17"/>
  <c r="L992" i="17"/>
  <c r="L1436" i="1"/>
  <c r="G1343" i="13"/>
  <c r="J1343" i="13" s="1"/>
  <c r="K1332" i="1"/>
  <c r="O1244" i="1"/>
  <c r="N1244" i="1"/>
  <c r="K1246" i="1"/>
  <c r="N1246" i="1" s="1"/>
  <c r="L1397" i="1"/>
  <c r="G1304" i="13"/>
  <c r="J1304" i="13" s="1"/>
  <c r="K1293" i="1"/>
  <c r="N1293" i="1" s="1"/>
  <c r="L1372" i="1"/>
  <c r="K1268" i="1"/>
  <c r="G1279" i="13"/>
  <c r="J1279" i="13" s="1"/>
  <c r="M1547" i="1"/>
  <c r="O1169" i="1"/>
  <c r="K1305" i="1"/>
  <c r="O1305" i="1" s="1"/>
  <c r="L1409" i="1"/>
  <c r="G1316" i="13"/>
  <c r="J1316" i="13" s="1"/>
  <c r="M1648" i="1"/>
  <c r="O1177" i="1"/>
  <c r="K1280" i="1"/>
  <c r="N1280" i="1" s="1"/>
  <c r="L1384" i="1"/>
  <c r="G1291" i="13"/>
  <c r="J1291" i="13" s="1"/>
  <c r="K1311" i="1"/>
  <c r="N1311" i="1" s="1"/>
  <c r="L1415" i="1"/>
  <c r="G1322" i="13"/>
  <c r="J1322" i="13" s="1"/>
  <c r="N1191" i="1"/>
  <c r="O1191" i="1"/>
  <c r="N1185" i="1"/>
  <c r="O1185" i="1"/>
  <c r="K1310" i="1"/>
  <c r="L1414" i="1"/>
  <c r="G1321" i="13"/>
  <c r="J1321" i="13" s="1"/>
  <c r="N1121" i="1"/>
  <c r="K1143" i="1"/>
  <c r="N1211" i="1"/>
  <c r="O1211" i="1"/>
  <c r="M1814" i="1"/>
  <c r="K1260" i="1"/>
  <c r="N1260" i="1" s="1"/>
  <c r="L1364" i="1"/>
  <c r="G1271" i="13"/>
  <c r="J1271" i="13" s="1"/>
  <c r="L1291" i="1"/>
  <c r="G1197" i="13"/>
  <c r="J1197" i="13" s="1"/>
  <c r="K1187" i="1"/>
  <c r="O1158" i="1"/>
  <c r="N1158" i="1"/>
  <c r="L1373" i="1"/>
  <c r="K1269" i="1"/>
  <c r="G1280" i="13"/>
  <c r="J1280" i="13" s="1"/>
  <c r="L1406" i="1"/>
  <c r="G1313" i="13"/>
  <c r="J1313" i="13" s="1"/>
  <c r="K1302" i="1"/>
  <c r="O1302" i="1" s="1"/>
  <c r="N1234" i="1"/>
  <c r="K1239" i="1"/>
  <c r="N1239" i="1" s="1"/>
  <c r="M1644" i="1"/>
  <c r="L1281" i="1"/>
  <c r="L1382" i="1"/>
  <c r="G1289" i="13"/>
  <c r="K1278" i="1"/>
  <c r="L1257" i="1"/>
  <c r="L1357" i="1"/>
  <c r="K1253" i="1"/>
  <c r="G1264" i="13"/>
  <c r="J1220" i="13"/>
  <c r="J1223" i="13" s="1"/>
  <c r="G1223" i="13"/>
  <c r="K1270" i="1"/>
  <c r="L1374" i="1"/>
  <c r="G1281" i="13"/>
  <c r="J1281" i="13" s="1"/>
  <c r="K1320" i="1"/>
  <c r="L1424" i="1"/>
  <c r="G1331" i="13"/>
  <c r="J1331" i="13" s="1"/>
  <c r="M1105" i="1"/>
  <c r="O1100" i="1"/>
  <c r="N1241" i="1"/>
  <c r="O1241" i="1"/>
  <c r="M1265" i="1"/>
  <c r="J1224" i="13"/>
  <c r="J1227" i="13" s="1"/>
  <c r="G1227" i="13"/>
  <c r="O1245" i="1"/>
  <c r="N1245" i="1"/>
  <c r="K1233" i="1"/>
  <c r="N1233" i="1" s="1"/>
  <c r="N1231" i="1"/>
  <c r="M1584" i="1"/>
  <c r="O1225" i="1"/>
  <c r="L1434" i="1"/>
  <c r="G1341" i="13"/>
  <c r="L1334" i="1"/>
  <c r="K1330" i="1"/>
  <c r="K1271" i="1"/>
  <c r="L1375" i="1"/>
  <c r="G1282" i="13"/>
  <c r="J1282" i="13" s="1"/>
  <c r="N1227" i="1"/>
  <c r="O1227" i="1"/>
  <c r="M1478" i="1"/>
  <c r="M1582" i="1" s="1"/>
  <c r="M1990" i="1"/>
  <c r="L1040" i="17"/>
  <c r="L1004" i="17"/>
  <c r="M1218" i="1"/>
  <c r="L1420" i="1"/>
  <c r="G1327" i="13"/>
  <c r="J1327" i="13" s="1"/>
  <c r="K1316" i="1"/>
  <c r="O1156" i="1"/>
  <c r="J1214" i="13"/>
  <c r="M1604" i="1"/>
  <c r="L1193" i="1"/>
  <c r="L1194" i="1" s="1"/>
  <c r="L1362" i="1"/>
  <c r="L1265" i="1"/>
  <c r="K1258" i="1"/>
  <c r="G1269" i="13"/>
  <c r="O1236" i="1"/>
  <c r="N1236" i="1"/>
  <c r="K1328" i="1"/>
  <c r="L1432" i="1"/>
  <c r="G1339" i="13"/>
  <c r="J1339" i="13" s="1"/>
  <c r="M1654" i="1"/>
  <c r="O1109" i="1"/>
  <c r="K1114" i="1"/>
  <c r="N1114" i="1" s="1"/>
  <c r="N1109" i="1"/>
  <c r="L1445" i="1"/>
  <c r="G1352" i="13"/>
  <c r="J1352" i="13" s="1"/>
  <c r="K1341" i="1"/>
  <c r="K1414" i="1"/>
  <c r="M1518" i="1"/>
  <c r="M1924" i="1"/>
  <c r="M1947" i="1"/>
  <c r="O1189" i="1"/>
  <c r="O1184" i="1"/>
  <c r="M1343" i="1"/>
  <c r="M1442" i="1"/>
  <c r="M1567" i="1"/>
  <c r="M1358" i="1"/>
  <c r="O1254" i="1"/>
  <c r="L1413" i="1"/>
  <c r="G1320" i="13"/>
  <c r="K1309" i="1"/>
  <c r="O1309" i="1" s="1"/>
  <c r="L1312" i="1"/>
  <c r="O1089" i="1"/>
  <c r="J1232" i="13"/>
  <c r="J1235" i="13" s="1"/>
  <c r="G1235" i="13"/>
  <c r="O1214" i="1"/>
  <c r="J1152" i="13"/>
  <c r="J1153" i="13" s="1"/>
  <c r="L1392" i="1"/>
  <c r="K1288" i="1"/>
  <c r="G1299" i="13"/>
  <c r="L1296" i="1"/>
  <c r="M1597" i="1"/>
  <c r="N1232" i="1"/>
  <c r="O1232" i="1"/>
  <c r="K1267" i="1"/>
  <c r="N1267" i="1" s="1"/>
  <c r="L1371" i="1"/>
  <c r="G1278" i="13"/>
  <c r="J1278" i="13" s="1"/>
  <c r="K1195" i="1"/>
  <c r="M1657" i="1"/>
  <c r="J1123" i="13"/>
  <c r="J1125" i="13" s="1"/>
  <c r="J1126" i="13" s="1"/>
  <c r="L1273" i="1"/>
  <c r="L1370" i="1"/>
  <c r="G1277" i="13"/>
  <c r="K1266" i="1"/>
  <c r="K1307" i="1"/>
  <c r="L1411" i="1"/>
  <c r="G1318" i="13"/>
  <c r="J1318" i="13" s="1"/>
  <c r="O1153" i="1"/>
  <c r="M1757" i="1"/>
  <c r="M1861" i="1" s="1"/>
  <c r="O1088" i="1"/>
  <c r="N1229" i="1"/>
  <c r="O1229" i="1"/>
  <c r="O1186" i="1"/>
  <c r="N1186" i="1"/>
  <c r="L1274" i="1"/>
  <c r="G1180" i="13"/>
  <c r="K1170" i="1"/>
  <c r="L1173" i="1"/>
  <c r="L1178" i="1" s="1"/>
  <c r="K1105" i="1"/>
  <c r="N1100" i="1"/>
  <c r="I861" i="16"/>
  <c r="I984" i="16"/>
  <c r="F1066" i="16"/>
  <c r="F1007" i="16"/>
  <c r="I925" i="16"/>
  <c r="I924" i="16"/>
  <c r="F1006" i="16"/>
  <c r="F1033" i="16"/>
  <c r="I951" i="16"/>
  <c r="F1068" i="16"/>
  <c r="I986" i="16"/>
  <c r="I961" i="16"/>
  <c r="F1043" i="16"/>
  <c r="I957" i="16"/>
  <c r="F1039" i="16"/>
  <c r="F1072" i="16"/>
  <c r="I990" i="16"/>
  <c r="I865" i="16"/>
  <c r="I938" i="16"/>
  <c r="F1020" i="16"/>
  <c r="F1004" i="16"/>
  <c r="I922" i="16"/>
  <c r="I965" i="16"/>
  <c r="F1047" i="16"/>
  <c r="I976" i="16"/>
  <c r="F1058" i="16"/>
  <c r="I935" i="16"/>
  <c r="F1017" i="16"/>
  <c r="I954" i="16"/>
  <c r="F1036" i="16"/>
  <c r="F1038" i="16"/>
  <c r="I956" i="16"/>
  <c r="F1015" i="16"/>
  <c r="I933" i="16"/>
  <c r="I942" i="16"/>
  <c r="F1024" i="16"/>
  <c r="I934" i="16"/>
  <c r="F1016" i="16"/>
  <c r="I923" i="16"/>
  <c r="F1005" i="16"/>
  <c r="F1050" i="16"/>
  <c r="I968" i="16"/>
  <c r="I920" i="16"/>
  <c r="F1002" i="16"/>
  <c r="I888" i="16"/>
  <c r="I987" i="16"/>
  <c r="F1069" i="16"/>
  <c r="F1026" i="16"/>
  <c r="I944" i="16"/>
  <c r="I981" i="16"/>
  <c r="F1063" i="16"/>
  <c r="I940" i="16"/>
  <c r="F1022" i="16"/>
  <c r="I974" i="16"/>
  <c r="F1056" i="16"/>
  <c r="F1023" i="16"/>
  <c r="I941" i="16"/>
  <c r="I849" i="16"/>
  <c r="I867" i="16" s="1"/>
  <c r="I977" i="16"/>
  <c r="F1059" i="16"/>
  <c r="I980" i="16"/>
  <c r="F1062" i="16"/>
  <c r="F1055" i="16"/>
  <c r="I973" i="16"/>
  <c r="F1049" i="16"/>
  <c r="I967" i="16"/>
  <c r="I972" i="16"/>
  <c r="F1054" i="16"/>
  <c r="I971" i="16"/>
  <c r="F1053" i="16"/>
  <c r="I989" i="16"/>
  <c r="F1071" i="16"/>
  <c r="I958" i="16"/>
  <c r="F1040" i="16"/>
  <c r="I962" i="16"/>
  <c r="F1044" i="16"/>
  <c r="F1045" i="16"/>
  <c r="I963" i="16"/>
  <c r="F1034" i="16"/>
  <c r="I952" i="16"/>
  <c r="I969" i="16"/>
  <c r="F1051" i="16"/>
  <c r="I785" i="16"/>
  <c r="I830" i="16" s="1"/>
  <c r="F1061" i="16"/>
  <c r="I979" i="16"/>
  <c r="F1012" i="16"/>
  <c r="I930" i="16"/>
  <c r="I964" i="16"/>
  <c r="F1046" i="16"/>
  <c r="F1060" i="16"/>
  <c r="I978" i="16"/>
  <c r="I953" i="16"/>
  <c r="F1035" i="16"/>
  <c r="I919" i="16"/>
  <c r="F1001" i="16"/>
  <c r="I939" i="16"/>
  <c r="F1021" i="16"/>
  <c r="I927" i="16"/>
  <c r="F1009" i="16"/>
  <c r="F1064" i="16"/>
  <c r="I982" i="16"/>
  <c r="F1008" i="16"/>
  <c r="I926" i="16"/>
  <c r="I909" i="16"/>
  <c r="I945" i="16"/>
  <c r="F1027" i="16"/>
  <c r="F1065" i="16"/>
  <c r="I983" i="16"/>
  <c r="F1057" i="16"/>
  <c r="I975" i="16"/>
  <c r="I988" i="16"/>
  <c r="F1070" i="16"/>
  <c r="F1003" i="16"/>
  <c r="I921" i="16"/>
  <c r="F1041" i="16"/>
  <c r="I959" i="16"/>
  <c r="F1037" i="16"/>
  <c r="I955" i="16"/>
  <c r="I950" i="16"/>
  <c r="F1032" i="16"/>
  <c r="F1018" i="16"/>
  <c r="I936" i="16"/>
  <c r="F1019" i="16"/>
  <c r="I937" i="16"/>
  <c r="I946" i="16"/>
  <c r="F1028" i="16"/>
  <c r="I985" i="16"/>
  <c r="F1067" i="16"/>
  <c r="I966" i="16"/>
  <c r="F1048" i="16"/>
  <c r="I928" i="16"/>
  <c r="F1010" i="16"/>
  <c r="F1011" i="16"/>
  <c r="I929" i="16"/>
  <c r="F1042" i="16"/>
  <c r="I960" i="16"/>
  <c r="Q679" i="17"/>
  <c r="K738" i="17"/>
  <c r="J679" i="17"/>
  <c r="M679" i="17" s="1"/>
  <c r="K818" i="17"/>
  <c r="K878" i="17" s="1"/>
  <c r="Q758" i="17"/>
  <c r="J758" i="17"/>
  <c r="L686" i="17"/>
  <c r="L743" i="17"/>
  <c r="L717" i="17"/>
  <c r="L823" i="17"/>
  <c r="L883" i="17" s="1"/>
  <c r="L820" i="17"/>
  <c r="L880" i="17" s="1"/>
  <c r="L940" i="17" s="1"/>
  <c r="K774" i="17"/>
  <c r="J715" i="17"/>
  <c r="M715" i="17" s="1"/>
  <c r="Q715" i="17"/>
  <c r="L747" i="17"/>
  <c r="L759" i="17"/>
  <c r="L749" i="17"/>
  <c r="Q665" i="17"/>
  <c r="K724" i="17"/>
  <c r="J665" i="17"/>
  <c r="M665" i="17" s="1"/>
  <c r="M650" i="17"/>
  <c r="N650" i="17"/>
  <c r="L754" i="17"/>
  <c r="N695" i="17"/>
  <c r="Q692" i="17"/>
  <c r="K751" i="17"/>
  <c r="J692" i="17"/>
  <c r="L740" i="17"/>
  <c r="J681" i="17"/>
  <c r="M681" i="17" s="1"/>
  <c r="K726" i="17"/>
  <c r="Q667" i="17"/>
  <c r="J667" i="17"/>
  <c r="M667" i="17" s="1"/>
  <c r="K742" i="17"/>
  <c r="Q683" i="17"/>
  <c r="J683" i="17"/>
  <c r="Q617" i="17"/>
  <c r="Q618" i="17" s="1"/>
  <c r="K747" i="17"/>
  <c r="Q688" i="17"/>
  <c r="J688" i="17"/>
  <c r="M688" i="17" s="1"/>
  <c r="N613" i="17"/>
  <c r="L627" i="17"/>
  <c r="N626" i="17"/>
  <c r="K817" i="17"/>
  <c r="K877" i="17" s="1"/>
  <c r="Q757" i="17"/>
  <c r="J757" i="17"/>
  <c r="M757" i="17" s="1"/>
  <c r="M648" i="17"/>
  <c r="N648" i="17"/>
  <c r="L732" i="17"/>
  <c r="K754" i="17"/>
  <c r="J695" i="17"/>
  <c r="M695" i="17" s="1"/>
  <c r="Q695" i="17"/>
  <c r="Q664" i="17"/>
  <c r="K668" i="17"/>
  <c r="K723" i="17"/>
  <c r="J664" i="17"/>
  <c r="N664" i="17" s="1"/>
  <c r="M638" i="17"/>
  <c r="N638" i="17"/>
  <c r="Q690" i="17"/>
  <c r="K749" i="17"/>
  <c r="J690" i="17"/>
  <c r="M690" i="17" s="1"/>
  <c r="Q708" i="17"/>
  <c r="K767" i="17"/>
  <c r="J708" i="17"/>
  <c r="J626" i="17"/>
  <c r="M626" i="17" s="1"/>
  <c r="M619" i="17"/>
  <c r="M607" i="17"/>
  <c r="N607" i="17"/>
  <c r="K731" i="17"/>
  <c r="Q672" i="17"/>
  <c r="J672" i="17"/>
  <c r="M672" i="17" s="1"/>
  <c r="N598" i="17"/>
  <c r="M598" i="17"/>
  <c r="Q700" i="17"/>
  <c r="K759" i="17"/>
  <c r="J700" i="17"/>
  <c r="M700" i="17" s="1"/>
  <c r="J599" i="17"/>
  <c r="K762" i="17"/>
  <c r="Q703" i="17"/>
  <c r="J703" i="17"/>
  <c r="M703" i="17" s="1"/>
  <c r="N620" i="17"/>
  <c r="L753" i="17"/>
  <c r="K732" i="17"/>
  <c r="J673" i="17"/>
  <c r="M673" i="17" s="1"/>
  <c r="Q673" i="17"/>
  <c r="N644" i="17"/>
  <c r="L773" i="17"/>
  <c r="M699" i="17"/>
  <c r="N699" i="17"/>
  <c r="L817" i="17"/>
  <c r="L877" i="17" s="1"/>
  <c r="N757" i="17"/>
  <c r="K725" i="17"/>
  <c r="Q666" i="17"/>
  <c r="J666" i="17"/>
  <c r="L827" i="17"/>
  <c r="L887" i="17" s="1"/>
  <c r="L728" i="17"/>
  <c r="L676" i="17"/>
  <c r="K768" i="17"/>
  <c r="Q709" i="17"/>
  <c r="J709" i="17"/>
  <c r="L618" i="17"/>
  <c r="L659" i="17" s="1"/>
  <c r="N653" i="17"/>
  <c r="M705" i="17"/>
  <c r="N705" i="17"/>
  <c r="Q763" i="17"/>
  <c r="K823" i="17"/>
  <c r="K883" i="17" s="1"/>
  <c r="J763" i="17"/>
  <c r="M763" i="17" s="1"/>
  <c r="K770" i="17"/>
  <c r="J711" i="17"/>
  <c r="M711" i="17" s="1"/>
  <c r="Q711" i="17"/>
  <c r="Q684" i="17"/>
  <c r="K743" i="17"/>
  <c r="J684" i="17"/>
  <c r="M684" i="17" s="1"/>
  <c r="J682" i="17"/>
  <c r="K741" i="17"/>
  <c r="Q682" i="17"/>
  <c r="L826" i="17"/>
  <c r="L886" i="17" s="1"/>
  <c r="L946" i="17" s="1"/>
  <c r="L755" i="17"/>
  <c r="N610" i="17"/>
  <c r="M610" i="17"/>
  <c r="J617" i="17"/>
  <c r="M617" i="17" s="1"/>
  <c r="N710" i="17"/>
  <c r="L731" i="17"/>
  <c r="N672" i="17"/>
  <c r="J541" i="17"/>
  <c r="K765" i="17"/>
  <c r="Q706" i="17"/>
  <c r="J706" i="17"/>
  <c r="M706" i="17" s="1"/>
  <c r="N656" i="17"/>
  <c r="Q657" i="17"/>
  <c r="Q658" i="17" s="1"/>
  <c r="N652" i="17"/>
  <c r="Q691" i="17"/>
  <c r="K750" i="17"/>
  <c r="J691" i="17"/>
  <c r="K739" i="17"/>
  <c r="Q680" i="17"/>
  <c r="J680" i="17"/>
  <c r="M680" i="17" s="1"/>
  <c r="M616" i="17"/>
  <c r="N616" i="17"/>
  <c r="N619" i="17"/>
  <c r="M634" i="17"/>
  <c r="N634" i="17"/>
  <c r="J568" i="17"/>
  <c r="M568" i="17" s="1"/>
  <c r="N643" i="17"/>
  <c r="K756" i="17"/>
  <c r="Q697" i="17"/>
  <c r="J697" i="17"/>
  <c r="Q674" i="17"/>
  <c r="K733" i="17"/>
  <c r="J674" i="17"/>
  <c r="M674" i="17" s="1"/>
  <c r="K730" i="17"/>
  <c r="Q671" i="17"/>
  <c r="J671" i="17"/>
  <c r="Q712" i="17"/>
  <c r="K771" i="17"/>
  <c r="J712" i="17"/>
  <c r="M712" i="17" s="1"/>
  <c r="M649" i="17"/>
  <c r="N649" i="17"/>
  <c r="K829" i="17"/>
  <c r="K889" i="17" s="1"/>
  <c r="Q769" i="17"/>
  <c r="J769" i="17"/>
  <c r="M769" i="17" s="1"/>
  <c r="J559" i="17"/>
  <c r="M559" i="17" s="1"/>
  <c r="M550" i="17"/>
  <c r="L810" i="17"/>
  <c r="L870" i="17" s="1"/>
  <c r="K737" i="17"/>
  <c r="J678" i="17"/>
  <c r="Q678" i="17"/>
  <c r="K685" i="17"/>
  <c r="K686" i="17" s="1"/>
  <c r="L739" i="17"/>
  <c r="L798" i="17" s="1"/>
  <c r="L858" i="17" s="1"/>
  <c r="L729" i="17"/>
  <c r="L738" i="17"/>
  <c r="N679" i="17"/>
  <c r="M612" i="17"/>
  <c r="N612" i="17"/>
  <c r="N558" i="17"/>
  <c r="L762" i="17"/>
  <c r="Q600" i="17"/>
  <c r="L801" i="17"/>
  <c r="L861" i="17" s="1"/>
  <c r="L723" i="17"/>
  <c r="L668" i="17"/>
  <c r="L771" i="17"/>
  <c r="N712" i="17"/>
  <c r="M654" i="17"/>
  <c r="N654" i="17"/>
  <c r="M642" i="17"/>
  <c r="N642" i="17"/>
  <c r="L733" i="17"/>
  <c r="N674" i="17"/>
  <c r="K746" i="17"/>
  <c r="Q687" i="17"/>
  <c r="J687" i="17"/>
  <c r="M687" i="17" s="1"/>
  <c r="K716" i="17"/>
  <c r="K717" i="17" s="1"/>
  <c r="N623" i="17"/>
  <c r="J627" i="17"/>
  <c r="M627" i="17" s="1"/>
  <c r="M624" i="17"/>
  <c r="N624" i="17"/>
  <c r="N606" i="17"/>
  <c r="L829" i="17"/>
  <c r="L889" i="17" s="1"/>
  <c r="N769" i="17"/>
  <c r="L765" i="17"/>
  <c r="N550" i="17"/>
  <c r="N628" i="17"/>
  <c r="L774" i="17"/>
  <c r="N715" i="17"/>
  <c r="M630" i="17"/>
  <c r="N630" i="17"/>
  <c r="L770" i="17"/>
  <c r="N711" i="17"/>
  <c r="N608" i="17"/>
  <c r="K734" i="17"/>
  <c r="Q675" i="17"/>
  <c r="J675" i="17"/>
  <c r="L737" i="17"/>
  <c r="N678" i="17"/>
  <c r="K766" i="17"/>
  <c r="J707" i="17"/>
  <c r="Q707" i="17"/>
  <c r="Q696" i="17"/>
  <c r="K755" i="17"/>
  <c r="J696" i="17"/>
  <c r="M696" i="17" s="1"/>
  <c r="K752" i="17"/>
  <c r="Q693" i="17"/>
  <c r="J693" i="17"/>
  <c r="M605" i="17"/>
  <c r="J609" i="17"/>
  <c r="N609" i="17" s="1"/>
  <c r="L807" i="17"/>
  <c r="L867" i="17" s="1"/>
  <c r="L761" i="17"/>
  <c r="J694" i="17"/>
  <c r="M694" i="17" s="1"/>
  <c r="K753" i="17"/>
  <c r="Q694" i="17"/>
  <c r="N633" i="17"/>
  <c r="M633" i="17"/>
  <c r="J657" i="17"/>
  <c r="K772" i="17"/>
  <c r="Q713" i="17"/>
  <c r="J713" i="17"/>
  <c r="K824" i="17"/>
  <c r="K884" i="17" s="1"/>
  <c r="Q764" i="17"/>
  <c r="J764" i="17"/>
  <c r="Q701" i="17"/>
  <c r="K760" i="17"/>
  <c r="J701" i="17"/>
  <c r="K761" i="17"/>
  <c r="Q702" i="17"/>
  <c r="J702" i="17"/>
  <c r="M702" i="17" s="1"/>
  <c r="L724" i="17"/>
  <c r="J714" i="17"/>
  <c r="M714" i="17" s="1"/>
  <c r="K773" i="17"/>
  <c r="Q714" i="17"/>
  <c r="K728" i="17"/>
  <c r="K676" i="17"/>
  <c r="Q669" i="17"/>
  <c r="J669" i="17"/>
  <c r="N669" i="17" s="1"/>
  <c r="N559" i="17"/>
  <c r="L746" i="17"/>
  <c r="L805" i="17" s="1"/>
  <c r="L865" i="17" s="1"/>
  <c r="Q670" i="17"/>
  <c r="K729" i="17"/>
  <c r="J670" i="17"/>
  <c r="M670" i="17" s="1"/>
  <c r="K748" i="17"/>
  <c r="J689" i="17"/>
  <c r="Q689" i="17"/>
  <c r="N500" i="17"/>
  <c r="L726" i="17"/>
  <c r="N614" i="17"/>
  <c r="M482" i="17"/>
  <c r="N482" i="17"/>
  <c r="K618" i="17"/>
  <c r="K659" i="17" s="1"/>
  <c r="O965" i="1"/>
  <c r="G915" i="13"/>
  <c r="G916" i="13" s="1"/>
  <c r="G944" i="13" s="1"/>
  <c r="O1009" i="1"/>
  <c r="L1012" i="1"/>
  <c r="L1013" i="1" s="1"/>
  <c r="O961" i="1"/>
  <c r="J915" i="13"/>
  <c r="J916" i="13" s="1"/>
  <c r="J993" i="13"/>
  <c r="J889" i="13"/>
  <c r="G993" i="13"/>
  <c r="J1009" i="13"/>
  <c r="G889" i="13"/>
  <c r="G978" i="13"/>
  <c r="O935" i="1"/>
  <c r="O936" i="1" s="1"/>
  <c r="K936" i="1"/>
  <c r="N935" i="1"/>
  <c r="N936" i="1" s="1"/>
  <c r="N1017" i="1"/>
  <c r="K1039" i="1"/>
  <c r="N996" i="1"/>
  <c r="K1001" i="1"/>
  <c r="O996" i="1"/>
  <c r="J1018" i="13"/>
  <c r="J978" i="13"/>
  <c r="N975" i="1"/>
  <c r="K985" i="1"/>
  <c r="N985" i="1" s="1"/>
  <c r="O1031" i="1"/>
  <c r="O906" i="1"/>
  <c r="O1017" i="1"/>
  <c r="G1018" i="13"/>
  <c r="G1020" i="13" s="1"/>
  <c r="G1021" i="13" s="1"/>
  <c r="O984" i="1"/>
  <c r="M909" i="1"/>
  <c r="M937" i="1" s="1"/>
  <c r="J1047" i="13"/>
  <c r="J1048" i="13" s="1"/>
  <c r="N953" i="1"/>
  <c r="O953" i="1"/>
  <c r="O779" i="1"/>
  <c r="O805" i="1"/>
  <c r="O806" i="1" s="1"/>
  <c r="N805" i="1"/>
  <c r="N806" i="1" s="1"/>
  <c r="K806" i="1"/>
  <c r="K834" i="1" s="1"/>
  <c r="N834" i="1" s="1"/>
  <c r="O866" i="1"/>
  <c r="K882" i="1"/>
  <c r="N866" i="1"/>
  <c r="O945" i="1"/>
  <c r="N945" i="1"/>
  <c r="K970" i="1"/>
  <c r="K908" i="1"/>
  <c r="O908" i="1" s="1"/>
  <c r="O909" i="1" s="1"/>
  <c r="N897" i="1"/>
  <c r="O834" i="1"/>
  <c r="O975" i="1"/>
  <c r="N1000" i="1"/>
  <c r="O1000" i="1"/>
  <c r="N1022" i="1"/>
  <c r="O1022" i="1"/>
  <c r="N881" i="1"/>
  <c r="O881" i="1"/>
  <c r="N1005" i="1"/>
  <c r="K1010" i="1"/>
  <c r="O1010" i="1" s="1"/>
  <c r="M1013" i="1"/>
  <c r="O731" i="1"/>
  <c r="O1038" i="1"/>
  <c r="L986" i="1"/>
  <c r="L1041" i="1" s="1"/>
  <c r="O1025" i="1"/>
  <c r="M986" i="1"/>
  <c r="O985" i="1"/>
  <c r="G1047" i="13"/>
  <c r="G1048" i="13" s="1"/>
  <c r="K19" i="14"/>
  <c r="O19" i="14" s="1"/>
  <c r="N19" i="14" s="1"/>
  <c r="C21" i="14"/>
  <c r="O73" i="1"/>
  <c r="N73" i="1"/>
  <c r="K84" i="1"/>
  <c r="K20" i="14"/>
  <c r="M20" i="14" s="1"/>
  <c r="O13" i="14"/>
  <c r="N13" i="14" s="1"/>
  <c r="M13" i="14"/>
  <c r="O16" i="14"/>
  <c r="N16" i="14" s="1"/>
  <c r="M16" i="14"/>
  <c r="O22" i="14"/>
  <c r="N22" i="14" s="1"/>
  <c r="M22" i="14"/>
  <c r="O26" i="14"/>
  <c r="N26" i="14" s="1"/>
  <c r="M26" i="14"/>
  <c r="O17" i="14"/>
  <c r="N17" i="14" s="1"/>
  <c r="M17" i="14"/>
  <c r="M23" i="14"/>
  <c r="O23" i="14"/>
  <c r="N23" i="14" s="1"/>
  <c r="O15" i="14"/>
  <c r="N15" i="14" s="1"/>
  <c r="M15" i="14"/>
  <c r="O21" i="14"/>
  <c r="M21" i="14"/>
  <c r="O25" i="14"/>
  <c r="N25" i="14" s="1"/>
  <c r="M25" i="14"/>
  <c r="M27" i="14"/>
  <c r="O27" i="14"/>
  <c r="N27" i="14" s="1"/>
  <c r="O14" i="14"/>
  <c r="N14" i="14" s="1"/>
  <c r="M14" i="14"/>
  <c r="O18" i="14"/>
  <c r="N18" i="14" s="1"/>
  <c r="M18" i="14"/>
  <c r="M24" i="14"/>
  <c r="O24" i="14"/>
  <c r="N24" i="14" s="1"/>
  <c r="M28" i="14"/>
  <c r="O28" i="14"/>
  <c r="N28" i="14" s="1"/>
  <c r="M1194" i="1" l="1"/>
  <c r="K944" i="17"/>
  <c r="Q884" i="17"/>
  <c r="J884" i="17"/>
  <c r="L949" i="17"/>
  <c r="J877" i="17"/>
  <c r="M877" i="17" s="1"/>
  <c r="K937" i="17"/>
  <c r="Q877" i="17"/>
  <c r="N1105" i="1"/>
  <c r="K1116" i="1"/>
  <c r="L1378" i="1"/>
  <c r="G1285" i="13"/>
  <c r="L1277" i="1"/>
  <c r="K1274" i="1"/>
  <c r="N1307" i="1"/>
  <c r="O1307" i="1"/>
  <c r="N1195" i="1"/>
  <c r="K1204" i="1"/>
  <c r="L1517" i="1"/>
  <c r="G1425" i="13"/>
  <c r="L1416" i="1"/>
  <c r="K1413" i="1"/>
  <c r="M1671" i="1"/>
  <c r="M2028" i="1"/>
  <c r="L1536" i="1"/>
  <c r="G1444" i="13"/>
  <c r="J1444" i="13" s="1"/>
  <c r="K1432" i="1"/>
  <c r="J1269" i="13"/>
  <c r="G1276" i="13"/>
  <c r="L1100" i="17"/>
  <c r="M1686" i="1"/>
  <c r="K1375" i="1"/>
  <c r="L1479" i="1"/>
  <c r="G1387" i="13"/>
  <c r="J1387" i="13" s="1"/>
  <c r="J1341" i="13"/>
  <c r="G1345" i="13"/>
  <c r="M1688" i="1"/>
  <c r="M1792" i="1" s="1"/>
  <c r="L1478" i="1"/>
  <c r="G1386" i="13"/>
  <c r="J1386" i="13" s="1"/>
  <c r="K1374" i="1"/>
  <c r="G1268" i="13"/>
  <c r="J1264" i="13"/>
  <c r="J1268" i="13" s="1"/>
  <c r="K1281" i="1"/>
  <c r="N1281" i="1" s="1"/>
  <c r="N1278" i="1"/>
  <c r="O1269" i="1"/>
  <c r="N1269" i="1"/>
  <c r="M1752" i="1"/>
  <c r="M1856" i="1" s="1"/>
  <c r="O1285" i="1"/>
  <c r="N1285" i="1"/>
  <c r="L1249" i="1"/>
  <c r="O1340" i="1"/>
  <c r="N1340" i="1"/>
  <c r="K1410" i="1"/>
  <c r="O1410" i="1" s="1"/>
  <c r="L1514" i="1"/>
  <c r="G1422" i="13"/>
  <c r="J1422" i="13" s="1"/>
  <c r="M1570" i="1"/>
  <c r="G1348" i="13"/>
  <c r="J1346" i="13"/>
  <c r="J1348" i="13" s="1"/>
  <c r="O1344" i="1"/>
  <c r="N1344" i="1"/>
  <c r="K1347" i="1"/>
  <c r="N1347" i="1" s="1"/>
  <c r="N1161" i="1"/>
  <c r="O1161" i="1"/>
  <c r="M1731" i="1"/>
  <c r="M1607" i="1"/>
  <c r="M1711" i="1" s="1"/>
  <c r="N1335" i="1"/>
  <c r="K1337" i="1"/>
  <c r="N1337" i="1" s="1"/>
  <c r="M1475" i="1"/>
  <c r="K799" i="17"/>
  <c r="Q740" i="17"/>
  <c r="K1398" i="1"/>
  <c r="L1502" i="1"/>
  <c r="G1410" i="13"/>
  <c r="J1410" i="13" s="1"/>
  <c r="L1056" i="17"/>
  <c r="J1099" i="13"/>
  <c r="J1154" i="13" s="1"/>
  <c r="K1407" i="1"/>
  <c r="O1407" i="1" s="1"/>
  <c r="L1511" i="1"/>
  <c r="G1419" i="13"/>
  <c r="J1419" i="13" s="1"/>
  <c r="J1020" i="13"/>
  <c r="J1021" i="13" s="1"/>
  <c r="N706" i="17"/>
  <c r="L921" i="17"/>
  <c r="K949" i="17"/>
  <c r="J889" i="17"/>
  <c r="M889" i="17" s="1"/>
  <c r="Q889" i="17"/>
  <c r="L947" i="17"/>
  <c r="N700" i="17"/>
  <c r="L943" i="17"/>
  <c r="K1273" i="1"/>
  <c r="N1273" i="1" s="1"/>
  <c r="N1266" i="1"/>
  <c r="J1299" i="13"/>
  <c r="M1546" i="1"/>
  <c r="M1447" i="1"/>
  <c r="M1622" i="1"/>
  <c r="L1549" i="1"/>
  <c r="G1457" i="13"/>
  <c r="J1457" i="13" s="1"/>
  <c r="K1445" i="1"/>
  <c r="N1328" i="1"/>
  <c r="O1328" i="1"/>
  <c r="O1258" i="1"/>
  <c r="N1258" i="1"/>
  <c r="K1265" i="1"/>
  <c r="N1265" i="1" s="1"/>
  <c r="O1316" i="1"/>
  <c r="N1316" i="1"/>
  <c r="N1271" i="1"/>
  <c r="O1271" i="1"/>
  <c r="L1538" i="1"/>
  <c r="G1446" i="13"/>
  <c r="K1434" i="1"/>
  <c r="L1528" i="1"/>
  <c r="G1436" i="13"/>
  <c r="J1436" i="13" s="1"/>
  <c r="K1424" i="1"/>
  <c r="N1270" i="1"/>
  <c r="O1270" i="1"/>
  <c r="O1253" i="1"/>
  <c r="K1257" i="1"/>
  <c r="N1253" i="1"/>
  <c r="J1289" i="13"/>
  <c r="J1292" i="13" s="1"/>
  <c r="G1292" i="13"/>
  <c r="M1748" i="1"/>
  <c r="K1373" i="1"/>
  <c r="L1477" i="1"/>
  <c r="G1385" i="13"/>
  <c r="J1385" i="13" s="1"/>
  <c r="L1519" i="1"/>
  <c r="G1427" i="13"/>
  <c r="J1427" i="13" s="1"/>
  <c r="K1415" i="1"/>
  <c r="O1268" i="1"/>
  <c r="N1268" i="1"/>
  <c r="L1501" i="1"/>
  <c r="G1409" i="13"/>
  <c r="J1409" i="13" s="1"/>
  <c r="K1397" i="1"/>
  <c r="N1397" i="1" s="1"/>
  <c r="O1332" i="1"/>
  <c r="N1332" i="1"/>
  <c r="L1052" i="17"/>
  <c r="G1202" i="13"/>
  <c r="N1284" i="1"/>
  <c r="O1284" i="1"/>
  <c r="N1183" i="1"/>
  <c r="J1345" i="13"/>
  <c r="O1339" i="1"/>
  <c r="N1339" i="1"/>
  <c r="M1277" i="1"/>
  <c r="M1378" i="1"/>
  <c r="O1274" i="1"/>
  <c r="L1464" i="1"/>
  <c r="G1372" i="13"/>
  <c r="J1372" i="13" s="1"/>
  <c r="K1360" i="1"/>
  <c r="O1273" i="1"/>
  <c r="K1408" i="1"/>
  <c r="O1408" i="1" s="1"/>
  <c r="L1512" i="1"/>
  <c r="G1420" i="13"/>
  <c r="J1420" i="13" s="1"/>
  <c r="L973" i="17"/>
  <c r="O1217" i="1"/>
  <c r="L1472" i="1"/>
  <c r="G1380" i="13"/>
  <c r="J1380" i="13" s="1"/>
  <c r="F1096" i="16"/>
  <c r="I1014" i="16"/>
  <c r="M1583" i="1"/>
  <c r="J1329" i="13"/>
  <c r="J1332" i="13" s="1"/>
  <c r="J1333" i="13" s="1"/>
  <c r="G1332" i="13"/>
  <c r="L1522" i="1"/>
  <c r="K1418" i="1"/>
  <c r="G1430" i="13"/>
  <c r="L1421" i="1"/>
  <c r="L1447" i="1"/>
  <c r="L1546" i="1"/>
  <c r="G1454" i="13"/>
  <c r="K1442" i="1"/>
  <c r="K1365" i="1"/>
  <c r="L1469" i="1"/>
  <c r="G1377" i="13"/>
  <c r="J1377" i="13" s="1"/>
  <c r="N1380" i="1"/>
  <c r="O1380" i="1"/>
  <c r="K1359" i="1"/>
  <c r="L1463" i="1"/>
  <c r="G1371" i="13"/>
  <c r="J1371" i="13" s="1"/>
  <c r="G1405" i="13"/>
  <c r="J1405" i="13" s="1"/>
  <c r="L1497" i="1"/>
  <c r="K1393" i="1"/>
  <c r="O1278" i="1"/>
  <c r="N1333" i="1"/>
  <c r="O1333" i="1"/>
  <c r="M1461" i="1"/>
  <c r="M1361" i="1"/>
  <c r="M2285" i="1"/>
  <c r="L1412" i="1"/>
  <c r="L1507" i="1"/>
  <c r="G1415" i="13"/>
  <c r="L1544" i="1"/>
  <c r="G1452" i="13"/>
  <c r="J1452" i="13" s="1"/>
  <c r="K1440" i="1"/>
  <c r="M1322" i="1"/>
  <c r="O1326" i="1"/>
  <c r="N1326" i="1"/>
  <c r="K1329" i="1"/>
  <c r="M1488" i="1"/>
  <c r="M2056" i="1"/>
  <c r="J1355" i="13"/>
  <c r="J1358" i="13" s="1"/>
  <c r="G1358" i="13"/>
  <c r="M2342" i="1"/>
  <c r="K1287" i="1"/>
  <c r="N1283" i="1"/>
  <c r="M1522" i="1"/>
  <c r="M1421" i="1"/>
  <c r="M1090" i="1"/>
  <c r="O1074" i="1"/>
  <c r="N663" i="17"/>
  <c r="M663" i="17"/>
  <c r="L1441" i="1"/>
  <c r="L1543" i="1"/>
  <c r="G1451" i="13"/>
  <c r="K1439" i="1"/>
  <c r="N1349" i="1"/>
  <c r="O1349" i="1"/>
  <c r="O1213" i="1"/>
  <c r="N1213" i="1"/>
  <c r="K1218" i="1"/>
  <c r="N1218" i="1" s="1"/>
  <c r="M1556" i="1"/>
  <c r="M1454" i="1"/>
  <c r="M1799" i="1"/>
  <c r="L1523" i="1"/>
  <c r="G1431" i="13"/>
  <c r="J1431" i="13" s="1"/>
  <c r="K1419" i="1"/>
  <c r="O1335" i="1"/>
  <c r="M1810" i="1"/>
  <c r="M1749" i="1"/>
  <c r="M1853" i="1" s="1"/>
  <c r="N1348" i="1"/>
  <c r="K1350" i="1"/>
  <c r="N1350" i="1" s="1"/>
  <c r="N1323" i="1"/>
  <c r="O1323" i="1"/>
  <c r="G1203" i="13"/>
  <c r="L1535" i="1"/>
  <c r="G1443" i="13"/>
  <c r="J1443" i="13" s="1"/>
  <c r="K1431" i="1"/>
  <c r="K1367" i="1"/>
  <c r="L1471" i="1"/>
  <c r="G1379" i="13"/>
  <c r="J1379" i="13" s="1"/>
  <c r="M1702" i="1"/>
  <c r="L1480" i="1"/>
  <c r="G1388" i="13"/>
  <c r="J1388" i="13" s="1"/>
  <c r="K1376" i="1"/>
  <c r="M1554" i="1"/>
  <c r="O1286" i="1"/>
  <c r="N1286" i="1"/>
  <c r="L1000" i="17"/>
  <c r="N1187" i="1"/>
  <c r="O1187" i="1"/>
  <c r="L1468" i="1"/>
  <c r="G1376" i="13"/>
  <c r="J1376" i="13" s="1"/>
  <c r="L1488" i="1"/>
  <c r="G1396" i="13"/>
  <c r="J1396" i="13" s="1"/>
  <c r="K1384" i="1"/>
  <c r="N1384" i="1" s="1"/>
  <c r="K1404" i="1"/>
  <c r="L1508" i="1"/>
  <c r="G1416" i="13"/>
  <c r="J1416" i="13" s="1"/>
  <c r="K1388" i="1"/>
  <c r="L1492" i="1"/>
  <c r="G1400" i="13"/>
  <c r="J1400" i="13" s="1"/>
  <c r="N1292" i="1"/>
  <c r="O1292" i="1"/>
  <c r="L1462" i="1"/>
  <c r="K1358" i="1"/>
  <c r="N1358" i="1" s="1"/>
  <c r="G1370" i="13"/>
  <c r="J1370" i="13" s="1"/>
  <c r="O1347" i="1"/>
  <c r="M1685" i="1"/>
  <c r="L1553" i="1"/>
  <c r="G1461" i="13"/>
  <c r="J1461" i="13" s="1"/>
  <c r="K1449" i="1"/>
  <c r="M1474" i="1"/>
  <c r="M1377" i="1"/>
  <c r="L1509" i="1"/>
  <c r="G1417" i="13"/>
  <c r="J1417" i="13" s="1"/>
  <c r="K1405" i="1"/>
  <c r="O1405" i="1" s="1"/>
  <c r="L1467" i="1"/>
  <c r="G1375" i="13"/>
  <c r="J1375" i="13" s="1"/>
  <c r="O1318" i="1"/>
  <c r="N1318" i="1"/>
  <c r="M1403" i="1"/>
  <c r="M1308" i="1"/>
  <c r="J1325" i="13"/>
  <c r="J1328" i="13" s="1"/>
  <c r="G1328" i="13"/>
  <c r="G1333" i="13" s="1"/>
  <c r="O1338" i="1"/>
  <c r="N1338" i="1"/>
  <c r="K1343" i="1"/>
  <c r="N1343" i="1" s="1"/>
  <c r="L1470" i="1"/>
  <c r="G1378" i="13"/>
  <c r="J1378" i="13" s="1"/>
  <c r="K1366" i="1"/>
  <c r="N1295" i="1"/>
  <c r="O1295" i="1"/>
  <c r="K1321" i="1"/>
  <c r="N1321" i="1" s="1"/>
  <c r="N1319" i="1"/>
  <c r="O1319" i="1"/>
  <c r="L1541" i="1"/>
  <c r="G1449" i="13"/>
  <c r="J1449" i="13" s="1"/>
  <c r="K1437" i="1"/>
  <c r="J1310" i="13"/>
  <c r="J1319" i="13" s="1"/>
  <c r="G1319" i="13"/>
  <c r="M1601" i="1"/>
  <c r="M1642" i="1"/>
  <c r="M1542" i="1"/>
  <c r="L1491" i="1"/>
  <c r="G1399" i="13"/>
  <c r="L1391" i="1"/>
  <c r="K1387" i="1"/>
  <c r="K1453" i="1"/>
  <c r="L1557" i="1"/>
  <c r="G1465" i="13"/>
  <c r="O1350" i="1"/>
  <c r="N1342" i="1"/>
  <c r="O1342" i="1"/>
  <c r="N1074" i="1"/>
  <c r="K1090" i="1"/>
  <c r="N1090" i="1" s="1"/>
  <c r="L964" i="17"/>
  <c r="N1290" i="1"/>
  <c r="O1290" i="1"/>
  <c r="L1531" i="1"/>
  <c r="G1439" i="13"/>
  <c r="J1439" i="13" s="1"/>
  <c r="K1427" i="1"/>
  <c r="K1383" i="1"/>
  <c r="L1487" i="1"/>
  <c r="G1395" i="13"/>
  <c r="J1395" i="13" s="1"/>
  <c r="M1860" i="1"/>
  <c r="O1263" i="1"/>
  <c r="N1263" i="1"/>
  <c r="O20" i="14"/>
  <c r="N20" i="14" s="1"/>
  <c r="J944" i="13"/>
  <c r="L925" i="17"/>
  <c r="K943" i="17"/>
  <c r="J883" i="17"/>
  <c r="M883" i="17" s="1"/>
  <c r="Q883" i="17"/>
  <c r="L937" i="17"/>
  <c r="N877" i="17"/>
  <c r="O1170" i="1"/>
  <c r="K1173" i="1"/>
  <c r="N1173" i="1" s="1"/>
  <c r="N1170" i="1"/>
  <c r="J1277" i="13"/>
  <c r="J1284" i="13" s="1"/>
  <c r="G1284" i="13"/>
  <c r="K1371" i="1"/>
  <c r="N1371" i="1" s="1"/>
  <c r="L1475" i="1"/>
  <c r="G1383" i="13"/>
  <c r="J1383" i="13" s="1"/>
  <c r="O1288" i="1"/>
  <c r="N1288" i="1"/>
  <c r="G1257" i="13"/>
  <c r="G1258" i="13" s="1"/>
  <c r="K1312" i="1"/>
  <c r="N1312" i="1" s="1"/>
  <c r="N1309" i="1"/>
  <c r="M1462" i="1"/>
  <c r="M1566" i="1" s="1"/>
  <c r="O1358" i="1"/>
  <c r="O1343" i="1"/>
  <c r="M2051" i="1"/>
  <c r="O1414" i="1"/>
  <c r="N1414" i="1"/>
  <c r="M1758" i="1"/>
  <c r="M1862" i="1" s="1"/>
  <c r="M1708" i="1"/>
  <c r="M1812" i="1" s="1"/>
  <c r="L1064" i="17"/>
  <c r="M2094" i="1"/>
  <c r="M2198" i="1" s="1"/>
  <c r="K1334" i="1"/>
  <c r="N1330" i="1"/>
  <c r="O1330" i="1"/>
  <c r="N1320" i="1"/>
  <c r="O1320" i="1"/>
  <c r="G1228" i="13"/>
  <c r="G1230" i="13" s="1"/>
  <c r="G1231" i="13" s="1"/>
  <c r="G1259" i="13" s="1"/>
  <c r="L1361" i="1"/>
  <c r="L1461" i="1"/>
  <c r="G1369" i="13"/>
  <c r="K1357" i="1"/>
  <c r="L1486" i="1"/>
  <c r="G1394" i="13"/>
  <c r="K1382" i="1"/>
  <c r="L1385" i="1"/>
  <c r="L1510" i="1"/>
  <c r="K1406" i="1"/>
  <c r="O1406" i="1" s="1"/>
  <c r="G1418" i="13"/>
  <c r="J1418" i="13" s="1"/>
  <c r="L1395" i="1"/>
  <c r="K1291" i="1"/>
  <c r="G1302" i="13"/>
  <c r="J1302" i="13" s="1"/>
  <c r="G1426" i="13"/>
  <c r="J1426" i="13" s="1"/>
  <c r="L1518" i="1"/>
  <c r="L1476" i="1"/>
  <c r="G1384" i="13"/>
  <c r="J1384" i="13" s="1"/>
  <c r="K1372" i="1"/>
  <c r="L1493" i="1"/>
  <c r="K1389" i="1"/>
  <c r="G1401" i="13"/>
  <c r="J1401" i="13" s="1"/>
  <c r="J1202" i="13"/>
  <c r="J1203" i="13" s="1"/>
  <c r="M1248" i="1"/>
  <c r="K1396" i="1"/>
  <c r="L1500" i="1"/>
  <c r="G1408" i="13"/>
  <c r="J1408" i="13" s="1"/>
  <c r="M1783" i="1"/>
  <c r="N1331" i="1"/>
  <c r="O1331" i="1"/>
  <c r="M1534" i="1"/>
  <c r="M1433" i="1"/>
  <c r="O1183" i="1"/>
  <c r="K1443" i="1"/>
  <c r="L1547" i="1"/>
  <c r="G1455" i="13"/>
  <c r="J1455" i="13" s="1"/>
  <c r="M1571" i="1"/>
  <c r="O1345" i="1"/>
  <c r="N1345" i="1"/>
  <c r="M1677" i="1"/>
  <c r="M1796" i="1"/>
  <c r="O1233" i="1"/>
  <c r="L1261" i="17"/>
  <c r="J1276" i="13"/>
  <c r="L1058" i="17"/>
  <c r="N1225" i="1"/>
  <c r="K1247" i="1"/>
  <c r="N1264" i="1"/>
  <c r="O1264" i="1"/>
  <c r="L1548" i="1"/>
  <c r="G1456" i="13"/>
  <c r="J1456" i="13" s="1"/>
  <c r="K1444" i="1"/>
  <c r="M1491" i="1"/>
  <c r="O1387" i="1"/>
  <c r="M1391" i="1"/>
  <c r="L1526" i="1"/>
  <c r="G1434" i="13"/>
  <c r="L1425" i="1"/>
  <c r="K1422" i="1"/>
  <c r="M1209" i="1"/>
  <c r="O1204" i="1"/>
  <c r="G1354" i="13"/>
  <c r="J1349" i="13"/>
  <c r="J1354" i="13" s="1"/>
  <c r="O1262" i="1"/>
  <c r="N1262" i="1"/>
  <c r="N1255" i="1"/>
  <c r="O1255" i="1"/>
  <c r="M1385" i="1"/>
  <c r="M1486" i="1"/>
  <c r="O1382" i="1"/>
  <c r="G1435" i="13"/>
  <c r="J1435" i="13" s="1"/>
  <c r="L1527" i="1"/>
  <c r="K1423" i="1"/>
  <c r="O1311" i="1"/>
  <c r="K1299" i="1"/>
  <c r="O1299" i="1" s="1"/>
  <c r="N1336" i="1"/>
  <c r="O1336" i="1"/>
  <c r="M1526" i="1"/>
  <c r="O1422" i="1"/>
  <c r="M1425" i="1"/>
  <c r="J1337" i="13"/>
  <c r="J1340" i="13" s="1"/>
  <c r="G1340" i="13"/>
  <c r="M1297" i="1"/>
  <c r="L1552" i="1"/>
  <c r="G1460" i="13"/>
  <c r="K1448" i="1"/>
  <c r="L1451" i="1"/>
  <c r="L1554" i="1"/>
  <c r="G1462" i="13"/>
  <c r="J1462" i="13" s="1"/>
  <c r="K1450" i="1"/>
  <c r="N1450" i="1" s="1"/>
  <c r="L1297" i="1"/>
  <c r="O1312" i="1"/>
  <c r="K781" i="17"/>
  <c r="Q722" i="17"/>
  <c r="J722" i="17"/>
  <c r="O1069" i="1"/>
  <c r="O1114" i="1"/>
  <c r="N1315" i="1"/>
  <c r="O1315" i="1"/>
  <c r="M1543" i="1"/>
  <c r="O1439" i="1"/>
  <c r="M1441" i="1"/>
  <c r="L1550" i="1"/>
  <c r="K1446" i="1"/>
  <c r="G1458" i="13"/>
  <c r="J1458" i="13" s="1"/>
  <c r="F1082" i="16"/>
  <c r="I1000" i="16"/>
  <c r="N1294" i="1"/>
  <c r="O1294" i="1"/>
  <c r="G1361" i="13"/>
  <c r="L1008" i="17"/>
  <c r="O1293" i="1"/>
  <c r="O1260" i="1"/>
  <c r="O1279" i="1"/>
  <c r="N1279" i="1"/>
  <c r="F1081" i="16"/>
  <c r="I999" i="16"/>
  <c r="M1576" i="1"/>
  <c r="O1246" i="1"/>
  <c r="K1390" i="1"/>
  <c r="L1494" i="1"/>
  <c r="G1402" i="13"/>
  <c r="J1402" i="13" s="1"/>
  <c r="Q716" i="17"/>
  <c r="Q717" i="17" s="1"/>
  <c r="L930" i="17"/>
  <c r="L927" i="17"/>
  <c r="N703" i="17"/>
  <c r="L918" i="17"/>
  <c r="L1006" i="17"/>
  <c r="Q659" i="17"/>
  <c r="N681" i="17"/>
  <c r="N690" i="17"/>
  <c r="N688" i="17"/>
  <c r="K938" i="17"/>
  <c r="Q878" i="17"/>
  <c r="J878" i="17"/>
  <c r="J1180" i="13"/>
  <c r="J1183" i="13" s="1"/>
  <c r="G1183" i="13"/>
  <c r="G1188" i="13" s="1"/>
  <c r="G1204" i="13" s="1"/>
  <c r="M1965" i="1"/>
  <c r="K1411" i="1"/>
  <c r="L1515" i="1"/>
  <c r="G1423" i="13"/>
  <c r="J1423" i="13" s="1"/>
  <c r="L1377" i="1"/>
  <c r="L1474" i="1"/>
  <c r="G1382" i="13"/>
  <c r="K1370" i="1"/>
  <c r="O1370" i="1" s="1"/>
  <c r="M1761" i="1"/>
  <c r="M1701" i="1"/>
  <c r="L1496" i="1"/>
  <c r="G1404" i="13"/>
  <c r="K1392" i="1"/>
  <c r="L1400" i="1"/>
  <c r="J1257" i="13"/>
  <c r="J1258" i="13" s="1"/>
  <c r="J1320" i="13"/>
  <c r="J1323" i="13" s="1"/>
  <c r="G1323" i="13"/>
  <c r="N1341" i="1"/>
  <c r="O1341" i="1"/>
  <c r="K1362" i="1"/>
  <c r="L1466" i="1"/>
  <c r="G1374" i="13"/>
  <c r="L1369" i="1"/>
  <c r="J1219" i="13"/>
  <c r="L1524" i="1"/>
  <c r="G1432" i="13"/>
  <c r="J1432" i="13" s="1"/>
  <c r="K1420" i="1"/>
  <c r="L1351" i="1"/>
  <c r="L1352" i="1" s="1"/>
  <c r="O1265" i="1"/>
  <c r="M1116" i="1"/>
  <c r="O1105" i="1"/>
  <c r="J1228" i="13"/>
  <c r="L1282" i="1"/>
  <c r="M1918" i="1"/>
  <c r="N1143" i="1"/>
  <c r="N1144" i="1" s="1"/>
  <c r="K1144" i="1"/>
  <c r="N1310" i="1"/>
  <c r="O1310" i="1"/>
  <c r="L1513" i="1"/>
  <c r="G1421" i="13"/>
  <c r="J1421" i="13" s="1"/>
  <c r="K1409" i="1"/>
  <c r="O1409" i="1" s="1"/>
  <c r="M1651" i="1"/>
  <c r="L1540" i="1"/>
  <c r="G1448" i="13"/>
  <c r="J1448" i="13" s="1"/>
  <c r="K1436" i="1"/>
  <c r="L969" i="17"/>
  <c r="O1300" i="1"/>
  <c r="N1300" i="1"/>
  <c r="M1596" i="1"/>
  <c r="M1552" i="1"/>
  <c r="M1451" i="1"/>
  <c r="L1438" i="1"/>
  <c r="L1539" i="1"/>
  <c r="G1447" i="13"/>
  <c r="J1447" i="13" s="1"/>
  <c r="K1435" i="1"/>
  <c r="M1351" i="1"/>
  <c r="K1363" i="1"/>
  <c r="M1931" i="1"/>
  <c r="O1256" i="1"/>
  <c r="N1256" i="1"/>
  <c r="J1188" i="13"/>
  <c r="J1204" i="13" s="1"/>
  <c r="O1266" i="1"/>
  <c r="O1259" i="1"/>
  <c r="N1259" i="1"/>
  <c r="K1192" i="1"/>
  <c r="K1193" i="1" s="1"/>
  <c r="O1287" i="1"/>
  <c r="O1195" i="1"/>
  <c r="K1317" i="1"/>
  <c r="N1314" i="1"/>
  <c r="N1261" i="1"/>
  <c r="O1261" i="1"/>
  <c r="K1484" i="1"/>
  <c r="L1588" i="1"/>
  <c r="G1497" i="13"/>
  <c r="J1497" i="13" s="1"/>
  <c r="N1289" i="1"/>
  <c r="O1289" i="1"/>
  <c r="K1399" i="1"/>
  <c r="L1503" i="1"/>
  <c r="G1411" i="13"/>
  <c r="J1411" i="13" s="1"/>
  <c r="O1281" i="1"/>
  <c r="M1747" i="1"/>
  <c r="M2088" i="1"/>
  <c r="M2192" i="1" s="1"/>
  <c r="M1623" i="1"/>
  <c r="L1313" i="1"/>
  <c r="L1324" i="1" s="1"/>
  <c r="L1325" i="1" s="1"/>
  <c r="M2360" i="1"/>
  <c r="O1143" i="1"/>
  <c r="O1144" i="1" s="1"/>
  <c r="L1534" i="1"/>
  <c r="G1442" i="13"/>
  <c r="L1433" i="1"/>
  <c r="K1430" i="1"/>
  <c r="M1496" i="1"/>
  <c r="M1400" i="1"/>
  <c r="O1392" i="1"/>
  <c r="M1940" i="1"/>
  <c r="J1294" i="13"/>
  <c r="J1298" i="13" s="1"/>
  <c r="G1298" i="13"/>
  <c r="M1517" i="1"/>
  <c r="M1416" i="1"/>
  <c r="N1230" i="1"/>
  <c r="O1230" i="1"/>
  <c r="O1267" i="1"/>
  <c r="N1153" i="1"/>
  <c r="K1178" i="1"/>
  <c r="M1743" i="1"/>
  <c r="O1337" i="1"/>
  <c r="L1454" i="1"/>
  <c r="L1556" i="1"/>
  <c r="G1464" i="13"/>
  <c r="G1466" i="13" s="1"/>
  <c r="K1452" i="1"/>
  <c r="M1499" i="1"/>
  <c r="K1394" i="1"/>
  <c r="L1498" i="1"/>
  <c r="G1406" i="13"/>
  <c r="J1406" i="13" s="1"/>
  <c r="M1839" i="1"/>
  <c r="M1501" i="1"/>
  <c r="M1605" i="1" s="1"/>
  <c r="O1397" i="1"/>
  <c r="K1364" i="1"/>
  <c r="N1364" i="1" s="1"/>
  <c r="M1468" i="1"/>
  <c r="O1364" i="1"/>
  <c r="N1327" i="1"/>
  <c r="O1327" i="1"/>
  <c r="K1368" i="1"/>
  <c r="O1272" i="1"/>
  <c r="N1272" i="1"/>
  <c r="M1684" i="1"/>
  <c r="F1146" i="16"/>
  <c r="I1064" i="16"/>
  <c r="I1044" i="16"/>
  <c r="F1126" i="16"/>
  <c r="I1054" i="16"/>
  <c r="F1136" i="16"/>
  <c r="I1063" i="16"/>
  <c r="F1145" i="16"/>
  <c r="I1038" i="16"/>
  <c r="F1120" i="16"/>
  <c r="I1017" i="16"/>
  <c r="F1099" i="16"/>
  <c r="I1004" i="16"/>
  <c r="F1086" i="16"/>
  <c r="I1043" i="16"/>
  <c r="F1125" i="16"/>
  <c r="F1093" i="16"/>
  <c r="I1011" i="16"/>
  <c r="F1100" i="16"/>
  <c r="I1018" i="16"/>
  <c r="F1119" i="16"/>
  <c r="I1037" i="16"/>
  <c r="F1085" i="16"/>
  <c r="I1003" i="16"/>
  <c r="I1057" i="16"/>
  <c r="F1139" i="16"/>
  <c r="I1009" i="16"/>
  <c r="F1091" i="16"/>
  <c r="I1001" i="16"/>
  <c r="F1083" i="16"/>
  <c r="I1034" i="16"/>
  <c r="F1116" i="16"/>
  <c r="I1059" i="16"/>
  <c r="F1141" i="16"/>
  <c r="I1016" i="16"/>
  <c r="F1098" i="16"/>
  <c r="I943" i="16"/>
  <c r="I1047" i="16"/>
  <c r="F1129" i="16"/>
  <c r="I1020" i="16"/>
  <c r="F1102" i="16"/>
  <c r="F1154" i="16"/>
  <c r="I1072" i="16"/>
  <c r="F1115" i="16"/>
  <c r="I1033" i="16"/>
  <c r="F1089" i="16"/>
  <c r="I1007" i="16"/>
  <c r="I1028" i="16"/>
  <c r="F1110" i="16"/>
  <c r="I1027" i="16"/>
  <c r="F1109" i="16"/>
  <c r="I1010" i="16"/>
  <c r="F1092" i="16"/>
  <c r="I1067" i="16"/>
  <c r="F1149" i="16"/>
  <c r="I1032" i="16"/>
  <c r="F1114" i="16"/>
  <c r="I1070" i="16"/>
  <c r="F1152" i="16"/>
  <c r="I931" i="16"/>
  <c r="F1142" i="16"/>
  <c r="I1060" i="16"/>
  <c r="I1012" i="16"/>
  <c r="F1094" i="16"/>
  <c r="I1051" i="16"/>
  <c r="F1133" i="16"/>
  <c r="I1040" i="16"/>
  <c r="F1122" i="16"/>
  <c r="I1053" i="16"/>
  <c r="F1135" i="16"/>
  <c r="F1137" i="16"/>
  <c r="I1055" i="16"/>
  <c r="I1022" i="16"/>
  <c r="F1104" i="16"/>
  <c r="I947" i="16"/>
  <c r="I912" i="16"/>
  <c r="I1050" i="16"/>
  <c r="F1132" i="16"/>
  <c r="I1015" i="16"/>
  <c r="F1097" i="16"/>
  <c r="I1036" i="16"/>
  <c r="F1118" i="16"/>
  <c r="I1039" i="16"/>
  <c r="F1121" i="16"/>
  <c r="I1006" i="16"/>
  <c r="F1088" i="16"/>
  <c r="I1066" i="16"/>
  <c r="F1148" i="16"/>
  <c r="I1048" i="16"/>
  <c r="F1130" i="16"/>
  <c r="I1008" i="16"/>
  <c r="F1090" i="16"/>
  <c r="I1061" i="16"/>
  <c r="F1143" i="16"/>
  <c r="I1071" i="16"/>
  <c r="F1153" i="16"/>
  <c r="I1056" i="16"/>
  <c r="F1138" i="16"/>
  <c r="I1069" i="16"/>
  <c r="F1151" i="16"/>
  <c r="I1042" i="16"/>
  <c r="F1124" i="16"/>
  <c r="I1019" i="16"/>
  <c r="F1101" i="16"/>
  <c r="F1123" i="16"/>
  <c r="I1041" i="16"/>
  <c r="I1065" i="16"/>
  <c r="F1147" i="16"/>
  <c r="I1021" i="16"/>
  <c r="F1103" i="16"/>
  <c r="I1035" i="16"/>
  <c r="F1117" i="16"/>
  <c r="I1046" i="16"/>
  <c r="F1128" i="16"/>
  <c r="I970" i="16"/>
  <c r="F1127" i="16"/>
  <c r="I1045" i="16"/>
  <c r="I991" i="16"/>
  <c r="F1131" i="16"/>
  <c r="I1049" i="16"/>
  <c r="I1062" i="16"/>
  <c r="F1144" i="16"/>
  <c r="I1023" i="16"/>
  <c r="F1105" i="16"/>
  <c r="I1026" i="16"/>
  <c r="F1108" i="16"/>
  <c r="I1002" i="16"/>
  <c r="F1084" i="16"/>
  <c r="I1005" i="16"/>
  <c r="F1087" i="16"/>
  <c r="I1024" i="16"/>
  <c r="F1106" i="16"/>
  <c r="I1058" i="16"/>
  <c r="F1140" i="16"/>
  <c r="F1150" i="16"/>
  <c r="I1068" i="16"/>
  <c r="N667" i="17"/>
  <c r="N665" i="17"/>
  <c r="M713" i="17"/>
  <c r="N713" i="17"/>
  <c r="L797" i="17"/>
  <c r="L857" i="17" s="1"/>
  <c r="Q737" i="17"/>
  <c r="K796" i="17"/>
  <c r="K856" i="17" s="1"/>
  <c r="J737" i="17"/>
  <c r="J829" i="17"/>
  <c r="M829" i="17" s="1"/>
  <c r="Q829" i="17"/>
  <c r="L790" i="17"/>
  <c r="L850" i="17" s="1"/>
  <c r="L910" i="17" s="1"/>
  <c r="N682" i="17"/>
  <c r="Q823" i="17"/>
  <c r="J823" i="17"/>
  <c r="M823" i="17" s="1"/>
  <c r="L735" i="17"/>
  <c r="L787" i="17"/>
  <c r="L847" i="17" s="1"/>
  <c r="N694" i="17"/>
  <c r="Q759" i="17"/>
  <c r="K819" i="17"/>
  <c r="K879" i="17" s="1"/>
  <c r="J759" i="17"/>
  <c r="M759" i="17" s="1"/>
  <c r="M708" i="17"/>
  <c r="N708" i="17"/>
  <c r="Q749" i="17"/>
  <c r="K808" i="17"/>
  <c r="K868" i="17" s="1"/>
  <c r="J749" i="17"/>
  <c r="M749" i="17" s="1"/>
  <c r="J668" i="17"/>
  <c r="M664" i="17"/>
  <c r="L791" i="17"/>
  <c r="L851" i="17" s="1"/>
  <c r="Q668" i="17"/>
  <c r="Q818" i="17"/>
  <c r="J818" i="17"/>
  <c r="L821" i="17"/>
  <c r="L881" i="17" s="1"/>
  <c r="M707" i="17"/>
  <c r="N707" i="17"/>
  <c r="M675" i="17"/>
  <c r="N675" i="17"/>
  <c r="Q746" i="17"/>
  <c r="K805" i="17"/>
  <c r="K865" i="17" s="1"/>
  <c r="K775" i="17"/>
  <c r="J746" i="17"/>
  <c r="L782" i="17"/>
  <c r="L842" i="17" s="1"/>
  <c r="L727" i="17"/>
  <c r="Q771" i="17"/>
  <c r="K831" i="17"/>
  <c r="K891" i="17" s="1"/>
  <c r="J771" i="17"/>
  <c r="M771" i="17" s="1"/>
  <c r="K789" i="17"/>
  <c r="K849" i="17" s="1"/>
  <c r="Q730" i="17"/>
  <c r="J730" i="17"/>
  <c r="M697" i="17"/>
  <c r="N697" i="17"/>
  <c r="K798" i="17"/>
  <c r="K858" i="17" s="1"/>
  <c r="Q739" i="17"/>
  <c r="J739" i="17"/>
  <c r="Q729" i="17"/>
  <c r="K788" i="17"/>
  <c r="K848" i="17" s="1"/>
  <c r="J729" i="17"/>
  <c r="M729" i="17" s="1"/>
  <c r="K787" i="17"/>
  <c r="K847" i="17" s="1"/>
  <c r="J728" i="17"/>
  <c r="K735" i="17"/>
  <c r="Q728" i="17"/>
  <c r="K821" i="17"/>
  <c r="K881" i="17" s="1"/>
  <c r="Q761" i="17"/>
  <c r="J761" i="17"/>
  <c r="M761" i="17" s="1"/>
  <c r="M764" i="17"/>
  <c r="N764" i="17"/>
  <c r="K813" i="17"/>
  <c r="K873" i="17" s="1"/>
  <c r="Q753" i="17"/>
  <c r="J753" i="17"/>
  <c r="M753" i="17" s="1"/>
  <c r="M693" i="17"/>
  <c r="N693" i="17"/>
  <c r="Q755" i="17"/>
  <c r="K815" i="17"/>
  <c r="K875" i="17" s="1"/>
  <c r="J755" i="17"/>
  <c r="M755" i="17" s="1"/>
  <c r="K826" i="17"/>
  <c r="K886" i="17" s="1"/>
  <c r="Q766" i="17"/>
  <c r="J766" i="17"/>
  <c r="L830" i="17"/>
  <c r="L890" i="17" s="1"/>
  <c r="L834" i="17"/>
  <c r="L894" i="17" s="1"/>
  <c r="L825" i="17"/>
  <c r="L885" i="17" s="1"/>
  <c r="L831" i="17"/>
  <c r="L891" i="17" s="1"/>
  <c r="N771" i="17"/>
  <c r="N670" i="17"/>
  <c r="K825" i="17"/>
  <c r="K885" i="17" s="1"/>
  <c r="Q765" i="17"/>
  <c r="J765" i="17"/>
  <c r="M765" i="17" s="1"/>
  <c r="K828" i="17"/>
  <c r="K888" i="17" s="1"/>
  <c r="Q768" i="17"/>
  <c r="J768" i="17"/>
  <c r="K784" i="17"/>
  <c r="K844" i="17" s="1"/>
  <c r="J725" i="17"/>
  <c r="Q725" i="17"/>
  <c r="L813" i="17"/>
  <c r="L873" i="17" s="1"/>
  <c r="N753" i="17"/>
  <c r="K822" i="17"/>
  <c r="K882" i="17" s="1"/>
  <c r="Q762" i="17"/>
  <c r="J762" i="17"/>
  <c r="M762" i="17" s="1"/>
  <c r="Q767" i="17"/>
  <c r="K827" i="17"/>
  <c r="K887" i="17" s="1"/>
  <c r="J767" i="17"/>
  <c r="K782" i="17"/>
  <c r="K842" i="17" s="1"/>
  <c r="Q723" i="17"/>
  <c r="J723" i="17"/>
  <c r="N723" i="17" s="1"/>
  <c r="K727" i="17"/>
  <c r="J817" i="17"/>
  <c r="M817" i="17" s="1"/>
  <c r="Q817" i="17"/>
  <c r="M683" i="17"/>
  <c r="N683" i="17"/>
  <c r="L799" i="17"/>
  <c r="L859" i="17" s="1"/>
  <c r="L919" i="17" s="1"/>
  <c r="J740" i="17"/>
  <c r="M740" i="17" s="1"/>
  <c r="N617" i="17"/>
  <c r="L819" i="17"/>
  <c r="L879" i="17" s="1"/>
  <c r="N759" i="17"/>
  <c r="N763" i="17"/>
  <c r="N684" i="17"/>
  <c r="M689" i="17"/>
  <c r="N689" i="17"/>
  <c r="M701" i="17"/>
  <c r="N701" i="17"/>
  <c r="K832" i="17"/>
  <c r="K892" i="17" s="1"/>
  <c r="Q772" i="17"/>
  <c r="J772" i="17"/>
  <c r="L792" i="17"/>
  <c r="L852" i="17" s="1"/>
  <c r="L822" i="17"/>
  <c r="L882" i="17" s="1"/>
  <c r="N762" i="17"/>
  <c r="L788" i="17"/>
  <c r="L848" i="17" s="1"/>
  <c r="N729" i="17"/>
  <c r="M671" i="17"/>
  <c r="N671" i="17"/>
  <c r="Q733" i="17"/>
  <c r="K792" i="17"/>
  <c r="K852" i="17" s="1"/>
  <c r="J733" i="17"/>
  <c r="M733" i="17" s="1"/>
  <c r="K816" i="17"/>
  <c r="K876" i="17" s="1"/>
  <c r="Q756" i="17"/>
  <c r="J756" i="17"/>
  <c r="K809" i="17"/>
  <c r="K869" i="17" s="1"/>
  <c r="Q750" i="17"/>
  <c r="J750" i="17"/>
  <c r="M541" i="17"/>
  <c r="N541" i="17"/>
  <c r="N568" i="17"/>
  <c r="N696" i="17"/>
  <c r="Q743" i="17"/>
  <c r="K802" i="17"/>
  <c r="K862" i="17" s="1"/>
  <c r="J743" i="17"/>
  <c r="M743" i="17" s="1"/>
  <c r="K830" i="17"/>
  <c r="K890" i="17" s="1"/>
  <c r="Q770" i="17"/>
  <c r="J770" i="17"/>
  <c r="M770" i="17" s="1"/>
  <c r="N714" i="17"/>
  <c r="J600" i="17"/>
  <c r="M599" i="17"/>
  <c r="N599" i="17"/>
  <c r="K677" i="17"/>
  <c r="K718" i="17" s="1"/>
  <c r="K814" i="17"/>
  <c r="K874" i="17" s="1"/>
  <c r="Q754" i="17"/>
  <c r="J754" i="17"/>
  <c r="M754" i="17" s="1"/>
  <c r="Q685" i="17"/>
  <c r="Q686" i="17" s="1"/>
  <c r="J726" i="17"/>
  <c r="M726" i="17" s="1"/>
  <c r="K785" i="17"/>
  <c r="K845" i="17" s="1"/>
  <c r="Q726" i="17"/>
  <c r="M692" i="17"/>
  <c r="J716" i="17"/>
  <c r="J717" i="17" s="1"/>
  <c r="N692" i="17"/>
  <c r="Q774" i="17"/>
  <c r="K834" i="17"/>
  <c r="K894" i="17" s="1"/>
  <c r="J774" i="17"/>
  <c r="M774" i="17" s="1"/>
  <c r="L802" i="17"/>
  <c r="L862" i="17" s="1"/>
  <c r="N743" i="17"/>
  <c r="M758" i="17"/>
  <c r="N758" i="17"/>
  <c r="Q738" i="17"/>
  <c r="K797" i="17"/>
  <c r="K857" i="17" s="1"/>
  <c r="J738" i="17"/>
  <c r="M738" i="17" s="1"/>
  <c r="M669" i="17"/>
  <c r="J676" i="17"/>
  <c r="M676" i="17" s="1"/>
  <c r="L783" i="17"/>
  <c r="L843" i="17" s="1"/>
  <c r="L903" i="17" s="1"/>
  <c r="L963" i="17" s="1"/>
  <c r="L1023" i="17" s="1"/>
  <c r="L1083" i="17" s="1"/>
  <c r="L1143" i="17" s="1"/>
  <c r="L1203" i="17" s="1"/>
  <c r="L1263" i="17" s="1"/>
  <c r="K793" i="17"/>
  <c r="K853" i="17" s="1"/>
  <c r="Q734" i="17"/>
  <c r="J734" i="17"/>
  <c r="L775" i="17"/>
  <c r="L776" i="17" s="1"/>
  <c r="L785" i="17"/>
  <c r="L845" i="17" s="1"/>
  <c r="N726" i="17"/>
  <c r="K807" i="17"/>
  <c r="K867" i="17" s="1"/>
  <c r="Q748" i="17"/>
  <c r="J748" i="17"/>
  <c r="N687" i="17"/>
  <c r="Q676" i="17"/>
  <c r="K833" i="17"/>
  <c r="K893" i="17" s="1"/>
  <c r="Q773" i="17"/>
  <c r="J773" i="17"/>
  <c r="M773" i="17" s="1"/>
  <c r="K820" i="17"/>
  <c r="K880" i="17" s="1"/>
  <c r="Q760" i="17"/>
  <c r="J760" i="17"/>
  <c r="J824" i="17"/>
  <c r="Q824" i="17"/>
  <c r="J658" i="17"/>
  <c r="M657" i="17"/>
  <c r="N657" i="17"/>
  <c r="N702" i="17"/>
  <c r="J618" i="17"/>
  <c r="M618" i="17" s="1"/>
  <c r="M609" i="17"/>
  <c r="K812" i="17"/>
  <c r="K872" i="17" s="1"/>
  <c r="Q752" i="17"/>
  <c r="J752" i="17"/>
  <c r="N737" i="17"/>
  <c r="L796" i="17"/>
  <c r="L856" i="17" s="1"/>
  <c r="L744" i="17"/>
  <c r="L677" i="17"/>
  <c r="L718" i="17" s="1"/>
  <c r="N668" i="17"/>
  <c r="N680" i="17"/>
  <c r="M678" i="17"/>
  <c r="J685" i="17"/>
  <c r="L815" i="17"/>
  <c r="L875" i="17" s="1"/>
  <c r="N755" i="17"/>
  <c r="J741" i="17"/>
  <c r="K800" i="17"/>
  <c r="K860" i="17" s="1"/>
  <c r="Q741" i="17"/>
  <c r="M709" i="17"/>
  <c r="N709" i="17"/>
  <c r="N676" i="17"/>
  <c r="M666" i="17"/>
  <c r="N666" i="17"/>
  <c r="N817" i="17"/>
  <c r="L833" i="17"/>
  <c r="L893" i="17" s="1"/>
  <c r="N773" i="17"/>
  <c r="Q732" i="17"/>
  <c r="K791" i="17"/>
  <c r="K851" i="17" s="1"/>
  <c r="J732" i="17"/>
  <c r="M732" i="17" s="1"/>
  <c r="J731" i="17"/>
  <c r="M731" i="17" s="1"/>
  <c r="K790" i="17"/>
  <c r="K850" i="17" s="1"/>
  <c r="Q731" i="17"/>
  <c r="N673" i="17"/>
  <c r="N627" i="17"/>
  <c r="K806" i="17"/>
  <c r="K866" i="17" s="1"/>
  <c r="Q747" i="17"/>
  <c r="J747" i="17"/>
  <c r="M747" i="17" s="1"/>
  <c r="K744" i="17"/>
  <c r="K801" i="17"/>
  <c r="K861" i="17" s="1"/>
  <c r="Q742" i="17"/>
  <c r="J742" i="17"/>
  <c r="Q751" i="17"/>
  <c r="K810" i="17"/>
  <c r="K870" i="17" s="1"/>
  <c r="J751" i="17"/>
  <c r="L814" i="17"/>
  <c r="L874" i="17" s="1"/>
  <c r="N754" i="17"/>
  <c r="K783" i="17"/>
  <c r="K843" i="17" s="1"/>
  <c r="Q724" i="17"/>
  <c r="J724" i="17"/>
  <c r="M724" i="17" s="1"/>
  <c r="L808" i="17"/>
  <c r="L868" i="17" s="1"/>
  <c r="L928" i="17" s="1"/>
  <c r="N749" i="17"/>
  <c r="L806" i="17"/>
  <c r="L866" i="17" s="1"/>
  <c r="N747" i="17"/>
  <c r="G994" i="13"/>
  <c r="G1049" i="13" s="1"/>
  <c r="M1041" i="1"/>
  <c r="N970" i="1"/>
  <c r="K986" i="1"/>
  <c r="N986" i="1" s="1"/>
  <c r="O970" i="1"/>
  <c r="N882" i="1"/>
  <c r="O882" i="1"/>
  <c r="O1039" i="1"/>
  <c r="O1040" i="1" s="1"/>
  <c r="N1039" i="1"/>
  <c r="N1040" i="1" s="1"/>
  <c r="K1040" i="1"/>
  <c r="J994" i="13"/>
  <c r="J1049" i="13" s="1"/>
  <c r="K1012" i="1"/>
  <c r="N1010" i="1"/>
  <c r="K909" i="1"/>
  <c r="K937" i="1" s="1"/>
  <c r="N937" i="1" s="1"/>
  <c r="N908" i="1"/>
  <c r="N909" i="1" s="1"/>
  <c r="N1001" i="1"/>
  <c r="O1001" i="1"/>
  <c r="N21" i="14"/>
  <c r="R19" i="14"/>
  <c r="P19" i="14"/>
  <c r="Q19" i="14"/>
  <c r="M19" i="14"/>
  <c r="N84" i="1"/>
  <c r="N85" i="1" s="1"/>
  <c r="K85" i="1"/>
  <c r="K113" i="1" s="1"/>
  <c r="O84" i="1"/>
  <c r="O85" i="1" s="1"/>
  <c r="P24" i="14"/>
  <c r="R24" i="14"/>
  <c r="Q24" i="14"/>
  <c r="R14" i="14"/>
  <c r="P14" i="14"/>
  <c r="Q14" i="14"/>
  <c r="P25" i="14"/>
  <c r="R25" i="14"/>
  <c r="Q25" i="14"/>
  <c r="R15" i="14"/>
  <c r="P15" i="14"/>
  <c r="Q15" i="14"/>
  <c r="R17" i="14"/>
  <c r="P17" i="14"/>
  <c r="Q17" i="14"/>
  <c r="P22" i="14"/>
  <c r="Q22" i="14"/>
  <c r="R22" i="14"/>
  <c r="R16" i="14"/>
  <c r="P16" i="14"/>
  <c r="Q16" i="14"/>
  <c r="P27" i="14"/>
  <c r="R27" i="14"/>
  <c r="Q27" i="14"/>
  <c r="P23" i="14"/>
  <c r="R23" i="14"/>
  <c r="Q23" i="14"/>
  <c r="Q20" i="14"/>
  <c r="P20" i="14"/>
  <c r="R20" i="14"/>
  <c r="P28" i="14"/>
  <c r="R28" i="14"/>
  <c r="Q28" i="14"/>
  <c r="R18" i="14"/>
  <c r="P18" i="14"/>
  <c r="Q18" i="14"/>
  <c r="P21" i="14"/>
  <c r="Q21" i="14"/>
  <c r="R21" i="14"/>
  <c r="P26" i="14"/>
  <c r="R26" i="14"/>
  <c r="Q26" i="14"/>
  <c r="P13" i="14"/>
  <c r="R13" i="14"/>
  <c r="Q13" i="14"/>
  <c r="N1193" i="1" l="1"/>
  <c r="O1193" i="1"/>
  <c r="S19" i="14"/>
  <c r="T19" i="14" s="1"/>
  <c r="L988" i="17"/>
  <c r="L935" i="17"/>
  <c r="Q853" i="17"/>
  <c r="K913" i="17"/>
  <c r="J853" i="17"/>
  <c r="K954" i="17"/>
  <c r="J894" i="17"/>
  <c r="M894" i="17" s="1"/>
  <c r="Q894" i="17"/>
  <c r="K936" i="17"/>
  <c r="J876" i="17"/>
  <c r="Q876" i="17"/>
  <c r="L979" i="17"/>
  <c r="K902" i="17"/>
  <c r="J842" i="17"/>
  <c r="M842" i="17" s="1"/>
  <c r="Q842" i="17"/>
  <c r="L933" i="17"/>
  <c r="L951" i="17"/>
  <c r="Q875" i="17"/>
  <c r="K935" i="17"/>
  <c r="J875" i="17"/>
  <c r="M875" i="17" s="1"/>
  <c r="Q891" i="17"/>
  <c r="K951" i="17"/>
  <c r="J891" i="17"/>
  <c r="M891" i="17" s="1"/>
  <c r="L941" i="17"/>
  <c r="L911" i="17"/>
  <c r="K928" i="17"/>
  <c r="Q868" i="17"/>
  <c r="J868" i="17"/>
  <c r="L907" i="17"/>
  <c r="L854" i="17"/>
  <c r="N1368" i="1"/>
  <c r="O1368" i="1"/>
  <c r="M1572" i="1"/>
  <c r="N1394" i="1"/>
  <c r="O1394" i="1"/>
  <c r="M1621" i="1"/>
  <c r="M1520" i="1"/>
  <c r="M2044" i="1"/>
  <c r="O1430" i="1"/>
  <c r="K1433" i="1"/>
  <c r="N1430" i="1"/>
  <c r="K1503" i="1"/>
  <c r="L1607" i="1"/>
  <c r="G1516" i="13"/>
  <c r="J1516" i="13" s="1"/>
  <c r="L1643" i="1"/>
  <c r="G1552" i="13"/>
  <c r="J1552" i="13" s="1"/>
  <c r="K1539" i="1"/>
  <c r="L1644" i="1"/>
  <c r="G1553" i="13"/>
  <c r="J1553" i="13" s="1"/>
  <c r="K1540" i="1"/>
  <c r="L1628" i="1"/>
  <c r="G1537" i="13"/>
  <c r="J1537" i="13" s="1"/>
  <c r="K1524" i="1"/>
  <c r="L1570" i="1"/>
  <c r="G1479" i="13"/>
  <c r="L1473" i="1"/>
  <c r="K1466" i="1"/>
  <c r="N1392" i="1"/>
  <c r="M1805" i="1"/>
  <c r="J1382" i="13"/>
  <c r="J1389" i="13" s="1"/>
  <c r="G1389" i="13"/>
  <c r="K1515" i="1"/>
  <c r="L1619" i="1"/>
  <c r="G1528" i="13"/>
  <c r="J1528" i="13" s="1"/>
  <c r="K998" i="17"/>
  <c r="J938" i="17"/>
  <c r="Q938" i="17"/>
  <c r="L978" i="17"/>
  <c r="L895" i="17"/>
  <c r="K1494" i="1"/>
  <c r="L1598" i="1"/>
  <c r="G1507" i="13"/>
  <c r="J1507" i="13" s="1"/>
  <c r="M1680" i="1"/>
  <c r="L1068" i="17"/>
  <c r="L1654" i="1"/>
  <c r="G1563" i="13"/>
  <c r="J1563" i="13" s="1"/>
  <c r="K1550" i="1"/>
  <c r="N722" i="17"/>
  <c r="M722" i="17"/>
  <c r="L1658" i="1"/>
  <c r="G1567" i="13"/>
  <c r="J1567" i="13" s="1"/>
  <c r="K1554" i="1"/>
  <c r="N1554" i="1" s="1"/>
  <c r="J1460" i="13"/>
  <c r="J1463" i="13" s="1"/>
  <c r="G1463" i="13"/>
  <c r="M1630" i="1"/>
  <c r="M1529" i="1"/>
  <c r="N1422" i="1"/>
  <c r="K1425" i="1"/>
  <c r="N1425" i="1" s="1"/>
  <c r="M1401" i="1"/>
  <c r="N1247" i="1"/>
  <c r="N1248" i="1" s="1"/>
  <c r="K1248" i="1"/>
  <c r="M1455" i="1"/>
  <c r="M1456" i="1" s="1"/>
  <c r="N1396" i="1"/>
  <c r="O1396" i="1"/>
  <c r="J1394" i="13"/>
  <c r="J1397" i="13" s="1"/>
  <c r="G1397" i="13"/>
  <c r="L1465" i="1"/>
  <c r="L1565" i="1"/>
  <c r="G1474" i="13"/>
  <c r="N1383" i="1"/>
  <c r="O1383" i="1"/>
  <c r="N1387" i="1"/>
  <c r="K1391" i="1"/>
  <c r="G1324" i="13"/>
  <c r="G1335" i="13" s="1"/>
  <c r="G1336" i="13" s="1"/>
  <c r="L1645" i="1"/>
  <c r="G1554" i="13"/>
  <c r="J1554" i="13" s="1"/>
  <c r="K1541" i="1"/>
  <c r="K1470" i="1"/>
  <c r="L1574" i="1"/>
  <c r="G1483" i="13"/>
  <c r="J1483" i="13" s="1"/>
  <c r="M1507" i="1"/>
  <c r="M1412" i="1"/>
  <c r="G1480" i="13"/>
  <c r="J1480" i="13" s="1"/>
  <c r="L1571" i="1"/>
  <c r="K1467" i="1"/>
  <c r="K1509" i="1"/>
  <c r="O1509" i="1" s="1"/>
  <c r="L1613" i="1"/>
  <c r="G1522" i="13"/>
  <c r="J1522" i="13" s="1"/>
  <c r="O1173" i="1"/>
  <c r="N1376" i="1"/>
  <c r="O1376" i="1"/>
  <c r="M1806" i="1"/>
  <c r="N1431" i="1"/>
  <c r="O1431" i="1"/>
  <c r="O1090" i="1"/>
  <c r="N1287" i="1"/>
  <c r="M1592" i="1"/>
  <c r="O1321" i="1"/>
  <c r="G1557" i="13"/>
  <c r="J1557" i="13" s="1"/>
  <c r="L1648" i="1"/>
  <c r="K1544" i="1"/>
  <c r="N1365" i="1"/>
  <c r="O1365" i="1"/>
  <c r="L1626" i="1"/>
  <c r="G1535" i="13"/>
  <c r="K1522" i="1"/>
  <c r="L1525" i="1"/>
  <c r="M1687" i="1"/>
  <c r="K1472" i="1"/>
  <c r="L1576" i="1"/>
  <c r="G1485" i="13"/>
  <c r="J1485" i="13" s="1"/>
  <c r="N1360" i="1"/>
  <c r="O1360" i="1"/>
  <c r="M1482" i="1"/>
  <c r="M1381" i="1"/>
  <c r="J1362" i="13"/>
  <c r="J1363" i="13" s="1"/>
  <c r="L1605" i="1"/>
  <c r="G1514" i="13"/>
  <c r="J1514" i="13" s="1"/>
  <c r="K1501" i="1"/>
  <c r="N1373" i="1"/>
  <c r="O1373" i="1"/>
  <c r="K1528" i="1"/>
  <c r="L1632" i="1"/>
  <c r="G1541" i="13"/>
  <c r="J1541" i="13" s="1"/>
  <c r="M1551" i="1"/>
  <c r="M1650" i="1"/>
  <c r="K1009" i="17"/>
  <c r="Q949" i="17"/>
  <c r="J949" i="17"/>
  <c r="M949" i="17" s="1"/>
  <c r="K1502" i="1"/>
  <c r="L1606" i="1"/>
  <c r="G1515" i="13"/>
  <c r="J1515" i="13" s="1"/>
  <c r="O1371" i="1"/>
  <c r="L1618" i="1"/>
  <c r="K1514" i="1"/>
  <c r="O1514" i="1" s="1"/>
  <c r="G1527" i="13"/>
  <c r="J1527" i="13" s="1"/>
  <c r="M1960" i="1"/>
  <c r="G1362" i="13"/>
  <c r="G1363" i="13" s="1"/>
  <c r="N1375" i="1"/>
  <c r="O1375" i="1"/>
  <c r="L1160" i="17"/>
  <c r="O1432" i="1"/>
  <c r="N1432" i="1"/>
  <c r="M2132" i="1"/>
  <c r="O1413" i="1"/>
  <c r="K1416" i="1"/>
  <c r="N1416" i="1" s="1"/>
  <c r="N1413" i="1"/>
  <c r="K1209" i="1"/>
  <c r="N1204" i="1"/>
  <c r="K1277" i="1"/>
  <c r="N1277" i="1" s="1"/>
  <c r="N1274" i="1"/>
  <c r="K1117" i="1"/>
  <c r="K1145" i="1" s="1"/>
  <c r="N1145" i="1" s="1"/>
  <c r="N1116" i="1"/>
  <c r="N1117" i="1" s="1"/>
  <c r="L934" i="17"/>
  <c r="L953" i="17"/>
  <c r="N893" i="17"/>
  <c r="K920" i="17"/>
  <c r="Q860" i="17"/>
  <c r="J860" i="17"/>
  <c r="Q893" i="17"/>
  <c r="K953" i="17"/>
  <c r="J893" i="17"/>
  <c r="M893" i="17" s="1"/>
  <c r="Q857" i="17"/>
  <c r="K917" i="17"/>
  <c r="J857" i="17"/>
  <c r="M857" i="17" s="1"/>
  <c r="K922" i="17"/>
  <c r="J862" i="17"/>
  <c r="M862" i="17" s="1"/>
  <c r="Q862" i="17"/>
  <c r="Q869" i="17"/>
  <c r="K929" i="17"/>
  <c r="J869" i="17"/>
  <c r="L942" i="17"/>
  <c r="K952" i="17"/>
  <c r="J892" i="17"/>
  <c r="Q892" i="17"/>
  <c r="L939" i="17"/>
  <c r="Q885" i="17"/>
  <c r="K945" i="17"/>
  <c r="J885" i="17"/>
  <c r="M885" i="17" s="1"/>
  <c r="L945" i="17"/>
  <c r="N885" i="17"/>
  <c r="K908" i="17"/>
  <c r="Q848" i="17"/>
  <c r="J848" i="17"/>
  <c r="M848" i="17" s="1"/>
  <c r="K918" i="17"/>
  <c r="Q858" i="17"/>
  <c r="J858" i="17"/>
  <c r="J879" i="17"/>
  <c r="M879" i="17" s="1"/>
  <c r="K939" i="17"/>
  <c r="Q879" i="17"/>
  <c r="L970" i="17"/>
  <c r="K916" i="17"/>
  <c r="Q856" i="17"/>
  <c r="J856" i="17"/>
  <c r="M1788" i="1"/>
  <c r="M1943" i="1"/>
  <c r="L1558" i="1"/>
  <c r="L1660" i="1"/>
  <c r="G1569" i="13"/>
  <c r="K1556" i="1"/>
  <c r="M1847" i="1"/>
  <c r="L1455" i="1"/>
  <c r="L1456" i="1" s="1"/>
  <c r="M1727" i="1"/>
  <c r="M1851" i="1"/>
  <c r="N1399" i="1"/>
  <c r="O1399" i="1"/>
  <c r="K1588" i="1"/>
  <c r="L1692" i="1"/>
  <c r="G1602" i="13"/>
  <c r="J1602" i="13" s="1"/>
  <c r="M1352" i="1"/>
  <c r="M1700" i="1"/>
  <c r="L1029" i="17"/>
  <c r="L1617" i="1"/>
  <c r="G1526" i="13"/>
  <c r="J1526" i="13" s="1"/>
  <c r="K1513" i="1"/>
  <c r="O1513" i="1" s="1"/>
  <c r="J1230" i="13"/>
  <c r="J1231" i="13" s="1"/>
  <c r="J1259" i="13" s="1"/>
  <c r="N1362" i="1"/>
  <c r="K1369" i="1"/>
  <c r="O1362" i="1"/>
  <c r="J1404" i="13"/>
  <c r="M1865" i="1"/>
  <c r="L1578" i="1"/>
  <c r="G1487" i="13"/>
  <c r="K1474" i="1"/>
  <c r="L1481" i="1"/>
  <c r="N1411" i="1"/>
  <c r="O1411" i="1"/>
  <c r="L990" i="17"/>
  <c r="N1390" i="1"/>
  <c r="O1390" i="1"/>
  <c r="F1164" i="16"/>
  <c r="I1082" i="16"/>
  <c r="L1298" i="1"/>
  <c r="L1353" i="1" s="1"/>
  <c r="L1656" i="1"/>
  <c r="G1565" i="13"/>
  <c r="K1552" i="1"/>
  <c r="L1555" i="1"/>
  <c r="N1423" i="1"/>
  <c r="O1423" i="1"/>
  <c r="M1489" i="1"/>
  <c r="M1590" i="1"/>
  <c r="L1652" i="1"/>
  <c r="G1561" i="13"/>
  <c r="J1561" i="13" s="1"/>
  <c r="K1548" i="1"/>
  <c r="M1900" i="1"/>
  <c r="L1651" i="1"/>
  <c r="G1560" i="13"/>
  <c r="J1560" i="13" s="1"/>
  <c r="K1547" i="1"/>
  <c r="M1638" i="1"/>
  <c r="M1537" i="1"/>
  <c r="M1887" i="1"/>
  <c r="O1247" i="1"/>
  <c r="O1248" i="1" s="1"/>
  <c r="N1389" i="1"/>
  <c r="O1389" i="1"/>
  <c r="K1476" i="1"/>
  <c r="L1580" i="1"/>
  <c r="G1489" i="13"/>
  <c r="J1489" i="13" s="1"/>
  <c r="N1291" i="1"/>
  <c r="O1291" i="1"/>
  <c r="L1614" i="1"/>
  <c r="K1510" i="1"/>
  <c r="O1510" i="1" s="1"/>
  <c r="G1523" i="13"/>
  <c r="J1523" i="13" s="1"/>
  <c r="K1486" i="1"/>
  <c r="L1590" i="1"/>
  <c r="G1499" i="13"/>
  <c r="L1489" i="1"/>
  <c r="M2302" i="1"/>
  <c r="M1916" i="1"/>
  <c r="Q943" i="17"/>
  <c r="K1003" i="17"/>
  <c r="J943" i="17"/>
  <c r="M943" i="17" s="1"/>
  <c r="M1964" i="1"/>
  <c r="N1427" i="1"/>
  <c r="O1427" i="1"/>
  <c r="L1401" i="1"/>
  <c r="M1746" i="1"/>
  <c r="M1646" i="1"/>
  <c r="J1324" i="13"/>
  <c r="J1335" i="13" s="1"/>
  <c r="J1336" i="13" s="1"/>
  <c r="N1449" i="1"/>
  <c r="O1449" i="1"/>
  <c r="L1516" i="1"/>
  <c r="L1612" i="1"/>
  <c r="K1508" i="1"/>
  <c r="G1521" i="13"/>
  <c r="J1521" i="13" s="1"/>
  <c r="K1488" i="1"/>
  <c r="N1488" i="1" s="1"/>
  <c r="L1592" i="1"/>
  <c r="G1501" i="13"/>
  <c r="J1501" i="13" s="1"/>
  <c r="M1957" i="1"/>
  <c r="N1419" i="1"/>
  <c r="O1419" i="1"/>
  <c r="M1903" i="1"/>
  <c r="N1439" i="1"/>
  <c r="K1441" i="1"/>
  <c r="N1441" i="1" s="1"/>
  <c r="M1426" i="1"/>
  <c r="O1329" i="1"/>
  <c r="N1329" i="1"/>
  <c r="K1351" i="1"/>
  <c r="O1351" i="1" s="1"/>
  <c r="O1352" i="1" s="1"/>
  <c r="K1403" i="1"/>
  <c r="K1461" i="1"/>
  <c r="M1565" i="1"/>
  <c r="O1461" i="1"/>
  <c r="M1465" i="1"/>
  <c r="N1442" i="1"/>
  <c r="K1447" i="1"/>
  <c r="N1447" i="1" s="1"/>
  <c r="L1426" i="1"/>
  <c r="L1616" i="1"/>
  <c r="K1512" i="1"/>
  <c r="O1512" i="1" s="1"/>
  <c r="G1525" i="13"/>
  <c r="J1525" i="13" s="1"/>
  <c r="O1277" i="1"/>
  <c r="L1623" i="1"/>
  <c r="G1532" i="13"/>
  <c r="J1532" i="13" s="1"/>
  <c r="K1519" i="1"/>
  <c r="N1434" i="1"/>
  <c r="K1438" i="1"/>
  <c r="O1434" i="1"/>
  <c r="N1445" i="1"/>
  <c r="O1445" i="1"/>
  <c r="M1726" i="1"/>
  <c r="M1830" i="1" s="1"/>
  <c r="G1307" i="13"/>
  <c r="G1308" i="13" s="1"/>
  <c r="N883" i="17"/>
  <c r="L1007" i="17"/>
  <c r="N1398" i="1"/>
  <c r="O1398" i="1"/>
  <c r="M1579" i="1"/>
  <c r="M1815" i="1"/>
  <c r="M1473" i="1"/>
  <c r="L1582" i="1"/>
  <c r="G1491" i="13"/>
  <c r="J1491" i="13" s="1"/>
  <c r="K1478" i="1"/>
  <c r="O1218" i="1"/>
  <c r="L1417" i="1"/>
  <c r="N889" i="17"/>
  <c r="Q944" i="17"/>
  <c r="K1004" i="17"/>
  <c r="J944" i="17"/>
  <c r="L926" i="17"/>
  <c r="K911" i="17"/>
  <c r="Q851" i="17"/>
  <c r="J851" i="17"/>
  <c r="M851" i="17" s="1"/>
  <c r="K940" i="17"/>
  <c r="Q880" i="17"/>
  <c r="J880" i="17"/>
  <c r="Q867" i="17"/>
  <c r="K927" i="17"/>
  <c r="J867" i="17"/>
  <c r="L922" i="17"/>
  <c r="N862" i="17"/>
  <c r="Q852" i="17"/>
  <c r="K912" i="17"/>
  <c r="J852" i="17"/>
  <c r="M852" i="17" s="1"/>
  <c r="L912" i="17"/>
  <c r="Q887" i="17"/>
  <c r="K947" i="17"/>
  <c r="J887" i="17"/>
  <c r="K942" i="17"/>
  <c r="Q882" i="17"/>
  <c r="J882" i="17"/>
  <c r="M882" i="17" s="1"/>
  <c r="K948" i="17"/>
  <c r="Q888" i="17"/>
  <c r="J888" i="17"/>
  <c r="L954" i="17"/>
  <c r="N894" i="17"/>
  <c r="K946" i="17"/>
  <c r="Q886" i="17"/>
  <c r="J886" i="17"/>
  <c r="Q873" i="17"/>
  <c r="K933" i="17"/>
  <c r="J873" i="17"/>
  <c r="M873" i="17" s="1"/>
  <c r="K909" i="17"/>
  <c r="Q849" i="17"/>
  <c r="J849" i="17"/>
  <c r="K925" i="17"/>
  <c r="K895" i="17"/>
  <c r="K896" i="17" s="1"/>
  <c r="Q865" i="17"/>
  <c r="J865" i="17"/>
  <c r="M1603" i="1"/>
  <c r="M1707" i="1" s="1"/>
  <c r="N1178" i="1"/>
  <c r="K1194" i="1"/>
  <c r="J1442" i="13"/>
  <c r="J1445" i="13" s="1"/>
  <c r="G1445" i="13"/>
  <c r="M2296" i="1"/>
  <c r="N1484" i="1"/>
  <c r="O1484" i="1"/>
  <c r="K1322" i="1"/>
  <c r="N1322" i="1" s="1"/>
  <c r="N1317" i="1"/>
  <c r="N1192" i="1"/>
  <c r="O1192" i="1"/>
  <c r="M2035" i="1"/>
  <c r="O1435" i="1"/>
  <c r="N1435" i="1"/>
  <c r="N1436" i="1"/>
  <c r="O1436" i="1"/>
  <c r="M1755" i="1"/>
  <c r="N1420" i="1"/>
  <c r="O1420" i="1"/>
  <c r="L1600" i="1"/>
  <c r="G1509" i="13"/>
  <c r="K1496" i="1"/>
  <c r="M878" i="17"/>
  <c r="N878" i="17"/>
  <c r="L1066" i="17"/>
  <c r="F1163" i="16"/>
  <c r="I1081" i="16"/>
  <c r="K841" i="17"/>
  <c r="Q781" i="17"/>
  <c r="J781" i="17"/>
  <c r="O1425" i="1"/>
  <c r="L1631" i="1"/>
  <c r="G1540" i="13"/>
  <c r="J1540" i="13" s="1"/>
  <c r="K1527" i="1"/>
  <c r="J1434" i="13"/>
  <c r="J1437" i="13" s="1"/>
  <c r="G1437" i="13"/>
  <c r="M1495" i="1"/>
  <c r="M1595" i="1"/>
  <c r="N1443" i="1"/>
  <c r="O1443" i="1"/>
  <c r="L1597" i="1"/>
  <c r="G1506" i="13"/>
  <c r="J1506" i="13" s="1"/>
  <c r="K1493" i="1"/>
  <c r="L1622" i="1"/>
  <c r="K1518" i="1"/>
  <c r="G1531" i="13"/>
  <c r="J1531" i="13" s="1"/>
  <c r="L1499" i="1"/>
  <c r="K1395" i="1"/>
  <c r="G1407" i="13"/>
  <c r="J1407" i="13" s="1"/>
  <c r="K1361" i="1"/>
  <c r="N1357" i="1"/>
  <c r="M1670" i="1"/>
  <c r="K1296" i="1"/>
  <c r="L1579" i="1"/>
  <c r="G1488" i="13"/>
  <c r="J1488" i="13" s="1"/>
  <c r="K1475" i="1"/>
  <c r="N1475" i="1" s="1"/>
  <c r="L997" i="17"/>
  <c r="L1661" i="1"/>
  <c r="K1557" i="1"/>
  <c r="G1570" i="13"/>
  <c r="J1399" i="13"/>
  <c r="J1403" i="13" s="1"/>
  <c r="G1403" i="13"/>
  <c r="N1437" i="1"/>
  <c r="O1437" i="1"/>
  <c r="N1366" i="1"/>
  <c r="O1366" i="1"/>
  <c r="M1789" i="1"/>
  <c r="L1566" i="1"/>
  <c r="G1475" i="13"/>
  <c r="J1475" i="13" s="1"/>
  <c r="K1462" i="1"/>
  <c r="L1596" i="1"/>
  <c r="G1505" i="13"/>
  <c r="J1505" i="13" s="1"/>
  <c r="K1492" i="1"/>
  <c r="N1404" i="1"/>
  <c r="O1404" i="1"/>
  <c r="O1450" i="1"/>
  <c r="K1480" i="1"/>
  <c r="L1584" i="1"/>
  <c r="G1493" i="13"/>
  <c r="J1493" i="13" s="1"/>
  <c r="K1471" i="1"/>
  <c r="L1575" i="1"/>
  <c r="G1484" i="13"/>
  <c r="J1484" i="13" s="1"/>
  <c r="L1639" i="1"/>
  <c r="G1548" i="13"/>
  <c r="J1548" i="13" s="1"/>
  <c r="K1535" i="1"/>
  <c r="J1451" i="13"/>
  <c r="J1453" i="13" s="1"/>
  <c r="G1453" i="13"/>
  <c r="M1626" i="1"/>
  <c r="M1525" i="1"/>
  <c r="O1522" i="1"/>
  <c r="M2160" i="1"/>
  <c r="O1440" i="1"/>
  <c r="N1440" i="1"/>
  <c r="J1415" i="13"/>
  <c r="J1424" i="13" s="1"/>
  <c r="G1424" i="13"/>
  <c r="M2389" i="1"/>
  <c r="N1393" i="1"/>
  <c r="O1393" i="1"/>
  <c r="K1463" i="1"/>
  <c r="L1567" i="1"/>
  <c r="G1476" i="13"/>
  <c r="J1476" i="13" s="1"/>
  <c r="J1454" i="13"/>
  <c r="J1459" i="13" s="1"/>
  <c r="G1459" i="13"/>
  <c r="J1430" i="13"/>
  <c r="J1433" i="13" s="1"/>
  <c r="J1438" i="13" s="1"/>
  <c r="G1433" i="13"/>
  <c r="G1438" i="13" s="1"/>
  <c r="F1178" i="16"/>
  <c r="I1096" i="16"/>
  <c r="K1464" i="1"/>
  <c r="L1568" i="1"/>
  <c r="G1477" i="13"/>
  <c r="J1477" i="13" s="1"/>
  <c r="M1852" i="1"/>
  <c r="O1257" i="1"/>
  <c r="N1257" i="1"/>
  <c r="K1282" i="1"/>
  <c r="O1424" i="1"/>
  <c r="N1424" i="1"/>
  <c r="J1446" i="13"/>
  <c r="G1450" i="13"/>
  <c r="G1467" i="13" s="1"/>
  <c r="G1468" i="13" s="1"/>
  <c r="O1447" i="1"/>
  <c r="J1307" i="13"/>
  <c r="J1308" i="13" s="1"/>
  <c r="L1003" i="17"/>
  <c r="N943" i="17"/>
  <c r="L981" i="17"/>
  <c r="K1511" i="1"/>
  <c r="O1511" i="1" s="1"/>
  <c r="L1615" i="1"/>
  <c r="G1524" i="13"/>
  <c r="J1524" i="13" s="1"/>
  <c r="L1116" i="17"/>
  <c r="M1674" i="1"/>
  <c r="M1577" i="1"/>
  <c r="M1790" i="1"/>
  <c r="G1293" i="13"/>
  <c r="K1536" i="1"/>
  <c r="L1640" i="1"/>
  <c r="G1549" i="13"/>
  <c r="J1549" i="13" s="1"/>
  <c r="J1425" i="13"/>
  <c r="J1428" i="13" s="1"/>
  <c r="G1428" i="13"/>
  <c r="J1285" i="13"/>
  <c r="J1288" i="13" s="1"/>
  <c r="J1293" i="13" s="1"/>
  <c r="J1309" i="13" s="1"/>
  <c r="J1364" i="13" s="1"/>
  <c r="G1288" i="13"/>
  <c r="L1009" i="17"/>
  <c r="N949" i="17"/>
  <c r="O1178" i="1"/>
  <c r="K930" i="17"/>
  <c r="J870" i="17"/>
  <c r="Q870" i="17"/>
  <c r="Q861" i="17"/>
  <c r="K921" i="17"/>
  <c r="J861" i="17"/>
  <c r="K926" i="17"/>
  <c r="Q866" i="17"/>
  <c r="J866" i="17"/>
  <c r="M866" i="17" s="1"/>
  <c r="Q850" i="17"/>
  <c r="K910" i="17"/>
  <c r="J850" i="17"/>
  <c r="L916" i="17"/>
  <c r="L863" i="17"/>
  <c r="K932" i="17"/>
  <c r="J872" i="17"/>
  <c r="Q872" i="17"/>
  <c r="K934" i="17"/>
  <c r="Q874" i="17"/>
  <c r="J874" i="17"/>
  <c r="M874" i="17" s="1"/>
  <c r="K950" i="17"/>
  <c r="J890" i="17"/>
  <c r="M890" i="17" s="1"/>
  <c r="Q890" i="17"/>
  <c r="L908" i="17"/>
  <c r="N848" i="17"/>
  <c r="K904" i="17"/>
  <c r="Q844" i="17"/>
  <c r="J844" i="17"/>
  <c r="L950" i="17"/>
  <c r="N890" i="17"/>
  <c r="Q881" i="17"/>
  <c r="K941" i="17"/>
  <c r="J881" i="17"/>
  <c r="M881" i="17" s="1"/>
  <c r="J847" i="17"/>
  <c r="K907" i="17"/>
  <c r="K854" i="17"/>
  <c r="Q847" i="17"/>
  <c r="L902" i="17"/>
  <c r="L962" i="17" s="1"/>
  <c r="L1022" i="17" s="1"/>
  <c r="N842" i="17"/>
  <c r="L917" i="17"/>
  <c r="N857" i="17"/>
  <c r="M1709" i="1"/>
  <c r="K1498" i="1"/>
  <c r="L1602" i="1"/>
  <c r="G1511" i="13"/>
  <c r="J1511" i="13" s="1"/>
  <c r="O1452" i="1"/>
  <c r="K1454" i="1"/>
  <c r="N1454" i="1" s="1"/>
  <c r="N1452" i="1"/>
  <c r="O1416" i="1"/>
  <c r="M1600" i="1"/>
  <c r="M1504" i="1"/>
  <c r="O1496" i="1"/>
  <c r="L1537" i="1"/>
  <c r="L1638" i="1"/>
  <c r="G1547" i="13"/>
  <c r="K1534" i="1"/>
  <c r="N1363" i="1"/>
  <c r="O1363" i="1"/>
  <c r="J1450" i="13"/>
  <c r="J1467" i="13" s="1"/>
  <c r="J1468" i="13" s="1"/>
  <c r="M1656" i="1"/>
  <c r="M1555" i="1"/>
  <c r="M2022" i="1"/>
  <c r="M1117" i="1"/>
  <c r="M1145" i="1" s="1"/>
  <c r="O1145" i="1" s="1"/>
  <c r="O1116" i="1"/>
  <c r="O1117" i="1" s="1"/>
  <c r="J1374" i="13"/>
  <c r="J1381" i="13" s="1"/>
  <c r="G1381" i="13"/>
  <c r="K1377" i="1"/>
  <c r="N1377" i="1" s="1"/>
  <c r="N1370" i="1"/>
  <c r="M2069" i="1"/>
  <c r="L987" i="17"/>
  <c r="L1047" i="17" s="1"/>
  <c r="O1446" i="1"/>
  <c r="N1446" i="1"/>
  <c r="M1545" i="1"/>
  <c r="M1647" i="1"/>
  <c r="O1317" i="1"/>
  <c r="O1448" i="1"/>
  <c r="K1451" i="1"/>
  <c r="N1451" i="1" s="1"/>
  <c r="N1448" i="1"/>
  <c r="K1308" i="1"/>
  <c r="N1299" i="1"/>
  <c r="M1220" i="1"/>
  <c r="O1209" i="1"/>
  <c r="K1526" i="1"/>
  <c r="L1630" i="1"/>
  <c r="G1539" i="13"/>
  <c r="L1529" i="1"/>
  <c r="L1530" i="1" s="1"/>
  <c r="N1444" i="1"/>
  <c r="O1444" i="1"/>
  <c r="L1118" i="17"/>
  <c r="M1781" i="1"/>
  <c r="M1675" i="1"/>
  <c r="L1604" i="1"/>
  <c r="G1513" i="13"/>
  <c r="J1513" i="13" s="1"/>
  <c r="K1500" i="1"/>
  <c r="N1372" i="1"/>
  <c r="O1372" i="1"/>
  <c r="N1382" i="1"/>
  <c r="K1385" i="1"/>
  <c r="N1385" i="1" s="1"/>
  <c r="J1369" i="13"/>
  <c r="J1373" i="13" s="1"/>
  <c r="G1373" i="13"/>
  <c r="N1334" i="1"/>
  <c r="O1334" i="1"/>
  <c r="L1124" i="17"/>
  <c r="M1966" i="1"/>
  <c r="M2155" i="1"/>
  <c r="L985" i="17"/>
  <c r="K1487" i="1"/>
  <c r="L1591" i="1"/>
  <c r="G1500" i="13"/>
  <c r="J1500" i="13" s="1"/>
  <c r="L1635" i="1"/>
  <c r="G1544" i="13"/>
  <c r="J1544" i="13" s="1"/>
  <c r="K1531" i="1"/>
  <c r="L1024" i="17"/>
  <c r="L1084" i="17" s="1"/>
  <c r="N1453" i="1"/>
  <c r="O1453" i="1"/>
  <c r="L1595" i="1"/>
  <c r="G1504" i="13"/>
  <c r="K1491" i="1"/>
  <c r="L1495" i="1"/>
  <c r="M1705" i="1"/>
  <c r="O1308" i="1"/>
  <c r="M1313" i="1"/>
  <c r="M1324" i="1" s="1"/>
  <c r="M1325" i="1" s="1"/>
  <c r="M1481" i="1"/>
  <c r="M1578" i="1"/>
  <c r="O1474" i="1"/>
  <c r="L1657" i="1"/>
  <c r="G1566" i="13"/>
  <c r="J1566" i="13" s="1"/>
  <c r="K1553" i="1"/>
  <c r="N1388" i="1"/>
  <c r="O1388" i="1"/>
  <c r="L1572" i="1"/>
  <c r="G1481" i="13"/>
  <c r="J1481" i="13" s="1"/>
  <c r="K1468" i="1"/>
  <c r="N1468" i="1" s="1"/>
  <c r="L1060" i="17"/>
  <c r="M1658" i="1"/>
  <c r="O1554" i="1"/>
  <c r="O1367" i="1"/>
  <c r="N1367" i="1"/>
  <c r="M1914" i="1"/>
  <c r="L1627" i="1"/>
  <c r="K1523" i="1"/>
  <c r="G1536" i="13"/>
  <c r="J1536" i="13" s="1"/>
  <c r="M1660" i="1"/>
  <c r="M1558" i="1"/>
  <c r="O1556" i="1"/>
  <c r="L1545" i="1"/>
  <c r="L1647" i="1"/>
  <c r="K1543" i="1"/>
  <c r="G1556" i="13"/>
  <c r="O1384" i="1"/>
  <c r="L1611" i="1"/>
  <c r="G1520" i="13"/>
  <c r="K1507" i="1"/>
  <c r="O1357" i="1"/>
  <c r="G1510" i="13"/>
  <c r="J1510" i="13" s="1"/>
  <c r="L1601" i="1"/>
  <c r="K1497" i="1"/>
  <c r="N1359" i="1"/>
  <c r="O1359" i="1"/>
  <c r="L1573" i="1"/>
  <c r="K1469" i="1"/>
  <c r="G1482" i="13"/>
  <c r="J1482" i="13" s="1"/>
  <c r="L1551" i="1"/>
  <c r="L1650" i="1"/>
  <c r="K1546" i="1"/>
  <c r="G1559" i="13"/>
  <c r="O1418" i="1"/>
  <c r="N1418" i="1"/>
  <c r="K1421" i="1"/>
  <c r="L1033" i="17"/>
  <c r="L1112" i="17"/>
  <c r="O1415" i="1"/>
  <c r="N1415" i="1"/>
  <c r="L1581" i="1"/>
  <c r="G1490" i="13"/>
  <c r="J1490" i="13" s="1"/>
  <c r="K1477" i="1"/>
  <c r="L1642" i="1"/>
  <c r="G1551" i="13"/>
  <c r="K1538" i="1"/>
  <c r="L1542" i="1"/>
  <c r="L1559" i="1" s="1"/>
  <c r="L1560" i="1" s="1"/>
  <c r="L1653" i="1"/>
  <c r="K1549" i="1"/>
  <c r="G1562" i="13"/>
  <c r="J1562" i="13" s="1"/>
  <c r="O1442" i="1"/>
  <c r="K859" i="17"/>
  <c r="K863" i="17" s="1"/>
  <c r="K864" i="17" s="1"/>
  <c r="Q799" i="17"/>
  <c r="M1835" i="1"/>
  <c r="M1282" i="1"/>
  <c r="N1374" i="1"/>
  <c r="O1374" i="1"/>
  <c r="M1896" i="1"/>
  <c r="L1583" i="1"/>
  <c r="G1492" i="13"/>
  <c r="J1492" i="13" s="1"/>
  <c r="K1479" i="1"/>
  <c r="M1775" i="1"/>
  <c r="L1621" i="1"/>
  <c r="G1530" i="13"/>
  <c r="K1517" i="1"/>
  <c r="L1520" i="1"/>
  <c r="L1521" i="1" s="1"/>
  <c r="L1532" i="1" s="1"/>
  <c r="L1533" i="1" s="1"/>
  <c r="L1482" i="1"/>
  <c r="G1390" i="13"/>
  <c r="L1381" i="1"/>
  <c r="L1386" i="1" s="1"/>
  <c r="L1402" i="1" s="1"/>
  <c r="K1378" i="1"/>
  <c r="K997" i="17"/>
  <c r="Q937" i="17"/>
  <c r="J937" i="17"/>
  <c r="M937" i="17" s="1"/>
  <c r="M884" i="17"/>
  <c r="N884" i="17"/>
  <c r="I1029" i="16"/>
  <c r="I1140" i="16"/>
  <c r="F1222" i="16"/>
  <c r="I1087" i="16"/>
  <c r="F1169" i="16"/>
  <c r="F1190" i="16"/>
  <c r="I1108" i="16"/>
  <c r="I1127" i="16"/>
  <c r="F1209" i="16"/>
  <c r="F1199" i="16"/>
  <c r="I1117" i="16"/>
  <c r="F1229" i="16"/>
  <c r="I1147" i="16"/>
  <c r="F1183" i="16"/>
  <c r="I1101" i="16"/>
  <c r="F1233" i="16"/>
  <c r="I1151" i="16"/>
  <c r="I1153" i="16"/>
  <c r="F1235" i="16"/>
  <c r="F1172" i="16"/>
  <c r="I1090" i="16"/>
  <c r="I1148" i="16"/>
  <c r="F1230" i="16"/>
  <c r="F1203" i="16"/>
  <c r="I1121" i="16"/>
  <c r="F1179" i="16"/>
  <c r="I1097" i="16"/>
  <c r="I1122" i="16"/>
  <c r="F1204" i="16"/>
  <c r="F1176" i="16"/>
  <c r="I1094" i="16"/>
  <c r="F1171" i="16"/>
  <c r="I1089" i="16"/>
  <c r="F1236" i="16"/>
  <c r="I1154" i="16"/>
  <c r="I1141" i="16"/>
  <c r="F1223" i="16"/>
  <c r="I1083" i="16"/>
  <c r="F1165" i="16"/>
  <c r="I1085" i="16"/>
  <c r="F1167" i="16"/>
  <c r="I1100" i="16"/>
  <c r="F1182" i="16"/>
  <c r="I1126" i="16"/>
  <c r="F1208" i="16"/>
  <c r="I1131" i="16"/>
  <c r="F1213" i="16"/>
  <c r="I1025" i="16"/>
  <c r="I1137" i="16"/>
  <c r="F1219" i="16"/>
  <c r="I1114" i="16"/>
  <c r="F1196" i="16"/>
  <c r="I1092" i="16"/>
  <c r="F1174" i="16"/>
  <c r="I1110" i="16"/>
  <c r="F1192" i="16"/>
  <c r="I1102" i="16"/>
  <c r="F1184" i="16"/>
  <c r="I949" i="16"/>
  <c r="I1013" i="16"/>
  <c r="F1221" i="16"/>
  <c r="I1139" i="16"/>
  <c r="F1168" i="16"/>
  <c r="I1086" i="16"/>
  <c r="F1202" i="16"/>
  <c r="I1120" i="16"/>
  <c r="F1188" i="16"/>
  <c r="I1106" i="16"/>
  <c r="I1084" i="16"/>
  <c r="F1166" i="16"/>
  <c r="F1187" i="16"/>
  <c r="I1105" i="16"/>
  <c r="I1144" i="16"/>
  <c r="F1226" i="16"/>
  <c r="I994" i="16"/>
  <c r="F1210" i="16"/>
  <c r="I1128" i="16"/>
  <c r="I1103" i="16"/>
  <c r="F1185" i="16"/>
  <c r="F1206" i="16"/>
  <c r="I1124" i="16"/>
  <c r="F1220" i="16"/>
  <c r="I1138" i="16"/>
  <c r="F1225" i="16"/>
  <c r="I1143" i="16"/>
  <c r="I1130" i="16"/>
  <c r="F1212" i="16"/>
  <c r="I1088" i="16"/>
  <c r="F1170" i="16"/>
  <c r="I1118" i="16"/>
  <c r="F1200" i="16"/>
  <c r="F1214" i="16"/>
  <c r="I1132" i="16"/>
  <c r="I1104" i="16"/>
  <c r="F1186" i="16"/>
  <c r="I1135" i="16"/>
  <c r="F1217" i="16"/>
  <c r="F1215" i="16"/>
  <c r="I1133" i="16"/>
  <c r="I1115" i="16"/>
  <c r="F1197" i="16"/>
  <c r="F1180" i="16"/>
  <c r="I1098" i="16"/>
  <c r="I1116" i="16"/>
  <c r="F1198" i="16"/>
  <c r="I1091" i="16"/>
  <c r="F1173" i="16"/>
  <c r="I1119" i="16"/>
  <c r="F1201" i="16"/>
  <c r="F1175" i="16"/>
  <c r="I1093" i="16"/>
  <c r="I1136" i="16"/>
  <c r="F1218" i="16"/>
  <c r="F1232" i="16"/>
  <c r="I1150" i="16"/>
  <c r="I1123" i="16"/>
  <c r="F1205" i="16"/>
  <c r="I1073" i="16"/>
  <c r="I1052" i="16"/>
  <c r="F1224" i="16"/>
  <c r="I1142" i="16"/>
  <c r="I1152" i="16"/>
  <c r="F1234" i="16"/>
  <c r="I1149" i="16"/>
  <c r="F1231" i="16"/>
  <c r="F1191" i="16"/>
  <c r="I1109" i="16"/>
  <c r="I1129" i="16"/>
  <c r="F1211" i="16"/>
  <c r="F1207" i="16"/>
  <c r="I1125" i="16"/>
  <c r="I1099" i="16"/>
  <c r="F1181" i="16"/>
  <c r="I1145" i="16"/>
  <c r="F1227" i="16"/>
  <c r="F1228" i="16"/>
  <c r="I1146" i="16"/>
  <c r="Q843" i="17"/>
  <c r="K903" i="17"/>
  <c r="J843" i="17"/>
  <c r="L905" i="17"/>
  <c r="L846" i="17"/>
  <c r="N618" i="17"/>
  <c r="K905" i="17"/>
  <c r="Q845" i="17"/>
  <c r="J845" i="17"/>
  <c r="K846" i="17"/>
  <c r="K855" i="17" s="1"/>
  <c r="N829" i="17"/>
  <c r="N823" i="17"/>
  <c r="N717" i="17"/>
  <c r="M717" i="17"/>
  <c r="Q798" i="17"/>
  <c r="J798" i="17"/>
  <c r="L786" i="17"/>
  <c r="Q775" i="17"/>
  <c r="Q776" i="17" s="1"/>
  <c r="N732" i="17"/>
  <c r="N731" i="17"/>
  <c r="M737" i="17"/>
  <c r="J744" i="17"/>
  <c r="M744" i="17" s="1"/>
  <c r="J801" i="17"/>
  <c r="Q801" i="17"/>
  <c r="Q797" i="17"/>
  <c r="J797" i="17"/>
  <c r="M797" i="17" s="1"/>
  <c r="Q834" i="17"/>
  <c r="J834" i="17"/>
  <c r="M834" i="17" s="1"/>
  <c r="M756" i="17"/>
  <c r="N756" i="17"/>
  <c r="Q827" i="17"/>
  <c r="J827" i="17"/>
  <c r="M725" i="17"/>
  <c r="N725" i="17"/>
  <c r="J825" i="17"/>
  <c r="M825" i="17" s="1"/>
  <c r="Q825" i="17"/>
  <c r="Q788" i="17"/>
  <c r="J788" i="17"/>
  <c r="M788" i="17" s="1"/>
  <c r="K745" i="17"/>
  <c r="Q744" i="17"/>
  <c r="Q745" i="17" s="1"/>
  <c r="M752" i="17"/>
  <c r="N752" i="17"/>
  <c r="M658" i="17"/>
  <c r="J659" i="17"/>
  <c r="N658" i="17"/>
  <c r="J833" i="17"/>
  <c r="M833" i="17" s="1"/>
  <c r="Q833" i="17"/>
  <c r="Q830" i="17"/>
  <c r="J830" i="17"/>
  <c r="M830" i="17" s="1"/>
  <c r="N733" i="17"/>
  <c r="Q832" i="17"/>
  <c r="J832" i="17"/>
  <c r="N740" i="17"/>
  <c r="Q727" i="17"/>
  <c r="Q784" i="17"/>
  <c r="J784" i="17"/>
  <c r="N765" i="17"/>
  <c r="N770" i="17"/>
  <c r="Q826" i="17"/>
  <c r="J826" i="17"/>
  <c r="J813" i="17"/>
  <c r="M813" i="17" s="1"/>
  <c r="Q813" i="17"/>
  <c r="J735" i="17"/>
  <c r="M735" i="17" s="1"/>
  <c r="M728" i="17"/>
  <c r="Q789" i="17"/>
  <c r="J789" i="17"/>
  <c r="N746" i="17"/>
  <c r="M746" i="17"/>
  <c r="N761" i="17"/>
  <c r="Q808" i="17"/>
  <c r="J808" i="17"/>
  <c r="M808" i="17" s="1"/>
  <c r="N728" i="17"/>
  <c r="K803" i="17"/>
  <c r="K804" i="17" s="1"/>
  <c r="J796" i="17"/>
  <c r="Q796" i="17"/>
  <c r="Q810" i="17"/>
  <c r="J810" i="17"/>
  <c r="Q790" i="17"/>
  <c r="J790" i="17"/>
  <c r="M790" i="17" s="1"/>
  <c r="M685" i="17"/>
  <c r="N685" i="17"/>
  <c r="N834" i="17"/>
  <c r="M742" i="17"/>
  <c r="N742" i="17"/>
  <c r="L745" i="17"/>
  <c r="N744" i="17"/>
  <c r="J820" i="17"/>
  <c r="Q820" i="17"/>
  <c r="Q807" i="17"/>
  <c r="J807" i="17"/>
  <c r="M734" i="17"/>
  <c r="N734" i="17"/>
  <c r="Q785" i="17"/>
  <c r="J785" i="17"/>
  <c r="M785" i="17" s="1"/>
  <c r="Q816" i="17"/>
  <c r="J816" i="17"/>
  <c r="J799" i="17"/>
  <c r="M799" i="17" s="1"/>
  <c r="K786" i="17"/>
  <c r="Q782" i="17"/>
  <c r="J782" i="17"/>
  <c r="N813" i="17"/>
  <c r="M768" i="17"/>
  <c r="N768" i="17"/>
  <c r="N825" i="17"/>
  <c r="N830" i="17"/>
  <c r="J821" i="17"/>
  <c r="M821" i="17" s="1"/>
  <c r="Q821" i="17"/>
  <c r="J787" i="17"/>
  <c r="K794" i="17"/>
  <c r="Q787" i="17"/>
  <c r="N739" i="17"/>
  <c r="M739" i="17"/>
  <c r="K776" i="17"/>
  <c r="N821" i="17"/>
  <c r="Q819" i="17"/>
  <c r="J819" i="17"/>
  <c r="M819" i="17" s="1"/>
  <c r="L794" i="17"/>
  <c r="N787" i="17"/>
  <c r="Q783" i="17"/>
  <c r="J783" i="17"/>
  <c r="M783" i="17" s="1"/>
  <c r="J806" i="17"/>
  <c r="M806" i="17" s="1"/>
  <c r="Q806" i="17"/>
  <c r="M760" i="17"/>
  <c r="N760" i="17"/>
  <c r="M748" i="17"/>
  <c r="N748" i="17"/>
  <c r="Q793" i="17"/>
  <c r="J793" i="17"/>
  <c r="Q792" i="17"/>
  <c r="J792" i="17"/>
  <c r="M792" i="17" s="1"/>
  <c r="M723" i="17"/>
  <c r="J727" i="17"/>
  <c r="N727" i="17" s="1"/>
  <c r="Q822" i="17"/>
  <c r="J822" i="17"/>
  <c r="M822" i="17" s="1"/>
  <c r="Q828" i="17"/>
  <c r="J828" i="17"/>
  <c r="N833" i="17"/>
  <c r="J800" i="17"/>
  <c r="Q800" i="17"/>
  <c r="N806" i="17"/>
  <c r="M751" i="17"/>
  <c r="J775" i="17"/>
  <c r="N751" i="17"/>
  <c r="Q791" i="17"/>
  <c r="J791" i="17"/>
  <c r="M791" i="17" s="1"/>
  <c r="J745" i="17"/>
  <c r="M745" i="17" s="1"/>
  <c r="N741" i="17"/>
  <c r="L835" i="17"/>
  <c r="L803" i="17"/>
  <c r="N796" i="17"/>
  <c r="J812" i="17"/>
  <c r="Q812" i="17"/>
  <c r="N824" i="17"/>
  <c r="M824" i="17"/>
  <c r="N724" i="17"/>
  <c r="M716" i="17"/>
  <c r="N716" i="17"/>
  <c r="Q814" i="17"/>
  <c r="J814" i="17"/>
  <c r="M814" i="17" s="1"/>
  <c r="M600" i="17"/>
  <c r="N600" i="17"/>
  <c r="Q802" i="17"/>
  <c r="J802" i="17"/>
  <c r="M802" i="17" s="1"/>
  <c r="Q809" i="17"/>
  <c r="J809" i="17"/>
  <c r="N822" i="17"/>
  <c r="M772" i="17"/>
  <c r="N772" i="17"/>
  <c r="K736" i="17"/>
  <c r="K777" i="17" s="1"/>
  <c r="M767" i="17"/>
  <c r="N767" i="17"/>
  <c r="N774" i="17"/>
  <c r="M766" i="17"/>
  <c r="N766" i="17"/>
  <c r="Q815" i="17"/>
  <c r="J815" i="17"/>
  <c r="M815" i="17" s="1"/>
  <c r="Q735" i="17"/>
  <c r="M730" i="17"/>
  <c r="N730" i="17"/>
  <c r="Q831" i="17"/>
  <c r="J831" i="17"/>
  <c r="M831" i="17" s="1"/>
  <c r="L736" i="17"/>
  <c r="Q805" i="17"/>
  <c r="J805" i="17"/>
  <c r="K835" i="17"/>
  <c r="K836" i="17" s="1"/>
  <c r="M818" i="17"/>
  <c r="N818" i="17"/>
  <c r="Q677" i="17"/>
  <c r="Q718" i="17" s="1"/>
  <c r="M668" i="17"/>
  <c r="J677" i="17"/>
  <c r="M677" i="17" s="1"/>
  <c r="N735" i="17"/>
  <c r="J686" i="17"/>
  <c r="N738" i="17"/>
  <c r="O986" i="1"/>
  <c r="O937" i="1"/>
  <c r="K1013" i="1"/>
  <c r="K1041" i="1" s="1"/>
  <c r="N1041" i="1" s="1"/>
  <c r="N1012" i="1"/>
  <c r="N1013" i="1" s="1"/>
  <c r="O1012" i="1"/>
  <c r="O1013" i="1" s="1"/>
  <c r="S28" i="14"/>
  <c r="T28" i="14" s="1"/>
  <c r="S25" i="14"/>
  <c r="T25" i="14" s="1"/>
  <c r="N113" i="1"/>
  <c r="O113" i="1"/>
  <c r="I83" i="16"/>
  <c r="I85" i="16"/>
  <c r="S16" i="14"/>
  <c r="T16" i="14" s="1"/>
  <c r="S21" i="14"/>
  <c r="T21" i="14" s="1"/>
  <c r="S20" i="14"/>
  <c r="T20" i="14" s="1"/>
  <c r="S14" i="14"/>
  <c r="T14" i="14" s="1"/>
  <c r="S22" i="14"/>
  <c r="T22" i="14" s="1"/>
  <c r="S23" i="14"/>
  <c r="T23" i="14" s="1"/>
  <c r="S27" i="14"/>
  <c r="T27" i="14" s="1"/>
  <c r="S15" i="14"/>
  <c r="T15" i="14" s="1"/>
  <c r="S13" i="14"/>
  <c r="T13" i="14" s="1"/>
  <c r="S26" i="14"/>
  <c r="T26" i="14" s="1"/>
  <c r="S18" i="14"/>
  <c r="T18" i="14" s="1"/>
  <c r="S17" i="14"/>
  <c r="T17" i="14" s="1"/>
  <c r="S24" i="14"/>
  <c r="T24" i="14" s="1"/>
  <c r="K897" i="17" l="1"/>
  <c r="K1381" i="1"/>
  <c r="N1381" i="1" s="1"/>
  <c r="N1378" i="1"/>
  <c r="L1687" i="1"/>
  <c r="G1597" i="13"/>
  <c r="J1597" i="13" s="1"/>
  <c r="K1583" i="1"/>
  <c r="O1538" i="1"/>
  <c r="N1538" i="1"/>
  <c r="K1542" i="1"/>
  <c r="K1426" i="1"/>
  <c r="N1426" i="1" s="1"/>
  <c r="N1421" i="1"/>
  <c r="K1551" i="1"/>
  <c r="N1551" i="1" s="1"/>
  <c r="N1546" i="1"/>
  <c r="N1469" i="1"/>
  <c r="O1469" i="1"/>
  <c r="N1497" i="1"/>
  <c r="O1497" i="1"/>
  <c r="O1507" i="1"/>
  <c r="N1507" i="1"/>
  <c r="K1516" i="1"/>
  <c r="J1556" i="13"/>
  <c r="J1558" i="13" s="1"/>
  <c r="G1558" i="13"/>
  <c r="O1523" i="1"/>
  <c r="N1523" i="1"/>
  <c r="K1572" i="1"/>
  <c r="N1572" i="1" s="1"/>
  <c r="L1676" i="1"/>
  <c r="G1586" i="13"/>
  <c r="J1586" i="13" s="1"/>
  <c r="M1809" i="1"/>
  <c r="L1699" i="1"/>
  <c r="G1609" i="13"/>
  <c r="L1599" i="1"/>
  <c r="K1595" i="1"/>
  <c r="L1144" i="17"/>
  <c r="L1045" i="17"/>
  <c r="M2070" i="1"/>
  <c r="L1734" i="1"/>
  <c r="G1644" i="13"/>
  <c r="L1633" i="1"/>
  <c r="K1630" i="1"/>
  <c r="M1751" i="1"/>
  <c r="M1649" i="1"/>
  <c r="L1082" i="17"/>
  <c r="M847" i="17"/>
  <c r="J854" i="17"/>
  <c r="M854" i="17" s="1"/>
  <c r="K964" i="17"/>
  <c r="Q904" i="17"/>
  <c r="J904" i="17"/>
  <c r="K994" i="17"/>
  <c r="J934" i="17"/>
  <c r="M934" i="17" s="1"/>
  <c r="Q934" i="17"/>
  <c r="L864" i="17"/>
  <c r="M861" i="17"/>
  <c r="N861" i="17"/>
  <c r="N870" i="17"/>
  <c r="M870" i="17"/>
  <c r="J895" i="17"/>
  <c r="M895" i="17" s="1"/>
  <c r="L1069" i="17"/>
  <c r="G1309" i="13"/>
  <c r="G1364" i="13" s="1"/>
  <c r="M1778" i="1"/>
  <c r="L1719" i="1"/>
  <c r="G1629" i="13"/>
  <c r="J1629" i="13" s="1"/>
  <c r="K1615" i="1"/>
  <c r="O1615" i="1" s="1"/>
  <c r="N1282" i="1"/>
  <c r="M1956" i="1"/>
  <c r="N1463" i="1"/>
  <c r="O1463" i="1"/>
  <c r="M1530" i="1"/>
  <c r="O1454" i="1"/>
  <c r="K1584" i="1"/>
  <c r="L1688" i="1"/>
  <c r="G1598" i="13"/>
  <c r="J1598" i="13" s="1"/>
  <c r="O1462" i="1"/>
  <c r="N1462" i="1"/>
  <c r="M1893" i="1"/>
  <c r="N937" i="17"/>
  <c r="L1683" i="1"/>
  <c r="G1593" i="13"/>
  <c r="J1593" i="13" s="1"/>
  <c r="K1579" i="1"/>
  <c r="N1579" i="1" s="1"/>
  <c r="K1499" i="1"/>
  <c r="L1603" i="1"/>
  <c r="G1512" i="13"/>
  <c r="J1512" i="13" s="1"/>
  <c r="N1493" i="1"/>
  <c r="O1493" i="1"/>
  <c r="M1699" i="1"/>
  <c r="M1599" i="1"/>
  <c r="O1595" i="1"/>
  <c r="O1385" i="1"/>
  <c r="J1509" i="13"/>
  <c r="G1517" i="13"/>
  <c r="O1451" i="1"/>
  <c r="M2139" i="1"/>
  <c r="M1811" i="1"/>
  <c r="M1915" i="1" s="1"/>
  <c r="Q925" i="17"/>
  <c r="K985" i="17"/>
  <c r="K955" i="17"/>
  <c r="K956" i="17" s="1"/>
  <c r="J925" i="17"/>
  <c r="M888" i="17"/>
  <c r="N888" i="17"/>
  <c r="K972" i="17"/>
  <c r="Q912" i="17"/>
  <c r="J912" i="17"/>
  <c r="M912" i="17" s="1"/>
  <c r="M867" i="17"/>
  <c r="N867" i="17"/>
  <c r="K971" i="17"/>
  <c r="J911" i="17"/>
  <c r="M911" i="17" s="1"/>
  <c r="Q911" i="17"/>
  <c r="Q1004" i="17"/>
  <c r="K1064" i="17"/>
  <c r="J1004" i="17"/>
  <c r="O1475" i="1"/>
  <c r="K1465" i="1"/>
  <c r="N1461" i="1"/>
  <c r="Q1003" i="17"/>
  <c r="K1063" i="17"/>
  <c r="J1499" i="13"/>
  <c r="J1502" i="13" s="1"/>
  <c r="G1502" i="13"/>
  <c r="M1559" i="1"/>
  <c r="M1560" i="1" s="1"/>
  <c r="K1651" i="1"/>
  <c r="L1755" i="1"/>
  <c r="G1665" i="13"/>
  <c r="J1665" i="13" s="1"/>
  <c r="O1552" i="1"/>
  <c r="N1552" i="1"/>
  <c r="K1555" i="1"/>
  <c r="N1555" i="1" s="1"/>
  <c r="O1441" i="1"/>
  <c r="K1578" i="1"/>
  <c r="L1682" i="1"/>
  <c r="L1585" i="1"/>
  <c r="G1592" i="13"/>
  <c r="G1412" i="13"/>
  <c r="N1588" i="1"/>
  <c r="O1588" i="1"/>
  <c r="M1955" i="1"/>
  <c r="N1556" i="1"/>
  <c r="K1558" i="1"/>
  <c r="N1558" i="1" s="1"/>
  <c r="N856" i="17"/>
  <c r="M856" i="17"/>
  <c r="L1005" i="17"/>
  <c r="N879" i="17"/>
  <c r="Q952" i="17"/>
  <c r="K1012" i="17"/>
  <c r="J952" i="17"/>
  <c r="K989" i="17"/>
  <c r="Q929" i="17"/>
  <c r="J929" i="17"/>
  <c r="Q922" i="17"/>
  <c r="K982" i="17"/>
  <c r="J922" i="17"/>
  <c r="M922" i="17" s="1"/>
  <c r="N860" i="17"/>
  <c r="L1013" i="17"/>
  <c r="N1209" i="1"/>
  <c r="K1220" i="1"/>
  <c r="K1606" i="1"/>
  <c r="L1710" i="1"/>
  <c r="G1620" i="13"/>
  <c r="J1620" i="13" s="1"/>
  <c r="K1069" i="17"/>
  <c r="Q1009" i="17"/>
  <c r="J1009" i="17"/>
  <c r="M1009" i="17" s="1"/>
  <c r="N1472" i="1"/>
  <c r="O1472" i="1"/>
  <c r="K1525" i="1"/>
  <c r="O1525" i="1" s="1"/>
  <c r="N1522" i="1"/>
  <c r="G1662" i="13"/>
  <c r="J1662" i="13" s="1"/>
  <c r="L1752" i="1"/>
  <c r="K1648" i="1"/>
  <c r="M1696" i="1"/>
  <c r="L1717" i="1"/>
  <c r="G1627" i="13"/>
  <c r="J1627" i="13" s="1"/>
  <c r="K1613" i="1"/>
  <c r="O1613" i="1" s="1"/>
  <c r="O1391" i="1"/>
  <c r="N1391" i="1"/>
  <c r="G1478" i="13"/>
  <c r="J1474" i="13"/>
  <c r="J1478" i="13" s="1"/>
  <c r="L1762" i="1"/>
  <c r="G1672" i="13"/>
  <c r="J1672" i="13" s="1"/>
  <c r="K1658" i="1"/>
  <c r="N1658" i="1" s="1"/>
  <c r="N1494" i="1"/>
  <c r="O1494" i="1"/>
  <c r="L1723" i="1"/>
  <c r="G1633" i="13"/>
  <c r="J1633" i="13" s="1"/>
  <c r="K1619" i="1"/>
  <c r="N1466" i="1"/>
  <c r="K1473" i="1"/>
  <c r="N1473" i="1" s="1"/>
  <c r="O1466" i="1"/>
  <c r="N1524" i="1"/>
  <c r="O1524" i="1"/>
  <c r="G1657" i="13"/>
  <c r="J1657" i="13" s="1"/>
  <c r="L1747" i="1"/>
  <c r="K1643" i="1"/>
  <c r="N1503" i="1"/>
  <c r="O1503" i="1"/>
  <c r="M1725" i="1"/>
  <c r="M1624" i="1"/>
  <c r="M1676" i="1"/>
  <c r="O1572" i="1"/>
  <c r="N847" i="17"/>
  <c r="Q928" i="17"/>
  <c r="K988" i="17"/>
  <c r="J928" i="17"/>
  <c r="L1001" i="17"/>
  <c r="L1011" i="17"/>
  <c r="L1048" i="17"/>
  <c r="N790" i="17"/>
  <c r="K1520" i="1"/>
  <c r="N1520" i="1" s="1"/>
  <c r="N1517" i="1"/>
  <c r="M1879" i="1"/>
  <c r="M1298" i="1"/>
  <c r="M1353" i="1" s="1"/>
  <c r="O1282" i="1"/>
  <c r="N1549" i="1"/>
  <c r="O1549" i="1"/>
  <c r="J1551" i="13"/>
  <c r="J1555" i="13" s="1"/>
  <c r="G1555" i="13"/>
  <c r="L1685" i="1"/>
  <c r="G1595" i="13"/>
  <c r="J1595" i="13" s="1"/>
  <c r="K1581" i="1"/>
  <c r="L1172" i="17"/>
  <c r="L1754" i="1"/>
  <c r="L1655" i="1"/>
  <c r="K1650" i="1"/>
  <c r="G1664" i="13"/>
  <c r="L1677" i="1"/>
  <c r="G1587" i="13"/>
  <c r="J1587" i="13" s="1"/>
  <c r="K1573" i="1"/>
  <c r="G1615" i="13"/>
  <c r="J1615" i="13" s="1"/>
  <c r="L1705" i="1"/>
  <c r="K1601" i="1"/>
  <c r="J1520" i="13"/>
  <c r="J1529" i="13" s="1"/>
  <c r="G1529" i="13"/>
  <c r="N1543" i="1"/>
  <c r="K1545" i="1"/>
  <c r="N1545" i="1" s="1"/>
  <c r="O1558" i="1"/>
  <c r="L1731" i="1"/>
  <c r="G1641" i="13"/>
  <c r="J1641" i="13" s="1"/>
  <c r="K1627" i="1"/>
  <c r="L1120" i="17"/>
  <c r="K1657" i="1"/>
  <c r="L1761" i="1"/>
  <c r="G1671" i="13"/>
  <c r="J1671" i="13" s="1"/>
  <c r="N1531" i="1"/>
  <c r="O1531" i="1"/>
  <c r="L1695" i="1"/>
  <c r="G1605" i="13"/>
  <c r="J1605" i="13" s="1"/>
  <c r="K1591" i="1"/>
  <c r="M2259" i="1"/>
  <c r="K1604" i="1"/>
  <c r="L1708" i="1"/>
  <c r="G1618" i="13"/>
  <c r="J1618" i="13" s="1"/>
  <c r="M1885" i="1"/>
  <c r="N1526" i="1"/>
  <c r="K1529" i="1"/>
  <c r="N1529" i="1" s="1"/>
  <c r="K1313" i="1"/>
  <c r="N1308" i="1"/>
  <c r="O1545" i="1"/>
  <c r="L1107" i="17"/>
  <c r="M1760" i="1"/>
  <c r="M1659" i="1"/>
  <c r="O1534" i="1"/>
  <c r="N1534" i="1"/>
  <c r="K1537" i="1"/>
  <c r="O1537" i="1" s="1"/>
  <c r="K1602" i="1"/>
  <c r="L1706" i="1"/>
  <c r="G1616" i="13"/>
  <c r="J1616" i="13" s="1"/>
  <c r="Q854" i="17"/>
  <c r="L1010" i="17"/>
  <c r="K1010" i="17"/>
  <c r="J950" i="17"/>
  <c r="M950" i="17" s="1"/>
  <c r="Q950" i="17"/>
  <c r="L976" i="17"/>
  <c r="L923" i="17"/>
  <c r="L924" i="17" s="1"/>
  <c r="Q921" i="17"/>
  <c r="K981" i="17"/>
  <c r="J921" i="17"/>
  <c r="Q930" i="17"/>
  <c r="K990" i="17"/>
  <c r="J930" i="17"/>
  <c r="J1003" i="17"/>
  <c r="M1003" i="17" s="1"/>
  <c r="L1063" i="17"/>
  <c r="N1003" i="17"/>
  <c r="F1260" i="16"/>
  <c r="I1178" i="16"/>
  <c r="G1429" i="13"/>
  <c r="G1440" i="13" s="1"/>
  <c r="G1441" i="13" s="1"/>
  <c r="M1730" i="1"/>
  <c r="M1629" i="1"/>
  <c r="N1535" i="1"/>
  <c r="O1535" i="1"/>
  <c r="K1575" i="1"/>
  <c r="L1679" i="1"/>
  <c r="G1589" i="13"/>
  <c r="J1589" i="13" s="1"/>
  <c r="N1480" i="1"/>
  <c r="O1480" i="1"/>
  <c r="N1492" i="1"/>
  <c r="O1492" i="1"/>
  <c r="L1057" i="17"/>
  <c r="N1296" i="1"/>
  <c r="O1296" i="1"/>
  <c r="K1386" i="1"/>
  <c r="N1361" i="1"/>
  <c r="M1505" i="1"/>
  <c r="N1527" i="1"/>
  <c r="O1527" i="1"/>
  <c r="N781" i="17"/>
  <c r="M781" i="17"/>
  <c r="F1245" i="16"/>
  <c r="I1163" i="16"/>
  <c r="L1704" i="1"/>
  <c r="G1614" i="13"/>
  <c r="K1600" i="1"/>
  <c r="L1608" i="1"/>
  <c r="M1859" i="1"/>
  <c r="O1194" i="1"/>
  <c r="N1194" i="1"/>
  <c r="M865" i="17"/>
  <c r="N865" i="17"/>
  <c r="M849" i="17"/>
  <c r="N849" i="17"/>
  <c r="K993" i="17"/>
  <c r="Q933" i="17"/>
  <c r="J933" i="17"/>
  <c r="M933" i="17" s="1"/>
  <c r="K1006" i="17"/>
  <c r="J946" i="17"/>
  <c r="Q946" i="17"/>
  <c r="K1002" i="17"/>
  <c r="J942" i="17"/>
  <c r="M942" i="17" s="1"/>
  <c r="Q942" i="17"/>
  <c r="N852" i="17"/>
  <c r="K987" i="17"/>
  <c r="Q927" i="17"/>
  <c r="J927" i="17"/>
  <c r="Q940" i="17"/>
  <c r="K1000" i="17"/>
  <c r="J940" i="17"/>
  <c r="N866" i="17"/>
  <c r="O1478" i="1"/>
  <c r="N1478" i="1"/>
  <c r="O1473" i="1"/>
  <c r="M1683" i="1"/>
  <c r="O1579" i="1"/>
  <c r="L1067" i="17"/>
  <c r="M1934" i="1"/>
  <c r="N1438" i="1"/>
  <c r="O1438" i="1"/>
  <c r="L1727" i="1"/>
  <c r="G1637" i="13"/>
  <c r="J1637" i="13" s="1"/>
  <c r="K1623" i="1"/>
  <c r="K1616" i="1"/>
  <c r="O1616" i="1" s="1"/>
  <c r="L1720" i="1"/>
  <c r="G1630" i="13"/>
  <c r="J1630" i="13" s="1"/>
  <c r="O1465" i="1"/>
  <c r="K1412" i="1"/>
  <c r="N1403" i="1"/>
  <c r="N1508" i="1"/>
  <c r="O1508" i="1"/>
  <c r="M1850" i="1"/>
  <c r="L1694" i="1"/>
  <c r="G1604" i="13"/>
  <c r="L1593" i="1"/>
  <c r="K1590" i="1"/>
  <c r="L1718" i="1"/>
  <c r="G1628" i="13"/>
  <c r="J1628" i="13" s="1"/>
  <c r="K1614" i="1"/>
  <c r="O1614" i="1" s="1"/>
  <c r="K1580" i="1"/>
  <c r="L1684" i="1"/>
  <c r="G1594" i="13"/>
  <c r="J1594" i="13" s="1"/>
  <c r="M1742" i="1"/>
  <c r="M1641" i="1"/>
  <c r="L1756" i="1"/>
  <c r="G1666" i="13"/>
  <c r="J1666" i="13" s="1"/>
  <c r="K1652" i="1"/>
  <c r="J1565" i="13"/>
  <c r="J1568" i="13" s="1"/>
  <c r="G1568" i="13"/>
  <c r="L955" i="17"/>
  <c r="L1089" i="17"/>
  <c r="M1750" i="1"/>
  <c r="G1571" i="13"/>
  <c r="M2047" i="1"/>
  <c r="L1030" i="17"/>
  <c r="M858" i="17"/>
  <c r="N858" i="17"/>
  <c r="L999" i="17"/>
  <c r="N882" i="17"/>
  <c r="N874" i="17"/>
  <c r="M2236" i="1"/>
  <c r="L1220" i="17"/>
  <c r="L1280" i="17" s="1"/>
  <c r="L1722" i="1"/>
  <c r="K1618" i="1"/>
  <c r="O1618" i="1" s="1"/>
  <c r="G1632" i="13"/>
  <c r="J1632" i="13" s="1"/>
  <c r="N1502" i="1"/>
  <c r="O1502" i="1"/>
  <c r="O1546" i="1"/>
  <c r="L1736" i="1"/>
  <c r="G1646" i="13"/>
  <c r="J1646" i="13" s="1"/>
  <c r="K1632" i="1"/>
  <c r="O1501" i="1"/>
  <c r="N1501" i="1"/>
  <c r="O1378" i="1"/>
  <c r="J1535" i="13"/>
  <c r="G1538" i="13"/>
  <c r="O1361" i="1"/>
  <c r="O1403" i="1"/>
  <c r="L1678" i="1"/>
  <c r="G1588" i="13"/>
  <c r="J1588" i="13" s="1"/>
  <c r="K1574" i="1"/>
  <c r="L1749" i="1"/>
  <c r="G1659" i="13"/>
  <c r="J1659" i="13" s="1"/>
  <c r="K1645" i="1"/>
  <c r="L1569" i="1"/>
  <c r="L1669" i="1"/>
  <c r="G1579" i="13"/>
  <c r="K1565" i="1"/>
  <c r="O1529" i="1"/>
  <c r="L1758" i="1"/>
  <c r="G1668" i="13"/>
  <c r="J1668" i="13" s="1"/>
  <c r="K1654" i="1"/>
  <c r="M1784" i="1"/>
  <c r="N895" i="17"/>
  <c r="L896" i="17"/>
  <c r="M938" i="17"/>
  <c r="N938" i="17"/>
  <c r="N1515" i="1"/>
  <c r="O1515" i="1"/>
  <c r="M1909" i="1"/>
  <c r="J1538" i="13"/>
  <c r="K1644" i="1"/>
  <c r="L1748" i="1"/>
  <c r="G1658" i="13"/>
  <c r="J1658" i="13" s="1"/>
  <c r="M2148" i="1"/>
  <c r="J907" i="17"/>
  <c r="N907" i="17" s="1"/>
  <c r="L967" i="17"/>
  <c r="L914" i="17"/>
  <c r="N851" i="17"/>
  <c r="K995" i="17"/>
  <c r="Q935" i="17"/>
  <c r="J935" i="17"/>
  <c r="M935" i="17" s="1"/>
  <c r="N873" i="17"/>
  <c r="K962" i="17"/>
  <c r="J902" i="17"/>
  <c r="Q902" i="17"/>
  <c r="N876" i="17"/>
  <c r="M876" i="17"/>
  <c r="K1014" i="17"/>
  <c r="Q954" i="17"/>
  <c r="J954" i="17"/>
  <c r="M954" i="17" s="1"/>
  <c r="N875" i="17"/>
  <c r="Q835" i="17"/>
  <c r="Q836" i="17" s="1"/>
  <c r="J1390" i="13"/>
  <c r="J1393" i="13" s="1"/>
  <c r="J1398" i="13" s="1"/>
  <c r="G1393" i="13"/>
  <c r="J1530" i="13"/>
  <c r="J1533" i="13" s="1"/>
  <c r="J1534" i="13" s="1"/>
  <c r="G1533" i="13"/>
  <c r="G1534" i="13" s="1"/>
  <c r="N1479" i="1"/>
  <c r="O1479" i="1"/>
  <c r="M2000" i="1"/>
  <c r="J859" i="17"/>
  <c r="J863" i="17" s="1"/>
  <c r="K919" i="17"/>
  <c r="Q859" i="17"/>
  <c r="L1757" i="1"/>
  <c r="G1667" i="13"/>
  <c r="J1667" i="13" s="1"/>
  <c r="K1653" i="1"/>
  <c r="L1746" i="1"/>
  <c r="G1656" i="13"/>
  <c r="K1642" i="1"/>
  <c r="L1646" i="1"/>
  <c r="L1715" i="1"/>
  <c r="G1625" i="13"/>
  <c r="L1620" i="1"/>
  <c r="L1751" i="1"/>
  <c r="G1661" i="13"/>
  <c r="L1649" i="1"/>
  <c r="K1647" i="1"/>
  <c r="M1764" i="1"/>
  <c r="M1662" i="1"/>
  <c r="O1660" i="1"/>
  <c r="N1491" i="1"/>
  <c r="K1495" i="1"/>
  <c r="N1487" i="1"/>
  <c r="O1487" i="1"/>
  <c r="L1184" i="17"/>
  <c r="G1398" i="13"/>
  <c r="J1547" i="13"/>
  <c r="J1550" i="13" s="1"/>
  <c r="G1550" i="13"/>
  <c r="N1498" i="1"/>
  <c r="O1498" i="1"/>
  <c r="L977" i="17"/>
  <c r="K1001" i="17"/>
  <c r="Q941" i="17"/>
  <c r="J941" i="17"/>
  <c r="M941" i="17" s="1"/>
  <c r="M844" i="17"/>
  <c r="N844" i="17"/>
  <c r="L968" i="17"/>
  <c r="N872" i="17"/>
  <c r="M872" i="17"/>
  <c r="N850" i="17"/>
  <c r="M850" i="17"/>
  <c r="L1744" i="1"/>
  <c r="G1654" i="13"/>
  <c r="J1654" i="13" s="1"/>
  <c r="K1640" i="1"/>
  <c r="M1894" i="1"/>
  <c r="L1176" i="17"/>
  <c r="L1672" i="1"/>
  <c r="G1582" i="13"/>
  <c r="J1582" i="13" s="1"/>
  <c r="K1568" i="1"/>
  <c r="J1429" i="13"/>
  <c r="J1440" i="13" s="1"/>
  <c r="J1441" i="13" s="1"/>
  <c r="M2264" i="1"/>
  <c r="N1471" i="1"/>
  <c r="O1471" i="1"/>
  <c r="K1566" i="1"/>
  <c r="L1670" i="1"/>
  <c r="G1580" i="13"/>
  <c r="J1580" i="13" s="1"/>
  <c r="O1377" i="1"/>
  <c r="O1557" i="1"/>
  <c r="N1557" i="1"/>
  <c r="N1518" i="1"/>
  <c r="O1518" i="1"/>
  <c r="G1611" i="13"/>
  <c r="J1611" i="13" s="1"/>
  <c r="L1701" i="1"/>
  <c r="K1597" i="1"/>
  <c r="L1504" i="1"/>
  <c r="L1505" i="1" s="1"/>
  <c r="Q895" i="17"/>
  <c r="Q896" i="17" s="1"/>
  <c r="Q948" i="17"/>
  <c r="K1008" i="17"/>
  <c r="J948" i="17"/>
  <c r="M887" i="17"/>
  <c r="N887" i="17"/>
  <c r="L972" i="17"/>
  <c r="N912" i="17"/>
  <c r="L986" i="17"/>
  <c r="L1428" i="1"/>
  <c r="L1429" i="1" s="1"/>
  <c r="L1457" i="1" s="1"/>
  <c r="O1322" i="1"/>
  <c r="O1421" i="1"/>
  <c r="K1592" i="1"/>
  <c r="N1592" i="1" s="1"/>
  <c r="L1696" i="1"/>
  <c r="G1606" i="13"/>
  <c r="J1606" i="13" s="1"/>
  <c r="L1716" i="1"/>
  <c r="G1626" i="13"/>
  <c r="J1626" i="13" s="1"/>
  <c r="K1612" i="1"/>
  <c r="M2068" i="1"/>
  <c r="K1489" i="1"/>
  <c r="N1489" i="1" s="1"/>
  <c r="N1486" i="1"/>
  <c r="N1476" i="1"/>
  <c r="O1476" i="1"/>
  <c r="N1547" i="1"/>
  <c r="O1547" i="1"/>
  <c r="M2004" i="1"/>
  <c r="M2108" i="1" s="1"/>
  <c r="O1486" i="1"/>
  <c r="L1760" i="1"/>
  <c r="K1656" i="1"/>
  <c r="G1670" i="13"/>
  <c r="L1659" i="1"/>
  <c r="I1164" i="16"/>
  <c r="F1246" i="16"/>
  <c r="L1050" i="17"/>
  <c r="N1474" i="1"/>
  <c r="K1481" i="1"/>
  <c r="N1481" i="1" s="1"/>
  <c r="M1969" i="1"/>
  <c r="N1369" i="1"/>
  <c r="O1369" i="1"/>
  <c r="L1662" i="1"/>
  <c r="L1764" i="1"/>
  <c r="G1674" i="13"/>
  <c r="K1660" i="1"/>
  <c r="K968" i="17"/>
  <c r="Q908" i="17"/>
  <c r="J908" i="17"/>
  <c r="M908" i="17" s="1"/>
  <c r="K1005" i="17"/>
  <c r="Q945" i="17"/>
  <c r="J945" i="17"/>
  <c r="M945" i="17" s="1"/>
  <c r="L1002" i="17"/>
  <c r="N942" i="17"/>
  <c r="Q863" i="17"/>
  <c r="Q864" i="17" s="1"/>
  <c r="K977" i="17"/>
  <c r="Q917" i="17"/>
  <c r="J917" i="17"/>
  <c r="M917" i="17" s="1"/>
  <c r="K1013" i="17"/>
  <c r="Q953" i="17"/>
  <c r="J953" i="17"/>
  <c r="M953" i="17" s="1"/>
  <c r="Q920" i="17"/>
  <c r="K980" i="17"/>
  <c r="J920" i="17"/>
  <c r="L994" i="17"/>
  <c r="N934" i="17"/>
  <c r="M2064" i="1"/>
  <c r="M1754" i="1"/>
  <c r="M1655" i="1"/>
  <c r="N1528" i="1"/>
  <c r="O1528" i="1"/>
  <c r="O1381" i="1"/>
  <c r="M1791" i="1"/>
  <c r="M1895" i="1" s="1"/>
  <c r="L1730" i="1"/>
  <c r="K1626" i="1"/>
  <c r="G1640" i="13"/>
  <c r="L1629" i="1"/>
  <c r="L1634" i="1" s="1"/>
  <c r="M1386" i="1"/>
  <c r="M1402" i="1" s="1"/>
  <c r="K1297" i="1"/>
  <c r="K1298" i="1" s="1"/>
  <c r="N1298" i="1" s="1"/>
  <c r="N1467" i="1"/>
  <c r="O1467" i="1"/>
  <c r="M1417" i="1"/>
  <c r="M1428" i="1" s="1"/>
  <c r="O1412" i="1"/>
  <c r="N1470" i="1"/>
  <c r="O1470" i="1"/>
  <c r="L1490" i="1"/>
  <c r="O1526" i="1"/>
  <c r="K1058" i="17"/>
  <c r="Q998" i="17"/>
  <c r="J998" i="17"/>
  <c r="J1479" i="13"/>
  <c r="J1486" i="13" s="1"/>
  <c r="G1486" i="13"/>
  <c r="G1642" i="13"/>
  <c r="J1642" i="13" s="1"/>
  <c r="L1732" i="1"/>
  <c r="K1628" i="1"/>
  <c r="N1539" i="1"/>
  <c r="O1539" i="1"/>
  <c r="O1433" i="1"/>
  <c r="K1455" i="1"/>
  <c r="N1433" i="1"/>
  <c r="O1517" i="1"/>
  <c r="N868" i="17"/>
  <c r="M868" i="17"/>
  <c r="L971" i="17"/>
  <c r="N911" i="17"/>
  <c r="K1011" i="17"/>
  <c r="Q951" i="17"/>
  <c r="J951" i="17"/>
  <c r="M951" i="17" s="1"/>
  <c r="L993" i="17"/>
  <c r="L1015" i="17" s="1"/>
  <c r="N933" i="17"/>
  <c r="Q936" i="17"/>
  <c r="K996" i="17"/>
  <c r="J936" i="17"/>
  <c r="M853" i="17"/>
  <c r="N853" i="17"/>
  <c r="L995" i="17"/>
  <c r="L1055" i="17" s="1"/>
  <c r="N935" i="17"/>
  <c r="K1057" i="17"/>
  <c r="Q997" i="17"/>
  <c r="J997" i="17"/>
  <c r="M997" i="17" s="1"/>
  <c r="L1586" i="1"/>
  <c r="K1482" i="1"/>
  <c r="G1495" i="13"/>
  <c r="L1485" i="1"/>
  <c r="L1725" i="1"/>
  <c r="G1635" i="13"/>
  <c r="K1621" i="1"/>
  <c r="L1624" i="1"/>
  <c r="L1625" i="1" s="1"/>
  <c r="L1636" i="1" s="1"/>
  <c r="L1637" i="1" s="1"/>
  <c r="M1939" i="1"/>
  <c r="N1477" i="1"/>
  <c r="O1477" i="1"/>
  <c r="L1093" i="17"/>
  <c r="J1559" i="13"/>
  <c r="J1564" i="13" s="1"/>
  <c r="G1564" i="13"/>
  <c r="M2018" i="1"/>
  <c r="M1762" i="1"/>
  <c r="O1658" i="1"/>
  <c r="N1553" i="1"/>
  <c r="O1553" i="1"/>
  <c r="M1682" i="1"/>
  <c r="O1578" i="1"/>
  <c r="M1585" i="1"/>
  <c r="J1504" i="13"/>
  <c r="J1508" i="13" s="1"/>
  <c r="G1508" i="13"/>
  <c r="G1518" i="13" s="1"/>
  <c r="L1739" i="1"/>
  <c r="G1649" i="13"/>
  <c r="J1649" i="13" s="1"/>
  <c r="K1635" i="1"/>
  <c r="N1500" i="1"/>
  <c r="O1500" i="1"/>
  <c r="M1779" i="1"/>
  <c r="L1178" i="17"/>
  <c r="J1539" i="13"/>
  <c r="J1542" i="13" s="1"/>
  <c r="G1542" i="13"/>
  <c r="M1221" i="1"/>
  <c r="M1249" i="1" s="1"/>
  <c r="O1220" i="1"/>
  <c r="O1221" i="1" s="1"/>
  <c r="O1543" i="1"/>
  <c r="M2173" i="1"/>
  <c r="M2126" i="1"/>
  <c r="L1742" i="1"/>
  <c r="G1652" i="13"/>
  <c r="L1641" i="1"/>
  <c r="L1663" i="1" s="1"/>
  <c r="L1664" i="1" s="1"/>
  <c r="K1638" i="1"/>
  <c r="M1704" i="1"/>
  <c r="M1608" i="1"/>
  <c r="O1600" i="1"/>
  <c r="M1813" i="1"/>
  <c r="Q907" i="17"/>
  <c r="K967" i="17"/>
  <c r="K914" i="17"/>
  <c r="Q932" i="17"/>
  <c r="K992" i="17"/>
  <c r="J932" i="17"/>
  <c r="Q910" i="17"/>
  <c r="K970" i="17"/>
  <c r="J910" i="17"/>
  <c r="K986" i="17"/>
  <c r="J926" i="17"/>
  <c r="M926" i="17" s="1"/>
  <c r="Q926" i="17"/>
  <c r="N1536" i="1"/>
  <c r="O1536" i="1"/>
  <c r="L1041" i="17"/>
  <c r="N1464" i="1"/>
  <c r="O1464" i="1"/>
  <c r="L1671" i="1"/>
  <c r="G1581" i="13"/>
  <c r="J1581" i="13" s="1"/>
  <c r="K1567" i="1"/>
  <c r="L1743" i="1"/>
  <c r="G1653" i="13"/>
  <c r="J1653" i="13" s="1"/>
  <c r="K1639" i="1"/>
  <c r="K1596" i="1"/>
  <c r="L1700" i="1"/>
  <c r="G1610" i="13"/>
  <c r="J1610" i="13" s="1"/>
  <c r="G1413" i="13"/>
  <c r="L1765" i="1"/>
  <c r="G1675" i="13"/>
  <c r="K1661" i="1"/>
  <c r="M1774" i="1"/>
  <c r="N1395" i="1"/>
  <c r="O1395" i="1"/>
  <c r="G1636" i="13"/>
  <c r="J1636" i="13" s="1"/>
  <c r="L1726" i="1"/>
  <c r="K1622" i="1"/>
  <c r="O1491" i="1"/>
  <c r="L1735" i="1"/>
  <c r="G1645" i="13"/>
  <c r="J1645" i="13" s="1"/>
  <c r="K1631" i="1"/>
  <c r="K901" i="17"/>
  <c r="J841" i="17"/>
  <c r="Q841" i="17"/>
  <c r="L1126" i="17"/>
  <c r="N1496" i="1"/>
  <c r="K1504" i="1"/>
  <c r="O1504" i="1" s="1"/>
  <c r="J909" i="17"/>
  <c r="K969" i="17"/>
  <c r="Q909" i="17"/>
  <c r="N886" i="17"/>
  <c r="M886" i="17"/>
  <c r="L1014" i="17"/>
  <c r="N954" i="17"/>
  <c r="K1007" i="17"/>
  <c r="Q947" i="17"/>
  <c r="J947" i="17"/>
  <c r="L982" i="17"/>
  <c r="N922" i="17"/>
  <c r="N880" i="17"/>
  <c r="M880" i="17"/>
  <c r="M944" i="17"/>
  <c r="N944" i="17"/>
  <c r="K1582" i="1"/>
  <c r="L1686" i="1"/>
  <c r="G1596" i="13"/>
  <c r="J1596" i="13" s="1"/>
  <c r="M1919" i="1"/>
  <c r="N1519" i="1"/>
  <c r="O1519" i="1"/>
  <c r="M1669" i="1"/>
  <c r="O1565" i="1"/>
  <c r="M1569" i="1"/>
  <c r="K1352" i="1"/>
  <c r="N1351" i="1"/>
  <c r="N1352" i="1" s="1"/>
  <c r="O1426" i="1"/>
  <c r="M2007" i="1"/>
  <c r="M2061" i="1"/>
  <c r="M2020" i="1"/>
  <c r="M1991" i="1"/>
  <c r="N1548" i="1"/>
  <c r="O1548" i="1"/>
  <c r="M1593" i="1"/>
  <c r="M1694" i="1"/>
  <c r="O1590" i="1"/>
  <c r="J1487" i="13"/>
  <c r="J1494" i="13" s="1"/>
  <c r="G1494" i="13"/>
  <c r="J1412" i="13"/>
  <c r="J1413" i="13" s="1"/>
  <c r="L1721" i="1"/>
  <c r="K1617" i="1"/>
  <c r="O1617" i="1" s="1"/>
  <c r="G1631" i="13"/>
  <c r="J1631" i="13" s="1"/>
  <c r="M1804" i="1"/>
  <c r="M1908" i="1" s="1"/>
  <c r="K1692" i="1"/>
  <c r="L1796" i="1"/>
  <c r="G1707" i="13"/>
  <c r="J1707" i="13" s="1"/>
  <c r="M1831" i="1"/>
  <c r="M1935" i="1" s="1"/>
  <c r="M1951" i="1"/>
  <c r="M1892" i="1"/>
  <c r="K976" i="17"/>
  <c r="Q916" i="17"/>
  <c r="J916" i="17"/>
  <c r="K923" i="17"/>
  <c r="K924" i="17" s="1"/>
  <c r="K999" i="17"/>
  <c r="Q939" i="17"/>
  <c r="J939" i="17"/>
  <c r="M939" i="17" s="1"/>
  <c r="J918" i="17"/>
  <c r="K978" i="17"/>
  <c r="Q918" i="17"/>
  <c r="N892" i="17"/>
  <c r="M892" i="17"/>
  <c r="J896" i="17"/>
  <c r="O1551" i="1"/>
  <c r="L1709" i="1"/>
  <c r="G1619" i="13"/>
  <c r="J1619" i="13" s="1"/>
  <c r="K1605" i="1"/>
  <c r="M1586" i="1"/>
  <c r="M1485" i="1"/>
  <c r="O1482" i="1"/>
  <c r="K1576" i="1"/>
  <c r="L1680" i="1"/>
  <c r="G1590" i="13"/>
  <c r="J1590" i="13" s="1"/>
  <c r="N1544" i="1"/>
  <c r="O1544" i="1"/>
  <c r="O1488" i="1"/>
  <c r="M1910" i="1"/>
  <c r="K1571" i="1"/>
  <c r="L1675" i="1"/>
  <c r="G1585" i="13"/>
  <c r="J1585" i="13" s="1"/>
  <c r="M1516" i="1"/>
  <c r="M1611" i="1"/>
  <c r="K1611" i="1" s="1"/>
  <c r="N1541" i="1"/>
  <c r="O1541" i="1"/>
  <c r="M1734" i="1"/>
  <c r="O1630" i="1"/>
  <c r="M1633" i="1"/>
  <c r="N1550" i="1"/>
  <c r="O1550" i="1"/>
  <c r="L1128" i="17"/>
  <c r="L1702" i="1"/>
  <c r="G1612" i="13"/>
  <c r="J1612" i="13" s="1"/>
  <c r="K1598" i="1"/>
  <c r="L1038" i="17"/>
  <c r="K1400" i="1"/>
  <c r="K1401" i="1" s="1"/>
  <c r="L1674" i="1"/>
  <c r="K1674" i="1" s="1"/>
  <c r="G1584" i="13"/>
  <c r="K1570" i="1"/>
  <c r="L1577" i="1"/>
  <c r="N1540" i="1"/>
  <c r="O1540" i="1"/>
  <c r="L1711" i="1"/>
  <c r="G1621" i="13"/>
  <c r="J1621" i="13" s="1"/>
  <c r="K1607" i="1"/>
  <c r="O1520" i="1"/>
  <c r="O1468" i="1"/>
  <c r="N854" i="17"/>
  <c r="N881" i="17"/>
  <c r="N891" i="17"/>
  <c r="L1039" i="17"/>
  <c r="J913" i="17"/>
  <c r="K973" i="17"/>
  <c r="Q913" i="17"/>
  <c r="F1310" i="16"/>
  <c r="I1228" i="16"/>
  <c r="I1224" i="16"/>
  <c r="F1306" i="16"/>
  <c r="I1217" i="16"/>
  <c r="F1299" i="16"/>
  <c r="I1170" i="16"/>
  <c r="F1252" i="16"/>
  <c r="I1202" i="16"/>
  <c r="F1284" i="16"/>
  <c r="I1221" i="16"/>
  <c r="F1303" i="16"/>
  <c r="F1295" i="16"/>
  <c r="I1213" i="16"/>
  <c r="I1227" i="16"/>
  <c r="F1309" i="16"/>
  <c r="I1234" i="16"/>
  <c r="F1316" i="16"/>
  <c r="I1173" i="16"/>
  <c r="F1255" i="16"/>
  <c r="I1155" i="16"/>
  <c r="I1214" i="16"/>
  <c r="F1296" i="16"/>
  <c r="I1225" i="16"/>
  <c r="F1307" i="16"/>
  <c r="I1206" i="16"/>
  <c r="F1288" i="16"/>
  <c r="I1210" i="16"/>
  <c r="F1292" i="16"/>
  <c r="I1192" i="16"/>
  <c r="F1274" i="16"/>
  <c r="I1196" i="16"/>
  <c r="F1278" i="16"/>
  <c r="F1301" i="16"/>
  <c r="I1219" i="16"/>
  <c r="I1182" i="16"/>
  <c r="F1264" i="16"/>
  <c r="I1165" i="16"/>
  <c r="F1247" i="16"/>
  <c r="I1107" i="16"/>
  <c r="I1230" i="16"/>
  <c r="F1312" i="16"/>
  <c r="I1235" i="16"/>
  <c r="F1317" i="16"/>
  <c r="I1169" i="16"/>
  <c r="F1251" i="16"/>
  <c r="I1191" i="16"/>
  <c r="F1273" i="16"/>
  <c r="F1314" i="16"/>
  <c r="I1232" i="16"/>
  <c r="F1257" i="16"/>
  <c r="I1175" i="16"/>
  <c r="I1180" i="16"/>
  <c r="F1262" i="16"/>
  <c r="F1268" i="16"/>
  <c r="I1186" i="16"/>
  <c r="I1200" i="16"/>
  <c r="F1282" i="16"/>
  <c r="I1212" i="16"/>
  <c r="F1294" i="16"/>
  <c r="I1185" i="16"/>
  <c r="F1267" i="16"/>
  <c r="I1187" i="16"/>
  <c r="F1269" i="16"/>
  <c r="I1188" i="16"/>
  <c r="F1270" i="16"/>
  <c r="I1168" i="16"/>
  <c r="F1250" i="16"/>
  <c r="I1134" i="16"/>
  <c r="I1095" i="16"/>
  <c r="F1318" i="16"/>
  <c r="I1236" i="16"/>
  <c r="I1176" i="16"/>
  <c r="F1258" i="16"/>
  <c r="I1179" i="16"/>
  <c r="F1261" i="16"/>
  <c r="I1183" i="16"/>
  <c r="F1265" i="16"/>
  <c r="I1199" i="16"/>
  <c r="F1281" i="16"/>
  <c r="I1207" i="16"/>
  <c r="F1289" i="16"/>
  <c r="I1181" i="16"/>
  <c r="F1263" i="16"/>
  <c r="I1211" i="16"/>
  <c r="F1293" i="16"/>
  <c r="I1231" i="16"/>
  <c r="F1313" i="16"/>
  <c r="F1287" i="16"/>
  <c r="I1205" i="16"/>
  <c r="I1218" i="16"/>
  <c r="F1300" i="16"/>
  <c r="F1283" i="16"/>
  <c r="I1201" i="16"/>
  <c r="I1198" i="16"/>
  <c r="F1280" i="16"/>
  <c r="F1279" i="16"/>
  <c r="I1197" i="16"/>
  <c r="I1215" i="16"/>
  <c r="F1297" i="16"/>
  <c r="I1220" i="16"/>
  <c r="F1302" i="16"/>
  <c r="I1226" i="16"/>
  <c r="F1308" i="16"/>
  <c r="I1166" i="16"/>
  <c r="F1248" i="16"/>
  <c r="I1184" i="16"/>
  <c r="F1266" i="16"/>
  <c r="I1174" i="16"/>
  <c r="F1256" i="16"/>
  <c r="I1031" i="16"/>
  <c r="I1076" i="16" s="1"/>
  <c r="I1208" i="16"/>
  <c r="F1290" i="16"/>
  <c r="F1249" i="16"/>
  <c r="I1167" i="16"/>
  <c r="F1305" i="16"/>
  <c r="I1223" i="16"/>
  <c r="I1204" i="16"/>
  <c r="F1286" i="16"/>
  <c r="F1291" i="16"/>
  <c r="I1209" i="16"/>
  <c r="I1111" i="16"/>
  <c r="I1222" i="16"/>
  <c r="F1304" i="16"/>
  <c r="F1253" i="16"/>
  <c r="I1171" i="16"/>
  <c r="I1203" i="16"/>
  <c r="F1285" i="16"/>
  <c r="I1172" i="16"/>
  <c r="F1254" i="16"/>
  <c r="I1233" i="16"/>
  <c r="F1315" i="16"/>
  <c r="I1229" i="16"/>
  <c r="F1311" i="16"/>
  <c r="I1190" i="16"/>
  <c r="I1193" i="16" s="1"/>
  <c r="F1272" i="16"/>
  <c r="M843" i="17"/>
  <c r="N843" i="17"/>
  <c r="Q786" i="17"/>
  <c r="Q846" i="17"/>
  <c r="Q855" i="17" s="1"/>
  <c r="Q897" i="17" s="1"/>
  <c r="K963" i="17"/>
  <c r="Q903" i="17"/>
  <c r="J903" i="17"/>
  <c r="M845" i="17"/>
  <c r="J846" i="17"/>
  <c r="N846" i="17" s="1"/>
  <c r="N845" i="17"/>
  <c r="L855" i="17"/>
  <c r="Q905" i="17"/>
  <c r="K965" i="17"/>
  <c r="J905" i="17"/>
  <c r="K906" i="17"/>
  <c r="K915" i="17" s="1"/>
  <c r="K957" i="17" s="1"/>
  <c r="L965" i="17"/>
  <c r="L906" i="17"/>
  <c r="N905" i="17"/>
  <c r="N788" i="17"/>
  <c r="K795" i="17"/>
  <c r="K837" i="17" s="1"/>
  <c r="L777" i="17"/>
  <c r="M686" i="17"/>
  <c r="N686" i="17"/>
  <c r="M805" i="17"/>
  <c r="N805" i="17"/>
  <c r="N775" i="17"/>
  <c r="M775" i="17"/>
  <c r="N800" i="17"/>
  <c r="N677" i="17"/>
  <c r="M787" i="17"/>
  <c r="J794" i="17"/>
  <c r="M794" i="17" s="1"/>
  <c r="J786" i="17"/>
  <c r="N786" i="17" s="1"/>
  <c r="M782" i="17"/>
  <c r="N799" i="17"/>
  <c r="M820" i="17"/>
  <c r="N820" i="17"/>
  <c r="M810" i="17"/>
  <c r="J835" i="17"/>
  <c r="M835" i="17" s="1"/>
  <c r="N810" i="17"/>
  <c r="N782" i="17"/>
  <c r="J718" i="17"/>
  <c r="L804" i="17"/>
  <c r="N819" i="17"/>
  <c r="M807" i="17"/>
  <c r="N807" i="17"/>
  <c r="N814" i="17"/>
  <c r="N791" i="17"/>
  <c r="M789" i="17"/>
  <c r="N789" i="17"/>
  <c r="Q736" i="17"/>
  <c r="Q777" i="17" s="1"/>
  <c r="M801" i="17"/>
  <c r="N801" i="17"/>
  <c r="L795" i="17"/>
  <c r="L836" i="17"/>
  <c r="N828" i="17"/>
  <c r="M828" i="17"/>
  <c r="M727" i="17"/>
  <c r="J736" i="17"/>
  <c r="M736" i="17" s="1"/>
  <c r="M793" i="17"/>
  <c r="N793" i="17"/>
  <c r="Q794" i="17"/>
  <c r="N792" i="17"/>
  <c r="N745" i="17"/>
  <c r="Q803" i="17"/>
  <c r="Q804" i="17" s="1"/>
  <c r="N802" i="17"/>
  <c r="N831" i="17"/>
  <c r="N797" i="17"/>
  <c r="M798" i="17"/>
  <c r="N798" i="17"/>
  <c r="N812" i="17"/>
  <c r="M812" i="17"/>
  <c r="N816" i="17"/>
  <c r="M816" i="17"/>
  <c r="N783" i="17"/>
  <c r="M796" i="17"/>
  <c r="J803" i="17"/>
  <c r="M803" i="17" s="1"/>
  <c r="M826" i="17"/>
  <c r="N826" i="17"/>
  <c r="M784" i="17"/>
  <c r="N784" i="17"/>
  <c r="N832" i="17"/>
  <c r="M832" i="17"/>
  <c r="J776" i="17"/>
  <c r="M659" i="17"/>
  <c r="N659" i="17"/>
  <c r="N815" i="17"/>
  <c r="N808" i="17"/>
  <c r="M827" i="17"/>
  <c r="N827" i="17"/>
  <c r="N785" i="17"/>
  <c r="O1041" i="1"/>
  <c r="I84" i="16"/>
  <c r="M863" i="17" l="1"/>
  <c r="N863" i="17"/>
  <c r="J864" i="17"/>
  <c r="M864" i="17" s="1"/>
  <c r="N1674" i="1"/>
  <c r="O1674" i="1"/>
  <c r="N1401" i="1"/>
  <c r="O1401" i="1"/>
  <c r="N1611" i="1"/>
  <c r="K1620" i="1"/>
  <c r="J1414" i="13"/>
  <c r="J1469" i="13" s="1"/>
  <c r="L1016" i="17"/>
  <c r="L1815" i="1"/>
  <c r="G1726" i="13"/>
  <c r="J1726" i="13" s="1"/>
  <c r="K1711" i="1"/>
  <c r="J973" i="17"/>
  <c r="K1033" i="17"/>
  <c r="Q973" i="17"/>
  <c r="J1584" i="13"/>
  <c r="J1591" i="13" s="1"/>
  <c r="G1591" i="13"/>
  <c r="L1098" i="17"/>
  <c r="L1158" i="17" s="1"/>
  <c r="G1690" i="13"/>
  <c r="J1690" i="13" s="1"/>
  <c r="L1779" i="1"/>
  <c r="L1784" i="1"/>
  <c r="G1695" i="13"/>
  <c r="J1695" i="13" s="1"/>
  <c r="K1680" i="1"/>
  <c r="M1690" i="1"/>
  <c r="M1589" i="1"/>
  <c r="M2012" i="1"/>
  <c r="M1697" i="1"/>
  <c r="M1798" i="1"/>
  <c r="M2111" i="1"/>
  <c r="M1594" i="1"/>
  <c r="K1686" i="1"/>
  <c r="L1790" i="1"/>
  <c r="G1701" i="13"/>
  <c r="J1701" i="13" s="1"/>
  <c r="M947" i="17"/>
  <c r="N947" i="17"/>
  <c r="L1074" i="17"/>
  <c r="J969" i="17"/>
  <c r="K1029" i="17"/>
  <c r="Q969" i="17"/>
  <c r="Q901" i="17"/>
  <c r="K961" i="17"/>
  <c r="J901" i="17"/>
  <c r="O1661" i="1"/>
  <c r="N1661" i="1"/>
  <c r="K1671" i="1"/>
  <c r="L1775" i="1"/>
  <c r="G1686" i="13"/>
  <c r="J1686" i="13" s="1"/>
  <c r="L1101" i="17"/>
  <c r="Q970" i="17"/>
  <c r="K1030" i="17"/>
  <c r="J970" i="17"/>
  <c r="M1917" i="1"/>
  <c r="M1808" i="1"/>
  <c r="L1846" i="1"/>
  <c r="G1757" i="13"/>
  <c r="K1742" i="1"/>
  <c r="L1745" i="1"/>
  <c r="M2277" i="1"/>
  <c r="M1786" i="1"/>
  <c r="M1689" i="1"/>
  <c r="M1866" i="1"/>
  <c r="L1115" i="17"/>
  <c r="Q996" i="17"/>
  <c r="K1056" i="17"/>
  <c r="J996" i="17"/>
  <c r="L1031" i="17"/>
  <c r="K1118" i="17"/>
  <c r="J1058" i="17"/>
  <c r="Q1058" i="17"/>
  <c r="M2168" i="1"/>
  <c r="Q980" i="17"/>
  <c r="K1040" i="17"/>
  <c r="J980" i="17"/>
  <c r="K1073" i="17"/>
  <c r="Q1013" i="17"/>
  <c r="J1013" i="17"/>
  <c r="M1013" i="17" s="1"/>
  <c r="K1028" i="17"/>
  <c r="Q968" i="17"/>
  <c r="J968" i="17"/>
  <c r="M968" i="17" s="1"/>
  <c r="N926" i="17"/>
  <c r="L1805" i="1"/>
  <c r="K1701" i="1"/>
  <c r="G1716" i="13"/>
  <c r="J1716" i="13" s="1"/>
  <c r="L1774" i="1"/>
  <c r="K1670" i="1"/>
  <c r="G1685" i="13"/>
  <c r="J1685" i="13" s="1"/>
  <c r="L1848" i="1"/>
  <c r="K1744" i="1"/>
  <c r="G1759" i="13"/>
  <c r="J1759" i="13" s="1"/>
  <c r="N917" i="17"/>
  <c r="J1661" i="13"/>
  <c r="G1663" i="13"/>
  <c r="J1656" i="13"/>
  <c r="J1660" i="13" s="1"/>
  <c r="G1660" i="13"/>
  <c r="L1861" i="1"/>
  <c r="G1772" i="13"/>
  <c r="J1772" i="13" s="1"/>
  <c r="K1757" i="1"/>
  <c r="K1074" i="17"/>
  <c r="J1014" i="17"/>
  <c r="M1014" i="17" s="1"/>
  <c r="Q1014" i="17"/>
  <c r="N902" i="17"/>
  <c r="M902" i="17"/>
  <c r="M2252" i="1"/>
  <c r="J1543" i="13"/>
  <c r="J1545" i="13" s="1"/>
  <c r="J1546" i="13" s="1"/>
  <c r="J1579" i="13"/>
  <c r="J1583" i="13" s="1"/>
  <c r="G1583" i="13"/>
  <c r="L1782" i="1"/>
  <c r="G1693" i="13"/>
  <c r="J1693" i="13" s="1"/>
  <c r="K1678" i="1"/>
  <c r="O1632" i="1"/>
  <c r="N1632" i="1"/>
  <c r="K1722" i="1"/>
  <c r="O1722" i="1" s="1"/>
  <c r="L1826" i="1"/>
  <c r="G1737" i="13"/>
  <c r="J1737" i="13" s="1"/>
  <c r="M2340" i="1"/>
  <c r="N939" i="17"/>
  <c r="L956" i="17"/>
  <c r="M1846" i="1"/>
  <c r="M1745" i="1"/>
  <c r="O1742" i="1"/>
  <c r="J1614" i="13"/>
  <c r="M921" i="17"/>
  <c r="N921" i="17"/>
  <c r="L1036" i="17"/>
  <c r="L983" i="17"/>
  <c r="N950" i="17"/>
  <c r="K1706" i="1"/>
  <c r="L1810" i="1"/>
  <c r="G1721" i="13"/>
  <c r="J1721" i="13" s="1"/>
  <c r="N1604" i="1"/>
  <c r="O1604" i="1"/>
  <c r="N1657" i="1"/>
  <c r="O1657" i="1"/>
  <c r="L1809" i="1"/>
  <c r="K1705" i="1"/>
  <c r="G1720" i="13"/>
  <c r="J1720" i="13" s="1"/>
  <c r="K1677" i="1"/>
  <c r="L1781" i="1"/>
  <c r="G1692" i="13"/>
  <c r="J1692" i="13" s="1"/>
  <c r="K1754" i="1"/>
  <c r="L1858" i="1"/>
  <c r="G1769" i="13"/>
  <c r="L1759" i="1"/>
  <c r="L1071" i="17"/>
  <c r="J988" i="17"/>
  <c r="K1048" i="17"/>
  <c r="Q988" i="17"/>
  <c r="K1676" i="1"/>
  <c r="N1676" i="1" s="1"/>
  <c r="M1780" i="1"/>
  <c r="K1762" i="1"/>
  <c r="N1762" i="1" s="1"/>
  <c r="L1866" i="1"/>
  <c r="G1777" i="13"/>
  <c r="J1777" i="13" s="1"/>
  <c r="L1821" i="1"/>
  <c r="G1732" i="13"/>
  <c r="J1732" i="13" s="1"/>
  <c r="K1717" i="1"/>
  <c r="O1717" i="1" s="1"/>
  <c r="G1767" i="13"/>
  <c r="J1767" i="13" s="1"/>
  <c r="L1856" i="1"/>
  <c r="K1752" i="1"/>
  <c r="Q1069" i="17"/>
  <c r="K1129" i="17"/>
  <c r="J1069" i="17"/>
  <c r="M1069" i="17" s="1"/>
  <c r="K1221" i="1"/>
  <c r="K1249" i="1" s="1"/>
  <c r="N1249" i="1" s="1"/>
  <c r="N1220" i="1"/>
  <c r="N1221" i="1" s="1"/>
  <c r="M952" i="17"/>
  <c r="N952" i="17"/>
  <c r="N945" i="17"/>
  <c r="M2059" i="1"/>
  <c r="J1592" i="13"/>
  <c r="J1599" i="13" s="1"/>
  <c r="G1599" i="13"/>
  <c r="O1489" i="1"/>
  <c r="Q1063" i="17"/>
  <c r="K1123" i="17"/>
  <c r="J1063" i="17"/>
  <c r="M1063" i="17" s="1"/>
  <c r="Q914" i="17"/>
  <c r="Q985" i="17"/>
  <c r="K1045" i="17"/>
  <c r="K1015" i="17"/>
  <c r="K1016" i="17" s="1"/>
  <c r="J985" i="17"/>
  <c r="M1609" i="1"/>
  <c r="L1823" i="1"/>
  <c r="G1734" i="13"/>
  <c r="J1734" i="13" s="1"/>
  <c r="K1719" i="1"/>
  <c r="O1719" i="1" s="1"/>
  <c r="K1024" i="17"/>
  <c r="Q964" i="17"/>
  <c r="J964" i="17"/>
  <c r="L1142" i="17"/>
  <c r="J1644" i="13"/>
  <c r="J1647" i="13" s="1"/>
  <c r="G1647" i="13"/>
  <c r="K1599" i="1"/>
  <c r="N1595" i="1"/>
  <c r="M913" i="17"/>
  <c r="N913" i="17"/>
  <c r="O1607" i="1"/>
  <c r="N1607" i="1"/>
  <c r="L1778" i="1"/>
  <c r="G1689" i="13"/>
  <c r="L1681" i="1"/>
  <c r="N1598" i="1"/>
  <c r="O1598" i="1"/>
  <c r="L1188" i="17"/>
  <c r="M1715" i="1"/>
  <c r="M1620" i="1"/>
  <c r="O1620" i="1" s="1"/>
  <c r="O1611" i="1"/>
  <c r="N1571" i="1"/>
  <c r="O1571" i="1"/>
  <c r="N1576" i="1"/>
  <c r="O1576" i="1"/>
  <c r="N1605" i="1"/>
  <c r="O1605" i="1"/>
  <c r="N896" i="17"/>
  <c r="M896" i="17"/>
  <c r="J978" i="17"/>
  <c r="K1038" i="17"/>
  <c r="Q978" i="17"/>
  <c r="K1059" i="17"/>
  <c r="J999" i="17"/>
  <c r="M999" i="17" s="1"/>
  <c r="Q999" i="17"/>
  <c r="K1036" i="17"/>
  <c r="Q976" i="17"/>
  <c r="J976" i="17"/>
  <c r="M2055" i="1"/>
  <c r="L1900" i="1"/>
  <c r="G1812" i="13"/>
  <c r="J1812" i="13" s="1"/>
  <c r="K1796" i="1"/>
  <c r="M2095" i="1"/>
  <c r="M2199" i="1" s="1"/>
  <c r="N1582" i="1"/>
  <c r="O1582" i="1"/>
  <c r="M909" i="17"/>
  <c r="N909" i="17"/>
  <c r="L1186" i="17"/>
  <c r="L1246" i="17" s="1"/>
  <c r="N1631" i="1"/>
  <c r="O1631" i="1"/>
  <c r="N1622" i="1"/>
  <c r="O1622" i="1"/>
  <c r="L1804" i="1"/>
  <c r="G1715" i="13"/>
  <c r="J1715" i="13" s="1"/>
  <c r="K1700" i="1"/>
  <c r="L1847" i="1"/>
  <c r="G1758" i="13"/>
  <c r="J1758" i="13" s="1"/>
  <c r="K1743" i="1"/>
  <c r="K1641" i="1"/>
  <c r="N1638" i="1"/>
  <c r="M1883" i="1"/>
  <c r="N1635" i="1"/>
  <c r="O1635" i="1"/>
  <c r="O1621" i="1"/>
  <c r="N1621" i="1"/>
  <c r="K1624" i="1"/>
  <c r="N1624" i="1" s="1"/>
  <c r="J1495" i="13"/>
  <c r="J1498" i="13" s="1"/>
  <c r="J1503" i="13" s="1"/>
  <c r="G1498" i="13"/>
  <c r="G1503" i="13" s="1"/>
  <c r="G1519" i="13" s="1"/>
  <c r="G1574" i="13" s="1"/>
  <c r="O1455" i="1"/>
  <c r="O1456" i="1" s="1"/>
  <c r="N1455" i="1"/>
  <c r="N1456" i="1" s="1"/>
  <c r="K1456" i="1"/>
  <c r="N1628" i="1"/>
  <c r="O1628" i="1"/>
  <c r="J1640" i="13"/>
  <c r="J1643" i="13" s="1"/>
  <c r="J1648" i="13" s="1"/>
  <c r="G1643" i="13"/>
  <c r="G1648" i="13" s="1"/>
  <c r="M1999" i="1"/>
  <c r="K1065" i="17"/>
  <c r="Q1005" i="17"/>
  <c r="J1005" i="17"/>
  <c r="M1005" i="17" s="1"/>
  <c r="K1662" i="1"/>
  <c r="N1662" i="1" s="1"/>
  <c r="N1660" i="1"/>
  <c r="M2073" i="1"/>
  <c r="L1110" i="17"/>
  <c r="G1673" i="13"/>
  <c r="J1670" i="13"/>
  <c r="J1673" i="13" s="1"/>
  <c r="K1716" i="1"/>
  <c r="L1820" i="1"/>
  <c r="G1731" i="13"/>
  <c r="J1731" i="13" s="1"/>
  <c r="L1046" i="17"/>
  <c r="N1566" i="1"/>
  <c r="O1566" i="1"/>
  <c r="M2368" i="1"/>
  <c r="L1776" i="1"/>
  <c r="G1687" i="13"/>
  <c r="J1687" i="13" s="1"/>
  <c r="K1672" i="1"/>
  <c r="M1998" i="1"/>
  <c r="M2102" i="1" s="1"/>
  <c r="N908" i="17"/>
  <c r="L1037" i="17"/>
  <c r="G1572" i="13"/>
  <c r="G1573" i="13" s="1"/>
  <c r="O1495" i="1"/>
  <c r="N1495" i="1"/>
  <c r="M1868" i="1"/>
  <c r="M1766" i="1"/>
  <c r="L1855" i="1"/>
  <c r="G1766" i="13"/>
  <c r="L1753" i="1"/>
  <c r="K1751" i="1"/>
  <c r="L1819" i="1"/>
  <c r="G1730" i="13"/>
  <c r="K1715" i="1"/>
  <c r="L1724" i="1"/>
  <c r="L1850" i="1"/>
  <c r="K1746" i="1"/>
  <c r="G1761" i="13"/>
  <c r="L1750" i="1"/>
  <c r="M2104" i="1"/>
  <c r="M2208" i="1" s="1"/>
  <c r="K1022" i="17"/>
  <c r="Q962" i="17"/>
  <c r="J962" i="17"/>
  <c r="K1055" i="17"/>
  <c r="Q995" i="17"/>
  <c r="J995" i="17"/>
  <c r="L1027" i="17"/>
  <c r="L974" i="17"/>
  <c r="L1862" i="1"/>
  <c r="K1758" i="1"/>
  <c r="G1773" i="13"/>
  <c r="J1773" i="13" s="1"/>
  <c r="K1669" i="1"/>
  <c r="L1773" i="1"/>
  <c r="G1684" i="13"/>
  <c r="L1673" i="1"/>
  <c r="L1853" i="1"/>
  <c r="K1749" i="1"/>
  <c r="G1764" i="13"/>
  <c r="J1764" i="13" s="1"/>
  <c r="L1059" i="17"/>
  <c r="N999" i="17"/>
  <c r="L1090" i="17"/>
  <c r="K1756" i="1"/>
  <c r="L1860" i="1"/>
  <c r="G1771" i="13"/>
  <c r="J1771" i="13" s="1"/>
  <c r="J1604" i="13"/>
  <c r="J1607" i="13" s="1"/>
  <c r="G1607" i="13"/>
  <c r="M1954" i="1"/>
  <c r="M1854" i="1"/>
  <c r="N1412" i="1"/>
  <c r="K1417" i="1"/>
  <c r="L1824" i="1"/>
  <c r="G1735" i="13"/>
  <c r="J1735" i="13" s="1"/>
  <c r="K1720" i="1"/>
  <c r="O1720" i="1" s="1"/>
  <c r="L1728" i="1"/>
  <c r="L1831" i="1"/>
  <c r="K1727" i="1"/>
  <c r="G1742" i="13"/>
  <c r="J1742" i="13" s="1"/>
  <c r="M2038" i="1"/>
  <c r="M1787" i="1"/>
  <c r="M1891" i="1" s="1"/>
  <c r="M927" i="17"/>
  <c r="N927" i="17"/>
  <c r="M946" i="17"/>
  <c r="N946" i="17"/>
  <c r="J993" i="17"/>
  <c r="M993" i="17" s="1"/>
  <c r="K1053" i="17"/>
  <c r="Q993" i="17"/>
  <c r="M1963" i="1"/>
  <c r="L1808" i="1"/>
  <c r="G1719" i="13"/>
  <c r="K1704" i="1"/>
  <c r="G1694" i="13"/>
  <c r="J1694" i="13" s="1"/>
  <c r="K1679" i="1"/>
  <c r="L1783" i="1"/>
  <c r="M1634" i="1"/>
  <c r="F1342" i="16"/>
  <c r="I1260" i="16"/>
  <c r="N930" i="17"/>
  <c r="M930" i="17"/>
  <c r="J955" i="17"/>
  <c r="M955" i="17" s="1"/>
  <c r="K1041" i="17"/>
  <c r="J1041" i="17" s="1"/>
  <c r="Q981" i="17"/>
  <c r="J981" i="17"/>
  <c r="L1070" i="17"/>
  <c r="N1602" i="1"/>
  <c r="O1602" i="1"/>
  <c r="L1167" i="17"/>
  <c r="O1313" i="1"/>
  <c r="N1313" i="1"/>
  <c r="K1324" i="1"/>
  <c r="M1989" i="1"/>
  <c r="L1799" i="1"/>
  <c r="K1695" i="1"/>
  <c r="G1710" i="13"/>
  <c r="J1710" i="13" s="1"/>
  <c r="L1835" i="1"/>
  <c r="G1746" i="13"/>
  <c r="J1746" i="13" s="1"/>
  <c r="K1731" i="1"/>
  <c r="G1669" i="13"/>
  <c r="J1664" i="13"/>
  <c r="J1669" i="13" s="1"/>
  <c r="L1789" i="1"/>
  <c r="G1700" i="13"/>
  <c r="J1700" i="13" s="1"/>
  <c r="K1685" i="1"/>
  <c r="M1983" i="1"/>
  <c r="N941" i="17"/>
  <c r="M1625" i="1"/>
  <c r="M1636" i="1" s="1"/>
  <c r="O1624" i="1"/>
  <c r="N1643" i="1"/>
  <c r="O1643" i="1"/>
  <c r="N1619" i="1"/>
  <c r="O1619" i="1"/>
  <c r="O1592" i="1"/>
  <c r="J1663" i="13"/>
  <c r="J956" i="17"/>
  <c r="M956" i="17" s="1"/>
  <c r="Q1012" i="17"/>
  <c r="K1072" i="17"/>
  <c r="J1012" i="17"/>
  <c r="L1065" i="17"/>
  <c r="N1005" i="17"/>
  <c r="M1004" i="17"/>
  <c r="N1004" i="17"/>
  <c r="J1517" i="13"/>
  <c r="J1518" i="13" s="1"/>
  <c r="M1803" i="1"/>
  <c r="M1703" i="1"/>
  <c r="L1707" i="1"/>
  <c r="L1712" i="1" s="1"/>
  <c r="G1617" i="13"/>
  <c r="J1617" i="13" s="1"/>
  <c r="K1603" i="1"/>
  <c r="K1683" i="1"/>
  <c r="N1683" i="1" s="1"/>
  <c r="L1787" i="1"/>
  <c r="G1698" i="13"/>
  <c r="J1698" i="13" s="1"/>
  <c r="M1997" i="1"/>
  <c r="L1792" i="1"/>
  <c r="G1703" i="13"/>
  <c r="J1703" i="13" s="1"/>
  <c r="K1688" i="1"/>
  <c r="M1681" i="1"/>
  <c r="Q994" i="17"/>
  <c r="K1054" i="17"/>
  <c r="J994" i="17"/>
  <c r="M994" i="17" s="1"/>
  <c r="M1753" i="1"/>
  <c r="M1855" i="1"/>
  <c r="L1838" i="1"/>
  <c r="G1749" i="13"/>
  <c r="L1737" i="1"/>
  <c r="K1734" i="1"/>
  <c r="L1105" i="17"/>
  <c r="L1609" i="1"/>
  <c r="M1913" i="1"/>
  <c r="L1780" i="1"/>
  <c r="G1691" i="13"/>
  <c r="J1691" i="13" s="1"/>
  <c r="N1583" i="1"/>
  <c r="O1583" i="1"/>
  <c r="N1400" i="1"/>
  <c r="O1400" i="1"/>
  <c r="M1838" i="1"/>
  <c r="O1734" i="1"/>
  <c r="M1737" i="1"/>
  <c r="M1521" i="1"/>
  <c r="M1532" i="1" s="1"/>
  <c r="O1516" i="1"/>
  <c r="M918" i="17"/>
  <c r="N918" i="17"/>
  <c r="N1692" i="1"/>
  <c r="O1692" i="1"/>
  <c r="M2165" i="1"/>
  <c r="M1673" i="1"/>
  <c r="M1773" i="1"/>
  <c r="O1669" i="1"/>
  <c r="M2023" i="1"/>
  <c r="K1067" i="17"/>
  <c r="Q1007" i="17"/>
  <c r="J1007" i="17"/>
  <c r="K1505" i="1"/>
  <c r="N1505" i="1" s="1"/>
  <c r="N1504" i="1"/>
  <c r="L1830" i="1"/>
  <c r="G1741" i="13"/>
  <c r="J1741" i="13" s="1"/>
  <c r="K1726" i="1"/>
  <c r="L1869" i="1"/>
  <c r="G1780" i="13"/>
  <c r="K1765" i="1"/>
  <c r="N1596" i="1"/>
  <c r="O1596" i="1"/>
  <c r="N1567" i="1"/>
  <c r="O1567" i="1"/>
  <c r="Q986" i="17"/>
  <c r="K1046" i="17"/>
  <c r="J986" i="17"/>
  <c r="M986" i="17" s="1"/>
  <c r="M932" i="17"/>
  <c r="N932" i="17"/>
  <c r="K1027" i="17"/>
  <c r="Q967" i="17"/>
  <c r="J967" i="17"/>
  <c r="K974" i="17"/>
  <c r="M2230" i="1"/>
  <c r="K1675" i="1"/>
  <c r="M2122" i="1"/>
  <c r="L1153" i="17"/>
  <c r="J1635" i="13"/>
  <c r="J1638" i="13" s="1"/>
  <c r="G1638" i="13"/>
  <c r="N1482" i="1"/>
  <c r="K1485" i="1"/>
  <c r="N1485" i="1" s="1"/>
  <c r="K1117" i="17"/>
  <c r="Q1057" i="17"/>
  <c r="J1057" i="17"/>
  <c r="M1057" i="17" s="1"/>
  <c r="K1071" i="17"/>
  <c r="Q1011" i="17"/>
  <c r="J1011" i="17"/>
  <c r="M1011" i="17" s="1"/>
  <c r="L1836" i="1"/>
  <c r="G1747" i="13"/>
  <c r="J1747" i="13" s="1"/>
  <c r="K1732" i="1"/>
  <c r="M998" i="17"/>
  <c r="N998" i="17"/>
  <c r="N1297" i="1"/>
  <c r="O1297" i="1"/>
  <c r="O1626" i="1"/>
  <c r="N1626" i="1"/>
  <c r="K1629" i="1"/>
  <c r="M1858" i="1"/>
  <c r="M1759" i="1"/>
  <c r="L1054" i="17"/>
  <c r="N994" i="17"/>
  <c r="L1062" i="17"/>
  <c r="G1676" i="13"/>
  <c r="I1246" i="16"/>
  <c r="F1328" i="16"/>
  <c r="K1659" i="1"/>
  <c r="N1659" i="1" s="1"/>
  <c r="N1656" i="1"/>
  <c r="M2212" i="1"/>
  <c r="M2172" i="1"/>
  <c r="M948" i="17"/>
  <c r="N948" i="17"/>
  <c r="O1640" i="1"/>
  <c r="N1640" i="1"/>
  <c r="L1028" i="17"/>
  <c r="N968" i="17"/>
  <c r="L1244" i="17"/>
  <c r="L1304" i="17" s="1"/>
  <c r="N1647" i="1"/>
  <c r="K1649" i="1"/>
  <c r="N1649" i="1" s="1"/>
  <c r="N1653" i="1"/>
  <c r="O1653" i="1"/>
  <c r="Q919" i="17"/>
  <c r="Q923" i="17" s="1"/>
  <c r="Q924" i="17" s="1"/>
  <c r="K979" i="17"/>
  <c r="J919" i="17"/>
  <c r="M907" i="17"/>
  <c r="J914" i="17"/>
  <c r="M914" i="17" s="1"/>
  <c r="K1748" i="1"/>
  <c r="L1852" i="1"/>
  <c r="G1763" i="13"/>
  <c r="J1763" i="13" s="1"/>
  <c r="M2013" i="1"/>
  <c r="M1888" i="1"/>
  <c r="O1574" i="1"/>
  <c r="N1574" i="1"/>
  <c r="L1840" i="1"/>
  <c r="G1751" i="13"/>
  <c r="J1751" i="13" s="1"/>
  <c r="K1736" i="1"/>
  <c r="O1638" i="1"/>
  <c r="L1788" i="1"/>
  <c r="G1699" i="13"/>
  <c r="J1699" i="13" s="1"/>
  <c r="K1684" i="1"/>
  <c r="G1733" i="13"/>
  <c r="J1733" i="13" s="1"/>
  <c r="L1822" i="1"/>
  <c r="K1718" i="1"/>
  <c r="O1718" i="1" s="1"/>
  <c r="L1697" i="1"/>
  <c r="L1798" i="1"/>
  <c r="G1709" i="13"/>
  <c r="K1694" i="1"/>
  <c r="M940" i="17"/>
  <c r="N940" i="17"/>
  <c r="K1066" i="17"/>
  <c r="J1006" i="17"/>
  <c r="Q1006" i="17"/>
  <c r="N997" i="17"/>
  <c r="N1575" i="1"/>
  <c r="O1575" i="1"/>
  <c r="M1834" i="1"/>
  <c r="M1733" i="1"/>
  <c r="M1738" i="1" s="1"/>
  <c r="K1050" i="17"/>
  <c r="Q990" i="17"/>
  <c r="J990" i="17"/>
  <c r="N1537" i="1"/>
  <c r="K1559" i="1"/>
  <c r="O1656" i="1"/>
  <c r="M2363" i="1"/>
  <c r="L1180" i="17"/>
  <c r="N1573" i="1"/>
  <c r="O1573" i="1"/>
  <c r="O1650" i="1"/>
  <c r="N1650" i="1"/>
  <c r="K1655" i="1"/>
  <c r="N1655" i="1" s="1"/>
  <c r="L1232" i="17"/>
  <c r="L1108" i="17"/>
  <c r="L1061" i="17"/>
  <c r="M1829" i="1"/>
  <c r="M1728" i="1"/>
  <c r="G1762" i="13"/>
  <c r="J1762" i="13" s="1"/>
  <c r="L1851" i="1"/>
  <c r="K1747" i="1"/>
  <c r="M1800" i="1"/>
  <c r="K1710" i="1"/>
  <c r="L1814" i="1"/>
  <c r="G1725" i="13"/>
  <c r="J1725" i="13" s="1"/>
  <c r="N953" i="17"/>
  <c r="L1689" i="1"/>
  <c r="L1786" i="1"/>
  <c r="G1697" i="13"/>
  <c r="K1682" i="1"/>
  <c r="L1859" i="1"/>
  <c r="G1770" i="13"/>
  <c r="J1770" i="13" s="1"/>
  <c r="K1755" i="1"/>
  <c r="K1124" i="17"/>
  <c r="Q1064" i="17"/>
  <c r="J1064" i="17"/>
  <c r="Q971" i="17"/>
  <c r="K1031" i="17"/>
  <c r="J971" i="17"/>
  <c r="M971" i="17" s="1"/>
  <c r="M925" i="17"/>
  <c r="N925" i="17"/>
  <c r="M2243" i="1"/>
  <c r="N1499" i="1"/>
  <c r="O1499" i="1"/>
  <c r="N1584" i="1"/>
  <c r="O1584" i="1"/>
  <c r="N1009" i="17"/>
  <c r="N864" i="17"/>
  <c r="M904" i="17"/>
  <c r="N904" i="17"/>
  <c r="O1555" i="1"/>
  <c r="N1630" i="1"/>
  <c r="K1633" i="1"/>
  <c r="N1633" i="1" s="1"/>
  <c r="J1609" i="13"/>
  <c r="J1613" i="13" s="1"/>
  <c r="G1613" i="13"/>
  <c r="M1712" i="1"/>
  <c r="J1572" i="13"/>
  <c r="J1573" i="13" s="1"/>
  <c r="N1542" i="1"/>
  <c r="O1542" i="1"/>
  <c r="L1099" i="17"/>
  <c r="O1570" i="1"/>
  <c r="N1570" i="1"/>
  <c r="K1577" i="1"/>
  <c r="L1806" i="1"/>
  <c r="K1702" i="1"/>
  <c r="G1717" i="13"/>
  <c r="J1717" i="13" s="1"/>
  <c r="M2014" i="1"/>
  <c r="O1485" i="1"/>
  <c r="L1813" i="1"/>
  <c r="K1709" i="1"/>
  <c r="G1724" i="13"/>
  <c r="J1724" i="13" s="1"/>
  <c r="N916" i="17"/>
  <c r="M916" i="17"/>
  <c r="J923" i="17"/>
  <c r="M1996" i="1"/>
  <c r="M2039" i="1"/>
  <c r="L1825" i="1"/>
  <c r="G1736" i="13"/>
  <c r="J1736" i="13" s="1"/>
  <c r="K1721" i="1"/>
  <c r="O1721" i="1" s="1"/>
  <c r="M2124" i="1"/>
  <c r="L1042" i="17"/>
  <c r="M841" i="17"/>
  <c r="N841" i="17"/>
  <c r="L1839" i="1"/>
  <c r="G1750" i="13"/>
  <c r="J1750" i="13" s="1"/>
  <c r="K1735" i="1"/>
  <c r="M1878" i="1"/>
  <c r="N1639" i="1"/>
  <c r="O1639" i="1"/>
  <c r="M910" i="17"/>
  <c r="N910" i="17"/>
  <c r="Q992" i="17"/>
  <c r="K1052" i="17"/>
  <c r="J992" i="17"/>
  <c r="J1652" i="13"/>
  <c r="J1655" i="13" s="1"/>
  <c r="J1677" i="13" s="1"/>
  <c r="J1678" i="13" s="1"/>
  <c r="G1655" i="13"/>
  <c r="O1249" i="1"/>
  <c r="L1238" i="17"/>
  <c r="L1843" i="1"/>
  <c r="K1739" i="1"/>
  <c r="G1754" i="13"/>
  <c r="J1754" i="13" s="1"/>
  <c r="M2043" i="1"/>
  <c r="L1829" i="1"/>
  <c r="G1740" i="13"/>
  <c r="K1725" i="1"/>
  <c r="L1690" i="1"/>
  <c r="G1600" i="13"/>
  <c r="L1589" i="1"/>
  <c r="L1594" i="1" s="1"/>
  <c r="L1610" i="1" s="1"/>
  <c r="L1665" i="1" s="1"/>
  <c r="K1586" i="1"/>
  <c r="M936" i="17"/>
  <c r="N936" i="17"/>
  <c r="L1053" i="17"/>
  <c r="N993" i="17"/>
  <c r="L1506" i="1"/>
  <c r="L1561" i="1" s="1"/>
  <c r="M1429" i="1"/>
  <c r="M1457" i="1" s="1"/>
  <c r="L1733" i="1"/>
  <c r="L1834" i="1"/>
  <c r="K1730" i="1"/>
  <c r="G1745" i="13"/>
  <c r="J924" i="17"/>
  <c r="M924" i="17" s="1"/>
  <c r="N920" i="17"/>
  <c r="K1037" i="17"/>
  <c r="Q977" i="17"/>
  <c r="J977" i="17"/>
  <c r="M977" i="17" s="1"/>
  <c r="L1766" i="1"/>
  <c r="L1868" i="1"/>
  <c r="G1779" i="13"/>
  <c r="G1781" i="13" s="1"/>
  <c r="K1764" i="1"/>
  <c r="K1760" i="1"/>
  <c r="L1864" i="1"/>
  <c r="G1775" i="13"/>
  <c r="L1763" i="1"/>
  <c r="N1612" i="1"/>
  <c r="O1612" i="1"/>
  <c r="K1696" i="1"/>
  <c r="N1696" i="1" s="1"/>
  <c r="L1800" i="1"/>
  <c r="G1711" i="13"/>
  <c r="J1711" i="13" s="1"/>
  <c r="L1032" i="17"/>
  <c r="Q1008" i="17"/>
  <c r="K1068" i="17"/>
  <c r="J1008" i="17"/>
  <c r="N1597" i="1"/>
  <c r="O1597" i="1"/>
  <c r="O1568" i="1"/>
  <c r="N1568" i="1"/>
  <c r="L1236" i="17"/>
  <c r="L1296" i="17" s="1"/>
  <c r="K1061" i="17"/>
  <c r="Q1001" i="17"/>
  <c r="J1001" i="17"/>
  <c r="M1001" i="17" s="1"/>
  <c r="G1414" i="13"/>
  <c r="G1469" i="13" s="1"/>
  <c r="J1625" i="13"/>
  <c r="J1634" i="13" s="1"/>
  <c r="J1639" i="13" s="1"/>
  <c r="J1650" i="13" s="1"/>
  <c r="J1651" i="13" s="1"/>
  <c r="G1634" i="13"/>
  <c r="G1639" i="13" s="1"/>
  <c r="G1650" i="13" s="1"/>
  <c r="G1651" i="13" s="1"/>
  <c r="N1642" i="1"/>
  <c r="K1646" i="1"/>
  <c r="O1642" i="1"/>
  <c r="N859" i="17"/>
  <c r="M859" i="17"/>
  <c r="N914" i="17"/>
  <c r="N1644" i="1"/>
  <c r="O1644" i="1"/>
  <c r="N1654" i="1"/>
  <c r="O1654" i="1"/>
  <c r="N1565" i="1"/>
  <c r="K1569" i="1"/>
  <c r="O1569" i="1" s="1"/>
  <c r="N1645" i="1"/>
  <c r="O1645" i="1"/>
  <c r="G1543" i="13"/>
  <c r="G1545" i="13" s="1"/>
  <c r="G1546" i="13" s="1"/>
  <c r="M2151" i="1"/>
  <c r="M2255" i="1" s="1"/>
  <c r="L1149" i="17"/>
  <c r="N1652" i="1"/>
  <c r="O1652" i="1"/>
  <c r="M1663" i="1"/>
  <c r="M1664" i="1" s="1"/>
  <c r="O1641" i="1"/>
  <c r="N1580" i="1"/>
  <c r="O1580" i="1"/>
  <c r="K1593" i="1"/>
  <c r="N1593" i="1" s="1"/>
  <c r="N1590" i="1"/>
  <c r="M1490" i="1"/>
  <c r="N1623" i="1"/>
  <c r="O1623" i="1"/>
  <c r="L1127" i="17"/>
  <c r="Q1000" i="17"/>
  <c r="K1060" i="17"/>
  <c r="J1000" i="17"/>
  <c r="K1047" i="17"/>
  <c r="Q987" i="17"/>
  <c r="J987" i="17"/>
  <c r="K1062" i="17"/>
  <c r="J1002" i="17"/>
  <c r="M1002" i="17" s="1"/>
  <c r="Q1002" i="17"/>
  <c r="N1600" i="1"/>
  <c r="K1608" i="1"/>
  <c r="N1608" i="1" s="1"/>
  <c r="I1245" i="16"/>
  <c r="F1327" i="16"/>
  <c r="O1386" i="1"/>
  <c r="K1402" i="1"/>
  <c r="N1386" i="1"/>
  <c r="L1117" i="17"/>
  <c r="N1057" i="17"/>
  <c r="L1123" i="17"/>
  <c r="N1063" i="17"/>
  <c r="N924" i="17"/>
  <c r="K1070" i="17"/>
  <c r="J1010" i="17"/>
  <c r="M1010" i="17" s="1"/>
  <c r="Q1010" i="17"/>
  <c r="M1864" i="1"/>
  <c r="M1763" i="1"/>
  <c r="O1760" i="1"/>
  <c r="L1812" i="1"/>
  <c r="G1723" i="13"/>
  <c r="J1723" i="13" s="1"/>
  <c r="K1708" i="1"/>
  <c r="N1591" i="1"/>
  <c r="O1591" i="1"/>
  <c r="K1761" i="1"/>
  <c r="L1865" i="1"/>
  <c r="G1776" i="13"/>
  <c r="J1776" i="13" s="1"/>
  <c r="N1627" i="1"/>
  <c r="O1627" i="1"/>
  <c r="N1601" i="1"/>
  <c r="O1601" i="1"/>
  <c r="N1581" i="1"/>
  <c r="O1581" i="1"/>
  <c r="O1298" i="1"/>
  <c r="N951" i="17"/>
  <c r="M928" i="17"/>
  <c r="N928" i="17"/>
  <c r="L1827" i="1"/>
  <c r="K1723" i="1"/>
  <c r="G1738" i="13"/>
  <c r="J1738" i="13" s="1"/>
  <c r="N1648" i="1"/>
  <c r="O1648" i="1"/>
  <c r="N1525" i="1"/>
  <c r="K1530" i="1"/>
  <c r="N1530" i="1" s="1"/>
  <c r="N1606" i="1"/>
  <c r="O1606" i="1"/>
  <c r="L1073" i="17"/>
  <c r="N1013" i="17"/>
  <c r="J982" i="17"/>
  <c r="M982" i="17" s="1"/>
  <c r="K1042" i="17"/>
  <c r="Q982" i="17"/>
  <c r="K1049" i="17"/>
  <c r="Q989" i="17"/>
  <c r="J989" i="17"/>
  <c r="N1578" i="1"/>
  <c r="K1585" i="1"/>
  <c r="N1585" i="1" s="1"/>
  <c r="N1651" i="1"/>
  <c r="O1651" i="1"/>
  <c r="N1465" i="1"/>
  <c r="K1490" i="1"/>
  <c r="K1032" i="17"/>
  <c r="Q972" i="17"/>
  <c r="J972" i="17"/>
  <c r="M972" i="17" s="1"/>
  <c r="M2019" i="1"/>
  <c r="M2060" i="1"/>
  <c r="M1882" i="1"/>
  <c r="M1785" i="1"/>
  <c r="L1129" i="17"/>
  <c r="N1069" i="17"/>
  <c r="Q955" i="17"/>
  <c r="Q956" i="17" s="1"/>
  <c r="O1647" i="1"/>
  <c r="M2174" i="1"/>
  <c r="L1204" i="17"/>
  <c r="L1803" i="1"/>
  <c r="G1714" i="13"/>
  <c r="K1699" i="1"/>
  <c r="L1703" i="1"/>
  <c r="O1481" i="1"/>
  <c r="N1516" i="1"/>
  <c r="K1521" i="1"/>
  <c r="L1791" i="1"/>
  <c r="G1702" i="13"/>
  <c r="J1702" i="13" s="1"/>
  <c r="K1687" i="1"/>
  <c r="F1354" i="16"/>
  <c r="I1272" i="16"/>
  <c r="F1367" i="16"/>
  <c r="I1285" i="16"/>
  <c r="I1291" i="16"/>
  <c r="F1373" i="16"/>
  <c r="I1279" i="16"/>
  <c r="F1361" i="16"/>
  <c r="I1287" i="16"/>
  <c r="F1369" i="16"/>
  <c r="F1340" i="16"/>
  <c r="I1258" i="16"/>
  <c r="F1352" i="16"/>
  <c r="I1270" i="16"/>
  <c r="I1282" i="16"/>
  <c r="F1364" i="16"/>
  <c r="F1333" i="16"/>
  <c r="I1251" i="16"/>
  <c r="F1378" i="16"/>
  <c r="I1296" i="16"/>
  <c r="I1309" i="16"/>
  <c r="F1391" i="16"/>
  <c r="I1252" i="16"/>
  <c r="F1334" i="16"/>
  <c r="F1388" i="16"/>
  <c r="I1306" i="16"/>
  <c r="I1286" i="16"/>
  <c r="F1368" i="16"/>
  <c r="F1348" i="16"/>
  <c r="I1266" i="16"/>
  <c r="I1308" i="16"/>
  <c r="F1390" i="16"/>
  <c r="F1379" i="16"/>
  <c r="I1297" i="16"/>
  <c r="F1362" i="16"/>
  <c r="I1280" i="16"/>
  <c r="I1300" i="16"/>
  <c r="F1382" i="16"/>
  <c r="I1313" i="16"/>
  <c r="F1395" i="16"/>
  <c r="I1263" i="16"/>
  <c r="F1345" i="16"/>
  <c r="I1314" i="16"/>
  <c r="F1396" i="16"/>
  <c r="I1312" i="16"/>
  <c r="F1394" i="16"/>
  <c r="I1177" i="16"/>
  <c r="I1301" i="16"/>
  <c r="F1383" i="16"/>
  <c r="I1304" i="16"/>
  <c r="F1386" i="16"/>
  <c r="F1370" i="16"/>
  <c r="I1288" i="16"/>
  <c r="F1336" i="16"/>
  <c r="I1254" i="16"/>
  <c r="I1249" i="16"/>
  <c r="F1331" i="16"/>
  <c r="F1363" i="16"/>
  <c r="I1281" i="16"/>
  <c r="I1261" i="16"/>
  <c r="F1343" i="16"/>
  <c r="F1332" i="16"/>
  <c r="I1250" i="16"/>
  <c r="F1351" i="16"/>
  <c r="I1269" i="16"/>
  <c r="I1294" i="16"/>
  <c r="F1376" i="16"/>
  <c r="F1355" i="16"/>
  <c r="I1273" i="16"/>
  <c r="I1264" i="16"/>
  <c r="F1346" i="16"/>
  <c r="I1278" i="16"/>
  <c r="F1360" i="16"/>
  <c r="F1374" i="16"/>
  <c r="I1374" i="16" s="1"/>
  <c r="I1292" i="16"/>
  <c r="F1389" i="16"/>
  <c r="I1307" i="16"/>
  <c r="I1316" i="16"/>
  <c r="F1398" i="16"/>
  <c r="F1366" i="16"/>
  <c r="I1284" i="16"/>
  <c r="F1381" i="16"/>
  <c r="I1299" i="16"/>
  <c r="F1397" i="16"/>
  <c r="I1315" i="16"/>
  <c r="I1305" i="16"/>
  <c r="F1387" i="16"/>
  <c r="I1283" i="16"/>
  <c r="F1365" i="16"/>
  <c r="I1265" i="16"/>
  <c r="F1347" i="16"/>
  <c r="I1267" i="16"/>
  <c r="F1349" i="16"/>
  <c r="F1344" i="16"/>
  <c r="I1262" i="16"/>
  <c r="F1329" i="16"/>
  <c r="I1247" i="16"/>
  <c r="I1274" i="16"/>
  <c r="F1356" i="16"/>
  <c r="F1385" i="16"/>
  <c r="I1303" i="16"/>
  <c r="F1393" i="16"/>
  <c r="I1311" i="16"/>
  <c r="I1253" i="16"/>
  <c r="F1335" i="16"/>
  <c r="I1290" i="16"/>
  <c r="F1372" i="16"/>
  <c r="I1256" i="16"/>
  <c r="F1338" i="16"/>
  <c r="I1248" i="16"/>
  <c r="F1330" i="16"/>
  <c r="I1302" i="16"/>
  <c r="F1384" i="16"/>
  <c r="F1375" i="16"/>
  <c r="I1293" i="16"/>
  <c r="F1371" i="16"/>
  <c r="I1289" i="16"/>
  <c r="I1189" i="16"/>
  <c r="F1400" i="16"/>
  <c r="I1318" i="16"/>
  <c r="I1268" i="16"/>
  <c r="F1350" i="16"/>
  <c r="I1257" i="16"/>
  <c r="F1339" i="16"/>
  <c r="I1317" i="16"/>
  <c r="F1399" i="16"/>
  <c r="I1113" i="16"/>
  <c r="I1158" i="16" s="1"/>
  <c r="I1216" i="16"/>
  <c r="F1337" i="16"/>
  <c r="I1255" i="16"/>
  <c r="I1295" i="16"/>
  <c r="F1377" i="16"/>
  <c r="I1237" i="16"/>
  <c r="F1392" i="16"/>
  <c r="I1310" i="16"/>
  <c r="Q795" i="17"/>
  <c r="M903" i="17"/>
  <c r="N903" i="17"/>
  <c r="Q906" i="17"/>
  <c r="Q915" i="17" s="1"/>
  <c r="K1023" i="17"/>
  <c r="Q963" i="17"/>
  <c r="J963" i="17"/>
  <c r="J906" i="17"/>
  <c r="N906" i="17" s="1"/>
  <c r="M905" i="17"/>
  <c r="L897" i="17"/>
  <c r="L915" i="17"/>
  <c r="Q965" i="17"/>
  <c r="K1025" i="17"/>
  <c r="K966" i="17"/>
  <c r="K975" i="17" s="1"/>
  <c r="J965" i="17"/>
  <c r="N965" i="17" s="1"/>
  <c r="L1025" i="17"/>
  <c r="L966" i="17"/>
  <c r="L975" i="17" s="1"/>
  <c r="J855" i="17"/>
  <c r="N855" i="17" s="1"/>
  <c r="M846" i="17"/>
  <c r="N794" i="17"/>
  <c r="Q837" i="17"/>
  <c r="J836" i="17"/>
  <c r="N836" i="17" s="1"/>
  <c r="M776" i="17"/>
  <c r="J777" i="17"/>
  <c r="M777" i="17" s="1"/>
  <c r="N776" i="17"/>
  <c r="M718" i="17"/>
  <c r="N718" i="17"/>
  <c r="N804" i="17"/>
  <c r="N835" i="17"/>
  <c r="M786" i="17"/>
  <c r="J795" i="17"/>
  <c r="M795" i="17" s="1"/>
  <c r="N736" i="17"/>
  <c r="L837" i="17"/>
  <c r="N803" i="17"/>
  <c r="J804" i="17"/>
  <c r="M804" i="17" s="1"/>
  <c r="N777" i="17"/>
  <c r="I24" i="16"/>
  <c r="I23" i="16"/>
  <c r="M1041" i="17" l="1"/>
  <c r="N1041" i="17"/>
  <c r="J1519" i="13"/>
  <c r="J1574" i="13" s="1"/>
  <c r="Q957" i="17"/>
  <c r="I1195" i="16"/>
  <c r="L1895" i="1"/>
  <c r="G1807" i="13"/>
  <c r="J1807" i="13" s="1"/>
  <c r="K1791" i="1"/>
  <c r="L1713" i="1"/>
  <c r="M2164" i="1"/>
  <c r="K1102" i="17"/>
  <c r="Q1042" i="17"/>
  <c r="J1042" i="17"/>
  <c r="M1042" i="17" s="1"/>
  <c r="L1931" i="1"/>
  <c r="G1843" i="13"/>
  <c r="J1843" i="13" s="1"/>
  <c r="K1827" i="1"/>
  <c r="L1969" i="1"/>
  <c r="G1881" i="13"/>
  <c r="J1881" i="13" s="1"/>
  <c r="K1865" i="1"/>
  <c r="O1708" i="1"/>
  <c r="N1708" i="1"/>
  <c r="K1130" i="17"/>
  <c r="J1070" i="17"/>
  <c r="M1070" i="17" s="1"/>
  <c r="Q1070" i="17"/>
  <c r="N987" i="17"/>
  <c r="M987" i="17"/>
  <c r="K1120" i="17"/>
  <c r="J1060" i="17"/>
  <c r="Q1060" i="17"/>
  <c r="L1209" i="17"/>
  <c r="N1646" i="1"/>
  <c r="O1646" i="1"/>
  <c r="K1800" i="1"/>
  <c r="N1800" i="1" s="1"/>
  <c r="L1904" i="1"/>
  <c r="G1816" i="13"/>
  <c r="J1816" i="13" s="1"/>
  <c r="K1766" i="1"/>
  <c r="N1766" i="1" s="1"/>
  <c r="N1764" i="1"/>
  <c r="K1589" i="1"/>
  <c r="N1589" i="1" s="1"/>
  <c r="N1586" i="1"/>
  <c r="K1728" i="1"/>
  <c r="N1725" i="1"/>
  <c r="M2147" i="1"/>
  <c r="L1298" i="17"/>
  <c r="N982" i="17"/>
  <c r="M2143" i="1"/>
  <c r="K1813" i="1"/>
  <c r="L1917" i="1"/>
  <c r="G1829" i="13"/>
  <c r="J1829" i="13" s="1"/>
  <c r="M1064" i="17"/>
  <c r="N1064" i="17"/>
  <c r="L1793" i="1"/>
  <c r="L1890" i="1"/>
  <c r="G1802" i="13"/>
  <c r="K1786" i="1"/>
  <c r="L1918" i="1"/>
  <c r="G1830" i="13"/>
  <c r="J1830" i="13" s="1"/>
  <c r="K1814" i="1"/>
  <c r="N1747" i="1"/>
  <c r="O1747" i="1"/>
  <c r="O1728" i="1"/>
  <c r="N990" i="17"/>
  <c r="J1015" i="17"/>
  <c r="M990" i="17"/>
  <c r="M1938" i="1"/>
  <c r="M1837" i="1"/>
  <c r="N1684" i="1"/>
  <c r="O1684" i="1"/>
  <c r="N1748" i="1"/>
  <c r="O1748" i="1"/>
  <c r="Q979" i="17"/>
  <c r="K1039" i="17"/>
  <c r="J979" i="17"/>
  <c r="F1410" i="16"/>
  <c r="I1328" i="16"/>
  <c r="L1122" i="17"/>
  <c r="M1962" i="1"/>
  <c r="M1863" i="1"/>
  <c r="N1732" i="1"/>
  <c r="O1732" i="1"/>
  <c r="Q1117" i="17"/>
  <c r="K1177" i="17"/>
  <c r="J1117" i="17"/>
  <c r="M1117" i="17" s="1"/>
  <c r="M2226" i="1"/>
  <c r="M2334" i="1"/>
  <c r="Q1027" i="17"/>
  <c r="K1087" i="17"/>
  <c r="K1034" i="17"/>
  <c r="J1027" i="17"/>
  <c r="K1106" i="17"/>
  <c r="J1046" i="17"/>
  <c r="M1046" i="17" s="1"/>
  <c r="Q1046" i="17"/>
  <c r="K1869" i="1"/>
  <c r="L1973" i="1"/>
  <c r="G1885" i="13"/>
  <c r="Q1067" i="17"/>
  <c r="K1127" i="17"/>
  <c r="J1067" i="17"/>
  <c r="M1777" i="1"/>
  <c r="M1877" i="1"/>
  <c r="M1942" i="1"/>
  <c r="M1841" i="1"/>
  <c r="L1165" i="17"/>
  <c r="L1942" i="1"/>
  <c r="G1854" i="13"/>
  <c r="L1841" i="1"/>
  <c r="K1838" i="1"/>
  <c r="K1114" i="17"/>
  <c r="J1054" i="17"/>
  <c r="M1054" i="17" s="1"/>
  <c r="Q1054" i="17"/>
  <c r="O1688" i="1"/>
  <c r="N1688" i="1"/>
  <c r="M2101" i="1"/>
  <c r="O1603" i="1"/>
  <c r="N1603" i="1"/>
  <c r="M1713" i="1"/>
  <c r="K1132" i="17"/>
  <c r="Q1072" i="17"/>
  <c r="J1072" i="17"/>
  <c r="K1789" i="1"/>
  <c r="L1893" i="1"/>
  <c r="G1805" i="13"/>
  <c r="J1805" i="13" s="1"/>
  <c r="K1799" i="1"/>
  <c r="L1903" i="1"/>
  <c r="G1815" i="13"/>
  <c r="J1815" i="13" s="1"/>
  <c r="O1659" i="1"/>
  <c r="L1130" i="17"/>
  <c r="N1070" i="17"/>
  <c r="F1424" i="16"/>
  <c r="I1342" i="16"/>
  <c r="L1912" i="1"/>
  <c r="G1824" i="13"/>
  <c r="K1808" i="1"/>
  <c r="K1113" i="17"/>
  <c r="Q1053" i="17"/>
  <c r="M2142" i="1"/>
  <c r="N1727" i="1"/>
  <c r="O1727" i="1"/>
  <c r="J1059" i="17"/>
  <c r="M1059" i="17" s="1"/>
  <c r="L1119" i="17"/>
  <c r="K1115" i="17"/>
  <c r="Q1055" i="17"/>
  <c r="J1055" i="17"/>
  <c r="M2312" i="1"/>
  <c r="N1746" i="1"/>
  <c r="K1750" i="1"/>
  <c r="O1746" i="1"/>
  <c r="J1730" i="13"/>
  <c r="J1739" i="13" s="1"/>
  <c r="G1739" i="13"/>
  <c r="J1766" i="13"/>
  <c r="J1768" i="13" s="1"/>
  <c r="G1768" i="13"/>
  <c r="M1972" i="1"/>
  <c r="M1870" i="1"/>
  <c r="N977" i="17"/>
  <c r="M2206" i="1"/>
  <c r="N986" i="17"/>
  <c r="N1716" i="1"/>
  <c r="O1716" i="1"/>
  <c r="K1125" i="17"/>
  <c r="Q1065" i="17"/>
  <c r="J1065" i="17"/>
  <c r="M1065" i="17" s="1"/>
  <c r="M1987" i="1"/>
  <c r="L1908" i="1"/>
  <c r="K1804" i="1"/>
  <c r="G1820" i="13"/>
  <c r="J1820" i="13" s="1"/>
  <c r="M2303" i="1"/>
  <c r="K1900" i="1"/>
  <c r="G1917" i="13"/>
  <c r="J1917" i="13" s="1"/>
  <c r="L2004" i="1"/>
  <c r="M976" i="17"/>
  <c r="J983" i="17"/>
  <c r="M983" i="17" s="1"/>
  <c r="M978" i="17"/>
  <c r="N978" i="17"/>
  <c r="K1609" i="1"/>
  <c r="N1609" i="1" s="1"/>
  <c r="N1599" i="1"/>
  <c r="K1084" i="17"/>
  <c r="J1024" i="17"/>
  <c r="Q1024" i="17"/>
  <c r="O1599" i="1"/>
  <c r="K1105" i="17"/>
  <c r="Q1045" i="17"/>
  <c r="J1045" i="17"/>
  <c r="K1075" i="17"/>
  <c r="K1076" i="17" s="1"/>
  <c r="Q1123" i="17"/>
  <c r="K1183" i="17"/>
  <c r="J1123" i="17"/>
  <c r="M1123" i="17" s="1"/>
  <c r="G1872" i="13"/>
  <c r="J1872" i="13" s="1"/>
  <c r="L1960" i="1"/>
  <c r="K1856" i="1"/>
  <c r="K1821" i="1"/>
  <c r="O1821" i="1" s="1"/>
  <c r="L1925" i="1"/>
  <c r="G1837" i="13"/>
  <c r="J1837" i="13" s="1"/>
  <c r="O1676" i="1"/>
  <c r="K1108" i="17"/>
  <c r="Q1048" i="17"/>
  <c r="J1048" i="17"/>
  <c r="N1705" i="1"/>
  <c r="O1705" i="1"/>
  <c r="N1706" i="1"/>
  <c r="O1706" i="1"/>
  <c r="J1036" i="17"/>
  <c r="L1096" i="17"/>
  <c r="N1036" i="17"/>
  <c r="L1043" i="17"/>
  <c r="J1622" i="13"/>
  <c r="M1950" i="1"/>
  <c r="M1849" i="1"/>
  <c r="L1930" i="1"/>
  <c r="G1842" i="13"/>
  <c r="J1842" i="13" s="1"/>
  <c r="K1826" i="1"/>
  <c r="O1826" i="1" s="1"/>
  <c r="N1678" i="1"/>
  <c r="O1678" i="1"/>
  <c r="N1670" i="1"/>
  <c r="O1670" i="1"/>
  <c r="K1805" i="1"/>
  <c r="L1909" i="1"/>
  <c r="G1821" i="13"/>
  <c r="J1821" i="13" s="1"/>
  <c r="K1088" i="17"/>
  <c r="Q1028" i="17"/>
  <c r="J1028" i="17"/>
  <c r="M1028" i="17" s="1"/>
  <c r="J984" i="17"/>
  <c r="M984" i="17" s="1"/>
  <c r="N980" i="17"/>
  <c r="M2272" i="1"/>
  <c r="K1116" i="17"/>
  <c r="J1056" i="17"/>
  <c r="Q1056" i="17"/>
  <c r="O1762" i="1"/>
  <c r="M1890" i="1"/>
  <c r="M1793" i="1"/>
  <c r="O1786" i="1"/>
  <c r="K1745" i="1"/>
  <c r="N1742" i="1"/>
  <c r="M1912" i="1"/>
  <c r="M1816" i="1"/>
  <c r="O1808" i="1"/>
  <c r="K1090" i="17"/>
  <c r="J1030" i="17"/>
  <c r="Q1030" i="17"/>
  <c r="N1014" i="17"/>
  <c r="M1801" i="1"/>
  <c r="M1902" i="1"/>
  <c r="N1680" i="1"/>
  <c r="O1680" i="1"/>
  <c r="M973" i="17"/>
  <c r="N973" i="17"/>
  <c r="O1521" i="1"/>
  <c r="N1521" i="1"/>
  <c r="K1532" i="1"/>
  <c r="K1703" i="1"/>
  <c r="N1699" i="1"/>
  <c r="L1264" i="17"/>
  <c r="K1092" i="17"/>
  <c r="Q1032" i="17"/>
  <c r="J1032" i="17"/>
  <c r="M1032" i="17" s="1"/>
  <c r="Q1015" i="17"/>
  <c r="Q1016" i="17" s="1"/>
  <c r="N1761" i="1"/>
  <c r="O1761" i="1"/>
  <c r="M1867" i="1"/>
  <c r="M1968" i="1"/>
  <c r="L1177" i="17"/>
  <c r="N1117" i="17"/>
  <c r="F1409" i="16"/>
  <c r="I1327" i="16"/>
  <c r="M2359" i="1"/>
  <c r="N972" i="17"/>
  <c r="J1775" i="13"/>
  <c r="J1778" i="13" s="1"/>
  <c r="G1778" i="13"/>
  <c r="J1745" i="13"/>
  <c r="J1748" i="13" s="1"/>
  <c r="G1748" i="13"/>
  <c r="J1053" i="17"/>
  <c r="M1053" i="17" s="1"/>
  <c r="L1113" i="17"/>
  <c r="J1740" i="13"/>
  <c r="G1743" i="13"/>
  <c r="G1744" i="13" s="1"/>
  <c r="O1608" i="1"/>
  <c r="L1943" i="1"/>
  <c r="G1855" i="13"/>
  <c r="J1855" i="13" s="1"/>
  <c r="K1839" i="1"/>
  <c r="L1102" i="17"/>
  <c r="N1042" i="17"/>
  <c r="N1702" i="1"/>
  <c r="O1702" i="1"/>
  <c r="J1623" i="13"/>
  <c r="M2347" i="1"/>
  <c r="K1859" i="1"/>
  <c r="L1963" i="1"/>
  <c r="G1875" i="13"/>
  <c r="J1875" i="13" s="1"/>
  <c r="N1710" i="1"/>
  <c r="O1710" i="1"/>
  <c r="L1955" i="1"/>
  <c r="G1867" i="13"/>
  <c r="J1867" i="13" s="1"/>
  <c r="K1851" i="1"/>
  <c r="M1933" i="1"/>
  <c r="M1832" i="1"/>
  <c r="L1168" i="17"/>
  <c r="M1006" i="17"/>
  <c r="N1006" i="17"/>
  <c r="N1694" i="1"/>
  <c r="K1697" i="1"/>
  <c r="N1697" i="1" s="1"/>
  <c r="O1736" i="1"/>
  <c r="N1736" i="1"/>
  <c r="M2117" i="1"/>
  <c r="L1088" i="17"/>
  <c r="N1028" i="17"/>
  <c r="M2316" i="1"/>
  <c r="O1629" i="1"/>
  <c r="N1629" i="1"/>
  <c r="K1634" i="1"/>
  <c r="N1634" i="1" s="1"/>
  <c r="Q1071" i="17"/>
  <c r="K1131" i="17"/>
  <c r="J1071" i="17"/>
  <c r="M1071" i="17" s="1"/>
  <c r="O1585" i="1"/>
  <c r="O1726" i="1"/>
  <c r="N1726" i="1"/>
  <c r="M1533" i="1"/>
  <c r="O1532" i="1"/>
  <c r="O1533" i="1" s="1"/>
  <c r="M2017" i="1"/>
  <c r="N1734" i="1"/>
  <c r="K1737" i="1"/>
  <c r="M1959" i="1"/>
  <c r="M1857" i="1"/>
  <c r="M1907" i="1"/>
  <c r="M1807" i="1"/>
  <c r="M1817" i="1" s="1"/>
  <c r="M2087" i="1"/>
  <c r="L1939" i="1"/>
  <c r="G1851" i="13"/>
  <c r="J1851" i="13" s="1"/>
  <c r="K1835" i="1"/>
  <c r="M981" i="17"/>
  <c r="N981" i="17"/>
  <c r="O1634" i="1"/>
  <c r="G1847" i="13"/>
  <c r="J1847" i="13" s="1"/>
  <c r="L1935" i="1"/>
  <c r="K1831" i="1"/>
  <c r="K1824" i="1"/>
  <c r="O1824" i="1" s="1"/>
  <c r="L1928" i="1"/>
  <c r="G1840" i="13"/>
  <c r="J1840" i="13" s="1"/>
  <c r="J1684" i="13"/>
  <c r="J1688" i="13" s="1"/>
  <c r="G1688" i="13"/>
  <c r="O1758" i="1"/>
  <c r="N1758" i="1"/>
  <c r="L1087" i="17"/>
  <c r="L1034" i="17"/>
  <c r="N1027" i="17"/>
  <c r="N962" i="17"/>
  <c r="M962" i="17"/>
  <c r="L1954" i="1"/>
  <c r="K1850" i="1"/>
  <c r="G1866" i="13"/>
  <c r="L1854" i="1"/>
  <c r="L1923" i="1"/>
  <c r="G1835" i="13"/>
  <c r="L1828" i="1"/>
  <c r="L1959" i="1"/>
  <c r="G1871" i="13"/>
  <c r="L1857" i="1"/>
  <c r="K1855" i="1"/>
  <c r="L1097" i="17"/>
  <c r="N1672" i="1"/>
  <c r="O1672" i="1"/>
  <c r="L1106" i="17"/>
  <c r="N1046" i="17"/>
  <c r="L1170" i="17"/>
  <c r="O1655" i="1"/>
  <c r="K1847" i="1"/>
  <c r="L1951" i="1"/>
  <c r="G1863" i="13"/>
  <c r="J1863" i="13" s="1"/>
  <c r="O1593" i="1"/>
  <c r="M2159" i="1"/>
  <c r="K1119" i="17"/>
  <c r="Q1059" i="17"/>
  <c r="L1248" i="17"/>
  <c r="L1308" i="17" s="1"/>
  <c r="J1689" i="13"/>
  <c r="G1696" i="13"/>
  <c r="L1202" i="17"/>
  <c r="O1609" i="1"/>
  <c r="K1189" i="17"/>
  <c r="J1129" i="17"/>
  <c r="M1129" i="17" s="1"/>
  <c r="Q1129" i="17"/>
  <c r="M1884" i="1"/>
  <c r="M988" i="17"/>
  <c r="N988" i="17"/>
  <c r="G1774" i="13"/>
  <c r="J1769" i="13"/>
  <c r="J1774" i="13" s="1"/>
  <c r="L1885" i="1"/>
  <c r="K1781" i="1"/>
  <c r="G1797" i="13"/>
  <c r="J1797" i="13" s="1"/>
  <c r="K1809" i="1"/>
  <c r="L1913" i="1"/>
  <c r="G1825" i="13"/>
  <c r="J1825" i="13" s="1"/>
  <c r="G1622" i="13"/>
  <c r="G1623" i="13" s="1"/>
  <c r="N955" i="17"/>
  <c r="K1134" i="17"/>
  <c r="J1074" i="17"/>
  <c r="M1074" i="17" s="1"/>
  <c r="Q1074" i="17"/>
  <c r="K1861" i="1"/>
  <c r="L1965" i="1"/>
  <c r="G1877" i="13"/>
  <c r="J1877" i="13" s="1"/>
  <c r="O1744" i="1"/>
  <c r="N1744" i="1"/>
  <c r="L1878" i="1"/>
  <c r="G1790" i="13"/>
  <c r="J1790" i="13" s="1"/>
  <c r="K1774" i="1"/>
  <c r="Q1040" i="17"/>
  <c r="K1100" i="17"/>
  <c r="J1040" i="17"/>
  <c r="N971" i="17"/>
  <c r="M1970" i="1"/>
  <c r="J1757" i="13"/>
  <c r="J1760" i="13" s="1"/>
  <c r="G1760" i="13"/>
  <c r="L1134" i="17"/>
  <c r="K1790" i="1"/>
  <c r="L1894" i="1"/>
  <c r="G1806" i="13"/>
  <c r="J1806" i="13" s="1"/>
  <c r="O1697" i="1"/>
  <c r="O1586" i="1"/>
  <c r="J1696" i="13"/>
  <c r="O1633" i="1"/>
  <c r="N1711" i="1"/>
  <c r="O1711" i="1"/>
  <c r="N1620" i="1"/>
  <c r="K1625" i="1"/>
  <c r="N1687" i="1"/>
  <c r="O1687" i="1"/>
  <c r="J1714" i="13"/>
  <c r="J1718" i="13" s="1"/>
  <c r="G1718" i="13"/>
  <c r="M1986" i="1"/>
  <c r="M1889" i="1"/>
  <c r="M2123" i="1"/>
  <c r="N1490" i="1"/>
  <c r="K1506" i="1"/>
  <c r="K1109" i="17"/>
  <c r="Q1049" i="17"/>
  <c r="J1049" i="17"/>
  <c r="L1916" i="1"/>
  <c r="G1828" i="13"/>
  <c r="J1828" i="13" s="1"/>
  <c r="K1812" i="1"/>
  <c r="K1107" i="17"/>
  <c r="Q1047" i="17"/>
  <c r="J1047" i="17"/>
  <c r="M1506" i="1"/>
  <c r="O1490" i="1"/>
  <c r="N1569" i="1"/>
  <c r="K1594" i="1"/>
  <c r="M1008" i="17"/>
  <c r="N1008" i="17"/>
  <c r="L1092" i="17"/>
  <c r="N1032" i="17"/>
  <c r="L1968" i="1"/>
  <c r="G1880" i="13"/>
  <c r="K1864" i="1"/>
  <c r="L1867" i="1"/>
  <c r="L1870" i="1"/>
  <c r="L1972" i="1"/>
  <c r="G1884" i="13"/>
  <c r="G1886" i="13" s="1"/>
  <c r="K1868" i="1"/>
  <c r="O1868" i="1" s="1"/>
  <c r="K1097" i="17"/>
  <c r="Q1037" i="17"/>
  <c r="J1037" i="17"/>
  <c r="M1037" i="17" s="1"/>
  <c r="O1730" i="1"/>
  <c r="N1730" i="1"/>
  <c r="K1733" i="1"/>
  <c r="J1600" i="13"/>
  <c r="J1603" i="13" s="1"/>
  <c r="J1608" i="13" s="1"/>
  <c r="J1624" i="13" s="1"/>
  <c r="J1679" i="13" s="1"/>
  <c r="G1603" i="13"/>
  <c r="G1845" i="13"/>
  <c r="L1933" i="1"/>
  <c r="K1829" i="1"/>
  <c r="O1829" i="1" s="1"/>
  <c r="L1832" i="1"/>
  <c r="O1739" i="1"/>
  <c r="N1739" i="1"/>
  <c r="M992" i="17"/>
  <c r="N992" i="17"/>
  <c r="M1881" i="1"/>
  <c r="M1982" i="1"/>
  <c r="M2086" i="1" s="1"/>
  <c r="M2228" i="1"/>
  <c r="K1825" i="1"/>
  <c r="O1825" i="1" s="1"/>
  <c r="L1929" i="1"/>
  <c r="G1841" i="13"/>
  <c r="J1841" i="13" s="1"/>
  <c r="M2100" i="1"/>
  <c r="M2204" i="1" s="1"/>
  <c r="K1806" i="1"/>
  <c r="L1910" i="1"/>
  <c r="G1822" i="13"/>
  <c r="J1822" i="13" s="1"/>
  <c r="K1091" i="17"/>
  <c r="Q1031" i="17"/>
  <c r="Q1124" i="17"/>
  <c r="K1184" i="17"/>
  <c r="J1124" i="17"/>
  <c r="K1689" i="1"/>
  <c r="N1689" i="1" s="1"/>
  <c r="N1682" i="1"/>
  <c r="M1904" i="1"/>
  <c r="O1800" i="1"/>
  <c r="N1001" i="17"/>
  <c r="L1240" i="17"/>
  <c r="L1300" i="17" s="1"/>
  <c r="O1559" i="1"/>
  <c r="O1560" i="1" s="1"/>
  <c r="N1559" i="1"/>
  <c r="N1560" i="1" s="1"/>
  <c r="K1560" i="1"/>
  <c r="K1110" i="17"/>
  <c r="J1050" i="17"/>
  <c r="Q1050" i="17"/>
  <c r="K1126" i="17"/>
  <c r="J1066" i="17"/>
  <c r="Q1066" i="17"/>
  <c r="G1712" i="13"/>
  <c r="J1709" i="13"/>
  <c r="G1838" i="13"/>
  <c r="J1838" i="13" s="1"/>
  <c r="L1926" i="1"/>
  <c r="K1822" i="1"/>
  <c r="O1822" i="1" s="1"/>
  <c r="L1892" i="1"/>
  <c r="G1804" i="13"/>
  <c r="J1804" i="13" s="1"/>
  <c r="K1788" i="1"/>
  <c r="L1114" i="17"/>
  <c r="N1054" i="17"/>
  <c r="K1836" i="1"/>
  <c r="L1940" i="1"/>
  <c r="G1852" i="13"/>
  <c r="J1852" i="13" s="1"/>
  <c r="L1213" i="17"/>
  <c r="N1675" i="1"/>
  <c r="O1675" i="1"/>
  <c r="M967" i="17"/>
  <c r="J974" i="17"/>
  <c r="M974" i="17" s="1"/>
  <c r="O1765" i="1"/>
  <c r="N1765" i="1"/>
  <c r="M1007" i="17"/>
  <c r="N1007" i="17"/>
  <c r="M2127" i="1"/>
  <c r="M2269" i="1"/>
  <c r="L1738" i="1"/>
  <c r="L1896" i="1"/>
  <c r="G1808" i="13"/>
  <c r="J1808" i="13" s="1"/>
  <c r="K1792" i="1"/>
  <c r="L1891" i="1"/>
  <c r="G1803" i="13"/>
  <c r="J1803" i="13" s="1"/>
  <c r="K1787" i="1"/>
  <c r="L1811" i="1"/>
  <c r="G1722" i="13"/>
  <c r="J1722" i="13" s="1"/>
  <c r="K1707" i="1"/>
  <c r="L1125" i="17"/>
  <c r="N1065" i="17"/>
  <c r="M1637" i="1"/>
  <c r="N1685" i="1"/>
  <c r="O1685" i="1"/>
  <c r="G1677" i="13"/>
  <c r="G1678" i="13" s="1"/>
  <c r="J1712" i="13"/>
  <c r="M2093" i="1"/>
  <c r="L1887" i="1"/>
  <c r="G1799" i="13"/>
  <c r="J1799" i="13" s="1"/>
  <c r="K1783" i="1"/>
  <c r="N1704" i="1"/>
  <c r="K1712" i="1"/>
  <c r="N1712" i="1" s="1"/>
  <c r="M2067" i="1"/>
  <c r="O1683" i="1"/>
  <c r="O1417" i="1"/>
  <c r="K1428" i="1"/>
  <c r="N1417" i="1"/>
  <c r="M2058" i="1"/>
  <c r="M1958" i="1"/>
  <c r="K1860" i="1"/>
  <c r="L1964" i="1"/>
  <c r="G1876" i="13"/>
  <c r="J1876" i="13" s="1"/>
  <c r="L1150" i="17"/>
  <c r="O1749" i="1"/>
  <c r="N1749" i="1"/>
  <c r="K1773" i="1"/>
  <c r="L1877" i="1"/>
  <c r="G1789" i="13"/>
  <c r="L1777" i="1"/>
  <c r="L1966" i="1"/>
  <c r="K1862" i="1"/>
  <c r="G1878" i="13"/>
  <c r="J1878" i="13" s="1"/>
  <c r="N995" i="17"/>
  <c r="M995" i="17"/>
  <c r="L1729" i="1"/>
  <c r="L1740" i="1" s="1"/>
  <c r="L1741" i="1" s="1"/>
  <c r="O1751" i="1"/>
  <c r="K1753" i="1"/>
  <c r="N1753" i="1" s="1"/>
  <c r="N1751" i="1"/>
  <c r="O1764" i="1"/>
  <c r="N1641" i="1"/>
  <c r="K1663" i="1"/>
  <c r="N1700" i="1"/>
  <c r="O1700" i="1"/>
  <c r="L1306" i="17"/>
  <c r="N1796" i="1"/>
  <c r="O1796" i="1"/>
  <c r="K1043" i="17"/>
  <c r="K1044" i="17" s="1"/>
  <c r="K1096" i="17"/>
  <c r="Q1036" i="17"/>
  <c r="Q983" i="17"/>
  <c r="Q984" i="17" s="1"/>
  <c r="L1882" i="1"/>
  <c r="G1794" i="13"/>
  <c r="K1778" i="1"/>
  <c r="L1785" i="1"/>
  <c r="M964" i="17"/>
  <c r="N964" i="17"/>
  <c r="M985" i="17"/>
  <c r="N985" i="17"/>
  <c r="M2163" i="1"/>
  <c r="M2267" i="1" s="1"/>
  <c r="L1970" i="1"/>
  <c r="G1882" i="13"/>
  <c r="J1882" i="13" s="1"/>
  <c r="K1866" i="1"/>
  <c r="N1866" i="1" s="1"/>
  <c r="N1011" i="17"/>
  <c r="G1874" i="13"/>
  <c r="L1962" i="1"/>
  <c r="L1863" i="1"/>
  <c r="K1858" i="1"/>
  <c r="N1677" i="1"/>
  <c r="O1677" i="1"/>
  <c r="N976" i="17"/>
  <c r="N956" i="17"/>
  <c r="K1782" i="1"/>
  <c r="L1886" i="1"/>
  <c r="G1798" i="13"/>
  <c r="J1798" i="13" s="1"/>
  <c r="O1662" i="1"/>
  <c r="L1952" i="1"/>
  <c r="K1848" i="1"/>
  <c r="G1864" i="13"/>
  <c r="J1864" i="13" s="1"/>
  <c r="M1058" i="17"/>
  <c r="N1058" i="17"/>
  <c r="J1031" i="17"/>
  <c r="M1031" i="17" s="1"/>
  <c r="L1091" i="17"/>
  <c r="N1031" i="17"/>
  <c r="O1682" i="1"/>
  <c r="M2381" i="1"/>
  <c r="L1849" i="1"/>
  <c r="L1871" i="1" s="1"/>
  <c r="L1872" i="1" s="1"/>
  <c r="L1950" i="1"/>
  <c r="G1862" i="13"/>
  <c r="K1846" i="1"/>
  <c r="M2021" i="1"/>
  <c r="L1879" i="1"/>
  <c r="G1791" i="13"/>
  <c r="J1791" i="13" s="1"/>
  <c r="K1775" i="1"/>
  <c r="M901" i="17"/>
  <c r="N901" i="17"/>
  <c r="K1089" i="17"/>
  <c r="Q1029" i="17"/>
  <c r="J1029" i="17"/>
  <c r="N1686" i="1"/>
  <c r="O1686" i="1"/>
  <c r="M2215" i="1"/>
  <c r="O1589" i="1"/>
  <c r="L1888" i="1"/>
  <c r="K1784" i="1"/>
  <c r="G1800" i="13"/>
  <c r="J1800" i="13" s="1"/>
  <c r="K1681" i="1"/>
  <c r="N1681" i="1" s="1"/>
  <c r="L1907" i="1"/>
  <c r="G1819" i="13"/>
  <c r="L1807" i="1"/>
  <c r="K1803" i="1"/>
  <c r="O1803" i="1" s="1"/>
  <c r="M2278" i="1"/>
  <c r="L1189" i="17"/>
  <c r="N1129" i="17"/>
  <c r="L1133" i="17"/>
  <c r="O1723" i="1"/>
  <c r="N1723" i="1"/>
  <c r="L1183" i="17"/>
  <c r="N1123" i="17"/>
  <c r="O1402" i="1"/>
  <c r="N1402" i="1"/>
  <c r="K1122" i="17"/>
  <c r="Q1062" i="17"/>
  <c r="J1062" i="17"/>
  <c r="M1062" i="17" s="1"/>
  <c r="M1000" i="17"/>
  <c r="N1000" i="17"/>
  <c r="L1187" i="17"/>
  <c r="K1121" i="17"/>
  <c r="Q1061" i="17"/>
  <c r="J1061" i="17"/>
  <c r="M1061" i="17" s="1"/>
  <c r="K1128" i="17"/>
  <c r="Q1068" i="17"/>
  <c r="J1068" i="17"/>
  <c r="K1763" i="1"/>
  <c r="N1763" i="1" s="1"/>
  <c r="N1760" i="1"/>
  <c r="L1938" i="1"/>
  <c r="K1834" i="1"/>
  <c r="N1834" i="1" s="1"/>
  <c r="G1850" i="13"/>
  <c r="L1837" i="1"/>
  <c r="L1842" i="1" s="1"/>
  <c r="L1794" i="1"/>
  <c r="G1705" i="13"/>
  <c r="K1690" i="1"/>
  <c r="L1693" i="1"/>
  <c r="L1698" i="1" s="1"/>
  <c r="L1714" i="1" s="1"/>
  <c r="L1769" i="1" s="1"/>
  <c r="K1843" i="1"/>
  <c r="L1947" i="1"/>
  <c r="G1859" i="13"/>
  <c r="J1859" i="13" s="1"/>
  <c r="K1112" i="17"/>
  <c r="Q1052" i="17"/>
  <c r="J1052" i="17"/>
  <c r="N1735" i="1"/>
  <c r="O1735" i="1"/>
  <c r="N923" i="17"/>
  <c r="M923" i="17"/>
  <c r="N1709" i="1"/>
  <c r="O1709" i="1"/>
  <c r="M2118" i="1"/>
  <c r="N1577" i="1"/>
  <c r="O1577" i="1"/>
  <c r="L1159" i="17"/>
  <c r="O1712" i="1"/>
  <c r="N1755" i="1"/>
  <c r="O1755" i="1"/>
  <c r="J1697" i="13"/>
  <c r="J1704" i="13" s="1"/>
  <c r="G1704" i="13"/>
  <c r="O1696" i="1"/>
  <c r="O1725" i="1"/>
  <c r="L1121" i="17"/>
  <c r="N1061" i="17"/>
  <c r="L1292" i="17"/>
  <c r="L1801" i="1"/>
  <c r="L1902" i="1"/>
  <c r="G1814" i="13"/>
  <c r="K1798" i="1"/>
  <c r="O1798" i="1" s="1"/>
  <c r="L1944" i="1"/>
  <c r="G1856" i="13"/>
  <c r="J1856" i="13" s="1"/>
  <c r="K1840" i="1"/>
  <c r="M1992" i="1"/>
  <c r="M2096" i="1" s="1"/>
  <c r="K1852" i="1"/>
  <c r="L1956" i="1"/>
  <c r="G1868" i="13"/>
  <c r="J1868" i="13" s="1"/>
  <c r="M919" i="17"/>
  <c r="N919" i="17"/>
  <c r="M2276" i="1"/>
  <c r="N1002" i="17"/>
  <c r="Q974" i="17"/>
  <c r="L1934" i="1"/>
  <c r="K1830" i="1"/>
  <c r="G1846" i="13"/>
  <c r="J1846" i="13" s="1"/>
  <c r="L1884" i="1"/>
  <c r="G1796" i="13"/>
  <c r="J1796" i="13" s="1"/>
  <c r="K1780" i="1"/>
  <c r="N1780" i="1" s="1"/>
  <c r="J1749" i="13"/>
  <c r="J1752" i="13" s="1"/>
  <c r="G1752" i="13"/>
  <c r="O1530" i="1"/>
  <c r="O1699" i="1"/>
  <c r="M1012" i="17"/>
  <c r="N1012" i="17"/>
  <c r="N1731" i="1"/>
  <c r="O1731" i="1"/>
  <c r="N1695" i="1"/>
  <c r="O1695" i="1"/>
  <c r="O1324" i="1"/>
  <c r="O1325" i="1" s="1"/>
  <c r="K1325" i="1"/>
  <c r="K1353" i="1" s="1"/>
  <c r="N1324" i="1"/>
  <c r="N1325" i="1" s="1"/>
  <c r="L1227" i="17"/>
  <c r="N1010" i="17"/>
  <c r="K1101" i="17"/>
  <c r="Q1041" i="17"/>
  <c r="N1679" i="1"/>
  <c r="O1679" i="1"/>
  <c r="J1719" i="13"/>
  <c r="G1727" i="13"/>
  <c r="M1995" i="1"/>
  <c r="J1743" i="13"/>
  <c r="J1744" i="13" s="1"/>
  <c r="N1756" i="1"/>
  <c r="O1756" i="1"/>
  <c r="K1853" i="1"/>
  <c r="L1957" i="1"/>
  <c r="G1869" i="13"/>
  <c r="J1869" i="13" s="1"/>
  <c r="K1673" i="1"/>
  <c r="O1673" i="1" s="1"/>
  <c r="N1669" i="1"/>
  <c r="N967" i="17"/>
  <c r="K1082" i="17"/>
  <c r="Q1022" i="17"/>
  <c r="J1022" i="17"/>
  <c r="J1761" i="13"/>
  <c r="J1765" i="13" s="1"/>
  <c r="G1765" i="13"/>
  <c r="N1715" i="1"/>
  <c r="K1724" i="1"/>
  <c r="N1724" i="1" s="1"/>
  <c r="O1766" i="1"/>
  <c r="L1880" i="1"/>
  <c r="G1792" i="13"/>
  <c r="J1792" i="13" s="1"/>
  <c r="K1776" i="1"/>
  <c r="L1924" i="1"/>
  <c r="K1820" i="1"/>
  <c r="G1836" i="13"/>
  <c r="J1836" i="13" s="1"/>
  <c r="L1075" i="17"/>
  <c r="M2177" i="1"/>
  <c r="M2281" i="1" s="1"/>
  <c r="M2103" i="1"/>
  <c r="N1743" i="1"/>
  <c r="O1743" i="1"/>
  <c r="K983" i="17"/>
  <c r="K984" i="17" s="1"/>
  <c r="K1017" i="17" s="1"/>
  <c r="K1098" i="17"/>
  <c r="Q1038" i="17"/>
  <c r="J1038" i="17"/>
  <c r="O1715" i="1"/>
  <c r="M1819" i="1"/>
  <c r="M1724" i="1"/>
  <c r="O1649" i="1"/>
  <c r="L1927" i="1"/>
  <c r="K1823" i="1"/>
  <c r="O1823" i="1" s="1"/>
  <c r="G1839" i="13"/>
  <c r="J1839" i="13" s="1"/>
  <c r="O1752" i="1"/>
  <c r="N1752" i="1"/>
  <c r="L1131" i="17"/>
  <c r="N1071" i="17"/>
  <c r="O1754" i="1"/>
  <c r="K1759" i="1"/>
  <c r="N1759" i="1" s="1"/>
  <c r="N1754" i="1"/>
  <c r="J1727" i="13"/>
  <c r="J1728" i="13" s="1"/>
  <c r="L1914" i="1"/>
  <c r="G1826" i="13"/>
  <c r="J1826" i="13" s="1"/>
  <c r="K1810" i="1"/>
  <c r="L984" i="17"/>
  <c r="N984" i="17" s="1"/>
  <c r="N983" i="17"/>
  <c r="O1505" i="1"/>
  <c r="O1745" i="1"/>
  <c r="M1767" i="1"/>
  <c r="M1768" i="1" s="1"/>
  <c r="G1608" i="13"/>
  <c r="M2356" i="1"/>
  <c r="O1757" i="1"/>
  <c r="N1757" i="1"/>
  <c r="N1701" i="1"/>
  <c r="O1701" i="1"/>
  <c r="J1073" i="17"/>
  <c r="M1073" i="17" s="1"/>
  <c r="K1133" i="17"/>
  <c r="Q1073" i="17"/>
  <c r="K1178" i="17"/>
  <c r="J1118" i="17"/>
  <c r="Q1118" i="17"/>
  <c r="M996" i="17"/>
  <c r="N996" i="17"/>
  <c r="L1175" i="17"/>
  <c r="O1689" i="1"/>
  <c r="L1767" i="1"/>
  <c r="L1768" i="1" s="1"/>
  <c r="O1704" i="1"/>
  <c r="M970" i="17"/>
  <c r="N970" i="17"/>
  <c r="L1161" i="17"/>
  <c r="N1671" i="1"/>
  <c r="O1671" i="1"/>
  <c r="Q961" i="17"/>
  <c r="Q966" i="17" s="1"/>
  <c r="Q975" i="17" s="1"/>
  <c r="Q1017" i="17" s="1"/>
  <c r="K1021" i="17"/>
  <c r="J961" i="17"/>
  <c r="M969" i="17"/>
  <c r="N969" i="17"/>
  <c r="M1610" i="1"/>
  <c r="O1594" i="1"/>
  <c r="O1694" i="1"/>
  <c r="M2116" i="1"/>
  <c r="M1794" i="1"/>
  <c r="M1693" i="1"/>
  <c r="G1795" i="13"/>
  <c r="J1795" i="13" s="1"/>
  <c r="L1883" i="1"/>
  <c r="K1779" i="1"/>
  <c r="L1218" i="17"/>
  <c r="K1093" i="17"/>
  <c r="Q1033" i="17"/>
  <c r="J1033" i="17"/>
  <c r="K1815" i="1"/>
  <c r="L1919" i="1"/>
  <c r="G1831" i="13"/>
  <c r="J1831" i="13" s="1"/>
  <c r="F1459" i="16"/>
  <c r="I1377" i="16"/>
  <c r="F1421" i="16"/>
  <c r="I1339" i="16"/>
  <c r="I1371" i="16"/>
  <c r="F1453" i="16"/>
  <c r="I1385" i="16"/>
  <c r="F1467" i="16"/>
  <c r="I1329" i="16"/>
  <c r="F1411" i="16"/>
  <c r="I1397" i="16"/>
  <c r="F1479" i="16"/>
  <c r="F1448" i="16"/>
  <c r="I1366" i="16"/>
  <c r="I1389" i="16"/>
  <c r="F1471" i="16"/>
  <c r="I1298" i="16"/>
  <c r="I1355" i="16"/>
  <c r="F1437" i="16"/>
  <c r="I1351" i="16"/>
  <c r="F1433" i="16"/>
  <c r="I1271" i="16"/>
  <c r="F1452" i="16"/>
  <c r="I1370" i="16"/>
  <c r="F1478" i="16"/>
  <c r="I1396" i="16"/>
  <c r="I1395" i="16"/>
  <c r="F1477" i="16"/>
  <c r="I1390" i="16"/>
  <c r="F1472" i="16"/>
  <c r="I1368" i="16"/>
  <c r="F1450" i="16"/>
  <c r="I1334" i="16"/>
  <c r="F1416" i="16"/>
  <c r="I1364" i="16"/>
  <c r="F1446" i="16"/>
  <c r="F1443" i="16"/>
  <c r="I1361" i="16"/>
  <c r="I1400" i="16"/>
  <c r="F1482" i="16"/>
  <c r="I1330" i="16"/>
  <c r="F1412" i="16"/>
  <c r="I1372" i="16"/>
  <c r="F1454" i="16"/>
  <c r="I1356" i="16"/>
  <c r="F1438" i="16"/>
  <c r="F1429" i="16"/>
  <c r="I1347" i="16"/>
  <c r="I1387" i="16"/>
  <c r="F1469" i="16"/>
  <c r="I1319" i="16"/>
  <c r="I1398" i="16"/>
  <c r="F1480" i="16"/>
  <c r="I1346" i="16"/>
  <c r="F1428" i="16"/>
  <c r="I1376" i="16"/>
  <c r="F1458" i="16"/>
  <c r="I1386" i="16"/>
  <c r="F1468" i="16"/>
  <c r="F1444" i="16"/>
  <c r="I1362" i="16"/>
  <c r="F1460" i="16"/>
  <c r="I1378" i="16"/>
  <c r="F1422" i="16"/>
  <c r="I1340" i="16"/>
  <c r="I1367" i="16"/>
  <c r="F1449" i="16"/>
  <c r="F1474" i="16"/>
  <c r="I1392" i="16"/>
  <c r="I1399" i="16"/>
  <c r="F1481" i="16"/>
  <c r="F1432" i="16"/>
  <c r="I1350" i="16"/>
  <c r="I1375" i="16"/>
  <c r="F1457" i="16"/>
  <c r="I1393" i="16"/>
  <c r="F1475" i="16"/>
  <c r="I1344" i="16"/>
  <c r="F1426" i="16"/>
  <c r="I1381" i="16"/>
  <c r="F1463" i="16"/>
  <c r="F1414" i="16"/>
  <c r="I1332" i="16"/>
  <c r="I1363" i="16"/>
  <c r="F1445" i="16"/>
  <c r="F1418" i="16"/>
  <c r="I1336" i="16"/>
  <c r="I1394" i="16"/>
  <c r="F1476" i="16"/>
  <c r="I1345" i="16"/>
  <c r="F1427" i="16"/>
  <c r="I1382" i="16"/>
  <c r="F1464" i="16"/>
  <c r="I1391" i="16"/>
  <c r="F1473" i="16"/>
  <c r="F1451" i="16"/>
  <c r="I1369" i="16"/>
  <c r="F1455" i="16"/>
  <c r="I1373" i="16"/>
  <c r="I1275" i="16"/>
  <c r="I1240" i="16"/>
  <c r="I1337" i="16"/>
  <c r="F1419" i="16"/>
  <c r="I1384" i="16"/>
  <c r="F1466" i="16"/>
  <c r="I1338" i="16"/>
  <c r="F1420" i="16"/>
  <c r="I1335" i="16"/>
  <c r="F1417" i="16"/>
  <c r="I1259" i="16"/>
  <c r="I1349" i="16"/>
  <c r="F1431" i="16"/>
  <c r="F1447" i="16"/>
  <c r="I1365" i="16"/>
  <c r="I1360" i="16"/>
  <c r="F1442" i="16"/>
  <c r="I1343" i="16"/>
  <c r="F1425" i="16"/>
  <c r="F1413" i="16"/>
  <c r="I1331" i="16"/>
  <c r="F1465" i="16"/>
  <c r="I1383" i="16"/>
  <c r="I1379" i="16"/>
  <c r="F1461" i="16"/>
  <c r="I1348" i="16"/>
  <c r="F1430" i="16"/>
  <c r="F1470" i="16"/>
  <c r="I1388" i="16"/>
  <c r="I1333" i="16"/>
  <c r="F1415" i="16"/>
  <c r="I1352" i="16"/>
  <c r="F1434" i="16"/>
  <c r="F1436" i="16"/>
  <c r="I1354" i="16"/>
  <c r="I1357" i="16" s="1"/>
  <c r="M963" i="17"/>
  <c r="N963" i="17"/>
  <c r="K1083" i="17"/>
  <c r="Q1023" i="17"/>
  <c r="J1023" i="17"/>
  <c r="L1017" i="17"/>
  <c r="K1085" i="17"/>
  <c r="Q1025" i="17"/>
  <c r="J1025" i="17"/>
  <c r="N1025" i="17" s="1"/>
  <c r="K1026" i="17"/>
  <c r="K1035" i="17" s="1"/>
  <c r="K1077" i="17" s="1"/>
  <c r="L1085" i="17"/>
  <c r="L1026" i="17"/>
  <c r="L1035" i="17" s="1"/>
  <c r="M855" i="17"/>
  <c r="J897" i="17"/>
  <c r="M897" i="17" s="1"/>
  <c r="J966" i="17"/>
  <c r="M965" i="17"/>
  <c r="L957" i="17"/>
  <c r="M906" i="17"/>
  <c r="J915" i="17"/>
  <c r="N915" i="17" s="1"/>
  <c r="N795" i="17"/>
  <c r="M836" i="17"/>
  <c r="J837" i="17"/>
  <c r="M837" i="17" s="1"/>
  <c r="I25" i="16"/>
  <c r="N1815" i="1" l="1"/>
  <c r="O1815" i="1"/>
  <c r="M2220" i="1"/>
  <c r="M2324" i="1" s="1"/>
  <c r="L1221" i="17"/>
  <c r="Q1178" i="17"/>
  <c r="K1238" i="17"/>
  <c r="J1178" i="17"/>
  <c r="N1810" i="1"/>
  <c r="O1810" i="1"/>
  <c r="L1191" i="17"/>
  <c r="M1923" i="1"/>
  <c r="M1828" i="1"/>
  <c r="K1158" i="17"/>
  <c r="Q1098" i="17"/>
  <c r="J1098" i="17"/>
  <c r="L1076" i="17"/>
  <c r="N1776" i="1"/>
  <c r="O1776" i="1"/>
  <c r="M1022" i="17"/>
  <c r="N1022" i="17"/>
  <c r="N1853" i="1"/>
  <c r="O1853" i="1"/>
  <c r="N1353" i="1"/>
  <c r="O1353" i="1"/>
  <c r="N1830" i="1"/>
  <c r="O1830" i="1"/>
  <c r="N1852" i="1"/>
  <c r="O1852" i="1"/>
  <c r="L1905" i="1"/>
  <c r="G1919" i="13"/>
  <c r="K1902" i="1"/>
  <c r="L2006" i="1"/>
  <c r="L1219" i="17"/>
  <c r="M2222" i="1"/>
  <c r="N1843" i="1"/>
  <c r="O1843" i="1"/>
  <c r="L1898" i="1"/>
  <c r="K1794" i="1"/>
  <c r="G1810" i="13"/>
  <c r="L1797" i="1"/>
  <c r="G1955" i="13"/>
  <c r="L2042" i="1"/>
  <c r="K1938" i="1"/>
  <c r="L1941" i="1"/>
  <c r="Q1121" i="17"/>
  <c r="K1181" i="17"/>
  <c r="J1121" i="17"/>
  <c r="M1121" i="17" s="1"/>
  <c r="L1243" i="17"/>
  <c r="L1193" i="17"/>
  <c r="M2382" i="1"/>
  <c r="J1819" i="13"/>
  <c r="G1823" i="13"/>
  <c r="M1029" i="17"/>
  <c r="N1029" i="17"/>
  <c r="L1953" i="1"/>
  <c r="L2054" i="1"/>
  <c r="G1967" i="13"/>
  <c r="K1950" i="1"/>
  <c r="L2056" i="1"/>
  <c r="G1969" i="13"/>
  <c r="J1969" i="13" s="1"/>
  <c r="K1952" i="1"/>
  <c r="N1782" i="1"/>
  <c r="O1782" i="1"/>
  <c r="J1874" i="13"/>
  <c r="J1879" i="13" s="1"/>
  <c r="G1879" i="13"/>
  <c r="L2074" i="1"/>
  <c r="G1987" i="13"/>
  <c r="J1987" i="13" s="1"/>
  <c r="K1970" i="1"/>
  <c r="N1970" i="1" s="1"/>
  <c r="N1778" i="1"/>
  <c r="K1785" i="1"/>
  <c r="O1778" i="1"/>
  <c r="L2070" i="1"/>
  <c r="G1983" i="13"/>
  <c r="J1983" i="13" s="1"/>
  <c r="K1966" i="1"/>
  <c r="N1773" i="1"/>
  <c r="K1777" i="1"/>
  <c r="L1210" i="17"/>
  <c r="K1887" i="1"/>
  <c r="G1904" i="13"/>
  <c r="J1904" i="13" s="1"/>
  <c r="L1991" i="1"/>
  <c r="G1908" i="13"/>
  <c r="J1908" i="13" s="1"/>
  <c r="L1995" i="1"/>
  <c r="K1891" i="1"/>
  <c r="O1681" i="1"/>
  <c r="G1957" i="13"/>
  <c r="J1957" i="13" s="1"/>
  <c r="K1940" i="1"/>
  <c r="L2044" i="1"/>
  <c r="N1788" i="1"/>
  <c r="O1788" i="1"/>
  <c r="G1943" i="13"/>
  <c r="J1943" i="13" s="1"/>
  <c r="L2030" i="1"/>
  <c r="K1926" i="1"/>
  <c r="O1926" i="1" s="1"/>
  <c r="J1075" i="17"/>
  <c r="M1075" i="17" s="1"/>
  <c r="M1050" i="17"/>
  <c r="N1050" i="17"/>
  <c r="M1124" i="17"/>
  <c r="N1124" i="17"/>
  <c r="Q1091" i="17"/>
  <c r="K1151" i="17"/>
  <c r="J1091" i="17"/>
  <c r="M1091" i="17" s="1"/>
  <c r="M2308" i="1"/>
  <c r="M2190" i="1"/>
  <c r="L2037" i="1"/>
  <c r="G1950" i="13"/>
  <c r="L1936" i="1"/>
  <c r="K1933" i="1"/>
  <c r="N1864" i="1"/>
  <c r="K1867" i="1"/>
  <c r="N1867" i="1" s="1"/>
  <c r="L1152" i="17"/>
  <c r="L2020" i="1"/>
  <c r="K1916" i="1"/>
  <c r="G1933" i="13"/>
  <c r="J1933" i="13" s="1"/>
  <c r="O1506" i="1"/>
  <c r="N1506" i="1"/>
  <c r="L1194" i="17"/>
  <c r="M2074" i="1"/>
  <c r="N1861" i="1"/>
  <c r="O1861" i="1"/>
  <c r="K1913" i="1"/>
  <c r="G1930" i="13"/>
  <c r="J1930" i="13" s="1"/>
  <c r="L2017" i="1"/>
  <c r="G1902" i="13"/>
  <c r="J1902" i="13" s="1"/>
  <c r="L1989" i="1"/>
  <c r="K1885" i="1"/>
  <c r="L1262" i="17"/>
  <c r="M2263" i="1"/>
  <c r="N1847" i="1"/>
  <c r="O1847" i="1"/>
  <c r="L1230" i="17"/>
  <c r="K1857" i="1"/>
  <c r="N1857" i="1" s="1"/>
  <c r="N1855" i="1"/>
  <c r="L1833" i="1"/>
  <c r="L1844" i="1" s="1"/>
  <c r="L1845" i="1" s="1"/>
  <c r="J1087" i="17"/>
  <c r="L1147" i="17"/>
  <c r="L1094" i="17"/>
  <c r="K1854" i="1"/>
  <c r="N1851" i="1"/>
  <c r="O1851" i="1"/>
  <c r="G1753" i="13"/>
  <c r="O1864" i="1"/>
  <c r="J1092" i="17"/>
  <c r="M1092" i="17" s="1"/>
  <c r="K1152" i="17"/>
  <c r="Q1092" i="17"/>
  <c r="K1713" i="1"/>
  <c r="N1713" i="1" s="1"/>
  <c r="N1703" i="1"/>
  <c r="K1767" i="1"/>
  <c r="N1745" i="1"/>
  <c r="G1926" i="13"/>
  <c r="J1926" i="13" s="1"/>
  <c r="K1909" i="1"/>
  <c r="L2013" i="1"/>
  <c r="M2054" i="1"/>
  <c r="M1953" i="1"/>
  <c r="L1156" i="17"/>
  <c r="L1103" i="17"/>
  <c r="J1108" i="17"/>
  <c r="K1168" i="17"/>
  <c r="Q1108" i="17"/>
  <c r="M1045" i="17"/>
  <c r="N1045" i="17"/>
  <c r="G1925" i="13"/>
  <c r="J1925" i="13" s="1"/>
  <c r="L2012" i="1"/>
  <c r="K1908" i="1"/>
  <c r="N1750" i="1"/>
  <c r="O1750" i="1"/>
  <c r="M1055" i="17"/>
  <c r="N1055" i="17"/>
  <c r="N1808" i="1"/>
  <c r="K1816" i="1"/>
  <c r="N1816" i="1" s="1"/>
  <c r="F1506" i="16"/>
  <c r="I1424" i="16"/>
  <c r="K1893" i="1"/>
  <c r="G1910" i="13"/>
  <c r="J1910" i="13" s="1"/>
  <c r="L1997" i="1"/>
  <c r="Q1132" i="17"/>
  <c r="K1192" i="17"/>
  <c r="J1132" i="17"/>
  <c r="N1838" i="1"/>
  <c r="K1841" i="1"/>
  <c r="M2046" i="1"/>
  <c r="M1945" i="1"/>
  <c r="M1067" i="17"/>
  <c r="N1067" i="17"/>
  <c r="K1973" i="1"/>
  <c r="G1990" i="13"/>
  <c r="L2077" i="1"/>
  <c r="K1166" i="17"/>
  <c r="J1106" i="17"/>
  <c r="M1106" i="17" s="1"/>
  <c r="Q1106" i="17"/>
  <c r="M2330" i="1"/>
  <c r="M1967" i="1"/>
  <c r="M2066" i="1"/>
  <c r="F1492" i="16"/>
  <c r="I1410" i="16"/>
  <c r="M1842" i="1"/>
  <c r="M1015" i="17"/>
  <c r="N1015" i="17"/>
  <c r="K1793" i="1"/>
  <c r="N1793" i="1" s="1"/>
  <c r="N1786" i="1"/>
  <c r="K1917" i="1"/>
  <c r="G1934" i="13"/>
  <c r="J1934" i="13" s="1"/>
  <c r="L2021" i="1"/>
  <c r="M2251" i="1"/>
  <c r="G1921" i="13"/>
  <c r="J1921" i="13" s="1"/>
  <c r="L2008" i="1"/>
  <c r="K1904" i="1"/>
  <c r="N1904" i="1" s="1"/>
  <c r="L1269" i="17"/>
  <c r="K1180" i="17"/>
  <c r="J1120" i="17"/>
  <c r="Q1120" i="17"/>
  <c r="N1827" i="1"/>
  <c r="O1827" i="1"/>
  <c r="M2268" i="1"/>
  <c r="O1791" i="1"/>
  <c r="N1791" i="1"/>
  <c r="M1033" i="17"/>
  <c r="N1033" i="17"/>
  <c r="L1278" i="17"/>
  <c r="K1927" i="1"/>
  <c r="O1927" i="1" s="1"/>
  <c r="G1944" i="13"/>
  <c r="J1944" i="13" s="1"/>
  <c r="L2031" i="1"/>
  <c r="M2207" i="1"/>
  <c r="M2311" i="1" s="1"/>
  <c r="N1673" i="1"/>
  <c r="M2099" i="1"/>
  <c r="L2038" i="1"/>
  <c r="G1951" i="13"/>
  <c r="J1951" i="13" s="1"/>
  <c r="K1934" i="1"/>
  <c r="M2380" i="1"/>
  <c r="G1961" i="13"/>
  <c r="J1961" i="13" s="1"/>
  <c r="L2048" i="1"/>
  <c r="K1944" i="1"/>
  <c r="K1172" i="17"/>
  <c r="Q1112" i="17"/>
  <c r="J1112" i="17"/>
  <c r="Q1128" i="17"/>
  <c r="K1188" i="17"/>
  <c r="J1128" i="17"/>
  <c r="G1924" i="13"/>
  <c r="L2011" i="1"/>
  <c r="K1907" i="1"/>
  <c r="L1911" i="1"/>
  <c r="N1784" i="1"/>
  <c r="O1784" i="1"/>
  <c r="M2319" i="1"/>
  <c r="N1775" i="1"/>
  <c r="O1775" i="1"/>
  <c r="M2125" i="1"/>
  <c r="N1858" i="1"/>
  <c r="K1863" i="1"/>
  <c r="N1863" i="1" s="1"/>
  <c r="J1794" i="13"/>
  <c r="G1801" i="13"/>
  <c r="K1156" i="17"/>
  <c r="Q1096" i="17"/>
  <c r="J1096" i="17"/>
  <c r="O1663" i="1"/>
  <c r="O1664" i="1" s="1"/>
  <c r="K1664" i="1"/>
  <c r="N1663" i="1"/>
  <c r="N1664" i="1" s="1"/>
  <c r="M2162" i="1"/>
  <c r="M2062" i="1"/>
  <c r="L1915" i="1"/>
  <c r="K1811" i="1"/>
  <c r="G1827" i="13"/>
  <c r="J1827" i="13" s="1"/>
  <c r="N1792" i="1"/>
  <c r="O1792" i="1"/>
  <c r="M1698" i="1"/>
  <c r="M1714" i="1" s="1"/>
  <c r="M2373" i="1"/>
  <c r="L1273" i="17"/>
  <c r="N1836" i="1"/>
  <c r="O1836" i="1"/>
  <c r="M1066" i="17"/>
  <c r="N1066" i="17"/>
  <c r="J1110" i="17"/>
  <c r="K1170" i="17"/>
  <c r="Q1110" i="17"/>
  <c r="M2008" i="1"/>
  <c r="M2112" i="1" s="1"/>
  <c r="O1904" i="1"/>
  <c r="K1244" i="17"/>
  <c r="J1184" i="17"/>
  <c r="Q1184" i="17"/>
  <c r="J1845" i="13"/>
  <c r="J1848" i="13" s="1"/>
  <c r="G1848" i="13"/>
  <c r="O1733" i="1"/>
  <c r="N1733" i="1"/>
  <c r="K1738" i="1"/>
  <c r="L1974" i="1"/>
  <c r="G1989" i="13"/>
  <c r="G1991" i="13" s="1"/>
  <c r="L2076" i="1"/>
  <c r="K1972" i="1"/>
  <c r="J1880" i="13"/>
  <c r="J1883" i="13" s="1"/>
  <c r="G1883" i="13"/>
  <c r="Q1107" i="17"/>
  <c r="K1167" i="17"/>
  <c r="J1107" i="17"/>
  <c r="J1076" i="17"/>
  <c r="M1076" i="17" s="1"/>
  <c r="K1894" i="1"/>
  <c r="G1911" i="13"/>
  <c r="J1911" i="13" s="1"/>
  <c r="L1998" i="1"/>
  <c r="G1782" i="13"/>
  <c r="G1783" i="13" s="1"/>
  <c r="N1774" i="1"/>
  <c r="O1774" i="1"/>
  <c r="N1809" i="1"/>
  <c r="O1809" i="1"/>
  <c r="O1780" i="1"/>
  <c r="K1249" i="17"/>
  <c r="J1189" i="17"/>
  <c r="M1189" i="17" s="1"/>
  <c r="Q1189" i="17"/>
  <c r="K1819" i="1"/>
  <c r="O1819" i="1" s="1"/>
  <c r="J1866" i="13"/>
  <c r="J1870" i="13" s="1"/>
  <c r="G1870" i="13"/>
  <c r="O1831" i="1"/>
  <c r="N1831" i="1"/>
  <c r="L2043" i="1"/>
  <c r="G1956" i="13"/>
  <c r="J1956" i="13" s="1"/>
  <c r="K1939" i="1"/>
  <c r="M1961" i="1"/>
  <c r="M2063" i="1"/>
  <c r="M2121" i="1"/>
  <c r="Q1131" i="17"/>
  <c r="K1191" i="17"/>
  <c r="J1131" i="17"/>
  <c r="M1131" i="17" s="1"/>
  <c r="L1148" i="17"/>
  <c r="G1960" i="13"/>
  <c r="J1960" i="13" s="1"/>
  <c r="L2047" i="1"/>
  <c r="K1943" i="1"/>
  <c r="N1053" i="17"/>
  <c r="J1753" i="13"/>
  <c r="I1409" i="16"/>
  <c r="F1491" i="16"/>
  <c r="M2072" i="1"/>
  <c r="M1971" i="1"/>
  <c r="K1533" i="1"/>
  <c r="K1561" i="1" s="1"/>
  <c r="N1561" i="1" s="1"/>
  <c r="N1532" i="1"/>
  <c r="N1533" i="1" s="1"/>
  <c r="M2376" i="1"/>
  <c r="Q1034" i="17"/>
  <c r="N1805" i="1"/>
  <c r="O1805" i="1"/>
  <c r="G1947" i="13"/>
  <c r="J1947" i="13" s="1"/>
  <c r="L2034" i="1"/>
  <c r="K1930" i="1"/>
  <c r="O1930" i="1" s="1"/>
  <c r="M1036" i="17"/>
  <c r="N1856" i="1"/>
  <c r="O1856" i="1"/>
  <c r="K1243" i="17"/>
  <c r="J1183" i="17"/>
  <c r="M1183" i="17" s="1"/>
  <c r="Q1183" i="17"/>
  <c r="Q1075" i="17"/>
  <c r="Q1076" i="17" s="1"/>
  <c r="N1024" i="17"/>
  <c r="M1024" i="17"/>
  <c r="K2004" i="1"/>
  <c r="L2108" i="1"/>
  <c r="G2022" i="13"/>
  <c r="J2022" i="13" s="1"/>
  <c r="K1185" i="17"/>
  <c r="J1125" i="17"/>
  <c r="M1125" i="17" s="1"/>
  <c r="Q1125" i="17"/>
  <c r="N1059" i="17"/>
  <c r="J1824" i="13"/>
  <c r="J1832" i="13" s="1"/>
  <c r="G1832" i="13"/>
  <c r="K1903" i="1"/>
  <c r="G1920" i="13"/>
  <c r="J1920" i="13" s="1"/>
  <c r="L2007" i="1"/>
  <c r="N1789" i="1"/>
  <c r="O1789" i="1"/>
  <c r="O1703" i="1"/>
  <c r="L1225" i="17"/>
  <c r="O1773" i="1"/>
  <c r="Q1127" i="17"/>
  <c r="K1187" i="17"/>
  <c r="J1127" i="17"/>
  <c r="N1869" i="1"/>
  <c r="O1869" i="1"/>
  <c r="M1027" i="17"/>
  <c r="J1034" i="17"/>
  <c r="M1034" i="17" s="1"/>
  <c r="N1062" i="17"/>
  <c r="M979" i="17"/>
  <c r="N979" i="17"/>
  <c r="O1834" i="1"/>
  <c r="N1814" i="1"/>
  <c r="O1814" i="1"/>
  <c r="J1802" i="13"/>
  <c r="J1809" i="13" s="1"/>
  <c r="G1809" i="13"/>
  <c r="N1813" i="1"/>
  <c r="O1813" i="1"/>
  <c r="K1190" i="17"/>
  <c r="Q1130" i="17"/>
  <c r="J1130" i="17"/>
  <c r="M1130" i="17" s="1"/>
  <c r="N1865" i="1"/>
  <c r="O1865" i="1"/>
  <c r="J1102" i="17"/>
  <c r="M1102" i="17" s="1"/>
  <c r="K1162" i="17"/>
  <c r="Q1102" i="17"/>
  <c r="N1779" i="1"/>
  <c r="O1779" i="1"/>
  <c r="M1898" i="1"/>
  <c r="M1797" i="1"/>
  <c r="O1794" i="1"/>
  <c r="M961" i="17"/>
  <c r="N961" i="17"/>
  <c r="J1133" i="17"/>
  <c r="M1133" i="17" s="1"/>
  <c r="K1193" i="17"/>
  <c r="Q1133" i="17"/>
  <c r="G1624" i="13"/>
  <c r="G1679" i="13" s="1"/>
  <c r="K1914" i="1"/>
  <c r="L2018" i="1"/>
  <c r="G1931" i="13"/>
  <c r="J1931" i="13" s="1"/>
  <c r="M1038" i="17"/>
  <c r="N1038" i="17"/>
  <c r="N1820" i="1"/>
  <c r="O1820" i="1"/>
  <c r="L1984" i="1"/>
  <c r="G1897" i="13"/>
  <c r="J1897" i="13" s="1"/>
  <c r="K1880" i="1"/>
  <c r="Q1082" i="17"/>
  <c r="K1142" i="17"/>
  <c r="J1082" i="17"/>
  <c r="L1287" i="17"/>
  <c r="G1901" i="13"/>
  <c r="J1901" i="13" s="1"/>
  <c r="L1988" i="1"/>
  <c r="K1884" i="1"/>
  <c r="N1884" i="1" s="1"/>
  <c r="M2200" i="1"/>
  <c r="N1798" i="1"/>
  <c r="K1801" i="1"/>
  <c r="N1801" i="1" s="1"/>
  <c r="O1690" i="1"/>
  <c r="K1693" i="1"/>
  <c r="N1693" i="1" s="1"/>
  <c r="N1690" i="1"/>
  <c r="J1850" i="13"/>
  <c r="J1853" i="13" s="1"/>
  <c r="G1853" i="13"/>
  <c r="G1858" i="13" s="1"/>
  <c r="L1247" i="17"/>
  <c r="L1249" i="17"/>
  <c r="N1189" i="17"/>
  <c r="N1803" i="1"/>
  <c r="K1807" i="1"/>
  <c r="G1905" i="13"/>
  <c r="J1905" i="13" s="1"/>
  <c r="L1992" i="1"/>
  <c r="K1888" i="1"/>
  <c r="Q1089" i="17"/>
  <c r="K1149" i="17"/>
  <c r="J1089" i="17"/>
  <c r="K1849" i="1"/>
  <c r="N1846" i="1"/>
  <c r="L1151" i="17"/>
  <c r="N1091" i="17"/>
  <c r="M2371" i="1"/>
  <c r="G1899" i="13"/>
  <c r="L1986" i="1"/>
  <c r="L1889" i="1"/>
  <c r="K1882" i="1"/>
  <c r="J1789" i="13"/>
  <c r="J1793" i="13" s="1"/>
  <c r="G1793" i="13"/>
  <c r="K1964" i="1"/>
  <c r="L2068" i="1"/>
  <c r="G1981" i="13"/>
  <c r="J1981" i="13" s="1"/>
  <c r="N1783" i="1"/>
  <c r="O1783" i="1"/>
  <c r="M2197" i="1"/>
  <c r="L1185" i="17"/>
  <c r="O1787" i="1"/>
  <c r="N1787" i="1"/>
  <c r="O1753" i="1"/>
  <c r="G1909" i="13"/>
  <c r="J1909" i="13" s="1"/>
  <c r="L1996" i="1"/>
  <c r="K1892" i="1"/>
  <c r="K1186" i="17"/>
  <c r="Q1126" i="17"/>
  <c r="J1126" i="17"/>
  <c r="K1910" i="1"/>
  <c r="G1927" i="13"/>
  <c r="J1927" i="13" s="1"/>
  <c r="L2014" i="1"/>
  <c r="M2332" i="1"/>
  <c r="J1097" i="17"/>
  <c r="M1097" i="17" s="1"/>
  <c r="K1157" i="17"/>
  <c r="Q1097" i="17"/>
  <c r="G1985" i="13"/>
  <c r="L2072" i="1"/>
  <c r="K1968" i="1"/>
  <c r="L1971" i="1"/>
  <c r="N1812" i="1"/>
  <c r="O1812" i="1"/>
  <c r="M2090" i="1"/>
  <c r="M1993" i="1"/>
  <c r="N1790" i="1"/>
  <c r="O1790" i="1"/>
  <c r="J1782" i="13"/>
  <c r="J1783" i="13" s="1"/>
  <c r="N1040" i="17"/>
  <c r="J1801" i="13"/>
  <c r="M1988" i="1"/>
  <c r="M2092" i="1" s="1"/>
  <c r="O1884" i="1"/>
  <c r="Q1119" i="17"/>
  <c r="K1179" i="17"/>
  <c r="J1119" i="17"/>
  <c r="M1119" i="17" s="1"/>
  <c r="L1166" i="17"/>
  <c r="N1106" i="17"/>
  <c r="N1037" i="17"/>
  <c r="J1871" i="13"/>
  <c r="J1873" i="13" s="1"/>
  <c r="G1873" i="13"/>
  <c r="J1835" i="13"/>
  <c r="J1844" i="13" s="1"/>
  <c r="G1844" i="13"/>
  <c r="G1849" i="13" s="1"/>
  <c r="N1850" i="1"/>
  <c r="O1850" i="1"/>
  <c r="K1935" i="1"/>
  <c r="L2039" i="1"/>
  <c r="G1952" i="13"/>
  <c r="J1952" i="13" s="1"/>
  <c r="M2011" i="1"/>
  <c r="M1911" i="1"/>
  <c r="O1907" i="1"/>
  <c r="O1737" i="1"/>
  <c r="N1737" i="1"/>
  <c r="L2059" i="1"/>
  <c r="G1972" i="13"/>
  <c r="J1972" i="13" s="1"/>
  <c r="K1955" i="1"/>
  <c r="K1963" i="1"/>
  <c r="L2067" i="1"/>
  <c r="G1980" i="13"/>
  <c r="J1980" i="13" s="1"/>
  <c r="L1162" i="17"/>
  <c r="L1173" i="17"/>
  <c r="O1867" i="1"/>
  <c r="M2006" i="1"/>
  <c r="O1902" i="1"/>
  <c r="M1905" i="1"/>
  <c r="M1030" i="17"/>
  <c r="N1030" i="17"/>
  <c r="M1920" i="1"/>
  <c r="M2016" i="1"/>
  <c r="O1793" i="1"/>
  <c r="M1056" i="17"/>
  <c r="N1056" i="17"/>
  <c r="Q1088" i="17"/>
  <c r="J1088" i="17"/>
  <c r="M1088" i="17" s="1"/>
  <c r="K1148" i="17"/>
  <c r="O1846" i="1"/>
  <c r="L1044" i="17"/>
  <c r="M1048" i="17"/>
  <c r="N1048" i="17"/>
  <c r="G1977" i="13"/>
  <c r="J1977" i="13" s="1"/>
  <c r="K1960" i="1"/>
  <c r="L2064" i="1"/>
  <c r="J1105" i="17"/>
  <c r="K1165" i="17"/>
  <c r="Q1105" i="17"/>
  <c r="K1135" i="17"/>
  <c r="K1136" i="17" s="1"/>
  <c r="Q1084" i="17"/>
  <c r="K1144" i="17"/>
  <c r="J1084" i="17"/>
  <c r="M2091" i="1"/>
  <c r="M2310" i="1"/>
  <c r="M2076" i="1"/>
  <c r="M1974" i="1"/>
  <c r="Q1115" i="17"/>
  <c r="K1175" i="17"/>
  <c r="J1115" i="17"/>
  <c r="L1179" i="17"/>
  <c r="N1119" i="17"/>
  <c r="J1113" i="17"/>
  <c r="M1113" i="17" s="1"/>
  <c r="K1173" i="17"/>
  <c r="Q1113" i="17"/>
  <c r="G1929" i="13"/>
  <c r="L1920" i="1"/>
  <c r="K1912" i="1"/>
  <c r="O1912" i="1" s="1"/>
  <c r="L2016" i="1"/>
  <c r="L1190" i="17"/>
  <c r="N1130" i="17"/>
  <c r="N1799" i="1"/>
  <c r="O1799" i="1"/>
  <c r="M1072" i="17"/>
  <c r="N1072" i="17"/>
  <c r="O1713" i="1"/>
  <c r="M2205" i="1"/>
  <c r="J1854" i="13"/>
  <c r="J1857" i="13" s="1"/>
  <c r="G1857" i="13"/>
  <c r="M1981" i="1"/>
  <c r="Q1177" i="17"/>
  <c r="K1237" i="17"/>
  <c r="J1177" i="17"/>
  <c r="M1177" i="17" s="1"/>
  <c r="O1858" i="1"/>
  <c r="L1182" i="17"/>
  <c r="K1099" i="17"/>
  <c r="J1039" i="17"/>
  <c r="Q1039" i="17"/>
  <c r="Q1043" i="17" s="1"/>
  <c r="Q1044" i="17" s="1"/>
  <c r="M2042" i="1"/>
  <c r="M1941" i="1"/>
  <c r="G1907" i="13"/>
  <c r="L1994" i="1"/>
  <c r="K1890" i="1"/>
  <c r="L1897" i="1"/>
  <c r="K1729" i="1"/>
  <c r="N1728" i="1"/>
  <c r="O1763" i="1"/>
  <c r="G1948" i="13"/>
  <c r="J1948" i="13" s="1"/>
  <c r="L2035" i="1"/>
  <c r="K1931" i="1"/>
  <c r="J1016" i="17"/>
  <c r="K1895" i="1"/>
  <c r="G1912" i="13"/>
  <c r="J1912" i="13" s="1"/>
  <c r="L1999" i="1"/>
  <c r="K1919" i="1"/>
  <c r="G1936" i="13"/>
  <c r="J1936" i="13" s="1"/>
  <c r="L2023" i="1"/>
  <c r="K1153" i="17"/>
  <c r="Q1093" i="17"/>
  <c r="J1093" i="17"/>
  <c r="L1987" i="1"/>
  <c r="G1900" i="13"/>
  <c r="J1900" i="13" s="1"/>
  <c r="K1883" i="1"/>
  <c r="O1610" i="1"/>
  <c r="Q1021" i="17"/>
  <c r="Q1026" i="17" s="1"/>
  <c r="Q1035" i="17" s="1"/>
  <c r="K1081" i="17"/>
  <c r="J1021" i="17"/>
  <c r="L1235" i="17"/>
  <c r="M1118" i="17"/>
  <c r="N1118" i="17"/>
  <c r="O1724" i="1"/>
  <c r="M1729" i="1"/>
  <c r="M2385" i="1"/>
  <c r="G1941" i="13"/>
  <c r="J1941" i="13" s="1"/>
  <c r="L2028" i="1"/>
  <c r="K1924" i="1"/>
  <c r="K1957" i="1"/>
  <c r="G1974" i="13"/>
  <c r="J1974" i="13" s="1"/>
  <c r="L2061" i="1"/>
  <c r="J1755" i="13"/>
  <c r="J1756" i="13" s="1"/>
  <c r="K1161" i="17"/>
  <c r="Q1101" i="17"/>
  <c r="J1101" i="17"/>
  <c r="O1759" i="1"/>
  <c r="K1956" i="1"/>
  <c r="G1973" i="13"/>
  <c r="J1973" i="13" s="1"/>
  <c r="L2060" i="1"/>
  <c r="N1840" i="1"/>
  <c r="O1840" i="1"/>
  <c r="J1814" i="13"/>
  <c r="J1817" i="13" s="1"/>
  <c r="G1817" i="13"/>
  <c r="L1181" i="17"/>
  <c r="N1121" i="17"/>
  <c r="M1052" i="17"/>
  <c r="N1052" i="17"/>
  <c r="G1964" i="13"/>
  <c r="J1964" i="13" s="1"/>
  <c r="L2051" i="1"/>
  <c r="K1947" i="1"/>
  <c r="J1705" i="13"/>
  <c r="J1708" i="13" s="1"/>
  <c r="J1713" i="13" s="1"/>
  <c r="J1729" i="13" s="1"/>
  <c r="G1708" i="13"/>
  <c r="G1713" i="13" s="1"/>
  <c r="G1729" i="13" s="1"/>
  <c r="G1784" i="13" s="1"/>
  <c r="M1068" i="17"/>
  <c r="N1068" i="17"/>
  <c r="K1182" i="17"/>
  <c r="J1122" i="17"/>
  <c r="M1122" i="17" s="1"/>
  <c r="Q1122" i="17"/>
  <c r="N1073" i="17"/>
  <c r="G1896" i="13"/>
  <c r="J1896" i="13" s="1"/>
  <c r="L1983" i="1"/>
  <c r="K1879" i="1"/>
  <c r="J1862" i="13"/>
  <c r="J1865" i="13" s="1"/>
  <c r="G1865" i="13"/>
  <c r="N1848" i="1"/>
  <c r="O1848" i="1"/>
  <c r="G1903" i="13"/>
  <c r="J1903" i="13" s="1"/>
  <c r="L1990" i="1"/>
  <c r="K1886" i="1"/>
  <c r="L1967" i="1"/>
  <c r="K1962" i="1"/>
  <c r="L2066" i="1"/>
  <c r="G1979" i="13"/>
  <c r="L1802" i="1"/>
  <c r="N1862" i="1"/>
  <c r="O1862" i="1"/>
  <c r="K1877" i="1"/>
  <c r="G1894" i="13"/>
  <c r="L1981" i="1"/>
  <c r="L1881" i="1"/>
  <c r="N1860" i="1"/>
  <c r="O1860" i="1"/>
  <c r="K1429" i="1"/>
  <c r="K1457" i="1" s="1"/>
  <c r="N1428" i="1"/>
  <c r="N1429" i="1" s="1"/>
  <c r="O1428" i="1"/>
  <c r="O1429" i="1" s="1"/>
  <c r="M2171" i="1"/>
  <c r="M2275" i="1" s="1"/>
  <c r="M1665" i="1"/>
  <c r="N1707" i="1"/>
  <c r="O1707" i="1"/>
  <c r="G1913" i="13"/>
  <c r="J1913" i="13" s="1"/>
  <c r="K1896" i="1"/>
  <c r="L2000" i="1"/>
  <c r="M2231" i="1"/>
  <c r="L1174" i="17"/>
  <c r="N1114" i="17"/>
  <c r="N1806" i="1"/>
  <c r="O1806" i="1"/>
  <c r="K1929" i="1"/>
  <c r="O1929" i="1" s="1"/>
  <c r="G1946" i="13"/>
  <c r="J1946" i="13" s="1"/>
  <c r="L2033" i="1"/>
  <c r="K1832" i="1"/>
  <c r="N1832" i="1" s="1"/>
  <c r="N1829" i="1"/>
  <c r="K1870" i="1"/>
  <c r="N1870" i="1" s="1"/>
  <c r="N1868" i="1"/>
  <c r="K1610" i="1"/>
  <c r="N1610" i="1" s="1"/>
  <c r="N1594" i="1"/>
  <c r="M1047" i="17"/>
  <c r="N1047" i="17"/>
  <c r="Q1109" i="17"/>
  <c r="K1169" i="17"/>
  <c r="J1109" i="17"/>
  <c r="M2227" i="1"/>
  <c r="M2331" i="1" s="1"/>
  <c r="G1728" i="13"/>
  <c r="O1625" i="1"/>
  <c r="N1625" i="1"/>
  <c r="K1636" i="1"/>
  <c r="N1074" i="17"/>
  <c r="O1866" i="1"/>
  <c r="Q1100" i="17"/>
  <c r="K1160" i="17"/>
  <c r="J1100" i="17"/>
  <c r="K1878" i="1"/>
  <c r="G1895" i="13"/>
  <c r="J1895" i="13" s="1"/>
  <c r="L1982" i="1"/>
  <c r="K1965" i="1"/>
  <c r="G1982" i="13"/>
  <c r="J1982" i="13" s="1"/>
  <c r="L2069" i="1"/>
  <c r="K1194" i="17"/>
  <c r="J1134" i="17"/>
  <c r="M1134" i="17" s="1"/>
  <c r="Q1134" i="17"/>
  <c r="N1781" i="1"/>
  <c r="O1781" i="1"/>
  <c r="K1951" i="1"/>
  <c r="G1968" i="13"/>
  <c r="J1968" i="13" s="1"/>
  <c r="L2055" i="1"/>
  <c r="L1135" i="17"/>
  <c r="L1157" i="17"/>
  <c r="N1097" i="17"/>
  <c r="L1961" i="1"/>
  <c r="G1976" i="13"/>
  <c r="L2063" i="1"/>
  <c r="K1959" i="1"/>
  <c r="L2027" i="1"/>
  <c r="G1940" i="13"/>
  <c r="L1932" i="1"/>
  <c r="L1937" i="1" s="1"/>
  <c r="K1923" i="1"/>
  <c r="G1971" i="13"/>
  <c r="L2058" i="1"/>
  <c r="K1954" i="1"/>
  <c r="L1958" i="1"/>
  <c r="L1975" i="1" s="1"/>
  <c r="L1976" i="1" s="1"/>
  <c r="N1034" i="17"/>
  <c r="K1928" i="1"/>
  <c r="O1928" i="1" s="1"/>
  <c r="G1945" i="13"/>
  <c r="J1945" i="13" s="1"/>
  <c r="L2032" i="1"/>
  <c r="K1837" i="1"/>
  <c r="O1837" i="1" s="1"/>
  <c r="N1835" i="1"/>
  <c r="O1835" i="1"/>
  <c r="M2191" i="1"/>
  <c r="O1855" i="1"/>
  <c r="M1561" i="1"/>
  <c r="O1561" i="1" s="1"/>
  <c r="M2221" i="1"/>
  <c r="L1228" i="17"/>
  <c r="L1288" i="17" s="1"/>
  <c r="M2037" i="1"/>
  <c r="M1936" i="1"/>
  <c r="O1933" i="1"/>
  <c r="N1859" i="1"/>
  <c r="O1859" i="1"/>
  <c r="N1839" i="1"/>
  <c r="O1839" i="1"/>
  <c r="G1755" i="13"/>
  <c r="G1756" i="13" s="1"/>
  <c r="L1237" i="17"/>
  <c r="N1177" i="17"/>
  <c r="O1801" i="1"/>
  <c r="K1150" i="17"/>
  <c r="J1090" i="17"/>
  <c r="Q1090" i="17"/>
  <c r="M1994" i="1"/>
  <c r="M1897" i="1"/>
  <c r="O1890" i="1"/>
  <c r="K1176" i="17"/>
  <c r="Q1116" i="17"/>
  <c r="J1116" i="17"/>
  <c r="J1823" i="13"/>
  <c r="J1833" i="13" s="1"/>
  <c r="M1871" i="1"/>
  <c r="M1872" i="1" s="1"/>
  <c r="O1849" i="1"/>
  <c r="L2029" i="1"/>
  <c r="G1942" i="13"/>
  <c r="J1942" i="13" s="1"/>
  <c r="K1925" i="1"/>
  <c r="O1925" i="1" s="1"/>
  <c r="N1900" i="1"/>
  <c r="O1900" i="1"/>
  <c r="O1804" i="1"/>
  <c r="N1804" i="1"/>
  <c r="N974" i="17"/>
  <c r="M2246" i="1"/>
  <c r="L1816" i="1"/>
  <c r="L1817" i="1" s="1"/>
  <c r="K1174" i="17"/>
  <c r="J1114" i="17"/>
  <c r="M1114" i="17" s="1"/>
  <c r="Q1114" i="17"/>
  <c r="K1942" i="1"/>
  <c r="O1942" i="1" s="1"/>
  <c r="L2046" i="1"/>
  <c r="G1959" i="13"/>
  <c r="L1945" i="1"/>
  <c r="O1838" i="1"/>
  <c r="O1777" i="1"/>
  <c r="Q1087" i="17"/>
  <c r="Q1094" i="17" s="1"/>
  <c r="K1147" i="17"/>
  <c r="K1094" i="17"/>
  <c r="O1863" i="1"/>
  <c r="G1935" i="13"/>
  <c r="J1935" i="13" s="1"/>
  <c r="L2022" i="1"/>
  <c r="K1918" i="1"/>
  <c r="M2247" i="1"/>
  <c r="M2351" i="1" s="1"/>
  <c r="M1060" i="17"/>
  <c r="N1060" i="17"/>
  <c r="G1986" i="13"/>
  <c r="J1986" i="13" s="1"/>
  <c r="L2073" i="1"/>
  <c r="K1969" i="1"/>
  <c r="I1436" i="16"/>
  <c r="F1518" i="16"/>
  <c r="I1353" i="16"/>
  <c r="I1417" i="16"/>
  <c r="F1499" i="16"/>
  <c r="I1466" i="16"/>
  <c r="F1548" i="16"/>
  <c r="F1546" i="16"/>
  <c r="I1464" i="16"/>
  <c r="I1434" i="16"/>
  <c r="F1516" i="16"/>
  <c r="I1461" i="16"/>
  <c r="F1543" i="16"/>
  <c r="F1524" i="16"/>
  <c r="I1442" i="16"/>
  <c r="F1513" i="16"/>
  <c r="I1431" i="16"/>
  <c r="I1401" i="16"/>
  <c r="I1451" i="16"/>
  <c r="F1533" i="16"/>
  <c r="F1514" i="16"/>
  <c r="I1432" i="16"/>
  <c r="F1556" i="16"/>
  <c r="I1474" i="16"/>
  <c r="F1504" i="16"/>
  <c r="I1422" i="16"/>
  <c r="I1444" i="16"/>
  <c r="F1526" i="16"/>
  <c r="I1454" i="16"/>
  <c r="F1536" i="16"/>
  <c r="I1482" i="16"/>
  <c r="F1564" i="16"/>
  <c r="F1528" i="16"/>
  <c r="I1446" i="16"/>
  <c r="F1532" i="16"/>
  <c r="I1450" i="16"/>
  <c r="I1477" i="16"/>
  <c r="F1559" i="16"/>
  <c r="F1553" i="16"/>
  <c r="I1471" i="16"/>
  <c r="F1561" i="16"/>
  <c r="I1479" i="16"/>
  <c r="I1467" i="16"/>
  <c r="F1549" i="16"/>
  <c r="F1552" i="16"/>
  <c r="I1470" i="16"/>
  <c r="I1413" i="16"/>
  <c r="F1495" i="16"/>
  <c r="F1501" i="16"/>
  <c r="I1419" i="16"/>
  <c r="I1473" i="16"/>
  <c r="F1555" i="16"/>
  <c r="I1427" i="16"/>
  <c r="F1509" i="16"/>
  <c r="F1508" i="16"/>
  <c r="I1426" i="16"/>
  <c r="I1457" i="16"/>
  <c r="F1539" i="16"/>
  <c r="I1481" i="16"/>
  <c r="F1563" i="16"/>
  <c r="I1449" i="16"/>
  <c r="F1531" i="16"/>
  <c r="I1468" i="16"/>
  <c r="F1550" i="16"/>
  <c r="I1428" i="16"/>
  <c r="F1510" i="16"/>
  <c r="I1429" i="16"/>
  <c r="F1511" i="16"/>
  <c r="I1452" i="16"/>
  <c r="F1534" i="16"/>
  <c r="I1437" i="16"/>
  <c r="F1519" i="16"/>
  <c r="I1421" i="16"/>
  <c r="F1503" i="16"/>
  <c r="I1380" i="16"/>
  <c r="I1420" i="16"/>
  <c r="F1502" i="16"/>
  <c r="F1497" i="16"/>
  <c r="I1415" i="16"/>
  <c r="I1430" i="16"/>
  <c r="F1512" i="16"/>
  <c r="F1507" i="16"/>
  <c r="I1425" i="16"/>
  <c r="F1537" i="16"/>
  <c r="I1455" i="16"/>
  <c r="F1500" i="16"/>
  <c r="I1418" i="16"/>
  <c r="F1496" i="16"/>
  <c r="I1414" i="16"/>
  <c r="I1460" i="16"/>
  <c r="F1542" i="16"/>
  <c r="I1469" i="16"/>
  <c r="F1551" i="16"/>
  <c r="F1520" i="16"/>
  <c r="I1438" i="16"/>
  <c r="I1412" i="16"/>
  <c r="F1494" i="16"/>
  <c r="I1416" i="16"/>
  <c r="F1498" i="16"/>
  <c r="I1472" i="16"/>
  <c r="F1554" i="16"/>
  <c r="I1277" i="16"/>
  <c r="I1322" i="16" s="1"/>
  <c r="F1493" i="16"/>
  <c r="I1411" i="16"/>
  <c r="I1453" i="16"/>
  <c r="F1535" i="16"/>
  <c r="F1547" i="16"/>
  <c r="I1465" i="16"/>
  <c r="F1529" i="16"/>
  <c r="I1447" i="16"/>
  <c r="I1476" i="16"/>
  <c r="F1558" i="16"/>
  <c r="I1445" i="16"/>
  <c r="F1527" i="16"/>
  <c r="I1463" i="16"/>
  <c r="F1545" i="16"/>
  <c r="I1475" i="16"/>
  <c r="F1557" i="16"/>
  <c r="F1540" i="16"/>
  <c r="I1458" i="16"/>
  <c r="I1480" i="16"/>
  <c r="F1562" i="16"/>
  <c r="F1525" i="16"/>
  <c r="I1443" i="16"/>
  <c r="F1560" i="16"/>
  <c r="I1478" i="16"/>
  <c r="I1433" i="16"/>
  <c r="F1515" i="16"/>
  <c r="I1448" i="16"/>
  <c r="F1530" i="16"/>
  <c r="I1341" i="16"/>
  <c r="F1541" i="16"/>
  <c r="I1459" i="16"/>
  <c r="J1083" i="17"/>
  <c r="K1143" i="17"/>
  <c r="Q1083" i="17"/>
  <c r="M1023" i="17"/>
  <c r="N1023" i="17"/>
  <c r="L1145" i="17"/>
  <c r="L1086" i="17"/>
  <c r="L1095" i="17" s="1"/>
  <c r="N897" i="17"/>
  <c r="K1145" i="17"/>
  <c r="J1085" i="17"/>
  <c r="N1085" i="17" s="1"/>
  <c r="K1086" i="17"/>
  <c r="Q1085" i="17"/>
  <c r="J957" i="17"/>
  <c r="M957" i="17" s="1"/>
  <c r="M915" i="17"/>
  <c r="N966" i="17"/>
  <c r="M966" i="17"/>
  <c r="J975" i="17"/>
  <c r="L1077" i="17"/>
  <c r="M1025" i="17"/>
  <c r="J1026" i="17"/>
  <c r="N837" i="17"/>
  <c r="I22" i="16"/>
  <c r="I80" i="16"/>
  <c r="Q1077" i="17" l="1"/>
  <c r="K2032" i="1"/>
  <c r="O2032" i="1" s="1"/>
  <c r="L2136" i="1"/>
  <c r="G2050" i="13"/>
  <c r="J2050" i="13" s="1"/>
  <c r="K2000" i="1"/>
  <c r="L2104" i="1"/>
  <c r="G2018" i="13"/>
  <c r="J2018" i="13" s="1"/>
  <c r="N1877" i="1"/>
  <c r="K1881" i="1"/>
  <c r="J1979" i="13"/>
  <c r="J1984" i="13" s="1"/>
  <c r="G1984" i="13"/>
  <c r="N1886" i="1"/>
  <c r="O1886" i="1"/>
  <c r="N1879" i="1"/>
  <c r="O1879" i="1"/>
  <c r="N1947" i="1"/>
  <c r="O1947" i="1"/>
  <c r="L1295" i="17"/>
  <c r="M1093" i="17"/>
  <c r="N1093" i="17"/>
  <c r="N1895" i="1"/>
  <c r="O1895" i="1"/>
  <c r="J1907" i="13"/>
  <c r="J1914" i="13" s="1"/>
  <c r="G1914" i="13"/>
  <c r="M1039" i="17"/>
  <c r="N1039" i="17"/>
  <c r="Q1175" i="17"/>
  <c r="K1235" i="17"/>
  <c r="J1175" i="17"/>
  <c r="L2168" i="1"/>
  <c r="G2082" i="13"/>
  <c r="J2082" i="13" s="1"/>
  <c r="K2064" i="1"/>
  <c r="Q1148" i="17"/>
  <c r="J1148" i="17"/>
  <c r="M1148" i="17" s="1"/>
  <c r="K1208" i="17"/>
  <c r="L1222" i="17"/>
  <c r="N1955" i="1"/>
  <c r="O1955" i="1"/>
  <c r="M2115" i="1"/>
  <c r="M2015" i="1"/>
  <c r="L1226" i="17"/>
  <c r="J1985" i="13"/>
  <c r="J1988" i="13" s="1"/>
  <c r="G1988" i="13"/>
  <c r="N1910" i="1"/>
  <c r="O1910" i="1"/>
  <c r="Q1186" i="17"/>
  <c r="K1246" i="17"/>
  <c r="J1186" i="17"/>
  <c r="L1245" i="17"/>
  <c r="L2090" i="1"/>
  <c r="G2004" i="13"/>
  <c r="L1993" i="1"/>
  <c r="K1986" i="1"/>
  <c r="M1089" i="17"/>
  <c r="N1089" i="17"/>
  <c r="K1992" i="1"/>
  <c r="L2096" i="1"/>
  <c r="G2010" i="13"/>
  <c r="J2010" i="13" s="1"/>
  <c r="M2304" i="1"/>
  <c r="M1127" i="17"/>
  <c r="N1127" i="17"/>
  <c r="F1573" i="16"/>
  <c r="I1491" i="16"/>
  <c r="N1943" i="1"/>
  <c r="O1943" i="1"/>
  <c r="N1088" i="17"/>
  <c r="M2167" i="1"/>
  <c r="M2065" i="1"/>
  <c r="N1939" i="1"/>
  <c r="O1939" i="1"/>
  <c r="N1894" i="1"/>
  <c r="O1894" i="1"/>
  <c r="L2078" i="1"/>
  <c r="L2180" i="1"/>
  <c r="G2094" i="13"/>
  <c r="K2076" i="1"/>
  <c r="N1738" i="1"/>
  <c r="O1738" i="1"/>
  <c r="K1304" i="17"/>
  <c r="Q1244" i="17"/>
  <c r="J1244" i="17"/>
  <c r="K1230" i="17"/>
  <c r="Q1170" i="17"/>
  <c r="J1170" i="17"/>
  <c r="L2115" i="1"/>
  <c r="G2029" i="13"/>
  <c r="L2015" i="1"/>
  <c r="K2011" i="1"/>
  <c r="L2142" i="1"/>
  <c r="G2056" i="13"/>
  <c r="J2056" i="13" s="1"/>
  <c r="K2038" i="1"/>
  <c r="K1240" i="17"/>
  <c r="Q1180" i="17"/>
  <c r="J1180" i="17"/>
  <c r="K2008" i="1"/>
  <c r="L2112" i="1"/>
  <c r="G2026" i="13"/>
  <c r="J2026" i="13" s="1"/>
  <c r="L2125" i="1"/>
  <c r="G2039" i="13"/>
  <c r="J2039" i="13" s="1"/>
  <c r="K2021" i="1"/>
  <c r="O1967" i="1"/>
  <c r="N1973" i="1"/>
  <c r="O1973" i="1"/>
  <c r="M1132" i="17"/>
  <c r="N1132" i="17"/>
  <c r="K1228" i="17"/>
  <c r="Q1168" i="17"/>
  <c r="J1168" i="17"/>
  <c r="L1163" i="17"/>
  <c r="L1216" i="17"/>
  <c r="N1909" i="1"/>
  <c r="O1909" i="1"/>
  <c r="J1147" i="17"/>
  <c r="N1147" i="17" s="1"/>
  <c r="L1207" i="17"/>
  <c r="L1154" i="17"/>
  <c r="L2093" i="1"/>
  <c r="G2007" i="13"/>
  <c r="J2007" i="13" s="1"/>
  <c r="K1989" i="1"/>
  <c r="N1913" i="1"/>
  <c r="O1913" i="1"/>
  <c r="M2178" i="1"/>
  <c r="N1916" i="1"/>
  <c r="O1916" i="1"/>
  <c r="J1950" i="13"/>
  <c r="J1953" i="13" s="1"/>
  <c r="G1953" i="13"/>
  <c r="N1940" i="1"/>
  <c r="O1940" i="1"/>
  <c r="L2099" i="1"/>
  <c r="G2013" i="13"/>
  <c r="J2013" i="13" s="1"/>
  <c r="K1995" i="1"/>
  <c r="N1887" i="1"/>
  <c r="O1887" i="1"/>
  <c r="N1777" i="1"/>
  <c r="K1802" i="1"/>
  <c r="L2174" i="1"/>
  <c r="G2088" i="13"/>
  <c r="J2088" i="13" s="1"/>
  <c r="K2070" i="1"/>
  <c r="L2158" i="1"/>
  <c r="G2072" i="13"/>
  <c r="K2054" i="1"/>
  <c r="G1833" i="13"/>
  <c r="N1133" i="17"/>
  <c r="O1938" i="1"/>
  <c r="N1938" i="1"/>
  <c r="K1941" i="1"/>
  <c r="J1810" i="13"/>
  <c r="J1813" i="13" s="1"/>
  <c r="J1818" i="13" s="1"/>
  <c r="J1834" i="13" s="1"/>
  <c r="J1889" i="13" s="1"/>
  <c r="G1813" i="13"/>
  <c r="G1818" i="13" s="1"/>
  <c r="G1834" i="13" s="1"/>
  <c r="G1889" i="13" s="1"/>
  <c r="L1279" i="17"/>
  <c r="M2027" i="1"/>
  <c r="O1923" i="1"/>
  <c r="M1932" i="1"/>
  <c r="L2150" i="1"/>
  <c r="G2064" i="13"/>
  <c r="K2046" i="1"/>
  <c r="M1116" i="17"/>
  <c r="N1116" i="17"/>
  <c r="K1961" i="1"/>
  <c r="N1961" i="1" s="1"/>
  <c r="N1959" i="1"/>
  <c r="N1878" i="1"/>
  <c r="O1878" i="1"/>
  <c r="N1918" i="1"/>
  <c r="O1918" i="1"/>
  <c r="N1942" i="1"/>
  <c r="K1945" i="1"/>
  <c r="N1945" i="1" s="1"/>
  <c r="M2001" i="1"/>
  <c r="M2098" i="1"/>
  <c r="O1954" i="1"/>
  <c r="N1954" i="1"/>
  <c r="K1958" i="1"/>
  <c r="L2167" i="1"/>
  <c r="G2081" i="13"/>
  <c r="K2063" i="1"/>
  <c r="N2063" i="1" s="1"/>
  <c r="L2065" i="1"/>
  <c r="L1217" i="17"/>
  <c r="N1157" i="17"/>
  <c r="N1951" i="1"/>
  <c r="O1951" i="1"/>
  <c r="N1965" i="1"/>
  <c r="O1965" i="1"/>
  <c r="N1100" i="17"/>
  <c r="K1229" i="17"/>
  <c r="Q1169" i="17"/>
  <c r="J1169" i="17"/>
  <c r="L1234" i="17"/>
  <c r="N1896" i="1"/>
  <c r="O1896" i="1"/>
  <c r="L1906" i="1"/>
  <c r="L2071" i="1"/>
  <c r="L2170" i="1"/>
  <c r="G2084" i="13"/>
  <c r="K2066" i="1"/>
  <c r="K1990" i="1"/>
  <c r="L2094" i="1"/>
  <c r="G2008" i="13"/>
  <c r="J2008" i="13" s="1"/>
  <c r="L2087" i="1"/>
  <c r="G2001" i="13"/>
  <c r="J2001" i="13" s="1"/>
  <c r="K1983" i="1"/>
  <c r="K2051" i="1"/>
  <c r="L2155" i="1"/>
  <c r="G2069" i="13"/>
  <c r="J2069" i="13" s="1"/>
  <c r="N1956" i="1"/>
  <c r="O1956" i="1"/>
  <c r="K1221" i="17"/>
  <c r="Q1161" i="17"/>
  <c r="J1161" i="17"/>
  <c r="N1957" i="1"/>
  <c r="O1957" i="1"/>
  <c r="M1021" i="17"/>
  <c r="N1021" i="17"/>
  <c r="N1883" i="1"/>
  <c r="O1883" i="1"/>
  <c r="N1919" i="1"/>
  <c r="O1919" i="1"/>
  <c r="M1016" i="17"/>
  <c r="N1016" i="17"/>
  <c r="O1941" i="1"/>
  <c r="M1946" i="1"/>
  <c r="K1159" i="17"/>
  <c r="Q1099" i="17"/>
  <c r="Q1103" i="17" s="1"/>
  <c r="Q1104" i="17" s="1"/>
  <c r="J1099" i="17"/>
  <c r="J1103" i="17" s="1"/>
  <c r="O1877" i="1"/>
  <c r="L1250" i="17"/>
  <c r="N1190" i="17"/>
  <c r="J1929" i="13"/>
  <c r="J1937" i="13" s="1"/>
  <c r="M1084" i="17"/>
  <c r="N1084" i="17"/>
  <c r="Q1135" i="17"/>
  <c r="Q1136" i="17" s="1"/>
  <c r="N1960" i="1"/>
  <c r="O1960" i="1"/>
  <c r="M2110" i="1"/>
  <c r="M2009" i="1"/>
  <c r="N1113" i="17"/>
  <c r="M2196" i="1"/>
  <c r="N1892" i="1"/>
  <c r="O1892" i="1"/>
  <c r="J1899" i="13"/>
  <c r="G1906" i="13"/>
  <c r="L1211" i="17"/>
  <c r="K1209" i="17"/>
  <c r="Q1149" i="17"/>
  <c r="J1149" i="17"/>
  <c r="L1309" i="17"/>
  <c r="J1858" i="13"/>
  <c r="N1880" i="1"/>
  <c r="O1880" i="1"/>
  <c r="K2018" i="1"/>
  <c r="L2122" i="1"/>
  <c r="G2036" i="13"/>
  <c r="J2036" i="13" s="1"/>
  <c r="K1253" i="17"/>
  <c r="Q1193" i="17"/>
  <c r="J1193" i="17"/>
  <c r="M1193" i="17" s="1"/>
  <c r="K1250" i="17"/>
  <c r="J1190" i="17"/>
  <c r="M1190" i="17" s="1"/>
  <c r="Q1190" i="17"/>
  <c r="K1247" i="17"/>
  <c r="Q1187" i="17"/>
  <c r="J1187" i="17"/>
  <c r="L1285" i="17"/>
  <c r="L2111" i="1"/>
  <c r="G2025" i="13"/>
  <c r="J2025" i="13" s="1"/>
  <c r="K2007" i="1"/>
  <c r="Q1243" i="17"/>
  <c r="K1303" i="17"/>
  <c r="J1043" i="17"/>
  <c r="L2049" i="1"/>
  <c r="L2151" i="1"/>
  <c r="G2065" i="13"/>
  <c r="J2065" i="13" s="1"/>
  <c r="K2047" i="1"/>
  <c r="L1208" i="17"/>
  <c r="O1961" i="1"/>
  <c r="M1110" i="17"/>
  <c r="J1135" i="17"/>
  <c r="M1135" i="17" s="1"/>
  <c r="N1110" i="17"/>
  <c r="M2266" i="1"/>
  <c r="M2166" i="1"/>
  <c r="K1163" i="17"/>
  <c r="K1164" i="17" s="1"/>
  <c r="K1216" i="17"/>
  <c r="Q1156" i="17"/>
  <c r="J1156" i="17"/>
  <c r="J1924" i="13"/>
  <c r="J1928" i="13" s="1"/>
  <c r="G1928" i="13"/>
  <c r="M1112" i="17"/>
  <c r="N1112" i="17"/>
  <c r="O1944" i="1"/>
  <c r="N1944" i="1"/>
  <c r="Q1166" i="17"/>
  <c r="K1226" i="17"/>
  <c r="J1166" i="17"/>
  <c r="M1166" i="17" s="1"/>
  <c r="M2150" i="1"/>
  <c r="O2046" i="1"/>
  <c r="M2049" i="1"/>
  <c r="Q1192" i="17"/>
  <c r="K1252" i="17"/>
  <c r="J1192" i="17"/>
  <c r="N1893" i="1"/>
  <c r="O1893" i="1"/>
  <c r="M1108" i="17"/>
  <c r="N1108" i="17"/>
  <c r="M1975" i="1"/>
  <c r="M1976" i="1" s="1"/>
  <c r="N1854" i="1"/>
  <c r="O1854" i="1"/>
  <c r="N1087" i="17"/>
  <c r="M1087" i="17"/>
  <c r="J1094" i="17"/>
  <c r="M1094" i="17" s="1"/>
  <c r="N1134" i="17"/>
  <c r="K2020" i="1"/>
  <c r="L2124" i="1"/>
  <c r="G2038" i="13"/>
  <c r="J2038" i="13" s="1"/>
  <c r="L2141" i="1"/>
  <c r="G2055" i="13"/>
  <c r="L2040" i="1"/>
  <c r="K2037" i="1"/>
  <c r="L2160" i="1"/>
  <c r="G2074" i="13"/>
  <c r="J2074" i="13" s="1"/>
  <c r="K2056" i="1"/>
  <c r="L1253" i="17"/>
  <c r="N1193" i="17"/>
  <c r="J1181" i="17"/>
  <c r="M1181" i="17" s="1"/>
  <c r="K1241" i="17"/>
  <c r="Q1181" i="17"/>
  <c r="L2146" i="1"/>
  <c r="G2060" i="13"/>
  <c r="K2042" i="1"/>
  <c r="L2045" i="1"/>
  <c r="L2050" i="1" s="1"/>
  <c r="N1794" i="1"/>
  <c r="K1797" i="1"/>
  <c r="N1797" i="1" s="1"/>
  <c r="K2006" i="1"/>
  <c r="L2110" i="1"/>
  <c r="G2024" i="13"/>
  <c r="L2009" i="1"/>
  <c r="N1076" i="17"/>
  <c r="K1218" i="17"/>
  <c r="J1158" i="17"/>
  <c r="Q1158" i="17"/>
  <c r="N1131" i="17"/>
  <c r="M1178" i="17"/>
  <c r="N1178" i="17"/>
  <c r="L1281" i="17"/>
  <c r="K1234" i="17"/>
  <c r="J1174" i="17"/>
  <c r="M1174" i="17" s="1"/>
  <c r="Q1174" i="17"/>
  <c r="K2029" i="1"/>
  <c r="O2029" i="1" s="1"/>
  <c r="L2133" i="1"/>
  <c r="G2047" i="13"/>
  <c r="J2047" i="13" s="1"/>
  <c r="K1210" i="17"/>
  <c r="J1150" i="17"/>
  <c r="Q1150" i="17"/>
  <c r="K1932" i="1"/>
  <c r="N1923" i="1"/>
  <c r="J1136" i="17"/>
  <c r="K1095" i="17"/>
  <c r="K1137" i="17" s="1"/>
  <c r="N1969" i="1"/>
  <c r="O1969" i="1"/>
  <c r="K2022" i="1"/>
  <c r="L2126" i="1"/>
  <c r="G2040" i="13"/>
  <c r="J2040" i="13" s="1"/>
  <c r="K1207" i="17"/>
  <c r="Q1147" i="17"/>
  <c r="K1154" i="17"/>
  <c r="K1236" i="17"/>
  <c r="Q1176" i="17"/>
  <c r="J1176" i="17"/>
  <c r="L2162" i="1"/>
  <c r="G2076" i="13"/>
  <c r="K2058" i="1"/>
  <c r="L2062" i="1"/>
  <c r="G1949" i="13"/>
  <c r="G1954" i="13" s="1"/>
  <c r="J1940" i="13"/>
  <c r="J1949" i="13" s="1"/>
  <c r="J1954" i="13" s="1"/>
  <c r="J1976" i="13"/>
  <c r="J1978" i="13" s="1"/>
  <c r="G1978" i="13"/>
  <c r="N1135" i="17"/>
  <c r="L1136" i="17"/>
  <c r="K1254" i="17"/>
  <c r="Q1194" i="17"/>
  <c r="J1194" i="17"/>
  <c r="M1194" i="17" s="1"/>
  <c r="K1982" i="1"/>
  <c r="L2086" i="1"/>
  <c r="G2000" i="13"/>
  <c r="J2000" i="13" s="1"/>
  <c r="Q1160" i="17"/>
  <c r="K1220" i="17"/>
  <c r="J1160" i="17"/>
  <c r="K1637" i="1"/>
  <c r="K1665" i="1" s="1"/>
  <c r="N1665" i="1" s="1"/>
  <c r="N1636" i="1"/>
  <c r="N1637" i="1" s="1"/>
  <c r="O1636" i="1"/>
  <c r="O1637" i="1" s="1"/>
  <c r="N1457" i="1"/>
  <c r="O1457" i="1"/>
  <c r="L2085" i="1"/>
  <c r="G1999" i="13"/>
  <c r="L1985" i="1"/>
  <c r="K1981" i="1"/>
  <c r="O1962" i="1"/>
  <c r="N1962" i="1"/>
  <c r="K1967" i="1"/>
  <c r="N1967" i="1" s="1"/>
  <c r="G1887" i="13"/>
  <c r="G1888" i="13" s="1"/>
  <c r="L1241" i="17"/>
  <c r="N1181" i="17"/>
  <c r="N1924" i="1"/>
  <c r="O1924" i="1"/>
  <c r="K1141" i="17"/>
  <c r="Q1081" i="17"/>
  <c r="J1081" i="17"/>
  <c r="J1906" i="13"/>
  <c r="K1213" i="17"/>
  <c r="Q1153" i="17"/>
  <c r="J1153" i="17"/>
  <c r="L2103" i="1"/>
  <c r="G2017" i="13"/>
  <c r="J2017" i="13" s="1"/>
  <c r="K1999" i="1"/>
  <c r="N1931" i="1"/>
  <c r="O1931" i="1"/>
  <c r="K1897" i="1"/>
  <c r="N1897" i="1" s="1"/>
  <c r="N1890" i="1"/>
  <c r="M2045" i="1"/>
  <c r="M2146" i="1"/>
  <c r="N1122" i="17"/>
  <c r="J1237" i="17"/>
  <c r="M1237" i="17" s="1"/>
  <c r="K1297" i="17"/>
  <c r="Q1237" i="17"/>
  <c r="M2085" i="1"/>
  <c r="M1985" i="1"/>
  <c r="M2309" i="1"/>
  <c r="L2120" i="1"/>
  <c r="G2034" i="13"/>
  <c r="L2024" i="1"/>
  <c r="K2016" i="1"/>
  <c r="L1239" i="17"/>
  <c r="N1179" i="17"/>
  <c r="O1974" i="1"/>
  <c r="Q1144" i="17"/>
  <c r="K1204" i="17"/>
  <c r="J1144" i="17"/>
  <c r="K1225" i="17"/>
  <c r="Q1165" i="17"/>
  <c r="J1165" i="17"/>
  <c r="K1195" i="17"/>
  <c r="K1196" i="17" s="1"/>
  <c r="L1233" i="17"/>
  <c r="L2171" i="1"/>
  <c r="G2085" i="13"/>
  <c r="J2085" i="13" s="1"/>
  <c r="K2067" i="1"/>
  <c r="L2163" i="1"/>
  <c r="G2077" i="13"/>
  <c r="J2077" i="13" s="1"/>
  <c r="K2059" i="1"/>
  <c r="K2039" i="1"/>
  <c r="L2143" i="1"/>
  <c r="G2057" i="13"/>
  <c r="J2057" i="13" s="1"/>
  <c r="G1860" i="13"/>
  <c r="G1861" i="13" s="1"/>
  <c r="K1239" i="17"/>
  <c r="Q1179" i="17"/>
  <c r="J1179" i="17"/>
  <c r="M1179" i="17" s="1"/>
  <c r="M2097" i="1"/>
  <c r="M2194" i="1"/>
  <c r="N1968" i="1"/>
  <c r="K1971" i="1"/>
  <c r="N1971" i="1" s="1"/>
  <c r="K1217" i="17"/>
  <c r="J1157" i="17"/>
  <c r="M1157" i="17" s="1"/>
  <c r="Q1157" i="17"/>
  <c r="L2118" i="1"/>
  <c r="G2032" i="13"/>
  <c r="J2032" i="13" s="1"/>
  <c r="K2014" i="1"/>
  <c r="M1126" i="17"/>
  <c r="N1126" i="17"/>
  <c r="K1996" i="1"/>
  <c r="L2100" i="1"/>
  <c r="G2014" i="13"/>
  <c r="J2014" i="13" s="1"/>
  <c r="M2301" i="1"/>
  <c r="L2172" i="1"/>
  <c r="G2086" i="13"/>
  <c r="J2086" i="13" s="1"/>
  <c r="K2068" i="1"/>
  <c r="N1882" i="1"/>
  <c r="K1889" i="1"/>
  <c r="O1882" i="1"/>
  <c r="O1807" i="1"/>
  <c r="K1817" i="1"/>
  <c r="N1807" i="1"/>
  <c r="K1988" i="1"/>
  <c r="L2092" i="1"/>
  <c r="G2006" i="13"/>
  <c r="J2006" i="13" s="1"/>
  <c r="M1082" i="17"/>
  <c r="N1082" i="17"/>
  <c r="N1914" i="1"/>
  <c r="O1914" i="1"/>
  <c r="O1797" i="1"/>
  <c r="Q1185" i="17"/>
  <c r="K1245" i="17"/>
  <c r="J1185" i="17"/>
  <c r="M1185" i="17" s="1"/>
  <c r="K2108" i="1"/>
  <c r="L2212" i="1"/>
  <c r="G2127" i="13"/>
  <c r="J2127" i="13" s="1"/>
  <c r="O1816" i="1"/>
  <c r="O1968" i="1"/>
  <c r="M2225" i="1"/>
  <c r="K2043" i="1"/>
  <c r="L2147" i="1"/>
  <c r="G2061" i="13"/>
  <c r="J2061" i="13" s="1"/>
  <c r="K1998" i="1"/>
  <c r="L2102" i="1"/>
  <c r="G2016" i="13"/>
  <c r="J2016" i="13" s="1"/>
  <c r="M1107" i="17"/>
  <c r="N1107" i="17"/>
  <c r="M2216" i="1"/>
  <c r="O1811" i="1"/>
  <c r="N1811" i="1"/>
  <c r="K1103" i="17"/>
  <c r="K1104" i="17" s="1"/>
  <c r="L1921" i="1"/>
  <c r="M1128" i="17"/>
  <c r="N1128" i="17"/>
  <c r="L2152" i="1"/>
  <c r="K2048" i="1"/>
  <c r="G2066" i="13"/>
  <c r="J2066" i="13" s="1"/>
  <c r="N1934" i="1"/>
  <c r="O1934" i="1"/>
  <c r="M2203" i="1"/>
  <c r="M2307" i="1" s="1"/>
  <c r="N1917" i="1"/>
  <c r="O1917" i="1"/>
  <c r="F1574" i="16"/>
  <c r="I1492" i="16"/>
  <c r="K2077" i="1"/>
  <c r="L2181" i="1"/>
  <c r="G2095" i="13"/>
  <c r="O1841" i="1"/>
  <c r="N1841" i="1"/>
  <c r="N1908" i="1"/>
  <c r="O1908" i="1"/>
  <c r="L1104" i="17"/>
  <c r="M2158" i="1"/>
  <c r="M2057" i="1"/>
  <c r="O2054" i="1"/>
  <c r="O1857" i="1"/>
  <c r="L1195" i="17"/>
  <c r="L1196" i="17" s="1"/>
  <c r="M2367" i="1"/>
  <c r="L2121" i="1"/>
  <c r="G2035" i="13"/>
  <c r="J2035" i="13" s="1"/>
  <c r="K2017" i="1"/>
  <c r="L1254" i="17"/>
  <c r="N1092" i="17"/>
  <c r="K1936" i="1"/>
  <c r="N1936" i="1" s="1"/>
  <c r="N1933" i="1"/>
  <c r="G2009" i="13"/>
  <c r="J2009" i="13" s="1"/>
  <c r="L2095" i="1"/>
  <c r="K1991" i="1"/>
  <c r="N1966" i="1"/>
  <c r="O1966" i="1"/>
  <c r="N1785" i="1"/>
  <c r="O1785" i="1"/>
  <c r="L2178" i="1"/>
  <c r="G2092" i="13"/>
  <c r="J2092" i="13" s="1"/>
  <c r="K2074" i="1"/>
  <c r="N2074" i="1" s="1"/>
  <c r="O1950" i="1"/>
  <c r="K1953" i="1"/>
  <c r="N1950" i="1"/>
  <c r="N1183" i="17"/>
  <c r="J1955" i="13"/>
  <c r="J1958" i="13" s="1"/>
  <c r="J1963" i="13" s="1"/>
  <c r="G1958" i="13"/>
  <c r="L1901" i="1"/>
  <c r="G1915" i="13"/>
  <c r="L2002" i="1"/>
  <c r="K1898" i="1"/>
  <c r="M2326" i="1"/>
  <c r="N1902" i="1"/>
  <c r="K1905" i="1"/>
  <c r="N1905" i="1" s="1"/>
  <c r="N1075" i="17"/>
  <c r="L1251" i="17"/>
  <c r="N1191" i="17"/>
  <c r="J1238" i="17"/>
  <c r="K1298" i="17"/>
  <c r="Q1238" i="17"/>
  <c r="M2295" i="1"/>
  <c r="K2073" i="1"/>
  <c r="L2177" i="1"/>
  <c r="G2091" i="13"/>
  <c r="J2091" i="13" s="1"/>
  <c r="J1959" i="13"/>
  <c r="J1962" i="13" s="1"/>
  <c r="G1962" i="13"/>
  <c r="M2350" i="1"/>
  <c r="M1090" i="17"/>
  <c r="N1090" i="17"/>
  <c r="L1297" i="17"/>
  <c r="N1237" i="17"/>
  <c r="M2141" i="1"/>
  <c r="O2037" i="1"/>
  <c r="M2040" i="1"/>
  <c r="M2325" i="1"/>
  <c r="N1837" i="1"/>
  <c r="K1842" i="1"/>
  <c r="N1842" i="1" s="1"/>
  <c r="J1971" i="13"/>
  <c r="J1975" i="13" s="1"/>
  <c r="G1975" i="13"/>
  <c r="K2027" i="1"/>
  <c r="L2131" i="1"/>
  <c r="G2045" i="13"/>
  <c r="L2036" i="1"/>
  <c r="L2041" i="1" s="1"/>
  <c r="L2052" i="1" s="1"/>
  <c r="L2053" i="1" s="1"/>
  <c r="L2057" i="1"/>
  <c r="L2159" i="1"/>
  <c r="G2073" i="13"/>
  <c r="J2073" i="13" s="1"/>
  <c r="K2055" i="1"/>
  <c r="K2069" i="1"/>
  <c r="L2173" i="1"/>
  <c r="G2087" i="13"/>
  <c r="J2087" i="13" s="1"/>
  <c r="K2033" i="1"/>
  <c r="O2033" i="1" s="1"/>
  <c r="L2137" i="1"/>
  <c r="G2051" i="13"/>
  <c r="J2051" i="13" s="1"/>
  <c r="M2335" i="1"/>
  <c r="M2379" i="1"/>
  <c r="G1898" i="13"/>
  <c r="J1894" i="13"/>
  <c r="J1898" i="13" s="1"/>
  <c r="L1818" i="1"/>
  <c r="L1873" i="1" s="1"/>
  <c r="J1887" i="13"/>
  <c r="J1888" i="13" s="1"/>
  <c r="K1242" i="17"/>
  <c r="J1182" i="17"/>
  <c r="M1182" i="17" s="1"/>
  <c r="Q1182" i="17"/>
  <c r="J1784" i="13"/>
  <c r="L2164" i="1"/>
  <c r="G2078" i="13"/>
  <c r="J2078" i="13" s="1"/>
  <c r="K2060" i="1"/>
  <c r="M1101" i="17"/>
  <c r="N1101" i="17"/>
  <c r="K2061" i="1"/>
  <c r="L2165" i="1"/>
  <c r="G2079" i="13"/>
  <c r="J2079" i="13" s="1"/>
  <c r="L2132" i="1"/>
  <c r="G2046" i="13"/>
  <c r="J2046" i="13" s="1"/>
  <c r="K2028" i="1"/>
  <c r="O1729" i="1"/>
  <c r="M1740" i="1"/>
  <c r="G2005" i="13"/>
  <c r="J2005" i="13" s="1"/>
  <c r="L2091" i="1"/>
  <c r="K1987" i="1"/>
  <c r="K2023" i="1"/>
  <c r="L2127" i="1"/>
  <c r="G2041" i="13"/>
  <c r="J2041" i="13" s="1"/>
  <c r="K2035" i="1"/>
  <c r="L2139" i="1"/>
  <c r="G2053" i="13"/>
  <c r="J2053" i="13" s="1"/>
  <c r="N1729" i="1"/>
  <c r="K1740" i="1"/>
  <c r="L2001" i="1"/>
  <c r="L2098" i="1"/>
  <c r="G2012" i="13"/>
  <c r="K1994" i="1"/>
  <c r="L1242" i="17"/>
  <c r="N1182" i="17"/>
  <c r="N1912" i="1"/>
  <c r="K1233" i="17"/>
  <c r="Q1173" i="17"/>
  <c r="J1173" i="17"/>
  <c r="M1173" i="17" s="1"/>
  <c r="M1115" i="17"/>
  <c r="N1115" i="17"/>
  <c r="M2180" i="1"/>
  <c r="M2078" i="1"/>
  <c r="M2195" i="1"/>
  <c r="M2299" i="1" s="1"/>
  <c r="M1105" i="17"/>
  <c r="N1105" i="17"/>
  <c r="M2120" i="1"/>
  <c r="M2024" i="1"/>
  <c r="O1905" i="1"/>
  <c r="N1102" i="17"/>
  <c r="N1963" i="1"/>
  <c r="O1963" i="1"/>
  <c r="O1832" i="1"/>
  <c r="M1921" i="1"/>
  <c r="N1935" i="1"/>
  <c r="O1935" i="1"/>
  <c r="J1849" i="13"/>
  <c r="J1860" i="13" s="1"/>
  <c r="J1861" i="13" s="1"/>
  <c r="L2176" i="1"/>
  <c r="K2072" i="1"/>
  <c r="G2090" i="13"/>
  <c r="L2075" i="1"/>
  <c r="N1125" i="17"/>
  <c r="N1964" i="1"/>
  <c r="O1964" i="1"/>
  <c r="K1871" i="1"/>
  <c r="N1849" i="1"/>
  <c r="N1888" i="1"/>
  <c r="O1888" i="1"/>
  <c r="L1307" i="17"/>
  <c r="J1142" i="17"/>
  <c r="K1202" i="17"/>
  <c r="Q1142" i="17"/>
  <c r="K1984" i="1"/>
  <c r="L2088" i="1"/>
  <c r="G2002" i="13"/>
  <c r="J2002" i="13" s="1"/>
  <c r="M2002" i="1"/>
  <c r="M1901" i="1"/>
  <c r="M1906" i="1" s="1"/>
  <c r="K1222" i="17"/>
  <c r="J1162" i="17"/>
  <c r="M1162" i="17" s="1"/>
  <c r="Q1162" i="17"/>
  <c r="N1903" i="1"/>
  <c r="O1903" i="1"/>
  <c r="O1870" i="1"/>
  <c r="O2004" i="1"/>
  <c r="N2004" i="1"/>
  <c r="K2034" i="1"/>
  <c r="O2034" i="1" s="1"/>
  <c r="L2138" i="1"/>
  <c r="G2052" i="13"/>
  <c r="J2052" i="13" s="1"/>
  <c r="M2075" i="1"/>
  <c r="M2176" i="1"/>
  <c r="Q1191" i="17"/>
  <c r="K1251" i="17"/>
  <c r="J1191" i="17"/>
  <c r="M1191" i="17" s="1"/>
  <c r="O1959" i="1"/>
  <c r="N1819" i="1"/>
  <c r="K1828" i="1"/>
  <c r="K1309" i="17"/>
  <c r="J1249" i="17"/>
  <c r="M1249" i="17" s="1"/>
  <c r="Q1249" i="17"/>
  <c r="K1227" i="17"/>
  <c r="Q1167" i="17"/>
  <c r="J1167" i="17"/>
  <c r="O1972" i="1"/>
  <c r="K1974" i="1"/>
  <c r="N1974" i="1" s="1"/>
  <c r="N1972" i="1"/>
  <c r="M1184" i="17"/>
  <c r="N1184" i="17"/>
  <c r="G1932" i="13"/>
  <c r="J1932" i="13" s="1"/>
  <c r="L2019" i="1"/>
  <c r="K1915" i="1"/>
  <c r="K1920" i="1" s="1"/>
  <c r="M1096" i="17"/>
  <c r="M2229" i="1"/>
  <c r="K1911" i="1"/>
  <c r="N1907" i="1"/>
  <c r="K1248" i="17"/>
  <c r="J1188" i="17"/>
  <c r="Q1188" i="17"/>
  <c r="K1232" i="17"/>
  <c r="Q1172" i="17"/>
  <c r="J1172" i="17"/>
  <c r="K1698" i="1"/>
  <c r="K2031" i="1"/>
  <c r="O2031" i="1" s="1"/>
  <c r="L2135" i="1"/>
  <c r="G2049" i="13"/>
  <c r="J2049" i="13" s="1"/>
  <c r="O1693" i="1"/>
  <c r="M2372" i="1"/>
  <c r="M1120" i="17"/>
  <c r="N1120" i="17"/>
  <c r="M2355" i="1"/>
  <c r="O1842" i="1"/>
  <c r="M2071" i="1"/>
  <c r="M2170" i="1"/>
  <c r="O2066" i="1"/>
  <c r="L2101" i="1"/>
  <c r="G2015" i="13"/>
  <c r="J2015" i="13" s="1"/>
  <c r="K1997" i="1"/>
  <c r="I1506" i="16"/>
  <c r="F1588" i="16"/>
  <c r="L2116" i="1"/>
  <c r="G2030" i="13"/>
  <c r="J2030" i="13" s="1"/>
  <c r="K2012" i="1"/>
  <c r="N1096" i="17"/>
  <c r="L2117" i="1"/>
  <c r="K2013" i="1"/>
  <c r="G2031" i="13"/>
  <c r="J2031" i="13" s="1"/>
  <c r="O1767" i="1"/>
  <c r="O1768" i="1" s="1"/>
  <c r="K1768" i="1"/>
  <c r="N1767" i="1"/>
  <c r="N1768" i="1" s="1"/>
  <c r="K1212" i="17"/>
  <c r="Q1152" i="17"/>
  <c r="J1152" i="17"/>
  <c r="M1152" i="17" s="1"/>
  <c r="N1094" i="17"/>
  <c r="L1290" i="17"/>
  <c r="N1885" i="1"/>
  <c r="O1885" i="1"/>
  <c r="O1970" i="1"/>
  <c r="L1212" i="17"/>
  <c r="N1152" i="17"/>
  <c r="M2294" i="1"/>
  <c r="Q1151" i="17"/>
  <c r="K1211" i="17"/>
  <c r="J1151" i="17"/>
  <c r="M1151" i="17" s="1"/>
  <c r="L2134" i="1"/>
  <c r="G2048" i="13"/>
  <c r="J2048" i="13" s="1"/>
  <c r="K2030" i="1"/>
  <c r="O2030" i="1" s="1"/>
  <c r="L2148" i="1"/>
  <c r="G2062" i="13"/>
  <c r="J2062" i="13" s="1"/>
  <c r="K2044" i="1"/>
  <c r="N1891" i="1"/>
  <c r="O1891" i="1"/>
  <c r="L1270" i="17"/>
  <c r="N1952" i="1"/>
  <c r="O1952" i="1"/>
  <c r="J1967" i="13"/>
  <c r="J1970" i="13" s="1"/>
  <c r="J1992" i="13" s="1"/>
  <c r="J1993" i="13" s="1"/>
  <c r="G1970" i="13"/>
  <c r="J1243" i="17"/>
  <c r="M1243" i="17" s="1"/>
  <c r="L1303" i="17"/>
  <c r="N1243" i="17"/>
  <c r="L1946" i="1"/>
  <c r="L1948" i="1" s="1"/>
  <c r="L1949" i="1" s="1"/>
  <c r="J1919" i="13"/>
  <c r="J1922" i="13" s="1"/>
  <c r="G1922" i="13"/>
  <c r="N1098" i="17"/>
  <c r="M1098" i="17"/>
  <c r="M1833" i="1"/>
  <c r="O1828" i="1"/>
  <c r="M1802" i="1"/>
  <c r="I1483" i="16"/>
  <c r="F1642" i="16"/>
  <c r="I1560" i="16"/>
  <c r="F1611" i="16"/>
  <c r="I1529" i="16"/>
  <c r="I1554" i="16"/>
  <c r="F1636" i="16"/>
  <c r="I1494" i="16"/>
  <c r="F1576" i="16"/>
  <c r="I1551" i="16"/>
  <c r="F1633" i="16"/>
  <c r="I1512" i="16"/>
  <c r="F1594" i="16"/>
  <c r="F1584" i="16"/>
  <c r="I1502" i="16"/>
  <c r="I1501" i="16"/>
  <c r="F1583" i="16"/>
  <c r="F1634" i="16"/>
  <c r="I1552" i="16"/>
  <c r="F1643" i="16"/>
  <c r="I1561" i="16"/>
  <c r="F1610" i="16"/>
  <c r="I1528" i="16"/>
  <c r="I1504" i="16"/>
  <c r="F1586" i="16"/>
  <c r="F1596" i="16"/>
  <c r="I1514" i="16"/>
  <c r="F1625" i="16"/>
  <c r="I1543" i="16"/>
  <c r="F1581" i="16"/>
  <c r="I1499" i="16"/>
  <c r="I1439" i="16"/>
  <c r="I1541" i="16"/>
  <c r="F1623" i="16"/>
  <c r="I1515" i="16"/>
  <c r="F1597" i="16"/>
  <c r="I1545" i="16"/>
  <c r="F1627" i="16"/>
  <c r="I1558" i="16"/>
  <c r="F1640" i="16"/>
  <c r="I1423" i="16"/>
  <c r="I1496" i="16"/>
  <c r="F1578" i="16"/>
  <c r="I1537" i="16"/>
  <c r="F1619" i="16"/>
  <c r="I1519" i="16"/>
  <c r="F1601" i="16"/>
  <c r="I1511" i="16"/>
  <c r="F1593" i="16"/>
  <c r="I1550" i="16"/>
  <c r="F1632" i="16"/>
  <c r="I1563" i="16"/>
  <c r="F1645" i="16"/>
  <c r="I1555" i="16"/>
  <c r="F1637" i="16"/>
  <c r="F1577" i="16"/>
  <c r="I1495" i="16"/>
  <c r="F1631" i="16"/>
  <c r="I1549" i="16"/>
  <c r="F1646" i="16"/>
  <c r="I1564" i="16"/>
  <c r="I1526" i="16"/>
  <c r="F1608" i="16"/>
  <c r="F1615" i="16"/>
  <c r="I1533" i="16"/>
  <c r="F1595" i="16"/>
  <c r="I1513" i="16"/>
  <c r="I1546" i="16"/>
  <c r="F1628" i="16"/>
  <c r="F1580" i="16"/>
  <c r="I1498" i="16"/>
  <c r="F1635" i="16"/>
  <c r="I1553" i="16"/>
  <c r="F1607" i="16"/>
  <c r="I1525" i="16"/>
  <c r="I1540" i="16"/>
  <c r="F1622" i="16"/>
  <c r="I1547" i="16"/>
  <c r="F1629" i="16"/>
  <c r="I1493" i="16"/>
  <c r="F1575" i="16"/>
  <c r="F1624" i="16"/>
  <c r="I1542" i="16"/>
  <c r="I1435" i="16"/>
  <c r="I1508" i="16"/>
  <c r="F1590" i="16"/>
  <c r="F1614" i="16"/>
  <c r="I1532" i="16"/>
  <c r="F1638" i="16"/>
  <c r="I1556" i="16"/>
  <c r="I1462" i="16"/>
  <c r="I1516" i="16"/>
  <c r="F1598" i="16"/>
  <c r="I1548" i="16"/>
  <c r="F1630" i="16"/>
  <c r="I1359" i="16"/>
  <c r="I1404" i="16" s="1"/>
  <c r="I1530" i="16"/>
  <c r="F1612" i="16"/>
  <c r="I1562" i="16"/>
  <c r="F1644" i="16"/>
  <c r="F1639" i="16"/>
  <c r="I1557" i="16"/>
  <c r="I1527" i="16"/>
  <c r="F1609" i="16"/>
  <c r="F1617" i="16"/>
  <c r="I1535" i="16"/>
  <c r="F1602" i="16"/>
  <c r="I1520" i="16"/>
  <c r="I1500" i="16"/>
  <c r="F1582" i="16"/>
  <c r="I1507" i="16"/>
  <c r="F1589" i="16"/>
  <c r="I1497" i="16"/>
  <c r="F1579" i="16"/>
  <c r="F1585" i="16"/>
  <c r="I1503" i="16"/>
  <c r="F1616" i="16"/>
  <c r="I1534" i="16"/>
  <c r="I1510" i="16"/>
  <c r="F1592" i="16"/>
  <c r="I1531" i="16"/>
  <c r="F1613" i="16"/>
  <c r="F1621" i="16"/>
  <c r="I1539" i="16"/>
  <c r="F1591" i="16"/>
  <c r="I1509" i="16"/>
  <c r="I1559" i="16"/>
  <c r="F1641" i="16"/>
  <c r="I1536" i="16"/>
  <c r="F1618" i="16"/>
  <c r="F1606" i="16"/>
  <c r="I1524" i="16"/>
  <c r="I1518" i="16"/>
  <c r="F1600" i="16"/>
  <c r="N957" i="17"/>
  <c r="Q1143" i="17"/>
  <c r="K1203" i="17"/>
  <c r="K1263" i="17" s="1"/>
  <c r="J1143" i="17"/>
  <c r="Q1086" i="17"/>
  <c r="Q1095" i="17" s="1"/>
  <c r="M1083" i="17"/>
  <c r="N1083" i="17"/>
  <c r="K1205" i="17"/>
  <c r="K1265" i="17" s="1"/>
  <c r="J1145" i="17"/>
  <c r="Q1145" i="17"/>
  <c r="K1146" i="17"/>
  <c r="L1205" i="17"/>
  <c r="L1265" i="17" s="1"/>
  <c r="N1145" i="17"/>
  <c r="L1146" i="17"/>
  <c r="N1026" i="17"/>
  <c r="J1035" i="17"/>
  <c r="M1026" i="17"/>
  <c r="M975" i="17"/>
  <c r="J1017" i="17"/>
  <c r="N975" i="17"/>
  <c r="M1085" i="17"/>
  <c r="J1086" i="17"/>
  <c r="I39" i="16"/>
  <c r="I38" i="16"/>
  <c r="I21" i="16"/>
  <c r="I37" i="16"/>
  <c r="M1103" i="17" l="1"/>
  <c r="J1104" i="17"/>
  <c r="M1104" i="17" s="1"/>
  <c r="N1103" i="17"/>
  <c r="N1920" i="1"/>
  <c r="O1920" i="1"/>
  <c r="M1922" i="1"/>
  <c r="N2070" i="1"/>
  <c r="O2070" i="1"/>
  <c r="L1164" i="17"/>
  <c r="L2246" i="1"/>
  <c r="G2161" i="13"/>
  <c r="J2161" i="13" s="1"/>
  <c r="K2142" i="1"/>
  <c r="L2219" i="1"/>
  <c r="G2134" i="13"/>
  <c r="L2119" i="1"/>
  <c r="K2115" i="1"/>
  <c r="M1170" i="17"/>
  <c r="J1195" i="17"/>
  <c r="N1170" i="17"/>
  <c r="O2076" i="1"/>
  <c r="K2078" i="1"/>
  <c r="N2078" i="1" s="1"/>
  <c r="N2076" i="1"/>
  <c r="O2063" i="1"/>
  <c r="L2194" i="1"/>
  <c r="G2109" i="13"/>
  <c r="K2090" i="1"/>
  <c r="L2097" i="1"/>
  <c r="N1186" i="17"/>
  <c r="M1186" i="17"/>
  <c r="N1166" i="17"/>
  <c r="M2219" i="1"/>
  <c r="M2119" i="1"/>
  <c r="N1222" i="17"/>
  <c r="L1282" i="17"/>
  <c r="Q1154" i="17"/>
  <c r="M1175" i="17"/>
  <c r="N1175" i="17"/>
  <c r="L2208" i="1"/>
  <c r="G2123" i="13"/>
  <c r="J2123" i="13" s="1"/>
  <c r="K2104" i="1"/>
  <c r="O1802" i="1"/>
  <c r="M1818" i="1"/>
  <c r="Q1202" i="17"/>
  <c r="K1262" i="17"/>
  <c r="J1202" i="17"/>
  <c r="K2098" i="1"/>
  <c r="L2202" i="1"/>
  <c r="G2117" i="13"/>
  <c r="L2105" i="1"/>
  <c r="N2069" i="1"/>
  <c r="O2069" i="1"/>
  <c r="K2036" i="1"/>
  <c r="N2036" i="1" s="1"/>
  <c r="N2027" i="1"/>
  <c r="K2177" i="1"/>
  <c r="L2281" i="1"/>
  <c r="G2196" i="13"/>
  <c r="J2196" i="13" s="1"/>
  <c r="L2106" i="1"/>
  <c r="G2020" i="13"/>
  <c r="K2002" i="1"/>
  <c r="L2005" i="1"/>
  <c r="N1991" i="1"/>
  <c r="O1991" i="1"/>
  <c r="N2017" i="1"/>
  <c r="O2017" i="1"/>
  <c r="N2077" i="1"/>
  <c r="O2077" i="1"/>
  <c r="O1998" i="1"/>
  <c r="N1998" i="1"/>
  <c r="K1277" i="17"/>
  <c r="Q1217" i="17"/>
  <c r="J1217" i="17"/>
  <c r="M1217" i="17" s="1"/>
  <c r="N2039" i="1"/>
  <c r="O2039" i="1"/>
  <c r="L1293" i="17"/>
  <c r="J1225" i="17"/>
  <c r="K1285" i="17"/>
  <c r="Q1225" i="17"/>
  <c r="K1255" i="17"/>
  <c r="K1256" i="17" s="1"/>
  <c r="J1923" i="13"/>
  <c r="J1939" i="13" s="1"/>
  <c r="N1241" i="17"/>
  <c r="L1301" i="17"/>
  <c r="N1932" i="1"/>
  <c r="K1937" i="1"/>
  <c r="M1158" i="17"/>
  <c r="N1158" i="17"/>
  <c r="L2264" i="1"/>
  <c r="G2179" i="13"/>
  <c r="J2179" i="13" s="1"/>
  <c r="K2160" i="1"/>
  <c r="N2020" i="1"/>
  <c r="O2020" i="1"/>
  <c r="J1226" i="17"/>
  <c r="M1226" i="17" s="1"/>
  <c r="K1286" i="17"/>
  <c r="Q1226" i="17"/>
  <c r="G1938" i="13"/>
  <c r="M2370" i="1"/>
  <c r="M2374" i="1" s="1"/>
  <c r="M2270" i="1"/>
  <c r="M1149" i="17"/>
  <c r="N1149" i="17"/>
  <c r="J2064" i="13"/>
  <c r="J2067" i="13" s="1"/>
  <c r="G2067" i="13"/>
  <c r="M2131" i="1"/>
  <c r="O2027" i="1"/>
  <c r="M2036" i="1"/>
  <c r="O2036" i="1" s="1"/>
  <c r="K1818" i="1"/>
  <c r="N1818" i="1" s="1"/>
  <c r="N1802" i="1"/>
  <c r="L2197" i="1"/>
  <c r="G2112" i="13"/>
  <c r="J2112" i="13" s="1"/>
  <c r="K2093" i="1"/>
  <c r="M1147" i="17"/>
  <c r="J1154" i="17"/>
  <c r="M1154" i="17" s="1"/>
  <c r="K1288" i="17"/>
  <c r="Q1228" i="17"/>
  <c r="J1228" i="17"/>
  <c r="K2125" i="1"/>
  <c r="L2229" i="1"/>
  <c r="G2144" i="13"/>
  <c r="J2144" i="13" s="1"/>
  <c r="M1180" i="17"/>
  <c r="N1180" i="17"/>
  <c r="J2029" i="13"/>
  <c r="G2033" i="13"/>
  <c r="N1244" i="17"/>
  <c r="M1244" i="17"/>
  <c r="J2004" i="13"/>
  <c r="J2011" i="13" s="1"/>
  <c r="G2011" i="13"/>
  <c r="M2025" i="1"/>
  <c r="N1162" i="17"/>
  <c r="K2136" i="1"/>
  <c r="O2136" i="1" s="1"/>
  <c r="L2240" i="1"/>
  <c r="G2155" i="13"/>
  <c r="J2155" i="13" s="1"/>
  <c r="Q1137" i="17"/>
  <c r="G1992" i="13"/>
  <c r="G1993" i="13" s="1"/>
  <c r="L1272" i="17"/>
  <c r="L2221" i="1"/>
  <c r="G2136" i="13"/>
  <c r="J2136" i="13" s="1"/>
  <c r="K2117" i="1"/>
  <c r="L2220" i="1"/>
  <c r="G2135" i="13"/>
  <c r="J2135" i="13" s="1"/>
  <c r="K2116" i="1"/>
  <c r="Q1232" i="17"/>
  <c r="K1292" i="17"/>
  <c r="J1232" i="17"/>
  <c r="M2333" i="1"/>
  <c r="M1167" i="17"/>
  <c r="N1167" i="17"/>
  <c r="K1282" i="17"/>
  <c r="Q1222" i="17"/>
  <c r="J1222" i="17"/>
  <c r="M1222" i="17" s="1"/>
  <c r="L1302" i="17"/>
  <c r="K2139" i="1"/>
  <c r="L2243" i="1"/>
  <c r="G2158" i="13"/>
  <c r="J2158" i="13" s="1"/>
  <c r="N2023" i="1"/>
  <c r="O2023" i="1"/>
  <c r="L2236" i="1"/>
  <c r="G2151" i="13"/>
  <c r="J2151" i="13" s="1"/>
  <c r="K2132" i="1"/>
  <c r="L2268" i="1"/>
  <c r="G2183" i="13"/>
  <c r="J2183" i="13" s="1"/>
  <c r="K2164" i="1"/>
  <c r="J1242" i="17"/>
  <c r="M1242" i="17" s="1"/>
  <c r="K1302" i="17"/>
  <c r="Q1242" i="17"/>
  <c r="N2073" i="1"/>
  <c r="O2073" i="1"/>
  <c r="L1311" i="17"/>
  <c r="J1915" i="13"/>
  <c r="J1918" i="13" s="1"/>
  <c r="G1918" i="13"/>
  <c r="L2199" i="1"/>
  <c r="G2114" i="13"/>
  <c r="J2114" i="13" s="1"/>
  <c r="K2095" i="1"/>
  <c r="N1104" i="17"/>
  <c r="N2048" i="1"/>
  <c r="O2048" i="1"/>
  <c r="M2329" i="1"/>
  <c r="J1245" i="17"/>
  <c r="M1245" i="17" s="1"/>
  <c r="K1305" i="17"/>
  <c r="Q1245" i="17"/>
  <c r="K2092" i="1"/>
  <c r="L2196" i="1"/>
  <c r="G2111" i="13"/>
  <c r="J2111" i="13" s="1"/>
  <c r="N2068" i="1"/>
  <c r="O2068" i="1"/>
  <c r="K2118" i="1"/>
  <c r="L2222" i="1"/>
  <c r="G2137" i="13"/>
  <c r="J2137" i="13" s="1"/>
  <c r="M1144" i="17"/>
  <c r="N1144" i="17"/>
  <c r="Q1297" i="17"/>
  <c r="J1297" i="17"/>
  <c r="M1297" i="17" s="1"/>
  <c r="M2050" i="1"/>
  <c r="M1153" i="17"/>
  <c r="N1153" i="17"/>
  <c r="M1081" i="17"/>
  <c r="N1081" i="17"/>
  <c r="N1981" i="1"/>
  <c r="K1985" i="1"/>
  <c r="O1936" i="1"/>
  <c r="K2133" i="1"/>
  <c r="O2133" i="1" s="1"/>
  <c r="L2237" i="1"/>
  <c r="G2152" i="13"/>
  <c r="J2152" i="13" s="1"/>
  <c r="J1234" i="17"/>
  <c r="M1234" i="17" s="1"/>
  <c r="K1294" i="17"/>
  <c r="Q1234" i="17"/>
  <c r="J1218" i="17"/>
  <c r="K1278" i="17"/>
  <c r="Q1218" i="17"/>
  <c r="L1313" i="17"/>
  <c r="N1253" i="17"/>
  <c r="L2245" i="1"/>
  <c r="G2160" i="13"/>
  <c r="L2144" i="1"/>
  <c r="K2141" i="1"/>
  <c r="J1938" i="13"/>
  <c r="M1043" i="17"/>
  <c r="N1043" i="17"/>
  <c r="J1044" i="17"/>
  <c r="Q1221" i="17"/>
  <c r="K1281" i="17"/>
  <c r="J1221" i="17"/>
  <c r="K2087" i="1"/>
  <c r="L2191" i="1"/>
  <c r="G2106" i="13"/>
  <c r="J2106" i="13" s="1"/>
  <c r="K2071" i="1"/>
  <c r="N2071" i="1" s="1"/>
  <c r="N2066" i="1"/>
  <c r="N1174" i="17"/>
  <c r="Q1229" i="17"/>
  <c r="K1289" i="17"/>
  <c r="J1229" i="17"/>
  <c r="L1277" i="17"/>
  <c r="N1217" i="17"/>
  <c r="L2254" i="1"/>
  <c r="G2169" i="13"/>
  <c r="L2153" i="1"/>
  <c r="K2150" i="1"/>
  <c r="N1941" i="1"/>
  <c r="K1946" i="1"/>
  <c r="N1946" i="1" s="1"/>
  <c r="N1265" i="17"/>
  <c r="Q1265" i="17"/>
  <c r="J1265" i="17"/>
  <c r="M1265" i="17" s="1"/>
  <c r="K2134" i="1"/>
  <c r="O2134" i="1" s="1"/>
  <c r="L2238" i="1"/>
  <c r="G2153" i="13"/>
  <c r="J2153" i="13" s="1"/>
  <c r="L1255" i="17"/>
  <c r="I1588" i="16"/>
  <c r="F1670" i="16"/>
  <c r="I1670" i="16" s="1"/>
  <c r="L2205" i="1"/>
  <c r="G2120" i="13"/>
  <c r="J2120" i="13" s="1"/>
  <c r="K2101" i="1"/>
  <c r="O2071" i="1"/>
  <c r="O1698" i="1"/>
  <c r="K1714" i="1"/>
  <c r="N1698" i="1"/>
  <c r="O1911" i="1"/>
  <c r="K1921" i="1"/>
  <c r="N1921" i="1" s="1"/>
  <c r="N1911" i="1"/>
  <c r="Q1309" i="17"/>
  <c r="J1309" i="17"/>
  <c r="M1309" i="17" s="1"/>
  <c r="N1984" i="1"/>
  <c r="O1984" i="1"/>
  <c r="O2072" i="1"/>
  <c r="N2072" i="1"/>
  <c r="K2075" i="1"/>
  <c r="N2075" i="1" s="1"/>
  <c r="M2224" i="1"/>
  <c r="K2001" i="1"/>
  <c r="N2001" i="1" s="1"/>
  <c r="N1994" i="1"/>
  <c r="N1740" i="1"/>
  <c r="N1741" i="1" s="1"/>
  <c r="K1741" i="1"/>
  <c r="K1769" i="1" s="1"/>
  <c r="N1769" i="1" s="1"/>
  <c r="N2035" i="1"/>
  <c r="O2035" i="1"/>
  <c r="N1987" i="1"/>
  <c r="O1987" i="1"/>
  <c r="J2045" i="13"/>
  <c r="J2054" i="13" s="1"/>
  <c r="G2054" i="13"/>
  <c r="J1298" i="17"/>
  <c r="Q1298" i="17"/>
  <c r="N1194" i="17"/>
  <c r="K2121" i="1"/>
  <c r="L2225" i="1"/>
  <c r="G2140" i="13"/>
  <c r="J2140" i="13" s="1"/>
  <c r="M2079" i="1"/>
  <c r="L2256" i="1"/>
  <c r="G2171" i="13"/>
  <c r="J2171" i="13" s="1"/>
  <c r="K2152" i="1"/>
  <c r="L2251" i="1"/>
  <c r="G2166" i="13"/>
  <c r="J2166" i="13" s="1"/>
  <c r="K2147" i="1"/>
  <c r="M2128" i="1"/>
  <c r="L2316" i="1"/>
  <c r="G2232" i="13"/>
  <c r="J2232" i="13" s="1"/>
  <c r="K2212" i="1"/>
  <c r="O1988" i="1"/>
  <c r="N1988" i="1"/>
  <c r="K2171" i="1"/>
  <c r="L2275" i="1"/>
  <c r="G2190" i="13"/>
  <c r="J2190" i="13" s="1"/>
  <c r="M1165" i="17"/>
  <c r="N1165" i="17"/>
  <c r="Q1204" i="17"/>
  <c r="K1264" i="17"/>
  <c r="J1204" i="17"/>
  <c r="L1299" i="17"/>
  <c r="N1239" i="17"/>
  <c r="L2224" i="1"/>
  <c r="G2139" i="13"/>
  <c r="K2120" i="1"/>
  <c r="O1981" i="1"/>
  <c r="N1999" i="1"/>
  <c r="O1999" i="1"/>
  <c r="L2010" i="1"/>
  <c r="N1160" i="17"/>
  <c r="K2086" i="1"/>
  <c r="L2190" i="1"/>
  <c r="G2105" i="13"/>
  <c r="J2105" i="13" s="1"/>
  <c r="J1254" i="17"/>
  <c r="M1254" i="17" s="1"/>
  <c r="K1314" i="17"/>
  <c r="Q1254" i="17"/>
  <c r="O2058" i="1"/>
  <c r="N2058" i="1"/>
  <c r="K2062" i="1"/>
  <c r="M1176" i="17"/>
  <c r="N1176" i="17"/>
  <c r="N2022" i="1"/>
  <c r="O2022" i="1"/>
  <c r="N1136" i="17"/>
  <c r="M1136" i="17"/>
  <c r="M1150" i="17"/>
  <c r="N1150" i="17"/>
  <c r="N2006" i="1"/>
  <c r="K2009" i="1"/>
  <c r="N2009" i="1" s="1"/>
  <c r="O2042" i="1"/>
  <c r="K2045" i="1"/>
  <c r="N2042" i="1"/>
  <c r="J1241" i="17"/>
  <c r="M1241" i="17" s="1"/>
  <c r="K1301" i="17"/>
  <c r="Q1241" i="17"/>
  <c r="N2056" i="1"/>
  <c r="O2056" i="1"/>
  <c r="K2040" i="1"/>
  <c r="N2037" i="1"/>
  <c r="K1312" i="17"/>
  <c r="J1252" i="17"/>
  <c r="Q1252" i="17"/>
  <c r="M2254" i="1"/>
  <c r="O2150" i="1"/>
  <c r="M2153" i="1"/>
  <c r="M1156" i="17"/>
  <c r="L1268" i="17"/>
  <c r="Q1303" i="17"/>
  <c r="J1303" i="17"/>
  <c r="M1303" i="17" s="1"/>
  <c r="M1187" i="17"/>
  <c r="N1187" i="17"/>
  <c r="K1313" i="17"/>
  <c r="Q1253" i="17"/>
  <c r="J1253" i="17"/>
  <c r="M1253" i="17" s="1"/>
  <c r="N1249" i="17"/>
  <c r="K1269" i="17"/>
  <c r="Q1209" i="17"/>
  <c r="J1209" i="17"/>
  <c r="O2006" i="1"/>
  <c r="L1310" i="17"/>
  <c r="Q1159" i="17"/>
  <c r="K1219" i="17"/>
  <c r="J1159" i="17"/>
  <c r="N2051" i="1"/>
  <c r="O2051" i="1"/>
  <c r="J2084" i="13"/>
  <c r="J2089" i="13" s="1"/>
  <c r="G2089" i="13"/>
  <c r="O1665" i="1"/>
  <c r="N1234" i="17"/>
  <c r="L1294" i="17"/>
  <c r="L2079" i="1"/>
  <c r="L2080" i="1" s="1"/>
  <c r="N1958" i="1"/>
  <c r="O1958" i="1"/>
  <c r="O1994" i="1"/>
  <c r="M1937" i="1"/>
  <c r="M1948" i="1" s="1"/>
  <c r="O1932" i="1"/>
  <c r="K2057" i="1"/>
  <c r="N2054" i="1"/>
  <c r="K2099" i="1"/>
  <c r="L2203" i="1"/>
  <c r="G2118" i="13"/>
  <c r="J2118" i="13" s="1"/>
  <c r="O2074" i="1"/>
  <c r="N1989" i="1"/>
  <c r="O1989" i="1"/>
  <c r="M1168" i="17"/>
  <c r="N1168" i="17"/>
  <c r="N2021" i="1"/>
  <c r="O2021" i="1"/>
  <c r="L2216" i="1"/>
  <c r="G2131" i="13"/>
  <c r="J2131" i="13" s="1"/>
  <c r="K2112" i="1"/>
  <c r="Q1240" i="17"/>
  <c r="K1300" i="17"/>
  <c r="J1240" i="17"/>
  <c r="K2015" i="1"/>
  <c r="N2011" i="1"/>
  <c r="Q1304" i="17"/>
  <c r="J1304" i="17"/>
  <c r="G2096" i="13"/>
  <c r="K2096" i="1"/>
  <c r="L2200" i="1"/>
  <c r="G2115" i="13"/>
  <c r="J2115" i="13" s="1"/>
  <c r="N1986" i="1"/>
  <c r="K1993" i="1"/>
  <c r="O1986" i="1"/>
  <c r="J1246" i="17"/>
  <c r="K1306" i="17"/>
  <c r="Q1246" i="17"/>
  <c r="L1286" i="17"/>
  <c r="K2065" i="1"/>
  <c r="N2065" i="1" s="1"/>
  <c r="N2064" i="1"/>
  <c r="O2064" i="1"/>
  <c r="Q1235" i="17"/>
  <c r="K1295" i="17"/>
  <c r="J1235" i="17"/>
  <c r="N1881" i="1"/>
  <c r="O1881" i="1"/>
  <c r="N2000" i="1"/>
  <c r="O2000" i="1"/>
  <c r="O1897" i="1"/>
  <c r="Q1211" i="17"/>
  <c r="K1271" i="17"/>
  <c r="J1211" i="17"/>
  <c r="M1211" i="17" s="1"/>
  <c r="N2013" i="1"/>
  <c r="O2013" i="1"/>
  <c r="N1997" i="1"/>
  <c r="O1997" i="1"/>
  <c r="K2135" i="1"/>
  <c r="O2135" i="1" s="1"/>
  <c r="L2239" i="1"/>
  <c r="G2154" i="13"/>
  <c r="J2154" i="13" s="1"/>
  <c r="K1308" i="17"/>
  <c r="J1248" i="17"/>
  <c r="Q1248" i="17"/>
  <c r="N1915" i="1"/>
  <c r="O1915" i="1"/>
  <c r="K2138" i="1"/>
  <c r="O2138" i="1" s="1"/>
  <c r="L2242" i="1"/>
  <c r="G2157" i="13"/>
  <c r="J2157" i="13" s="1"/>
  <c r="M2284" i="1"/>
  <c r="M2182" i="1"/>
  <c r="K2127" i="1"/>
  <c r="L2231" i="1"/>
  <c r="G2146" i="13"/>
  <c r="J2146" i="13" s="1"/>
  <c r="N2061" i="1"/>
  <c r="O2061" i="1"/>
  <c r="N1817" i="1"/>
  <c r="O1817" i="1"/>
  <c r="N1996" i="1"/>
  <c r="O1996" i="1"/>
  <c r="M2298" i="1"/>
  <c r="M2201" i="1"/>
  <c r="Q1239" i="17"/>
  <c r="K1299" i="17"/>
  <c r="J1239" i="17"/>
  <c r="M1239" i="17" s="1"/>
  <c r="N2067" i="1"/>
  <c r="O2067" i="1"/>
  <c r="M2250" i="1"/>
  <c r="M2149" i="1"/>
  <c r="L2207" i="1"/>
  <c r="G2122" i="13"/>
  <c r="J2122" i="13" s="1"/>
  <c r="K2103" i="1"/>
  <c r="L2189" i="1"/>
  <c r="G2104" i="13"/>
  <c r="L2089" i="1"/>
  <c r="K2085" i="1"/>
  <c r="L2266" i="1"/>
  <c r="G2181" i="13"/>
  <c r="K2162" i="1"/>
  <c r="L2166" i="1"/>
  <c r="Q1236" i="17"/>
  <c r="K1296" i="17"/>
  <c r="J1236" i="17"/>
  <c r="J2024" i="13"/>
  <c r="J2027" i="13" s="1"/>
  <c r="G2027" i="13"/>
  <c r="L2250" i="1"/>
  <c r="G2165" i="13"/>
  <c r="L2149" i="1"/>
  <c r="K2146" i="1"/>
  <c r="J2055" i="13"/>
  <c r="J2058" i="13" s="1"/>
  <c r="G2058" i="13"/>
  <c r="Q1216" i="17"/>
  <c r="K1276" i="17"/>
  <c r="J1216" i="17"/>
  <c r="K1223" i="17"/>
  <c r="K1224" i="17" s="1"/>
  <c r="Q1247" i="17"/>
  <c r="K1307" i="17"/>
  <c r="J1247" i="17"/>
  <c r="K2122" i="1"/>
  <c r="L2226" i="1"/>
  <c r="G2141" i="13"/>
  <c r="J2141" i="13" s="1"/>
  <c r="L1271" i="17"/>
  <c r="M1099" i="17"/>
  <c r="N1099" i="17"/>
  <c r="N1990" i="1"/>
  <c r="O1990" i="1"/>
  <c r="J2081" i="13"/>
  <c r="G2083" i="13"/>
  <c r="O2001" i="1"/>
  <c r="L2262" i="1"/>
  <c r="G2177" i="13"/>
  <c r="K2158" i="1"/>
  <c r="L2161" i="1"/>
  <c r="N1995" i="1"/>
  <c r="O1995" i="1"/>
  <c r="L1223" i="17"/>
  <c r="L1276" i="17"/>
  <c r="I1573" i="16"/>
  <c r="F1655" i="16"/>
  <c r="I1655" i="16" s="1"/>
  <c r="L1305" i="17"/>
  <c r="N1245" i="17"/>
  <c r="G2187" i="13"/>
  <c r="J2187" i="13" s="1"/>
  <c r="L2272" i="1"/>
  <c r="K2168" i="1"/>
  <c r="N2044" i="1"/>
  <c r="O2044" i="1"/>
  <c r="M2175" i="1"/>
  <c r="M2274" i="1"/>
  <c r="L2123" i="1"/>
  <c r="G2037" i="13"/>
  <c r="J2037" i="13" s="1"/>
  <c r="K2019" i="1"/>
  <c r="M2280" i="1"/>
  <c r="M2179" i="1"/>
  <c r="O2176" i="1"/>
  <c r="L2192" i="1"/>
  <c r="G2107" i="13"/>
  <c r="J2107" i="13" s="1"/>
  <c r="K2088" i="1"/>
  <c r="M1142" i="17"/>
  <c r="N1142" i="17"/>
  <c r="J2090" i="13"/>
  <c r="J2093" i="13" s="1"/>
  <c r="G2093" i="13"/>
  <c r="O2024" i="1"/>
  <c r="J1233" i="17"/>
  <c r="M1233" i="17" s="1"/>
  <c r="K1293" i="17"/>
  <c r="Q1233" i="17"/>
  <c r="M1741" i="1"/>
  <c r="M1769" i="1" s="1"/>
  <c r="O1769" i="1" s="1"/>
  <c r="O1740" i="1"/>
  <c r="O1741" i="1" s="1"/>
  <c r="G1923" i="13"/>
  <c r="G1939" i="13" s="1"/>
  <c r="N2055" i="1"/>
  <c r="O2055" i="1"/>
  <c r="M2245" i="1"/>
  <c r="M2144" i="1"/>
  <c r="O2141" i="1"/>
  <c r="N2059" i="1"/>
  <c r="O2059" i="1"/>
  <c r="J2034" i="13"/>
  <c r="J2042" i="13" s="1"/>
  <c r="M2010" i="1"/>
  <c r="L2230" i="1"/>
  <c r="G2145" i="13"/>
  <c r="J2145" i="13" s="1"/>
  <c r="K2126" i="1"/>
  <c r="L2113" i="1"/>
  <c r="L2214" i="1"/>
  <c r="G2129" i="13"/>
  <c r="K2110" i="1"/>
  <c r="N1192" i="17"/>
  <c r="M1192" i="17"/>
  <c r="N1148" i="17"/>
  <c r="L2255" i="1"/>
  <c r="G2170" i="13"/>
  <c r="J2170" i="13" s="1"/>
  <c r="K2151" i="1"/>
  <c r="N2007" i="1"/>
  <c r="O2007" i="1"/>
  <c r="N2018" i="1"/>
  <c r="O2018" i="1"/>
  <c r="O2009" i="1"/>
  <c r="K2155" i="1"/>
  <c r="L2259" i="1"/>
  <c r="G2174" i="13"/>
  <c r="J2174" i="13" s="1"/>
  <c r="L1922" i="1"/>
  <c r="L1977" i="1" s="1"/>
  <c r="K2167" i="1"/>
  <c r="L2271" i="1"/>
  <c r="G2186" i="13"/>
  <c r="L2169" i="1"/>
  <c r="L1137" i="17"/>
  <c r="K1155" i="17"/>
  <c r="K1197" i="17" s="1"/>
  <c r="Q1263" i="17"/>
  <c r="J1263" i="17"/>
  <c r="M1844" i="1"/>
  <c r="L2252" i="1"/>
  <c r="G2167" i="13"/>
  <c r="J2167" i="13" s="1"/>
  <c r="K2148" i="1"/>
  <c r="K1272" i="17"/>
  <c r="Q1212" i="17"/>
  <c r="J1212" i="17"/>
  <c r="M1212" i="17" s="1"/>
  <c r="J2033" i="13"/>
  <c r="J2043" i="13" s="1"/>
  <c r="N2012" i="1"/>
  <c r="O2012" i="1"/>
  <c r="O1945" i="1"/>
  <c r="M1172" i="17"/>
  <c r="N1172" i="17"/>
  <c r="M1188" i="17"/>
  <c r="N1188" i="17"/>
  <c r="Q1227" i="17"/>
  <c r="K1287" i="17"/>
  <c r="J1227" i="17"/>
  <c r="N1828" i="1"/>
  <c r="K1833" i="1"/>
  <c r="Q1251" i="17"/>
  <c r="K1311" i="17"/>
  <c r="J1251" i="17"/>
  <c r="M1251" i="17" s="1"/>
  <c r="Q1163" i="17"/>
  <c r="Q1164" i="17" s="1"/>
  <c r="M2106" i="1"/>
  <c r="M2005" i="1"/>
  <c r="O2002" i="1"/>
  <c r="O1871" i="1"/>
  <c r="O1872" i="1" s="1"/>
  <c r="N1871" i="1"/>
  <c r="N1872" i="1" s="1"/>
  <c r="K1872" i="1"/>
  <c r="L2280" i="1"/>
  <c r="G2195" i="13"/>
  <c r="K2176" i="1"/>
  <c r="L2179" i="1"/>
  <c r="O1921" i="1"/>
  <c r="J2012" i="13"/>
  <c r="J2019" i="13" s="1"/>
  <c r="G2019" i="13"/>
  <c r="L2195" i="1"/>
  <c r="G2110" i="13"/>
  <c r="J2110" i="13" s="1"/>
  <c r="K2091" i="1"/>
  <c r="N2028" i="1"/>
  <c r="O2028" i="1"/>
  <c r="K2165" i="1"/>
  <c r="L2269" i="1"/>
  <c r="G2184" i="13"/>
  <c r="J2184" i="13" s="1"/>
  <c r="N2060" i="1"/>
  <c r="O2060" i="1"/>
  <c r="K2137" i="1"/>
  <c r="O2137" i="1" s="1"/>
  <c r="L2241" i="1"/>
  <c r="G2156" i="13"/>
  <c r="J2156" i="13" s="1"/>
  <c r="K2173" i="1"/>
  <c r="L2277" i="1"/>
  <c r="G2192" i="13"/>
  <c r="J2192" i="13" s="1"/>
  <c r="K2159" i="1"/>
  <c r="L2263" i="1"/>
  <c r="G2178" i="13"/>
  <c r="J2178" i="13" s="1"/>
  <c r="K2131" i="1"/>
  <c r="L2235" i="1"/>
  <c r="G2150" i="13"/>
  <c r="L2140" i="1"/>
  <c r="L2145" i="1" s="1"/>
  <c r="M2041" i="1"/>
  <c r="O2040" i="1"/>
  <c r="M1238" i="17"/>
  <c r="N1238" i="17"/>
  <c r="O1898" i="1"/>
  <c r="K1901" i="1"/>
  <c r="N1901" i="1" s="1"/>
  <c r="N1898" i="1"/>
  <c r="G1963" i="13"/>
  <c r="G1965" i="13" s="1"/>
  <c r="G1966" i="13" s="1"/>
  <c r="G1994" i="13" s="1"/>
  <c r="K1975" i="1"/>
  <c r="N1953" i="1"/>
  <c r="L2282" i="1"/>
  <c r="G2197" i="13"/>
  <c r="J2197" i="13" s="1"/>
  <c r="L1314" i="17"/>
  <c r="N1254" i="17"/>
  <c r="L1266" i="17"/>
  <c r="M2262" i="1"/>
  <c r="M2161" i="1"/>
  <c r="K2181" i="1"/>
  <c r="L2285" i="1"/>
  <c r="G2200" i="13"/>
  <c r="I1574" i="16"/>
  <c r="F1656" i="16"/>
  <c r="I1656" i="16" s="1"/>
  <c r="M2320" i="1"/>
  <c r="K2102" i="1"/>
  <c r="L2206" i="1"/>
  <c r="G2121" i="13"/>
  <c r="J2121" i="13" s="1"/>
  <c r="N2043" i="1"/>
  <c r="O2043" i="1"/>
  <c r="N2108" i="1"/>
  <c r="O2108" i="1"/>
  <c r="N1889" i="1"/>
  <c r="O1889" i="1"/>
  <c r="L2276" i="1"/>
  <c r="G2191" i="13"/>
  <c r="J2191" i="13" s="1"/>
  <c r="K2172" i="1"/>
  <c r="L2204" i="1"/>
  <c r="G2119" i="13"/>
  <c r="J2119" i="13" s="1"/>
  <c r="K2100" i="1"/>
  <c r="N2014" i="1"/>
  <c r="O2014" i="1"/>
  <c r="G2162" i="13"/>
  <c r="J2162" i="13" s="1"/>
  <c r="L2247" i="1"/>
  <c r="K2143" i="1"/>
  <c r="K2163" i="1"/>
  <c r="L2267" i="1"/>
  <c r="G2182" i="13"/>
  <c r="J2182" i="13" s="1"/>
  <c r="N1173" i="17"/>
  <c r="Q1195" i="17"/>
  <c r="Q1196" i="17" s="1"/>
  <c r="O2016" i="1"/>
  <c r="K2024" i="1"/>
  <c r="N2024" i="1" s="1"/>
  <c r="N2016" i="1"/>
  <c r="M2189" i="1"/>
  <c r="M2089" i="1"/>
  <c r="O2085" i="1"/>
  <c r="J1213" i="17"/>
  <c r="K1273" i="17"/>
  <c r="Q1213" i="17"/>
  <c r="K1201" i="17"/>
  <c r="J1141" i="17"/>
  <c r="Q1141" i="17"/>
  <c r="Q1146" i="17" s="1"/>
  <c r="Q1155" i="17" s="1"/>
  <c r="Q1197" i="17" s="1"/>
  <c r="J1999" i="13"/>
  <c r="J2003" i="13" s="1"/>
  <c r="G2003" i="13"/>
  <c r="Q1220" i="17"/>
  <c r="K1280" i="17"/>
  <c r="J1220" i="17"/>
  <c r="O1982" i="1"/>
  <c r="N1982" i="1"/>
  <c r="J1965" i="13"/>
  <c r="J1966" i="13" s="1"/>
  <c r="J2076" i="13"/>
  <c r="J2080" i="13" s="1"/>
  <c r="G2080" i="13"/>
  <c r="K1267" i="17"/>
  <c r="J1207" i="17"/>
  <c r="Q1207" i="17"/>
  <c r="K1214" i="17"/>
  <c r="K1270" i="17"/>
  <c r="J1210" i="17"/>
  <c r="Q1210" i="17"/>
  <c r="J2060" i="13"/>
  <c r="J2063" i="13" s="1"/>
  <c r="J2068" i="13" s="1"/>
  <c r="G2063" i="13"/>
  <c r="G2068" i="13" s="1"/>
  <c r="L2228" i="1"/>
  <c r="G2143" i="13"/>
  <c r="J2143" i="13" s="1"/>
  <c r="K2124" i="1"/>
  <c r="O1953" i="1"/>
  <c r="N2047" i="1"/>
  <c r="O2047" i="1"/>
  <c r="O1971" i="1"/>
  <c r="K2111" i="1"/>
  <c r="L2215" i="1"/>
  <c r="G2130" i="13"/>
  <c r="J2130" i="13" s="1"/>
  <c r="J1250" i="17"/>
  <c r="M1250" i="17" s="1"/>
  <c r="K1310" i="17"/>
  <c r="Q1250" i="17"/>
  <c r="N1309" i="17"/>
  <c r="N1151" i="17"/>
  <c r="M2300" i="1"/>
  <c r="M2214" i="1"/>
  <c r="M2113" i="1"/>
  <c r="O2110" i="1"/>
  <c r="G1937" i="13"/>
  <c r="O1946" i="1"/>
  <c r="M1161" i="17"/>
  <c r="N1161" i="17"/>
  <c r="N1983" i="1"/>
  <c r="O1983" i="1"/>
  <c r="L2198" i="1"/>
  <c r="G2113" i="13"/>
  <c r="J2113" i="13" s="1"/>
  <c r="K2094" i="1"/>
  <c r="L2175" i="1"/>
  <c r="L2274" i="1"/>
  <c r="G2189" i="13"/>
  <c r="K2170" i="1"/>
  <c r="M2202" i="1"/>
  <c r="M2105" i="1"/>
  <c r="O2098" i="1"/>
  <c r="N2046" i="1"/>
  <c r="K2049" i="1"/>
  <c r="N2049" i="1" s="1"/>
  <c r="J2072" i="13"/>
  <c r="J2075" i="13" s="1"/>
  <c r="G2075" i="13"/>
  <c r="L2278" i="1"/>
  <c r="G2193" i="13"/>
  <c r="J2193" i="13" s="1"/>
  <c r="K2174" i="1"/>
  <c r="K2178" i="1"/>
  <c r="N2178" i="1" s="1"/>
  <c r="M2282" i="1"/>
  <c r="O2178" i="1"/>
  <c r="L1267" i="17"/>
  <c r="L1214" i="17"/>
  <c r="N1156" i="17"/>
  <c r="O2008" i="1"/>
  <c r="N2008" i="1"/>
  <c r="N2038" i="1"/>
  <c r="O2038" i="1"/>
  <c r="L2025" i="1"/>
  <c r="K1290" i="17"/>
  <c r="Q1230" i="17"/>
  <c r="J1230" i="17"/>
  <c r="L2182" i="1"/>
  <c r="L2284" i="1"/>
  <c r="G2199" i="13"/>
  <c r="G2201" i="13" s="1"/>
  <c r="K2180" i="1"/>
  <c r="M2271" i="1"/>
  <c r="M2169" i="1"/>
  <c r="O2167" i="1"/>
  <c r="O1992" i="1"/>
  <c r="N1992" i="1"/>
  <c r="N1185" i="17"/>
  <c r="O2011" i="1"/>
  <c r="J1208" i="17"/>
  <c r="M1208" i="17" s="1"/>
  <c r="K1268" i="17"/>
  <c r="Q1208" i="17"/>
  <c r="J2083" i="13"/>
  <c r="I1592" i="16"/>
  <c r="F1674" i="16"/>
  <c r="I1674" i="16" s="1"/>
  <c r="F1671" i="16"/>
  <c r="I1671" i="16" s="1"/>
  <c r="I1589" i="16"/>
  <c r="I1635" i="16"/>
  <c r="F1718" i="16"/>
  <c r="I1718" i="16" s="1"/>
  <c r="I1593" i="16"/>
  <c r="F1675" i="16"/>
  <c r="I1675" i="16" s="1"/>
  <c r="I1565" i="16"/>
  <c r="F1668" i="16"/>
  <c r="I1668" i="16" s="1"/>
  <c r="I1586" i="16"/>
  <c r="F1665" i="16"/>
  <c r="I1665" i="16" s="1"/>
  <c r="I1583" i="16"/>
  <c r="F1682" i="16"/>
  <c r="I1682" i="16" s="1"/>
  <c r="I1600" i="16"/>
  <c r="I1621" i="16"/>
  <c r="F1703" i="16"/>
  <c r="I1703" i="16" s="1"/>
  <c r="I1585" i="16"/>
  <c r="F1667" i="16"/>
  <c r="I1667" i="16" s="1"/>
  <c r="I1517" i="16"/>
  <c r="I1602" i="16"/>
  <c r="F1684" i="16"/>
  <c r="I1684" i="16" s="1"/>
  <c r="F1713" i="16"/>
  <c r="I1713" i="16" s="1"/>
  <c r="I1630" i="16"/>
  <c r="I1614" i="16"/>
  <c r="F1696" i="16"/>
  <c r="I1696" i="16" s="1"/>
  <c r="F1712" i="16"/>
  <c r="I1712" i="16" s="1"/>
  <c r="I1629" i="16"/>
  <c r="I1615" i="16"/>
  <c r="F1697" i="16"/>
  <c r="I1697" i="16" s="1"/>
  <c r="F1730" i="16"/>
  <c r="I1730" i="16" s="1"/>
  <c r="I1646" i="16"/>
  <c r="I1577" i="16"/>
  <c r="F1659" i="16"/>
  <c r="I1659" i="16" s="1"/>
  <c r="I1640" i="16"/>
  <c r="F1723" i="16"/>
  <c r="I1723" i="16" s="1"/>
  <c r="I1597" i="16"/>
  <c r="F1679" i="16"/>
  <c r="I1679" i="16" s="1"/>
  <c r="I1441" i="16"/>
  <c r="I1486" i="16" s="1"/>
  <c r="I1625" i="16"/>
  <c r="F1708" i="16"/>
  <c r="I1708" i="16" s="1"/>
  <c r="I1643" i="16"/>
  <c r="F1726" i="16"/>
  <c r="I1726" i="16" s="1"/>
  <c r="I1611" i="16"/>
  <c r="F1693" i="16"/>
  <c r="I1693" i="16" s="1"/>
  <c r="F1724" i="16"/>
  <c r="I1724" i="16" s="1"/>
  <c r="I1641" i="16"/>
  <c r="F1691" i="16"/>
  <c r="I1691" i="16" s="1"/>
  <c r="I1609" i="16"/>
  <c r="I1505" i="16"/>
  <c r="I1628" i="16"/>
  <c r="F1711" i="16"/>
  <c r="I1711" i="16" s="1"/>
  <c r="F1728" i="16"/>
  <c r="I1728" i="16" s="1"/>
  <c r="I1645" i="16"/>
  <c r="I1619" i="16"/>
  <c r="F1701" i="16"/>
  <c r="I1701" i="16" s="1"/>
  <c r="F1676" i="16"/>
  <c r="I1676" i="16" s="1"/>
  <c r="I1594" i="16"/>
  <c r="I1521" i="16"/>
  <c r="I1618" i="16"/>
  <c r="F1700" i="16"/>
  <c r="I1700" i="16" s="1"/>
  <c r="F1695" i="16"/>
  <c r="I1695" i="16" s="1"/>
  <c r="I1613" i="16"/>
  <c r="I1579" i="16"/>
  <c r="F1661" i="16"/>
  <c r="I1661" i="16" s="1"/>
  <c r="F1664" i="16"/>
  <c r="I1664" i="16" s="1"/>
  <c r="I1582" i="16"/>
  <c r="F1694" i="16"/>
  <c r="I1694" i="16" s="1"/>
  <c r="I1612" i="16"/>
  <c r="F1672" i="16"/>
  <c r="I1672" i="16" s="1"/>
  <c r="I1590" i="16"/>
  <c r="F1706" i="16"/>
  <c r="I1706" i="16" s="1"/>
  <c r="I1624" i="16"/>
  <c r="I1607" i="16"/>
  <c r="F1689" i="16"/>
  <c r="I1689" i="16" s="1"/>
  <c r="I1580" i="16"/>
  <c r="F1662" i="16"/>
  <c r="I1662" i="16" s="1"/>
  <c r="I1608" i="16"/>
  <c r="F1690" i="16"/>
  <c r="I1690" i="16" s="1"/>
  <c r="F1720" i="16"/>
  <c r="I1720" i="16" s="1"/>
  <c r="I1637" i="16"/>
  <c r="I1632" i="16"/>
  <c r="F1715" i="16"/>
  <c r="I1715" i="16" s="1"/>
  <c r="F1683" i="16"/>
  <c r="I1683" i="16" s="1"/>
  <c r="I1601" i="16"/>
  <c r="I1578" i="16"/>
  <c r="F1660" i="16"/>
  <c r="I1660" i="16" s="1"/>
  <c r="F1716" i="16"/>
  <c r="I1716" i="16" s="1"/>
  <c r="I1633" i="16"/>
  <c r="I1636" i="16"/>
  <c r="F1719" i="16"/>
  <c r="I1719" i="16" s="1"/>
  <c r="I1606" i="16"/>
  <c r="F1688" i="16"/>
  <c r="I1688" i="16" s="1"/>
  <c r="I1644" i="16"/>
  <c r="F1727" i="16"/>
  <c r="I1727" i="16" s="1"/>
  <c r="I1576" i="16"/>
  <c r="F1658" i="16"/>
  <c r="I1658" i="16" s="1"/>
  <c r="I1544" i="16"/>
  <c r="I1591" i="16"/>
  <c r="F1673" i="16"/>
  <c r="I1673" i="16" s="1"/>
  <c r="F1698" i="16"/>
  <c r="I1698" i="16" s="1"/>
  <c r="I1616" i="16"/>
  <c r="F1699" i="16"/>
  <c r="I1699" i="16" s="1"/>
  <c r="I1617" i="16"/>
  <c r="I1639" i="16"/>
  <c r="F1722" i="16"/>
  <c r="I1722" i="16" s="1"/>
  <c r="F1680" i="16"/>
  <c r="I1680" i="16" s="1"/>
  <c r="I1598" i="16"/>
  <c r="F1721" i="16"/>
  <c r="I1721" i="16" s="1"/>
  <c r="I1638" i="16"/>
  <c r="F1657" i="16"/>
  <c r="I1657" i="16" s="1"/>
  <c r="I1575" i="16"/>
  <c r="I1622" i="16"/>
  <c r="F1704" i="16"/>
  <c r="I1704" i="16" s="1"/>
  <c r="I1595" i="16"/>
  <c r="F1677" i="16"/>
  <c r="I1677" i="16" s="1"/>
  <c r="I1631" i="16"/>
  <c r="F1714" i="16"/>
  <c r="I1714" i="16" s="1"/>
  <c r="I1627" i="16"/>
  <c r="F1710" i="16"/>
  <c r="I1710" i="16" s="1"/>
  <c r="F1705" i="16"/>
  <c r="I1705" i="16" s="1"/>
  <c r="I1623" i="16"/>
  <c r="I1581" i="16"/>
  <c r="F1663" i="16"/>
  <c r="I1663" i="16" s="1"/>
  <c r="I1596" i="16"/>
  <c r="F1678" i="16"/>
  <c r="I1678" i="16" s="1"/>
  <c r="I1610" i="16"/>
  <c r="F1692" i="16"/>
  <c r="I1692" i="16" s="1"/>
  <c r="F1717" i="16"/>
  <c r="I1717" i="16" s="1"/>
  <c r="I1634" i="16"/>
  <c r="I1584" i="16"/>
  <c r="F1666" i="16"/>
  <c r="I1666" i="16" s="1"/>
  <c r="F1725" i="16"/>
  <c r="I1725" i="16" s="1"/>
  <c r="I1642" i="16"/>
  <c r="M1143" i="17"/>
  <c r="N1143" i="17"/>
  <c r="Q1203" i="17"/>
  <c r="J1203" i="17"/>
  <c r="M1017" i="17"/>
  <c r="N1017" i="17"/>
  <c r="L1206" i="17"/>
  <c r="K1206" i="17"/>
  <c r="Q1205" i="17"/>
  <c r="J1205" i="17"/>
  <c r="N1205" i="17" s="1"/>
  <c r="N1086" i="17"/>
  <c r="J1095" i="17"/>
  <c r="M1086" i="17"/>
  <c r="L1155" i="17"/>
  <c r="M1035" i="17"/>
  <c r="J1077" i="17"/>
  <c r="N1035" i="17"/>
  <c r="M1145" i="17"/>
  <c r="J1146" i="17"/>
  <c r="N1146" i="17" s="1"/>
  <c r="I36" i="16"/>
  <c r="Q1268" i="17" l="1"/>
  <c r="J1268" i="17"/>
  <c r="M1268" i="17" s="1"/>
  <c r="M2273" i="1"/>
  <c r="M2375" i="1"/>
  <c r="L1274" i="17"/>
  <c r="N2174" i="1"/>
  <c r="O2174" i="1"/>
  <c r="J2189" i="13"/>
  <c r="J2194" i="13" s="1"/>
  <c r="G2194" i="13"/>
  <c r="Q1310" i="17"/>
  <c r="J1310" i="17"/>
  <c r="M1310" i="17" s="1"/>
  <c r="N2111" i="1"/>
  <c r="O2111" i="1"/>
  <c r="M1210" i="17"/>
  <c r="N1210" i="17"/>
  <c r="M1207" i="17"/>
  <c r="J1214" i="17"/>
  <c r="M1214" i="17" s="1"/>
  <c r="Q1280" i="17"/>
  <c r="J1280" i="17"/>
  <c r="Q1273" i="17"/>
  <c r="J1273" i="17"/>
  <c r="M2293" i="1"/>
  <c r="M2297" i="1" s="1"/>
  <c r="M2193" i="1"/>
  <c r="L2371" i="1"/>
  <c r="G2287" i="13"/>
  <c r="J2287" i="13" s="1"/>
  <c r="K2267" i="1"/>
  <c r="L2380" i="1"/>
  <c r="G2296" i="13"/>
  <c r="J2296" i="13" s="1"/>
  <c r="K2276" i="1"/>
  <c r="L2310" i="1"/>
  <c r="G2226" i="13"/>
  <c r="J2226" i="13" s="1"/>
  <c r="K2206" i="1"/>
  <c r="N2181" i="1"/>
  <c r="O2181" i="1"/>
  <c r="L1275" i="17"/>
  <c r="L2386" i="1"/>
  <c r="G2302" i="13"/>
  <c r="J2302" i="13" s="1"/>
  <c r="K2282" i="1"/>
  <c r="N2282" i="1" s="1"/>
  <c r="M2052" i="1"/>
  <c r="M2053" i="1" s="1"/>
  <c r="K2140" i="1"/>
  <c r="N2131" i="1"/>
  <c r="K2241" i="1"/>
  <c r="O2241" i="1" s="1"/>
  <c r="L2345" i="1"/>
  <c r="G2261" i="13"/>
  <c r="J2261" i="13" s="1"/>
  <c r="K2195" i="1"/>
  <c r="L2299" i="1"/>
  <c r="G2215" i="13"/>
  <c r="J2215" i="13" s="1"/>
  <c r="L2384" i="1"/>
  <c r="K2280" i="1"/>
  <c r="G2300" i="13"/>
  <c r="L2283" i="1"/>
  <c r="N1833" i="1"/>
  <c r="K1844" i="1"/>
  <c r="M1845" i="1"/>
  <c r="M1873" i="1" s="1"/>
  <c r="J2186" i="13"/>
  <c r="J2188" i="13" s="1"/>
  <c r="G2188" i="13"/>
  <c r="O2151" i="1"/>
  <c r="N2151" i="1"/>
  <c r="L2318" i="1"/>
  <c r="G2234" i="13"/>
  <c r="K2214" i="1"/>
  <c r="L2217" i="1"/>
  <c r="L2334" i="1"/>
  <c r="G2250" i="13"/>
  <c r="J2250" i="13" s="1"/>
  <c r="K2230" i="1"/>
  <c r="M2279" i="1"/>
  <c r="M2378" i="1"/>
  <c r="O2274" i="1"/>
  <c r="N2168" i="1"/>
  <c r="O2168" i="1"/>
  <c r="L1283" i="17"/>
  <c r="N1276" i="17"/>
  <c r="L2183" i="1"/>
  <c r="L2184" i="1" s="1"/>
  <c r="M1247" i="17"/>
  <c r="N1247" i="17"/>
  <c r="M1216" i="17"/>
  <c r="J2165" i="13"/>
  <c r="J2168" i="13" s="1"/>
  <c r="G2168" i="13"/>
  <c r="G2173" i="13" s="1"/>
  <c r="N1236" i="17"/>
  <c r="M1236" i="17"/>
  <c r="N2162" i="1"/>
  <c r="K2166" i="1"/>
  <c r="O2162" i="1"/>
  <c r="K2182" i="1"/>
  <c r="N2182" i="1" s="1"/>
  <c r="N2180" i="1"/>
  <c r="M1230" i="17"/>
  <c r="J1255" i="17"/>
  <c r="M1255" i="17" s="1"/>
  <c r="N1230" i="17"/>
  <c r="M2306" i="1"/>
  <c r="M2209" i="1"/>
  <c r="K2274" i="1"/>
  <c r="N2274" i="1" s="1"/>
  <c r="L2378" i="1"/>
  <c r="G2294" i="13"/>
  <c r="L2279" i="1"/>
  <c r="L2302" i="1"/>
  <c r="G2218" i="13"/>
  <c r="J2218" i="13" s="1"/>
  <c r="K2198" i="1"/>
  <c r="O2113" i="1"/>
  <c r="N2124" i="1"/>
  <c r="O2124" i="1"/>
  <c r="Q1270" i="17"/>
  <c r="J1270" i="17"/>
  <c r="Q1267" i="17"/>
  <c r="J1267" i="17"/>
  <c r="K1274" i="17"/>
  <c r="G16" i="15" s="1"/>
  <c r="N1141" i="17"/>
  <c r="M1141" i="17"/>
  <c r="M1213" i="17"/>
  <c r="N1213" i="17"/>
  <c r="O2163" i="1"/>
  <c r="N2163" i="1"/>
  <c r="L2308" i="1"/>
  <c r="G2224" i="13"/>
  <c r="J2224" i="13" s="1"/>
  <c r="K2204" i="1"/>
  <c r="N2102" i="1"/>
  <c r="O2102" i="1"/>
  <c r="M2183" i="1"/>
  <c r="K2277" i="1"/>
  <c r="L2381" i="1"/>
  <c r="G2297" i="13"/>
  <c r="J2297" i="13" s="1"/>
  <c r="N2148" i="1"/>
  <c r="O2148" i="1"/>
  <c r="O1833" i="1"/>
  <c r="L2273" i="1"/>
  <c r="L2375" i="1"/>
  <c r="G2291" i="13"/>
  <c r="J2291" i="13" s="1"/>
  <c r="K2271" i="1"/>
  <c r="K2259" i="1"/>
  <c r="L2363" i="1"/>
  <c r="G2279" i="13"/>
  <c r="J2279" i="13" s="1"/>
  <c r="M2026" i="1"/>
  <c r="O2144" i="1"/>
  <c r="O2088" i="1"/>
  <c r="N2088" i="1"/>
  <c r="L2227" i="1"/>
  <c r="G2142" i="13"/>
  <c r="J2142" i="13" s="1"/>
  <c r="K2123" i="1"/>
  <c r="L2376" i="1"/>
  <c r="G2292" i="13"/>
  <c r="K2272" i="1"/>
  <c r="L1224" i="17"/>
  <c r="N2158" i="1"/>
  <c r="K2161" i="1"/>
  <c r="Q1307" i="17"/>
  <c r="J1307" i="17"/>
  <c r="Q1276" i="17"/>
  <c r="J1276" i="17"/>
  <c r="L2354" i="1"/>
  <c r="G2270" i="13"/>
  <c r="L2253" i="1"/>
  <c r="K2250" i="1"/>
  <c r="Q1296" i="17"/>
  <c r="J1296" i="17"/>
  <c r="J2181" i="13"/>
  <c r="J2185" i="13" s="1"/>
  <c r="G2185" i="13"/>
  <c r="G2108" i="13"/>
  <c r="J2104" i="13"/>
  <c r="J2108" i="13" s="1"/>
  <c r="K2207" i="1"/>
  <c r="L2311" i="1"/>
  <c r="G2227" i="13"/>
  <c r="J2227" i="13" s="1"/>
  <c r="K2231" i="1"/>
  <c r="L2335" i="1"/>
  <c r="G2251" i="13"/>
  <c r="J2251" i="13" s="1"/>
  <c r="M2388" i="1"/>
  <c r="M2286" i="1"/>
  <c r="Q1308" i="17"/>
  <c r="J1308" i="17"/>
  <c r="K1906" i="1"/>
  <c r="M1246" i="17"/>
  <c r="N1246" i="17"/>
  <c r="K2025" i="1"/>
  <c r="N2025" i="1" s="1"/>
  <c r="N2015" i="1"/>
  <c r="N2112" i="1"/>
  <c r="O2112" i="1"/>
  <c r="K2203" i="1"/>
  <c r="L2307" i="1"/>
  <c r="G2223" i="13"/>
  <c r="J2223" i="13" s="1"/>
  <c r="N1310" i="17"/>
  <c r="Q1312" i="17"/>
  <c r="J1312" i="17"/>
  <c r="L2294" i="1"/>
  <c r="K2190" i="1"/>
  <c r="G2210" i="13"/>
  <c r="J2210" i="13" s="1"/>
  <c r="L2026" i="1"/>
  <c r="L2081" i="1" s="1"/>
  <c r="N2120" i="1"/>
  <c r="K2128" i="1"/>
  <c r="N2128" i="1" s="1"/>
  <c r="L2379" i="1"/>
  <c r="G2295" i="13"/>
  <c r="J2295" i="13" s="1"/>
  <c r="K2275" i="1"/>
  <c r="N2212" i="1"/>
  <c r="O2212" i="1"/>
  <c r="N2147" i="1"/>
  <c r="O2147" i="1"/>
  <c r="J2059" i="13"/>
  <c r="J2070" i="13" s="1"/>
  <c r="J2071" i="13" s="1"/>
  <c r="N2101" i="1"/>
  <c r="O2101" i="1"/>
  <c r="N2150" i="1"/>
  <c r="K2153" i="1"/>
  <c r="Q1281" i="17"/>
  <c r="J1281" i="17"/>
  <c r="M1044" i="17"/>
  <c r="N1044" i="17"/>
  <c r="N2141" i="1"/>
  <c r="K2144" i="1"/>
  <c r="N2144" i="1" s="1"/>
  <c r="M1218" i="17"/>
  <c r="N1218" i="17"/>
  <c r="N1985" i="1"/>
  <c r="N2092" i="1"/>
  <c r="O2092" i="1"/>
  <c r="G2219" i="13"/>
  <c r="J2219" i="13" s="1"/>
  <c r="L2303" i="1"/>
  <c r="K2199" i="1"/>
  <c r="N1311" i="17"/>
  <c r="J1302" i="17"/>
  <c r="M1302" i="17" s="1"/>
  <c r="Q1302" i="17"/>
  <c r="L2372" i="1"/>
  <c r="G2288" i="13"/>
  <c r="J2288" i="13" s="1"/>
  <c r="K2268" i="1"/>
  <c r="N2139" i="1"/>
  <c r="O2139" i="1"/>
  <c r="L2324" i="1"/>
  <c r="G2240" i="13"/>
  <c r="J2240" i="13" s="1"/>
  <c r="K2220" i="1"/>
  <c r="N1212" i="17"/>
  <c r="O2015" i="1"/>
  <c r="K2229" i="1"/>
  <c r="L2333" i="1"/>
  <c r="G2249" i="13"/>
  <c r="J2249" i="13" s="1"/>
  <c r="Q1288" i="17"/>
  <c r="J1288" i="17"/>
  <c r="O1937" i="1"/>
  <c r="N1937" i="1"/>
  <c r="K1948" i="1"/>
  <c r="J1285" i="17"/>
  <c r="Q1285" i="17"/>
  <c r="K1315" i="17"/>
  <c r="K1316" i="17" s="1"/>
  <c r="G22" i="15" s="1"/>
  <c r="Q1277" i="17"/>
  <c r="J1277" i="17"/>
  <c r="M1277" i="17" s="1"/>
  <c r="L2210" i="1"/>
  <c r="G2125" i="13"/>
  <c r="K2106" i="1"/>
  <c r="L2109" i="1"/>
  <c r="M1202" i="17"/>
  <c r="N1202" i="17"/>
  <c r="N2090" i="1"/>
  <c r="K2097" i="1"/>
  <c r="O2090" i="1"/>
  <c r="N1195" i="17"/>
  <c r="M1195" i="17"/>
  <c r="J2134" i="13"/>
  <c r="J2138" i="13" s="1"/>
  <c r="G2138" i="13"/>
  <c r="L2350" i="1"/>
  <c r="G2266" i="13"/>
  <c r="J2266" i="13" s="1"/>
  <c r="K2246" i="1"/>
  <c r="J2097" i="13"/>
  <c r="J2098" i="13" s="1"/>
  <c r="N1207" i="17"/>
  <c r="M2386" i="1"/>
  <c r="O2282" i="1"/>
  <c r="L2382" i="1"/>
  <c r="G2298" i="13"/>
  <c r="J2298" i="13" s="1"/>
  <c r="K2278" i="1"/>
  <c r="J1196" i="17"/>
  <c r="M2217" i="1"/>
  <c r="M2318" i="1"/>
  <c r="G2028" i="13"/>
  <c r="K1261" i="17"/>
  <c r="Q1201" i="17"/>
  <c r="J1201" i="17"/>
  <c r="N2143" i="1"/>
  <c r="O2143" i="1"/>
  <c r="N2172" i="1"/>
  <c r="O2172" i="1"/>
  <c r="O2158" i="1"/>
  <c r="O1975" i="1"/>
  <c r="O1976" i="1" s="1"/>
  <c r="N1975" i="1"/>
  <c r="N1976" i="1" s="1"/>
  <c r="K1976" i="1"/>
  <c r="N1297" i="17"/>
  <c r="J2150" i="13"/>
  <c r="J2159" i="13" s="1"/>
  <c r="G2159" i="13"/>
  <c r="G2164" i="13" s="1"/>
  <c r="L2265" i="1"/>
  <c r="L2367" i="1"/>
  <c r="G2283" i="13"/>
  <c r="J2283" i="13" s="1"/>
  <c r="K2263" i="1"/>
  <c r="N2173" i="1"/>
  <c r="O2173" i="1"/>
  <c r="K2269" i="1"/>
  <c r="L2373" i="1"/>
  <c r="G2289" i="13"/>
  <c r="J2289" i="13" s="1"/>
  <c r="N2091" i="1"/>
  <c r="O2091" i="1"/>
  <c r="K2179" i="1"/>
  <c r="N2179" i="1" s="1"/>
  <c r="N2176" i="1"/>
  <c r="Q1311" i="17"/>
  <c r="J1311" i="17"/>
  <c r="M1311" i="17" s="1"/>
  <c r="M1227" i="17"/>
  <c r="N1227" i="17"/>
  <c r="M1263" i="17"/>
  <c r="N1263" i="17"/>
  <c r="N2167" i="1"/>
  <c r="K2169" i="1"/>
  <c r="N2169" i="1" s="1"/>
  <c r="N2155" i="1"/>
  <c r="O2155" i="1"/>
  <c r="L2257" i="1"/>
  <c r="L2359" i="1"/>
  <c r="G2275" i="13"/>
  <c r="J2275" i="13" s="1"/>
  <c r="K2255" i="1"/>
  <c r="N2110" i="1"/>
  <c r="K2113" i="1"/>
  <c r="N2113" i="1" s="1"/>
  <c r="N2126" i="1"/>
  <c r="O2126" i="1"/>
  <c r="O1985" i="1"/>
  <c r="M2349" i="1"/>
  <c r="M2248" i="1"/>
  <c r="J1293" i="17"/>
  <c r="M1293" i="17" s="1"/>
  <c r="Q1293" i="17"/>
  <c r="M2283" i="1"/>
  <c r="M2384" i="1"/>
  <c r="M2387" i="1" s="1"/>
  <c r="J2177" i="13"/>
  <c r="J2180" i="13" s="1"/>
  <c r="J2202" i="13" s="1"/>
  <c r="J2203" i="13" s="1"/>
  <c r="G2180" i="13"/>
  <c r="L2330" i="1"/>
  <c r="G2246" i="13"/>
  <c r="J2246" i="13" s="1"/>
  <c r="K2226" i="1"/>
  <c r="N2146" i="1"/>
  <c r="K2149" i="1"/>
  <c r="L2370" i="1"/>
  <c r="G2286" i="13"/>
  <c r="K2266" i="1"/>
  <c r="L2270" i="1"/>
  <c r="K2189" i="1"/>
  <c r="O2189" i="1" s="1"/>
  <c r="L2293" i="1"/>
  <c r="G2209" i="13"/>
  <c r="L2193" i="1"/>
  <c r="O2149" i="1"/>
  <c r="M2154" i="1"/>
  <c r="N2127" i="1"/>
  <c r="O2127" i="1"/>
  <c r="Q1271" i="17"/>
  <c r="J1271" i="17"/>
  <c r="M1271" i="17" s="1"/>
  <c r="N1226" i="17"/>
  <c r="L2304" i="1"/>
  <c r="G2220" i="13"/>
  <c r="J2220" i="13" s="1"/>
  <c r="K2200" i="1"/>
  <c r="M1304" i="17"/>
  <c r="N1304" i="17"/>
  <c r="N1240" i="17"/>
  <c r="M1240" i="17"/>
  <c r="N2099" i="1"/>
  <c r="O2099" i="1"/>
  <c r="M1949" i="1"/>
  <c r="M1977" i="1" s="1"/>
  <c r="O1948" i="1"/>
  <c r="O1949" i="1" s="1"/>
  <c r="M1159" i="17"/>
  <c r="N1159" i="17"/>
  <c r="N1250" i="17"/>
  <c r="Q1269" i="17"/>
  <c r="J1269" i="17"/>
  <c r="Q1313" i="17"/>
  <c r="J1313" i="17"/>
  <c r="M1313" i="17" s="1"/>
  <c r="J1163" i="17"/>
  <c r="M2358" i="1"/>
  <c r="M2257" i="1"/>
  <c r="N2045" i="1"/>
  <c r="K2050" i="1"/>
  <c r="N2062" i="1"/>
  <c r="O2062" i="1"/>
  <c r="J1314" i="17"/>
  <c r="M1314" i="17" s="1"/>
  <c r="Q1314" i="17"/>
  <c r="N2086" i="1"/>
  <c r="O2086" i="1"/>
  <c r="L2128" i="1"/>
  <c r="L2129" i="1" s="1"/>
  <c r="O2171" i="1"/>
  <c r="N2171" i="1"/>
  <c r="L2360" i="1"/>
  <c r="K2256" i="1"/>
  <c r="G2276" i="13"/>
  <c r="J2276" i="13" s="1"/>
  <c r="O1901" i="1"/>
  <c r="N1714" i="1"/>
  <c r="O1714" i="1"/>
  <c r="L1256" i="17"/>
  <c r="N1255" i="17"/>
  <c r="N1277" i="17"/>
  <c r="K2191" i="1"/>
  <c r="L2295" i="1"/>
  <c r="G2211" i="13"/>
  <c r="J2211" i="13" s="1"/>
  <c r="N1313" i="17"/>
  <c r="K2237" i="1"/>
  <c r="O2237" i="1" s="1"/>
  <c r="L2341" i="1"/>
  <c r="G2257" i="13"/>
  <c r="J2257" i="13" s="1"/>
  <c r="N2132" i="1"/>
  <c r="O2132" i="1"/>
  <c r="N1242" i="17"/>
  <c r="Q1282" i="17"/>
  <c r="J1282" i="17"/>
  <c r="M1282" i="17" s="1"/>
  <c r="N2117" i="1"/>
  <c r="O2117" i="1"/>
  <c r="K2240" i="1"/>
  <c r="O2240" i="1" s="1"/>
  <c r="L2344" i="1"/>
  <c r="G2260" i="13"/>
  <c r="J2260" i="13" s="1"/>
  <c r="N2125" i="1"/>
  <c r="O2125" i="1"/>
  <c r="K2197" i="1"/>
  <c r="L2301" i="1"/>
  <c r="G2217" i="13"/>
  <c r="J2217" i="13" s="1"/>
  <c r="L2368" i="1"/>
  <c r="K2264" i="1"/>
  <c r="G2284" i="13"/>
  <c r="J2284" i="13" s="1"/>
  <c r="J1994" i="13"/>
  <c r="M1225" i="17"/>
  <c r="N1225" i="17"/>
  <c r="J2117" i="13"/>
  <c r="J2124" i="13" s="1"/>
  <c r="G2124" i="13"/>
  <c r="Q1262" i="17"/>
  <c r="J1262" i="17"/>
  <c r="O2104" i="1"/>
  <c r="N2104" i="1"/>
  <c r="G2116" i="13"/>
  <c r="J2109" i="13"/>
  <c r="J2116" i="13" s="1"/>
  <c r="L2323" i="1"/>
  <c r="G2239" i="13"/>
  <c r="L2223" i="1"/>
  <c r="K2219" i="1"/>
  <c r="Q1214" i="17"/>
  <c r="O2169" i="1"/>
  <c r="L2286" i="1"/>
  <c r="L2388" i="1"/>
  <c r="G2304" i="13"/>
  <c r="K2284" i="1"/>
  <c r="Q1290" i="17"/>
  <c r="J1290" i="17"/>
  <c r="G2097" i="13"/>
  <c r="G2098" i="13" s="1"/>
  <c r="K2175" i="1"/>
  <c r="N2175" i="1" s="1"/>
  <c r="N2170" i="1"/>
  <c r="O2094" i="1"/>
  <c r="N2094" i="1"/>
  <c r="K2215" i="1"/>
  <c r="L2319" i="1"/>
  <c r="G2235" i="13"/>
  <c r="J2235" i="13" s="1"/>
  <c r="L2332" i="1"/>
  <c r="K2228" i="1"/>
  <c r="G2248" i="13"/>
  <c r="J2248" i="13" s="1"/>
  <c r="N1220" i="17"/>
  <c r="O2089" i="1"/>
  <c r="L2351" i="1"/>
  <c r="G2267" i="13"/>
  <c r="J2267" i="13" s="1"/>
  <c r="K2247" i="1"/>
  <c r="O2100" i="1"/>
  <c r="N2100" i="1"/>
  <c r="K2285" i="1"/>
  <c r="L2389" i="1"/>
  <c r="G2305" i="13"/>
  <c r="M2366" i="1"/>
  <c r="M2265" i="1"/>
  <c r="L2339" i="1"/>
  <c r="G2255" i="13"/>
  <c r="L2244" i="1"/>
  <c r="K2235" i="1"/>
  <c r="N2159" i="1"/>
  <c r="O2159" i="1"/>
  <c r="N2165" i="1"/>
  <c r="O2165" i="1"/>
  <c r="O2078" i="1"/>
  <c r="J2195" i="13"/>
  <c r="J2198" i="13" s="1"/>
  <c r="G2198" i="13"/>
  <c r="M2210" i="1"/>
  <c r="M2109" i="1"/>
  <c r="M2114" i="1" s="1"/>
  <c r="M2130" i="1" s="1"/>
  <c r="Q1287" i="17"/>
  <c r="J1287" i="17"/>
  <c r="J1272" i="17"/>
  <c r="M1272" i="17" s="1"/>
  <c r="Q1272" i="17"/>
  <c r="G2272" i="13"/>
  <c r="J2272" i="13" s="1"/>
  <c r="L2356" i="1"/>
  <c r="K2252" i="1"/>
  <c r="J2129" i="13"/>
  <c r="J2132" i="13" s="1"/>
  <c r="G2132" i="13"/>
  <c r="G2042" i="13"/>
  <c r="L2296" i="1"/>
  <c r="G2212" i="13"/>
  <c r="J2212" i="13" s="1"/>
  <c r="K2192" i="1"/>
  <c r="N2019" i="1"/>
  <c r="O2019" i="1"/>
  <c r="O2170" i="1"/>
  <c r="N1216" i="17"/>
  <c r="L2366" i="1"/>
  <c r="G2282" i="13"/>
  <c r="K2262" i="1"/>
  <c r="N1211" i="17"/>
  <c r="N2122" i="1"/>
  <c r="O2122" i="1"/>
  <c r="O2049" i="1"/>
  <c r="L2154" i="1"/>
  <c r="L2156" i="1" s="1"/>
  <c r="L2157" i="1" s="1"/>
  <c r="K2089" i="1"/>
  <c r="N2085" i="1"/>
  <c r="N2103" i="1"/>
  <c r="O2103" i="1"/>
  <c r="O2146" i="1"/>
  <c r="O2180" i="1"/>
  <c r="K2242" i="1"/>
  <c r="O2242" i="1" s="1"/>
  <c r="L2346" i="1"/>
  <c r="G2262" i="13"/>
  <c r="J2262" i="13" s="1"/>
  <c r="L2343" i="1"/>
  <c r="G2259" i="13"/>
  <c r="J2259" i="13" s="1"/>
  <c r="K2239" i="1"/>
  <c r="O2239" i="1" s="1"/>
  <c r="M1235" i="17"/>
  <c r="N1235" i="17"/>
  <c r="Q1255" i="17"/>
  <c r="Q1256" i="17" s="1"/>
  <c r="N1993" i="1"/>
  <c r="O1993" i="1"/>
  <c r="N2096" i="1"/>
  <c r="O2096" i="1"/>
  <c r="Q1300" i="17"/>
  <c r="J1300" i="17"/>
  <c r="L2320" i="1"/>
  <c r="G2236" i="13"/>
  <c r="J2236" i="13" s="1"/>
  <c r="K2216" i="1"/>
  <c r="J1219" i="17"/>
  <c r="J1223" i="17" s="1"/>
  <c r="K1279" i="17"/>
  <c r="K1283" i="17" s="1"/>
  <c r="K1284" i="17" s="1"/>
  <c r="G19" i="15" s="1"/>
  <c r="Q1219" i="17"/>
  <c r="Q1223" i="17" s="1"/>
  <c r="Q1224" i="17" s="1"/>
  <c r="N1208" i="17"/>
  <c r="K2041" i="1"/>
  <c r="N2040" i="1"/>
  <c r="J1301" i="17"/>
  <c r="M1301" i="17" s="1"/>
  <c r="Q1301" i="17"/>
  <c r="J2139" i="13"/>
  <c r="J2147" i="13" s="1"/>
  <c r="M1204" i="17"/>
  <c r="N1204" i="17"/>
  <c r="K2316" i="1"/>
  <c r="G2337" i="13"/>
  <c r="J2337" i="13" s="1"/>
  <c r="K2251" i="1"/>
  <c r="L2355" i="1"/>
  <c r="G2271" i="13"/>
  <c r="J2271" i="13" s="1"/>
  <c r="M2080" i="1"/>
  <c r="K2225" i="1"/>
  <c r="L2329" i="1"/>
  <c r="G2245" i="13"/>
  <c r="J2245" i="13" s="1"/>
  <c r="O2120" i="1"/>
  <c r="O2075" i="1"/>
  <c r="K2205" i="1"/>
  <c r="L2309" i="1"/>
  <c r="G2225" i="13"/>
  <c r="J2225" i="13" s="1"/>
  <c r="N1303" i="17"/>
  <c r="J2169" i="13"/>
  <c r="J2172" i="13" s="1"/>
  <c r="G2172" i="13"/>
  <c r="J1256" i="17"/>
  <c r="M1256" i="17" s="1"/>
  <c r="N2087" i="1"/>
  <c r="O2087" i="1"/>
  <c r="J2160" i="13"/>
  <c r="J2163" i="13" s="1"/>
  <c r="G2163" i="13"/>
  <c r="J1294" i="17"/>
  <c r="M1294" i="17" s="1"/>
  <c r="Q1294" i="17"/>
  <c r="K2222" i="1"/>
  <c r="L2326" i="1"/>
  <c r="G2242" i="13"/>
  <c r="J2242" i="13" s="1"/>
  <c r="J1305" i="17"/>
  <c r="M1305" i="17" s="1"/>
  <c r="Q1305" i="17"/>
  <c r="O2095" i="1"/>
  <c r="N2095" i="1"/>
  <c r="N2164" i="1"/>
  <c r="O2164" i="1"/>
  <c r="N1302" i="17"/>
  <c r="M1232" i="17"/>
  <c r="N1232" i="17"/>
  <c r="N2116" i="1"/>
  <c r="O2116" i="1"/>
  <c r="N1228" i="17"/>
  <c r="M1228" i="17"/>
  <c r="M2235" i="1"/>
  <c r="O2131" i="1"/>
  <c r="M2140" i="1"/>
  <c r="O2140" i="1" s="1"/>
  <c r="N1233" i="17"/>
  <c r="N2002" i="1"/>
  <c r="K2005" i="1"/>
  <c r="N2005" i="1" s="1"/>
  <c r="K2281" i="1"/>
  <c r="L2385" i="1"/>
  <c r="G2301" i="13"/>
  <c r="J2301" i="13" s="1"/>
  <c r="L2209" i="1"/>
  <c r="L2306" i="1"/>
  <c r="G2222" i="13"/>
  <c r="K2202" i="1"/>
  <c r="M2129" i="1"/>
  <c r="L2298" i="1"/>
  <c r="G2214" i="13"/>
  <c r="K2194" i="1"/>
  <c r="L2201" i="1"/>
  <c r="O2115" i="1"/>
  <c r="K2119" i="1"/>
  <c r="O2119" i="1" s="1"/>
  <c r="N2115" i="1"/>
  <c r="N2142" i="1"/>
  <c r="O2142" i="1"/>
  <c r="L2114" i="1"/>
  <c r="M2354" i="1"/>
  <c r="M2357" i="1" s="1"/>
  <c r="M2253" i="1"/>
  <c r="O2250" i="1"/>
  <c r="Q1299" i="17"/>
  <c r="J1299" i="17"/>
  <c r="M1299" i="17" s="1"/>
  <c r="M2305" i="1"/>
  <c r="O2182" i="1"/>
  <c r="N1248" i="17"/>
  <c r="M1248" i="17"/>
  <c r="Q1295" i="17"/>
  <c r="J1295" i="17"/>
  <c r="J1306" i="17"/>
  <c r="Q1306" i="17"/>
  <c r="O2065" i="1"/>
  <c r="N1154" i="17"/>
  <c r="K2079" i="1"/>
  <c r="O2079" i="1" s="1"/>
  <c r="O2080" i="1" s="1"/>
  <c r="N2057" i="1"/>
  <c r="M1209" i="17"/>
  <c r="N1209" i="17"/>
  <c r="N1268" i="17"/>
  <c r="N1252" i="17"/>
  <c r="M1252" i="17"/>
  <c r="L2328" i="1"/>
  <c r="K2224" i="1"/>
  <c r="G2244" i="13"/>
  <c r="Q1264" i="17"/>
  <c r="J1264" i="17"/>
  <c r="N2152" i="1"/>
  <c r="O2152" i="1"/>
  <c r="O2057" i="1"/>
  <c r="N2121" i="1"/>
  <c r="O2121" i="1"/>
  <c r="M1298" i="17"/>
  <c r="N1298" i="17"/>
  <c r="G2059" i="13"/>
  <c r="G2070" i="13" s="1"/>
  <c r="G2071" i="13" s="1"/>
  <c r="M2328" i="1"/>
  <c r="M2336" i="1" s="1"/>
  <c r="M2232" i="1"/>
  <c r="K2238" i="1"/>
  <c r="O2238" i="1" s="1"/>
  <c r="L2342" i="1"/>
  <c r="G2258" i="13"/>
  <c r="J2258" i="13" s="1"/>
  <c r="L2358" i="1"/>
  <c r="G2274" i="13"/>
  <c r="K2254" i="1"/>
  <c r="Q1289" i="17"/>
  <c r="J1289" i="17"/>
  <c r="M1221" i="17"/>
  <c r="N1221" i="17"/>
  <c r="L1315" i="17"/>
  <c r="L2349" i="1"/>
  <c r="G2265" i="13"/>
  <c r="K2245" i="1"/>
  <c r="L2248" i="1"/>
  <c r="Q1278" i="17"/>
  <c r="J1278" i="17"/>
  <c r="O2045" i="1"/>
  <c r="N2118" i="1"/>
  <c r="O2118" i="1"/>
  <c r="L2300" i="1"/>
  <c r="K2196" i="1"/>
  <c r="G2216" i="13"/>
  <c r="J2216" i="13" s="1"/>
  <c r="N1251" i="17"/>
  <c r="L2340" i="1"/>
  <c r="G2256" i="13"/>
  <c r="J2256" i="13" s="1"/>
  <c r="K2236" i="1"/>
  <c r="K2243" i="1"/>
  <c r="L2347" i="1"/>
  <c r="G2263" i="13"/>
  <c r="J2263" i="13" s="1"/>
  <c r="Q1292" i="17"/>
  <c r="J1292" i="17"/>
  <c r="K2221" i="1"/>
  <c r="L2325" i="1"/>
  <c r="G2241" i="13"/>
  <c r="J2241" i="13" s="1"/>
  <c r="G2043" i="13"/>
  <c r="G2044" i="13" s="1"/>
  <c r="N2093" i="1"/>
  <c r="O2093" i="1"/>
  <c r="J1286" i="17"/>
  <c r="M1286" i="17" s="1"/>
  <c r="Q1286" i="17"/>
  <c r="N2160" i="1"/>
  <c r="O2160" i="1"/>
  <c r="N1301" i="17"/>
  <c r="J2020" i="13"/>
  <c r="J2023" i="13" s="1"/>
  <c r="J2028" i="13" s="1"/>
  <c r="J2044" i="13" s="1"/>
  <c r="G2023" i="13"/>
  <c r="O2177" i="1"/>
  <c r="N2177" i="1"/>
  <c r="K2105" i="1"/>
  <c r="N2105" i="1" s="1"/>
  <c r="N2098" i="1"/>
  <c r="O1818" i="1"/>
  <c r="L2312" i="1"/>
  <c r="G2228" i="13"/>
  <c r="J2228" i="13" s="1"/>
  <c r="K2208" i="1"/>
  <c r="M2323" i="1"/>
  <c r="M2223" i="1"/>
  <c r="O2219" i="1"/>
  <c r="I1647" i="16"/>
  <c r="I1669" i="16"/>
  <c r="J15" i="15" s="1"/>
  <c r="I1603" i="16"/>
  <c r="I1681" i="16"/>
  <c r="J16" i="15" s="1"/>
  <c r="I1587" i="16"/>
  <c r="I1685" i="16"/>
  <c r="J17" i="15" s="1"/>
  <c r="I1709" i="16"/>
  <c r="J19" i="15" s="1"/>
  <c r="I1731" i="16"/>
  <c r="J22" i="15" s="1"/>
  <c r="I1626" i="16"/>
  <c r="I1523" i="16"/>
  <c r="I1568" i="16" s="1"/>
  <c r="I1599" i="16"/>
  <c r="Q1206" i="17"/>
  <c r="Q1215" i="17" s="1"/>
  <c r="Q1257" i="17" s="1"/>
  <c r="M1203" i="17"/>
  <c r="N1203" i="17"/>
  <c r="M1095" i="17"/>
  <c r="J1137" i="17"/>
  <c r="N1095" i="17"/>
  <c r="K1215" i="17"/>
  <c r="K1257" i="17" s="1"/>
  <c r="L1197" i="17"/>
  <c r="M1077" i="17"/>
  <c r="N1077" i="17"/>
  <c r="M1205" i="17"/>
  <c r="L1215" i="17"/>
  <c r="M1146" i="17"/>
  <c r="J1155" i="17"/>
  <c r="I40" i="16"/>
  <c r="I52" i="16"/>
  <c r="I17" i="16"/>
  <c r="I35" i="16"/>
  <c r="I54" i="16"/>
  <c r="I53" i="16"/>
  <c r="I34" i="16"/>
  <c r="M1223" i="17" l="1"/>
  <c r="J1224" i="17"/>
  <c r="M1224" i="17" s="1"/>
  <c r="N1223" i="17"/>
  <c r="N2255" i="1"/>
  <c r="O2255" i="1"/>
  <c r="G2175" i="13"/>
  <c r="G2176" i="13" s="1"/>
  <c r="M1201" i="17"/>
  <c r="N1201" i="17"/>
  <c r="N2278" i="1"/>
  <c r="O2278" i="1"/>
  <c r="M1285" i="17"/>
  <c r="N1285" i="17"/>
  <c r="O2220" i="1"/>
  <c r="N2220" i="1"/>
  <c r="N2199" i="1"/>
  <c r="O2199" i="1"/>
  <c r="O2153" i="1"/>
  <c r="N2153" i="1"/>
  <c r="N2190" i="1"/>
  <c r="O2190" i="1"/>
  <c r="M1308" i="17"/>
  <c r="N1308" i="17"/>
  <c r="M1307" i="17"/>
  <c r="N1307" i="17"/>
  <c r="L2331" i="1"/>
  <c r="G2247" i="13"/>
  <c r="J2247" i="13" s="1"/>
  <c r="K2227" i="1"/>
  <c r="M1267" i="17"/>
  <c r="J1274" i="17"/>
  <c r="M1274" i="17" s="1"/>
  <c r="N2198" i="1"/>
  <c r="O2198" i="1"/>
  <c r="J2294" i="13"/>
  <c r="J2299" i="13" s="1"/>
  <c r="G2299" i="13"/>
  <c r="M2313" i="1"/>
  <c r="O2306" i="1"/>
  <c r="J2173" i="13"/>
  <c r="L1284" i="17"/>
  <c r="G2237" i="13"/>
  <c r="J2234" i="13"/>
  <c r="J2237" i="13" s="1"/>
  <c r="K1845" i="1"/>
  <c r="K1873" i="1" s="1"/>
  <c r="N1873" i="1" s="1"/>
  <c r="N1844" i="1"/>
  <c r="N1845" i="1" s="1"/>
  <c r="O2280" i="1"/>
  <c r="K2283" i="1"/>
  <c r="N2283" i="1" s="1"/>
  <c r="N2280" i="1"/>
  <c r="O2195" i="1"/>
  <c r="N2195" i="1"/>
  <c r="G2401" i="13"/>
  <c r="J2401" i="13" s="1"/>
  <c r="K2380" i="1"/>
  <c r="N1267" i="17"/>
  <c r="G2346" i="13"/>
  <c r="J2346" i="13" s="1"/>
  <c r="K2325" i="1"/>
  <c r="N2196" i="1"/>
  <c r="O2196" i="1"/>
  <c r="N2245" i="1"/>
  <c r="K2248" i="1"/>
  <c r="N2248" i="1" s="1"/>
  <c r="N2254" i="1"/>
  <c r="K2257" i="1"/>
  <c r="N2257" i="1" s="1"/>
  <c r="K2342" i="1"/>
  <c r="O2342" i="1" s="1"/>
  <c r="G2363" i="13"/>
  <c r="J2363" i="13" s="1"/>
  <c r="L2232" i="1"/>
  <c r="K2201" i="1"/>
  <c r="N2194" i="1"/>
  <c r="O2194" i="1"/>
  <c r="K2326" i="1"/>
  <c r="G2347" i="13"/>
  <c r="J2347" i="13" s="1"/>
  <c r="N2251" i="1"/>
  <c r="O2251" i="1"/>
  <c r="N2216" i="1"/>
  <c r="O2216" i="1"/>
  <c r="K2346" i="1"/>
  <c r="O2346" i="1" s="1"/>
  <c r="G2367" i="13"/>
  <c r="J2367" i="13" s="1"/>
  <c r="N2089" i="1"/>
  <c r="K2114" i="1"/>
  <c r="G2387" i="13"/>
  <c r="K2366" i="1"/>
  <c r="G2377" i="13"/>
  <c r="J2377" i="13" s="1"/>
  <c r="K2356" i="1"/>
  <c r="M1287" i="17"/>
  <c r="N1287" i="17"/>
  <c r="L2249" i="1"/>
  <c r="L2260" i="1" s="1"/>
  <c r="L2261" i="1" s="1"/>
  <c r="M2287" i="1"/>
  <c r="N2285" i="1"/>
  <c r="O2285" i="1"/>
  <c r="O2247" i="1"/>
  <c r="N2247" i="1"/>
  <c r="G2340" i="13"/>
  <c r="J2340" i="13" s="1"/>
  <c r="K2319" i="1"/>
  <c r="J1315" i="17"/>
  <c r="M1315" i="17" s="1"/>
  <c r="M1290" i="17"/>
  <c r="N1290" i="17"/>
  <c r="L2390" i="1"/>
  <c r="G2409" i="13"/>
  <c r="G2411" i="13" s="1"/>
  <c r="K2388" i="1"/>
  <c r="K2223" i="1"/>
  <c r="N2219" i="1"/>
  <c r="M1262" i="17"/>
  <c r="N1262" i="17"/>
  <c r="N2264" i="1"/>
  <c r="O2264" i="1"/>
  <c r="N2197" i="1"/>
  <c r="O2197" i="1"/>
  <c r="K2341" i="1"/>
  <c r="O2341" i="1" s="1"/>
  <c r="G2362" i="13"/>
  <c r="J2362" i="13" s="1"/>
  <c r="G2316" i="13"/>
  <c r="J2316" i="13" s="1"/>
  <c r="K2295" i="1"/>
  <c r="N1256" i="17"/>
  <c r="O2254" i="1"/>
  <c r="K2304" i="1"/>
  <c r="G2325" i="13"/>
  <c r="J2325" i="13" s="1"/>
  <c r="N2149" i="1"/>
  <c r="K2154" i="1"/>
  <c r="N2154" i="1" s="1"/>
  <c r="K2330" i="1"/>
  <c r="G2351" i="13"/>
  <c r="J2351" i="13" s="1"/>
  <c r="O2283" i="1"/>
  <c r="O2245" i="1"/>
  <c r="N2269" i="1"/>
  <c r="O2269" i="1"/>
  <c r="J2164" i="13"/>
  <c r="J2175" i="13" s="1"/>
  <c r="J2176" i="13" s="1"/>
  <c r="M2321" i="1"/>
  <c r="O2318" i="1"/>
  <c r="K2350" i="1"/>
  <c r="G2371" i="13"/>
  <c r="J2371" i="13" s="1"/>
  <c r="N1282" i="17"/>
  <c r="O2106" i="1"/>
  <c r="K2109" i="1"/>
  <c r="N2109" i="1" s="1"/>
  <c r="N2106" i="1"/>
  <c r="K1949" i="1"/>
  <c r="N1948" i="1"/>
  <c r="N1949" i="1" s="1"/>
  <c r="M1288" i="17"/>
  <c r="N1288" i="17"/>
  <c r="N2229" i="1"/>
  <c r="O2229" i="1"/>
  <c r="G2324" i="13"/>
  <c r="J2324" i="13" s="1"/>
  <c r="K2303" i="1"/>
  <c r="K2279" i="1"/>
  <c r="N2279" i="1" s="1"/>
  <c r="N2275" i="1"/>
  <c r="O2275" i="1"/>
  <c r="K2294" i="1"/>
  <c r="G2315" i="13"/>
  <c r="J2315" i="13" s="1"/>
  <c r="G2332" i="13"/>
  <c r="J2332" i="13" s="1"/>
  <c r="K2311" i="1"/>
  <c r="N2250" i="1"/>
  <c r="K2253" i="1"/>
  <c r="O2175" i="1"/>
  <c r="O2179" i="1"/>
  <c r="M2145" i="1"/>
  <c r="M2156" i="1" s="1"/>
  <c r="K2363" i="1"/>
  <c r="G2384" i="13"/>
  <c r="J2384" i="13" s="1"/>
  <c r="L2377" i="1"/>
  <c r="G2396" i="13"/>
  <c r="K2375" i="1"/>
  <c r="K2378" i="1"/>
  <c r="G2399" i="13"/>
  <c r="L2383" i="1"/>
  <c r="N1271" i="17"/>
  <c r="N1305" i="17"/>
  <c r="M2383" i="1"/>
  <c r="O2378" i="1"/>
  <c r="K2334" i="1"/>
  <c r="G2355" i="13"/>
  <c r="J2355" i="13" s="1"/>
  <c r="L2321" i="1"/>
  <c r="G2339" i="13"/>
  <c r="K2318" i="1"/>
  <c r="G2405" i="13"/>
  <c r="K2384" i="1"/>
  <c r="L2387" i="1"/>
  <c r="N2140" i="1"/>
  <c r="K2145" i="1"/>
  <c r="K2310" i="1"/>
  <c r="G2331" i="13"/>
  <c r="J2331" i="13" s="1"/>
  <c r="N2267" i="1"/>
  <c r="O2267" i="1"/>
  <c r="O2193" i="1"/>
  <c r="N1280" i="17"/>
  <c r="O2105" i="1"/>
  <c r="N1274" i="17"/>
  <c r="M2327" i="1"/>
  <c r="M1292" i="17"/>
  <c r="N1292" i="17"/>
  <c r="N2243" i="1"/>
  <c r="O2243" i="1"/>
  <c r="L2352" i="1"/>
  <c r="G2370" i="13"/>
  <c r="K2349" i="1"/>
  <c r="G2379" i="13"/>
  <c r="K2358" i="1"/>
  <c r="M1264" i="17"/>
  <c r="N1264" i="17"/>
  <c r="N2224" i="1"/>
  <c r="N2079" i="1"/>
  <c r="N2080" i="1" s="1"/>
  <c r="K2080" i="1"/>
  <c r="M1306" i="17"/>
  <c r="N1306" i="17"/>
  <c r="L2305" i="1"/>
  <c r="K2298" i="1"/>
  <c r="G2319" i="13"/>
  <c r="G2229" i="13"/>
  <c r="J2222" i="13"/>
  <c r="J2229" i="13" s="1"/>
  <c r="G2406" i="13"/>
  <c r="J2406" i="13" s="1"/>
  <c r="K2385" i="1"/>
  <c r="N2205" i="1"/>
  <c r="O2205" i="1"/>
  <c r="K2329" i="1"/>
  <c r="G2350" i="13"/>
  <c r="J2350" i="13" s="1"/>
  <c r="N2316" i="1"/>
  <c r="O2316" i="1"/>
  <c r="N2041" i="1"/>
  <c r="K2052" i="1"/>
  <c r="M1219" i="17"/>
  <c r="N1219" i="17"/>
  <c r="K2320" i="1"/>
  <c r="G2341" i="13"/>
  <c r="J2341" i="13" s="1"/>
  <c r="G2364" i="13"/>
  <c r="J2364" i="13" s="1"/>
  <c r="K2343" i="1"/>
  <c r="O2343" i="1" s="1"/>
  <c r="N2262" i="1"/>
  <c r="K2265" i="1"/>
  <c r="O2109" i="1"/>
  <c r="L2348" i="1"/>
  <c r="L2353" i="1" s="1"/>
  <c r="G2360" i="13"/>
  <c r="K2351" i="1"/>
  <c r="G2372" i="13"/>
  <c r="J2372" i="13" s="1"/>
  <c r="K2332" i="1"/>
  <c r="G2353" i="13"/>
  <c r="J2353" i="13" s="1"/>
  <c r="G2099" i="13"/>
  <c r="N2284" i="1"/>
  <c r="K2286" i="1"/>
  <c r="N2286" i="1" s="1"/>
  <c r="J2239" i="13"/>
  <c r="J2243" i="13" s="1"/>
  <c r="G2243" i="13"/>
  <c r="K2360" i="1"/>
  <c r="G2381" i="13"/>
  <c r="J2381" i="13" s="1"/>
  <c r="M1163" i="17"/>
  <c r="J1164" i="17"/>
  <c r="N1163" i="17"/>
  <c r="N2200" i="1"/>
  <c r="O2200" i="1"/>
  <c r="O2154" i="1"/>
  <c r="L2297" i="1"/>
  <c r="G2314" i="13"/>
  <c r="K2293" i="1"/>
  <c r="J2286" i="13"/>
  <c r="J2290" i="13" s="1"/>
  <c r="G2290" i="13"/>
  <c r="N2226" i="1"/>
  <c r="O2226" i="1"/>
  <c r="N1196" i="17"/>
  <c r="M1196" i="17"/>
  <c r="N2246" i="1"/>
  <c r="O2246" i="1"/>
  <c r="J2148" i="13"/>
  <c r="N2097" i="1"/>
  <c r="O2097" i="1"/>
  <c r="L2314" i="1"/>
  <c r="G2230" i="13"/>
  <c r="K2210" i="1"/>
  <c r="L2213" i="1"/>
  <c r="Q1315" i="17"/>
  <c r="Q1316" i="17" s="1"/>
  <c r="H22" i="15" s="1"/>
  <c r="G2400" i="13"/>
  <c r="J2400" i="13" s="1"/>
  <c r="K2379" i="1"/>
  <c r="O2203" i="1"/>
  <c r="N2203" i="1"/>
  <c r="N1906" i="1"/>
  <c r="K1922" i="1"/>
  <c r="O1906" i="1"/>
  <c r="O2284" i="1"/>
  <c r="N2231" i="1"/>
  <c r="O2231" i="1"/>
  <c r="M1296" i="17"/>
  <c r="N1296" i="17"/>
  <c r="J2270" i="13"/>
  <c r="J2273" i="13" s="1"/>
  <c r="J2278" i="13" s="1"/>
  <c r="G2273" i="13"/>
  <c r="G2293" i="13"/>
  <c r="J2292" i="13"/>
  <c r="J2293" i="13" s="1"/>
  <c r="K2273" i="1"/>
  <c r="N2273" i="1" s="1"/>
  <c r="N2271" i="1"/>
  <c r="K2381" i="1"/>
  <c r="G2402" i="13"/>
  <c r="J2402" i="13" s="1"/>
  <c r="M2184" i="1"/>
  <c r="O2183" i="1"/>
  <c r="O2184" i="1" s="1"/>
  <c r="L2287" i="1"/>
  <c r="L2288" i="1" s="1"/>
  <c r="N2166" i="1"/>
  <c r="O2166" i="1"/>
  <c r="N2230" i="1"/>
  <c r="O2230" i="1"/>
  <c r="N2214" i="1"/>
  <c r="K2217" i="1"/>
  <c r="N2217" i="1" s="1"/>
  <c r="O1873" i="1"/>
  <c r="J2300" i="13"/>
  <c r="J2303" i="13" s="1"/>
  <c r="G2303" i="13"/>
  <c r="G2320" i="13"/>
  <c r="J2320" i="13" s="1"/>
  <c r="K2299" i="1"/>
  <c r="O2041" i="1"/>
  <c r="N2206" i="1"/>
  <c r="O2206" i="1"/>
  <c r="K2371" i="1"/>
  <c r="G2392" i="13"/>
  <c r="J2392" i="13" s="1"/>
  <c r="M1273" i="17"/>
  <c r="N1273" i="17"/>
  <c r="M2377" i="1"/>
  <c r="O2375" i="1"/>
  <c r="N2208" i="1"/>
  <c r="O2208" i="1"/>
  <c r="N2236" i="1"/>
  <c r="O2236" i="1"/>
  <c r="L1316" i="17"/>
  <c r="L1317" i="17" s="1"/>
  <c r="O2224" i="1"/>
  <c r="K2328" i="1"/>
  <c r="L2336" i="1"/>
  <c r="G2349" i="13"/>
  <c r="M1295" i="17"/>
  <c r="N1295" i="17"/>
  <c r="L2130" i="1"/>
  <c r="L2185" i="1" s="1"/>
  <c r="L2218" i="1"/>
  <c r="L2234" i="1" s="1"/>
  <c r="O2129" i="1"/>
  <c r="L2313" i="1"/>
  <c r="K2306" i="1"/>
  <c r="G2327" i="13"/>
  <c r="N2281" i="1"/>
  <c r="O2281" i="1"/>
  <c r="N2225" i="1"/>
  <c r="O2225" i="1"/>
  <c r="G2376" i="13"/>
  <c r="J2376" i="13" s="1"/>
  <c r="K2355" i="1"/>
  <c r="N1294" i="17"/>
  <c r="M1300" i="17"/>
  <c r="N1300" i="17"/>
  <c r="J2282" i="13"/>
  <c r="J2285" i="13" s="1"/>
  <c r="G2285" i="13"/>
  <c r="K2296" i="1"/>
  <c r="G2317" i="13"/>
  <c r="J2317" i="13" s="1"/>
  <c r="N2252" i="1"/>
  <c r="O2252" i="1"/>
  <c r="M2213" i="1"/>
  <c r="M2314" i="1"/>
  <c r="K2244" i="1"/>
  <c r="N2235" i="1"/>
  <c r="O2262" i="1"/>
  <c r="K2389" i="1"/>
  <c r="G2410" i="13"/>
  <c r="N1214" i="17"/>
  <c r="G2306" i="13"/>
  <c r="G2307" i="13" s="1"/>
  <c r="G2308" i="13" s="1"/>
  <c r="G2344" i="13"/>
  <c r="L2327" i="1"/>
  <c r="L2337" i="1" s="1"/>
  <c r="D16" i="15" s="1"/>
  <c r="K2323" i="1"/>
  <c r="G2322" i="13"/>
  <c r="J2322" i="13" s="1"/>
  <c r="K2301" i="1"/>
  <c r="O2025" i="1"/>
  <c r="N1272" i="17"/>
  <c r="N2189" i="1"/>
  <c r="K2193" i="1"/>
  <c r="G2391" i="13"/>
  <c r="K2370" i="1"/>
  <c r="L2374" i="1"/>
  <c r="L2391" i="1" s="1"/>
  <c r="L2392" i="1" s="1"/>
  <c r="D22" i="15" s="1"/>
  <c r="K2373" i="1"/>
  <c r="G2394" i="13"/>
  <c r="J2394" i="13" s="1"/>
  <c r="N2263" i="1"/>
  <c r="O2263" i="1"/>
  <c r="O2214" i="1"/>
  <c r="O2386" i="1"/>
  <c r="K2333" i="1"/>
  <c r="G2354" i="13"/>
  <c r="J2354" i="13" s="1"/>
  <c r="G2393" i="13"/>
  <c r="J2393" i="13" s="1"/>
  <c r="K2372" i="1"/>
  <c r="M2390" i="1"/>
  <c r="O2388" i="1"/>
  <c r="G2375" i="13"/>
  <c r="K2354" i="1"/>
  <c r="L2357" i="1"/>
  <c r="L2362" i="1" s="1"/>
  <c r="G2397" i="13"/>
  <c r="J2397" i="13" s="1"/>
  <c r="K2376" i="1"/>
  <c r="N2277" i="1"/>
  <c r="O2277" i="1"/>
  <c r="K2308" i="1"/>
  <c r="G2329" i="13"/>
  <c r="J2329" i="13" s="1"/>
  <c r="J1206" i="17"/>
  <c r="N1206" i="17" s="1"/>
  <c r="M2233" i="1"/>
  <c r="O2223" i="1"/>
  <c r="K2312" i="1"/>
  <c r="G2333" i="13"/>
  <c r="J2333" i="13" s="1"/>
  <c r="N1293" i="17"/>
  <c r="N2221" i="1"/>
  <c r="O2221" i="1"/>
  <c r="G2368" i="13"/>
  <c r="J2368" i="13" s="1"/>
  <c r="K2347" i="1"/>
  <c r="G2361" i="13"/>
  <c r="J2361" i="13" s="1"/>
  <c r="K2340" i="1"/>
  <c r="K2300" i="1"/>
  <c r="G2321" i="13"/>
  <c r="J2321" i="13" s="1"/>
  <c r="M1278" i="17"/>
  <c r="N1278" i="17"/>
  <c r="G2268" i="13"/>
  <c r="J2265" i="13"/>
  <c r="J2268" i="13" s="1"/>
  <c r="J2274" i="13"/>
  <c r="J2277" i="13" s="1"/>
  <c r="G2277" i="13"/>
  <c r="O2128" i="1"/>
  <c r="J2244" i="13"/>
  <c r="M2258" i="1"/>
  <c r="K2129" i="1"/>
  <c r="N2129" i="1" s="1"/>
  <c r="N2119" i="1"/>
  <c r="J2214" i="13"/>
  <c r="J2221" i="13" s="1"/>
  <c r="G2221" i="13"/>
  <c r="O2202" i="1"/>
  <c r="N2202" i="1"/>
  <c r="K2209" i="1"/>
  <c r="N2209" i="1" s="1"/>
  <c r="M2339" i="1"/>
  <c r="M2244" i="1"/>
  <c r="O2235" i="1"/>
  <c r="N2222" i="1"/>
  <c r="O2222" i="1"/>
  <c r="G2330" i="13"/>
  <c r="J2330" i="13" s="1"/>
  <c r="K2309" i="1"/>
  <c r="G2147" i="13"/>
  <c r="G2148" i="13" s="1"/>
  <c r="J1279" i="17"/>
  <c r="Q1279" i="17"/>
  <c r="Q1283" i="17" s="1"/>
  <c r="Q1284" i="17" s="1"/>
  <c r="H19" i="15" s="1"/>
  <c r="J2264" i="13"/>
  <c r="J2269" i="13" s="1"/>
  <c r="N2192" i="1"/>
  <c r="O2192" i="1"/>
  <c r="J2255" i="13"/>
  <c r="G2264" i="13"/>
  <c r="M2369" i="1"/>
  <c r="O2366" i="1"/>
  <c r="N2228" i="1"/>
  <c r="O2228" i="1"/>
  <c r="N2215" i="1"/>
  <c r="O2215" i="1"/>
  <c r="L2233" i="1"/>
  <c r="K2368" i="1"/>
  <c r="G2389" i="13"/>
  <c r="J2389" i="13" s="1"/>
  <c r="K2344" i="1"/>
  <c r="O2344" i="1" s="1"/>
  <c r="G2365" i="13"/>
  <c r="J2365" i="13" s="1"/>
  <c r="N2191" i="1"/>
  <c r="O2191" i="1"/>
  <c r="N2256" i="1"/>
  <c r="O2256" i="1"/>
  <c r="N1299" i="17"/>
  <c r="O2050" i="1"/>
  <c r="N2050" i="1"/>
  <c r="M2361" i="1"/>
  <c r="M1269" i="17"/>
  <c r="N1269" i="17"/>
  <c r="G2213" i="13"/>
  <c r="J2209" i="13"/>
  <c r="J2213" i="13" s="1"/>
  <c r="O2266" i="1"/>
  <c r="N2266" i="1"/>
  <c r="K2270" i="1"/>
  <c r="G2202" i="13"/>
  <c r="G2203" i="13" s="1"/>
  <c r="M2352" i="1"/>
  <c r="O2349" i="1"/>
  <c r="L2361" i="1"/>
  <c r="G2380" i="13"/>
  <c r="J2380" i="13" s="1"/>
  <c r="K2359" i="1"/>
  <c r="O2005" i="1"/>
  <c r="L2369" i="1"/>
  <c r="G2388" i="13"/>
  <c r="J2388" i="13" s="1"/>
  <c r="K2367" i="1"/>
  <c r="N1314" i="17"/>
  <c r="Q1261" i="17"/>
  <c r="Q1266" i="17" s="1"/>
  <c r="J1261" i="17"/>
  <c r="K1266" i="17"/>
  <c r="K2382" i="1"/>
  <c r="G2403" i="13"/>
  <c r="J2403" i="13" s="1"/>
  <c r="J2099" i="13"/>
  <c r="J2125" i="13"/>
  <c r="J2128" i="13" s="1"/>
  <c r="J2133" i="13" s="1"/>
  <c r="J2149" i="13" s="1"/>
  <c r="J2204" i="13" s="1"/>
  <c r="G2128" i="13"/>
  <c r="G2133" i="13" s="1"/>
  <c r="G2149" i="13" s="1"/>
  <c r="G2204" i="13" s="1"/>
  <c r="G2345" i="13"/>
  <c r="J2345" i="13" s="1"/>
  <c r="K2324" i="1"/>
  <c r="N2268" i="1"/>
  <c r="O2268" i="1"/>
  <c r="K2010" i="1"/>
  <c r="M1281" i="17"/>
  <c r="N1281" i="17"/>
  <c r="N1312" i="17"/>
  <c r="M1312" i="17"/>
  <c r="G2328" i="13"/>
  <c r="J2328" i="13" s="1"/>
  <c r="K2307" i="1"/>
  <c r="N1286" i="17"/>
  <c r="O2286" i="1"/>
  <c r="K2335" i="1"/>
  <c r="G2356" i="13"/>
  <c r="J2356" i="13" s="1"/>
  <c r="O2207" i="1"/>
  <c r="N2207" i="1"/>
  <c r="L2258" i="1"/>
  <c r="M1276" i="17"/>
  <c r="J1283" i="17"/>
  <c r="M1283" i="17" s="1"/>
  <c r="N2161" i="1"/>
  <c r="K2183" i="1"/>
  <c r="N2272" i="1"/>
  <c r="O2272" i="1"/>
  <c r="N2123" i="1"/>
  <c r="O2123" i="1"/>
  <c r="N2259" i="1"/>
  <c r="O2259" i="1"/>
  <c r="O2161" i="1"/>
  <c r="N2204" i="1"/>
  <c r="O2204" i="1"/>
  <c r="M1270" i="17"/>
  <c r="N1270" i="17"/>
  <c r="G2323" i="13"/>
  <c r="J2323" i="13" s="1"/>
  <c r="K2302" i="1"/>
  <c r="O1844" i="1"/>
  <c r="O1845" i="1" s="1"/>
  <c r="K2345" i="1"/>
  <c r="O2345" i="1" s="1"/>
  <c r="G2366" i="13"/>
  <c r="J2366" i="13" s="1"/>
  <c r="M2081" i="1"/>
  <c r="G2407" i="13"/>
  <c r="J2407" i="13" s="1"/>
  <c r="K2386" i="1"/>
  <c r="N2386" i="1" s="1"/>
  <c r="N2276" i="1"/>
  <c r="O2276" i="1"/>
  <c r="O2271" i="1"/>
  <c r="Q1274" i="17"/>
  <c r="H16" i="15" s="1"/>
  <c r="I1605" i="16"/>
  <c r="I1650" i="16" s="1"/>
  <c r="I1687" i="16"/>
  <c r="I1734" i="16" s="1"/>
  <c r="L1257" i="17"/>
  <c r="M1155" i="17"/>
  <c r="J1197" i="17"/>
  <c r="M1197" i="17" s="1"/>
  <c r="N1155" i="17"/>
  <c r="M1137" i="17"/>
  <c r="N1137" i="17"/>
  <c r="I20" i="16"/>
  <c r="I19" i="16"/>
  <c r="I33" i="16"/>
  <c r="I76" i="16"/>
  <c r="I18" i="16"/>
  <c r="I31" i="16"/>
  <c r="I55" i="16"/>
  <c r="M2348" i="1" l="1"/>
  <c r="O2258" i="1"/>
  <c r="O2300" i="1"/>
  <c r="N2300" i="1"/>
  <c r="N2360" i="1"/>
  <c r="O2360" i="1"/>
  <c r="N2358" i="1"/>
  <c r="K2361" i="1"/>
  <c r="N2361" i="1" s="1"/>
  <c r="J2339" i="13"/>
  <c r="J2342" i="13" s="1"/>
  <c r="G2342" i="13"/>
  <c r="J2396" i="13"/>
  <c r="J2398" i="13" s="1"/>
  <c r="G2398" i="13"/>
  <c r="N2304" i="1"/>
  <c r="O2304" i="1"/>
  <c r="N2356" i="1"/>
  <c r="O2356" i="1"/>
  <c r="O2227" i="1"/>
  <c r="N2227" i="1"/>
  <c r="O2279" i="1"/>
  <c r="N2368" i="1"/>
  <c r="O2368" i="1"/>
  <c r="G2269" i="13"/>
  <c r="N2312" i="1"/>
  <c r="O2312" i="1"/>
  <c r="O2354" i="1"/>
  <c r="N2354" i="1"/>
  <c r="K2357" i="1"/>
  <c r="O2213" i="1"/>
  <c r="N2296" i="1"/>
  <c r="O2296" i="1"/>
  <c r="J2327" i="13"/>
  <c r="J2334" i="13" s="1"/>
  <c r="G2334" i="13"/>
  <c r="J2349" i="13"/>
  <c r="G2252" i="13"/>
  <c r="N2308" i="1"/>
  <c r="O2308" i="1"/>
  <c r="N2376" i="1"/>
  <c r="O2376" i="1"/>
  <c r="J2375" i="13"/>
  <c r="J2378" i="13" s="1"/>
  <c r="J2383" i="13" s="1"/>
  <c r="G2378" i="13"/>
  <c r="N2373" i="1"/>
  <c r="O2373" i="1"/>
  <c r="J2391" i="13"/>
  <c r="J2395" i="13" s="1"/>
  <c r="G2395" i="13"/>
  <c r="K2249" i="1"/>
  <c r="N2244" i="1"/>
  <c r="N2306" i="1"/>
  <c r="K2313" i="1"/>
  <c r="N2313" i="1" s="1"/>
  <c r="N1315" i="17"/>
  <c r="L2317" i="1"/>
  <c r="L2322" i="1" s="1"/>
  <c r="G2335" i="13"/>
  <c r="K2314" i="1"/>
  <c r="O2293" i="1"/>
  <c r="N2293" i="1"/>
  <c r="K2297" i="1"/>
  <c r="K2339" i="1"/>
  <c r="O2339" i="1" s="1"/>
  <c r="K2287" i="1"/>
  <c r="N2265" i="1"/>
  <c r="O2052" i="1"/>
  <c r="O2053" i="1" s="1"/>
  <c r="K2053" i="1"/>
  <c r="N2052" i="1"/>
  <c r="N2053" i="1" s="1"/>
  <c r="K2387" i="1"/>
  <c r="N2385" i="1"/>
  <c r="O2385" i="1"/>
  <c r="J2319" i="13"/>
  <c r="J2326" i="13" s="1"/>
  <c r="G2326" i="13"/>
  <c r="J1316" i="17"/>
  <c r="M2337" i="1"/>
  <c r="O2145" i="1"/>
  <c r="N2145" i="1"/>
  <c r="K2156" i="1"/>
  <c r="J2405" i="13"/>
  <c r="J2408" i="13" s="1"/>
  <c r="G2408" i="13"/>
  <c r="N2378" i="1"/>
  <c r="K2383" i="1"/>
  <c r="N2383" i="1" s="1"/>
  <c r="N2311" i="1"/>
  <c r="O2311" i="1"/>
  <c r="N2223" i="1"/>
  <c r="K2369" i="1"/>
  <c r="N2366" i="1"/>
  <c r="O2273" i="1"/>
  <c r="G2352" i="13"/>
  <c r="J2352" i="13" s="1"/>
  <c r="K2331" i="1"/>
  <c r="N2010" i="1"/>
  <c r="K2026" i="1"/>
  <c r="O2010" i="1"/>
  <c r="G15" i="15"/>
  <c r="K1275" i="17"/>
  <c r="K1317" i="17" s="1"/>
  <c r="N2367" i="1"/>
  <c r="O2367" i="1"/>
  <c r="N2359" i="1"/>
  <c r="O2359" i="1"/>
  <c r="M2391" i="1"/>
  <c r="M2392" i="1" s="1"/>
  <c r="O2369" i="1"/>
  <c r="N2333" i="1"/>
  <c r="O2333" i="1"/>
  <c r="M2317" i="1"/>
  <c r="O2314" i="1"/>
  <c r="O2377" i="1"/>
  <c r="N2371" i="1"/>
  <c r="O2371" i="1"/>
  <c r="N2299" i="1"/>
  <c r="O2299" i="1"/>
  <c r="N2381" i="1"/>
  <c r="O2381" i="1"/>
  <c r="N1922" i="1"/>
  <c r="O1922" i="1"/>
  <c r="N2379" i="1"/>
  <c r="O2379" i="1"/>
  <c r="K2213" i="1"/>
  <c r="N2213" i="1" s="1"/>
  <c r="N2210" i="1"/>
  <c r="L2364" i="1"/>
  <c r="L2365" i="1" s="1"/>
  <c r="D19" i="15" s="1"/>
  <c r="J2370" i="13"/>
  <c r="J2373" i="13" s="1"/>
  <c r="G2373" i="13"/>
  <c r="M2157" i="1"/>
  <c r="M2185" i="1" s="1"/>
  <c r="O2156" i="1"/>
  <c r="O2157" i="1" s="1"/>
  <c r="N2253" i="1"/>
  <c r="K2258" i="1"/>
  <c r="N2258" i="1" s="1"/>
  <c r="N2330" i="1"/>
  <c r="O2330" i="1"/>
  <c r="M2288" i="1"/>
  <c r="O2287" i="1"/>
  <c r="O2288" i="1" s="1"/>
  <c r="O2114" i="1"/>
  <c r="N2114" i="1"/>
  <c r="K2130" i="1"/>
  <c r="N2201" i="1"/>
  <c r="O2201" i="1"/>
  <c r="N2325" i="1"/>
  <c r="O2325" i="1"/>
  <c r="N2380" i="1"/>
  <c r="O2380" i="1"/>
  <c r="M1261" i="17"/>
  <c r="J1266" i="17"/>
  <c r="N1261" i="17"/>
  <c r="J2280" i="13"/>
  <c r="J2281" i="13" s="1"/>
  <c r="O2253" i="1"/>
  <c r="N2340" i="1"/>
  <c r="O2340" i="1"/>
  <c r="N2372" i="1"/>
  <c r="O2372" i="1"/>
  <c r="O2370" i="1"/>
  <c r="N2370" i="1"/>
  <c r="K2374" i="1"/>
  <c r="K2327" i="1"/>
  <c r="N2323" i="1"/>
  <c r="L2289" i="1"/>
  <c r="J2230" i="13"/>
  <c r="J2233" i="13" s="1"/>
  <c r="J2238" i="13" s="1"/>
  <c r="G2233" i="13"/>
  <c r="G2238" i="13" s="1"/>
  <c r="G2254" i="13" s="1"/>
  <c r="M1164" i="17"/>
  <c r="N1164" i="17"/>
  <c r="G2253" i="13"/>
  <c r="N2351" i="1"/>
  <c r="O2351" i="1"/>
  <c r="M2362" i="1"/>
  <c r="J2379" i="13"/>
  <c r="J2382" i="13" s="1"/>
  <c r="G2382" i="13"/>
  <c r="M2218" i="1"/>
  <c r="N2310" i="1"/>
  <c r="O2310" i="1"/>
  <c r="O2384" i="1"/>
  <c r="N2384" i="1"/>
  <c r="O2383" i="1"/>
  <c r="J2399" i="13"/>
  <c r="J2404" i="13" s="1"/>
  <c r="G2404" i="13"/>
  <c r="O2294" i="1"/>
  <c r="N2294" i="1"/>
  <c r="N2303" i="1"/>
  <c r="O2303" i="1"/>
  <c r="K1977" i="1"/>
  <c r="N2319" i="1"/>
  <c r="O2319" i="1"/>
  <c r="N2326" i="1"/>
  <c r="O2326" i="1"/>
  <c r="N1283" i="17"/>
  <c r="O2313" i="1"/>
  <c r="O2248" i="1"/>
  <c r="M1206" i="17"/>
  <c r="N2302" i="1"/>
  <c r="O2302" i="1"/>
  <c r="N2307" i="1"/>
  <c r="O2307" i="1"/>
  <c r="N2382" i="1"/>
  <c r="O2382" i="1"/>
  <c r="H15" i="15"/>
  <c r="Q1275" i="17"/>
  <c r="Q1317" i="17" s="1"/>
  <c r="N2270" i="1"/>
  <c r="O2270" i="1"/>
  <c r="O2358" i="1"/>
  <c r="N2309" i="1"/>
  <c r="O2309" i="1"/>
  <c r="J1215" i="17"/>
  <c r="K2184" i="1"/>
  <c r="N2183" i="1"/>
  <c r="N2184" i="1" s="1"/>
  <c r="N2335" i="1"/>
  <c r="O2335" i="1"/>
  <c r="N2324" i="1"/>
  <c r="O2324" i="1"/>
  <c r="O2217" i="1"/>
  <c r="M1279" i="17"/>
  <c r="N1279" i="17"/>
  <c r="O2244" i="1"/>
  <c r="M2249" i="1"/>
  <c r="M2260" i="1" s="1"/>
  <c r="J2252" i="13"/>
  <c r="J2253" i="13" s="1"/>
  <c r="N2347" i="1"/>
  <c r="O2347" i="1"/>
  <c r="K2218" i="1"/>
  <c r="N2193" i="1"/>
  <c r="N2301" i="1"/>
  <c r="O2301" i="1"/>
  <c r="J2344" i="13"/>
  <c r="J2348" i="13" s="1"/>
  <c r="G2348" i="13"/>
  <c r="N2389" i="1"/>
  <c r="O2389" i="1"/>
  <c r="O2210" i="1"/>
  <c r="N2355" i="1"/>
  <c r="O2355" i="1"/>
  <c r="O2328" i="1"/>
  <c r="N2328" i="1"/>
  <c r="K2336" i="1"/>
  <c r="O2209" i="1"/>
  <c r="G2278" i="13"/>
  <c r="J2314" i="13"/>
  <c r="J2318" i="13" s="1"/>
  <c r="G2318" i="13"/>
  <c r="O2332" i="1"/>
  <c r="N2332" i="1"/>
  <c r="J2360" i="13"/>
  <c r="J2369" i="13" s="1"/>
  <c r="G2369" i="13"/>
  <c r="G2374" i="13" s="1"/>
  <c r="N2320" i="1"/>
  <c r="O2320" i="1"/>
  <c r="N2329" i="1"/>
  <c r="O2329" i="1"/>
  <c r="N2298" i="1"/>
  <c r="K2305" i="1"/>
  <c r="O2298" i="1"/>
  <c r="K2232" i="1"/>
  <c r="K2352" i="1"/>
  <c r="N2352" i="1" s="1"/>
  <c r="N2349" i="1"/>
  <c r="O2323" i="1"/>
  <c r="J1284" i="17"/>
  <c r="M1284" i="17" s="1"/>
  <c r="N2318" i="1"/>
  <c r="K2321" i="1"/>
  <c r="N2321" i="1" s="1"/>
  <c r="N2334" i="1"/>
  <c r="O2334" i="1"/>
  <c r="N2375" i="1"/>
  <c r="K2377" i="1"/>
  <c r="N2377" i="1" s="1"/>
  <c r="N2363" i="1"/>
  <c r="O2363" i="1"/>
  <c r="N1224" i="17"/>
  <c r="N2350" i="1"/>
  <c r="O2350" i="1"/>
  <c r="N2295" i="1"/>
  <c r="O2295" i="1"/>
  <c r="K2390" i="1"/>
  <c r="N2390" i="1" s="1"/>
  <c r="N2388" i="1"/>
  <c r="O2265" i="1"/>
  <c r="J2387" i="13"/>
  <c r="J2390" i="13" s="1"/>
  <c r="G2390" i="13"/>
  <c r="J2307" i="13"/>
  <c r="J2308" i="13" s="1"/>
  <c r="O2257" i="1"/>
  <c r="N1197" i="17"/>
  <c r="M1215" i="17"/>
  <c r="J1257" i="17"/>
  <c r="M1257" i="17" s="1"/>
  <c r="N1215" i="17"/>
  <c r="I72" i="16"/>
  <c r="I78" i="16"/>
  <c r="I74" i="16"/>
  <c r="I51" i="16"/>
  <c r="I75" i="16"/>
  <c r="I73" i="16"/>
  <c r="I79" i="16"/>
  <c r="I32" i="16"/>
  <c r="L2338" i="1" l="1"/>
  <c r="L2393" i="1" s="1"/>
  <c r="D15" i="15"/>
  <c r="N1977" i="1"/>
  <c r="O1977" i="1"/>
  <c r="J2335" i="13"/>
  <c r="J2338" i="13" s="1"/>
  <c r="G2338" i="13"/>
  <c r="J2374" i="13"/>
  <c r="J2385" i="13" s="1"/>
  <c r="J2386" i="13" s="1"/>
  <c r="I19" i="15" s="1"/>
  <c r="N2218" i="1"/>
  <c r="N2327" i="1"/>
  <c r="K2337" i="1"/>
  <c r="N2337" i="1" s="1"/>
  <c r="M1266" i="17"/>
  <c r="J1275" i="17"/>
  <c r="N1266" i="17"/>
  <c r="N2369" i="1"/>
  <c r="K2391" i="1"/>
  <c r="O2327" i="1"/>
  <c r="J2343" i="13"/>
  <c r="K2288" i="1"/>
  <c r="N2287" i="1"/>
  <c r="N2288" i="1" s="1"/>
  <c r="N2357" i="1"/>
  <c r="K2362" i="1"/>
  <c r="N2362" i="1" s="1"/>
  <c r="O2357" i="1"/>
  <c r="N2232" i="1"/>
  <c r="O2232" i="1"/>
  <c r="N2336" i="1"/>
  <c r="O2336" i="1"/>
  <c r="G2343" i="13"/>
  <c r="N2387" i="1"/>
  <c r="O2387" i="1"/>
  <c r="O2297" i="1"/>
  <c r="N2297" i="1"/>
  <c r="K2322" i="1"/>
  <c r="G2412" i="13"/>
  <c r="G2413" i="13" s="1"/>
  <c r="F22" i="15" s="1"/>
  <c r="N2305" i="1"/>
  <c r="O2305" i="1"/>
  <c r="M2261" i="1"/>
  <c r="O2260" i="1"/>
  <c r="O2261" i="1" s="1"/>
  <c r="J2254" i="13"/>
  <c r="J2309" i="13" s="1"/>
  <c r="N2374" i="1"/>
  <c r="O2374" i="1"/>
  <c r="N2130" i="1"/>
  <c r="O2130" i="1"/>
  <c r="O2390" i="1"/>
  <c r="O2352" i="1"/>
  <c r="N2026" i="1"/>
  <c r="O2026" i="1"/>
  <c r="N1284" i="17"/>
  <c r="K2157" i="1"/>
  <c r="K2185" i="1" s="1"/>
  <c r="N2185" i="1" s="1"/>
  <c r="N2156" i="1"/>
  <c r="N2157" i="1" s="1"/>
  <c r="O2337" i="1"/>
  <c r="K2081" i="1"/>
  <c r="K2348" i="1"/>
  <c r="N2339" i="1"/>
  <c r="O2249" i="1"/>
  <c r="N2249" i="1"/>
  <c r="K2260" i="1"/>
  <c r="G2357" i="13"/>
  <c r="G2358" i="13" s="1"/>
  <c r="F16" i="15" s="1"/>
  <c r="G2280" i="13"/>
  <c r="G2281" i="13" s="1"/>
  <c r="G2309" i="13" s="1"/>
  <c r="M2353" i="1"/>
  <c r="M2364" i="1" s="1"/>
  <c r="O2348" i="1"/>
  <c r="G2385" i="13"/>
  <c r="G2386" i="13" s="1"/>
  <c r="F19" i="15" s="1"/>
  <c r="M2234" i="1"/>
  <c r="O2218" i="1"/>
  <c r="O2185" i="1"/>
  <c r="N2331" i="1"/>
  <c r="O2331" i="1"/>
  <c r="J2412" i="13"/>
  <c r="J2413" i="13" s="1"/>
  <c r="I22" i="15" s="1"/>
  <c r="O2321" i="1"/>
  <c r="O2361" i="1"/>
  <c r="O2317" i="1"/>
  <c r="M2322" i="1"/>
  <c r="K2233" i="1"/>
  <c r="K2234" i="1" s="1"/>
  <c r="N2234" i="1" s="1"/>
  <c r="N1316" i="17"/>
  <c r="M1316" i="17"/>
  <c r="J1317" i="17"/>
  <c r="K2317" i="1"/>
  <c r="N2317" i="1" s="1"/>
  <c r="N2314" i="1"/>
  <c r="G2383" i="13"/>
  <c r="J2357" i="13"/>
  <c r="J2358" i="13" s="1"/>
  <c r="I16" i="15" s="1"/>
  <c r="N1257" i="17"/>
  <c r="I42" i="16"/>
  <c r="I77" i="16"/>
  <c r="I16" i="16"/>
  <c r="I29" i="16" s="1"/>
  <c r="I49" i="16"/>
  <c r="I71" i="16"/>
  <c r="I48" i="16"/>
  <c r="I70" i="16"/>
  <c r="I69" i="16"/>
  <c r="E23" i="15"/>
  <c r="E20" i="15"/>
  <c r="E17" i="15"/>
  <c r="C24" i="15"/>
  <c r="C21" i="15"/>
  <c r="C18" i="15"/>
  <c r="M2338" i="1" l="1"/>
  <c r="O2322" i="1"/>
  <c r="J2359" i="13"/>
  <c r="J2414" i="13" s="1"/>
  <c r="I15" i="15"/>
  <c r="N2260" i="1"/>
  <c r="N2261" i="1" s="1"/>
  <c r="K2261" i="1"/>
  <c r="K2289" i="1" s="1"/>
  <c r="N2289" i="1" s="1"/>
  <c r="N2348" i="1"/>
  <c r="K2353" i="1"/>
  <c r="M2289" i="1"/>
  <c r="N2322" i="1"/>
  <c r="K2338" i="1"/>
  <c r="M1275" i="17"/>
  <c r="N1275" i="17"/>
  <c r="M1317" i="17"/>
  <c r="N1317" i="17"/>
  <c r="O2234" i="1"/>
  <c r="N2081" i="1"/>
  <c r="O2081" i="1"/>
  <c r="M2365" i="1"/>
  <c r="M2393" i="1" s="1"/>
  <c r="G2359" i="13"/>
  <c r="G2414" i="13" s="1"/>
  <c r="F15" i="15"/>
  <c r="O2391" i="1"/>
  <c r="O2392" i="1" s="1"/>
  <c r="K2392" i="1"/>
  <c r="N2391" i="1"/>
  <c r="N2392" i="1" s="1"/>
  <c r="N2233" i="1"/>
  <c r="O2233" i="1"/>
  <c r="O2362" i="1"/>
  <c r="I68" i="16"/>
  <c r="C25" i="15"/>
  <c r="J21" i="15"/>
  <c r="I30" i="16"/>
  <c r="I41" i="16" s="1"/>
  <c r="I45" i="16"/>
  <c r="I89" i="16"/>
  <c r="O2353" i="1" l="1"/>
  <c r="N2353" i="1"/>
  <c r="K2364" i="1"/>
  <c r="O2338" i="1"/>
  <c r="N2338" i="1"/>
  <c r="O2289" i="1"/>
  <c r="J24" i="15"/>
  <c r="I47" i="16"/>
  <c r="J18" i="15"/>
  <c r="N2364" i="1" l="1"/>
  <c r="N2365" i="1" s="1"/>
  <c r="K2365" i="1"/>
  <c r="K2393" i="1" s="1"/>
  <c r="O2364" i="1"/>
  <c r="O2365" i="1" s="1"/>
  <c r="J25" i="15"/>
  <c r="I92" i="16"/>
  <c r="N2393" i="1" l="1"/>
  <c r="O2393" i="1"/>
  <c r="N1052" i="2"/>
  <c r="F1052" i="2"/>
  <c r="N1051" i="2"/>
  <c r="F1051" i="2"/>
  <c r="N1050" i="2"/>
  <c r="F1050" i="2"/>
  <c r="N1049" i="2"/>
  <c r="F1049" i="2"/>
  <c r="N1048" i="2"/>
  <c r="F1048" i="2"/>
  <c r="N1047" i="2"/>
  <c r="F1047" i="2"/>
  <c r="N1046" i="2"/>
  <c r="F1046" i="2"/>
  <c r="N1045" i="2"/>
  <c r="F1045" i="2"/>
  <c r="N1044" i="2"/>
  <c r="F1044" i="2"/>
  <c r="N1043" i="2"/>
  <c r="F1043" i="2"/>
  <c r="N1042" i="2"/>
  <c r="F1042" i="2"/>
  <c r="N1041" i="2"/>
  <c r="F1041" i="2"/>
  <c r="N1040" i="2"/>
  <c r="F1040" i="2"/>
  <c r="N1039" i="2"/>
  <c r="F1039" i="2"/>
  <c r="N1038" i="2"/>
  <c r="F1038" i="2"/>
  <c r="N1037" i="2"/>
  <c r="F1037" i="2"/>
  <c r="N1036" i="2"/>
  <c r="F1036" i="2"/>
  <c r="N1035" i="2"/>
  <c r="F1035" i="2"/>
  <c r="N1034" i="2"/>
  <c r="F1034" i="2"/>
  <c r="N1033" i="2"/>
  <c r="F1033" i="2"/>
  <c r="N1032" i="2"/>
  <c r="F1032" i="2"/>
  <c r="N1031" i="2"/>
  <c r="F1031" i="2"/>
  <c r="N1030" i="2"/>
  <c r="F1030" i="2"/>
  <c r="N1029" i="2"/>
  <c r="F1029" i="2"/>
  <c r="N1028" i="2"/>
  <c r="F1028" i="2"/>
  <c r="N1027" i="2"/>
  <c r="F1027" i="2"/>
  <c r="N1026" i="2"/>
  <c r="F1026" i="2"/>
  <c r="N1025" i="2"/>
  <c r="F1025" i="2"/>
  <c r="N1023" i="2"/>
  <c r="F1023" i="2"/>
  <c r="H1022" i="2"/>
  <c r="G1022" i="2"/>
  <c r="E1022" i="2"/>
  <c r="D1022" i="2"/>
  <c r="N1021" i="2"/>
  <c r="I1021" i="2"/>
  <c r="F1021" i="2"/>
  <c r="N1020" i="2"/>
  <c r="F1020" i="2"/>
  <c r="N1019" i="2"/>
  <c r="F1019" i="2"/>
  <c r="I1019" i="2" s="1"/>
  <c r="N1018" i="2"/>
  <c r="N1022" i="2" s="1"/>
  <c r="F1018" i="2"/>
  <c r="H1017" i="2"/>
  <c r="G1017" i="2"/>
  <c r="E1017" i="2"/>
  <c r="D1017" i="2"/>
  <c r="N1016" i="2"/>
  <c r="F1016" i="2"/>
  <c r="N1015" i="2"/>
  <c r="F1015" i="2"/>
  <c r="N1014" i="2"/>
  <c r="N1017" i="2" s="1"/>
  <c r="F1014" i="2"/>
  <c r="N1013" i="2"/>
  <c r="F1013" i="2"/>
  <c r="N1012" i="2"/>
  <c r="F1012" i="2"/>
  <c r="N1011" i="2"/>
  <c r="F1011" i="2"/>
  <c r="N1010" i="2"/>
  <c r="F1010" i="2"/>
  <c r="H1008" i="2"/>
  <c r="G1008" i="2"/>
  <c r="N1006" i="2"/>
  <c r="F1006" i="2"/>
  <c r="N1005" i="2"/>
  <c r="F1005" i="2"/>
  <c r="F1004" i="2"/>
  <c r="N1003" i="2"/>
  <c r="F1003" i="2"/>
  <c r="H1002" i="2"/>
  <c r="G1002" i="2"/>
  <c r="N1001" i="2"/>
  <c r="F1001" i="2"/>
  <c r="N1000" i="2"/>
  <c r="F1000" i="2"/>
  <c r="N999" i="2"/>
  <c r="F999" i="2"/>
  <c r="N998" i="2"/>
  <c r="F998" i="2"/>
  <c r="N997" i="2"/>
  <c r="F997" i="2"/>
  <c r="N996" i="2"/>
  <c r="F996" i="2"/>
  <c r="N995" i="2"/>
  <c r="F995" i="2"/>
  <c r="F1002" i="2" l="1"/>
  <c r="F1017" i="2"/>
  <c r="F1022" i="2"/>
  <c r="F1008" i="2"/>
  <c r="I1020" i="2"/>
  <c r="N987" i="2" l="1"/>
  <c r="F987" i="2"/>
  <c r="N986" i="2"/>
  <c r="F986" i="2"/>
  <c r="N985" i="2"/>
  <c r="F985" i="2"/>
  <c r="N984" i="2"/>
  <c r="F984" i="2"/>
  <c r="N983" i="2"/>
  <c r="F983" i="2"/>
  <c r="N982" i="2"/>
  <c r="F982" i="2"/>
  <c r="N981" i="2"/>
  <c r="F981" i="2"/>
  <c r="N980" i="2"/>
  <c r="F980" i="2"/>
  <c r="N979" i="2"/>
  <c r="F979" i="2"/>
  <c r="N978" i="2"/>
  <c r="F978" i="2"/>
  <c r="N977" i="2"/>
  <c r="F977" i="2"/>
  <c r="N976" i="2"/>
  <c r="F976" i="2"/>
  <c r="N975" i="2"/>
  <c r="F975" i="2"/>
  <c r="N974" i="2"/>
  <c r="F974" i="2"/>
  <c r="N973" i="2"/>
  <c r="F973" i="2"/>
  <c r="N972" i="2"/>
  <c r="F972" i="2"/>
  <c r="N971" i="2"/>
  <c r="F971" i="2"/>
  <c r="N970" i="2"/>
  <c r="F970" i="2"/>
  <c r="N969" i="2"/>
  <c r="F969" i="2"/>
  <c r="N968" i="2"/>
  <c r="F968" i="2"/>
  <c r="N967" i="2"/>
  <c r="F967" i="2"/>
  <c r="N966" i="2"/>
  <c r="F966" i="2"/>
  <c r="N965" i="2"/>
  <c r="F965" i="2"/>
  <c r="N964" i="2"/>
  <c r="F964" i="2"/>
  <c r="N963" i="2"/>
  <c r="F963" i="2"/>
  <c r="N962" i="2"/>
  <c r="F962" i="2"/>
  <c r="N961" i="2"/>
  <c r="F961" i="2"/>
  <c r="N960" i="2"/>
  <c r="F960" i="2"/>
  <c r="N958" i="2"/>
  <c r="F958" i="2"/>
  <c r="H957" i="2"/>
  <c r="G957" i="2"/>
  <c r="E957" i="2"/>
  <c r="D957" i="2"/>
  <c r="N956" i="2"/>
  <c r="I956" i="2"/>
  <c r="F956" i="2"/>
  <c r="N955" i="2"/>
  <c r="F955" i="2"/>
  <c r="N954" i="2"/>
  <c r="F954" i="2"/>
  <c r="I954" i="2" s="1"/>
  <c r="N953" i="2"/>
  <c r="N957" i="2" s="1"/>
  <c r="F953" i="2"/>
  <c r="H952" i="2"/>
  <c r="G952" i="2"/>
  <c r="E952" i="2"/>
  <c r="D952" i="2"/>
  <c r="N951" i="2"/>
  <c r="F951" i="2"/>
  <c r="N950" i="2"/>
  <c r="F950" i="2"/>
  <c r="N949" i="2"/>
  <c r="N952" i="2" s="1"/>
  <c r="F949" i="2"/>
  <c r="N948" i="2"/>
  <c r="F948" i="2"/>
  <c r="N947" i="2"/>
  <c r="F947" i="2"/>
  <c r="N946" i="2"/>
  <c r="F946" i="2"/>
  <c r="N945" i="2"/>
  <c r="F945" i="2"/>
  <c r="F952" i="2" s="1"/>
  <c r="H943" i="2"/>
  <c r="G943" i="2"/>
  <c r="N941" i="2"/>
  <c r="F941" i="2"/>
  <c r="N940" i="2"/>
  <c r="F940" i="2"/>
  <c r="F939" i="2"/>
  <c r="N938" i="2"/>
  <c r="F938" i="2"/>
  <c r="H937" i="2"/>
  <c r="G937" i="2"/>
  <c r="N936" i="2"/>
  <c r="F936" i="2"/>
  <c r="N935" i="2"/>
  <c r="F935" i="2"/>
  <c r="N934" i="2"/>
  <c r="F934" i="2"/>
  <c r="N933" i="2"/>
  <c r="F933" i="2"/>
  <c r="N932" i="2"/>
  <c r="F932" i="2"/>
  <c r="N931" i="2"/>
  <c r="F931" i="2"/>
  <c r="N930" i="2"/>
  <c r="F930" i="2"/>
  <c r="F937" i="2" s="1"/>
  <c r="F957" i="2" l="1"/>
  <c r="F943" i="2"/>
  <c r="I955" i="2"/>
  <c r="N922" i="2"/>
  <c r="F922" i="2"/>
  <c r="N921" i="2"/>
  <c r="F921" i="2"/>
  <c r="N920" i="2"/>
  <c r="F920" i="2"/>
  <c r="N919" i="2"/>
  <c r="F919" i="2"/>
  <c r="N918" i="2"/>
  <c r="F918" i="2"/>
  <c r="N917" i="2"/>
  <c r="F917" i="2"/>
  <c r="N916" i="2"/>
  <c r="F916" i="2"/>
  <c r="N915" i="2"/>
  <c r="F915" i="2"/>
  <c r="N914" i="2"/>
  <c r="F914" i="2"/>
  <c r="N913" i="2"/>
  <c r="F913" i="2"/>
  <c r="N912" i="2"/>
  <c r="F912" i="2"/>
  <c r="N911" i="2"/>
  <c r="F911" i="2"/>
  <c r="N910" i="2"/>
  <c r="F910" i="2"/>
  <c r="N909" i="2"/>
  <c r="F909" i="2"/>
  <c r="N908" i="2"/>
  <c r="F908" i="2"/>
  <c r="N907" i="2"/>
  <c r="F907" i="2"/>
  <c r="N906" i="2"/>
  <c r="F906" i="2"/>
  <c r="N905" i="2"/>
  <c r="F905" i="2"/>
  <c r="N904" i="2"/>
  <c r="F904" i="2"/>
  <c r="N903" i="2"/>
  <c r="F903" i="2"/>
  <c r="N902" i="2"/>
  <c r="F902" i="2"/>
  <c r="N901" i="2"/>
  <c r="F901" i="2"/>
  <c r="N900" i="2"/>
  <c r="F900" i="2"/>
  <c r="N899" i="2"/>
  <c r="F899" i="2"/>
  <c r="N898" i="2"/>
  <c r="F898" i="2"/>
  <c r="N897" i="2"/>
  <c r="F897" i="2"/>
  <c r="N896" i="2"/>
  <c r="F896" i="2"/>
  <c r="N895" i="2"/>
  <c r="F895" i="2"/>
  <c r="N893" i="2"/>
  <c r="F893" i="2"/>
  <c r="H892" i="2"/>
  <c r="G892" i="2"/>
  <c r="E892" i="2"/>
  <c r="D892" i="2"/>
  <c r="N891" i="2"/>
  <c r="F891" i="2"/>
  <c r="I891" i="2" s="1"/>
  <c r="N890" i="2"/>
  <c r="F890" i="2"/>
  <c r="N889" i="2"/>
  <c r="F889" i="2"/>
  <c r="I889" i="2" s="1"/>
  <c r="N888" i="2"/>
  <c r="F888" i="2"/>
  <c r="H887" i="2"/>
  <c r="G887" i="2"/>
  <c r="E887" i="2"/>
  <c r="D887" i="2"/>
  <c r="N886" i="2"/>
  <c r="F886" i="2"/>
  <c r="N885" i="2"/>
  <c r="F885" i="2"/>
  <c r="N884" i="2"/>
  <c r="F884" i="2"/>
  <c r="N883" i="2"/>
  <c r="F883" i="2"/>
  <c r="N882" i="2"/>
  <c r="F882" i="2"/>
  <c r="N881" i="2"/>
  <c r="F881" i="2"/>
  <c r="N880" i="2"/>
  <c r="F880" i="2"/>
  <c r="H878" i="2"/>
  <c r="G878" i="2"/>
  <c r="F878" i="2" s="1"/>
  <c r="N876" i="2"/>
  <c r="F876" i="2"/>
  <c r="N875" i="2"/>
  <c r="F875" i="2"/>
  <c r="F874" i="2"/>
  <c r="N873" i="2"/>
  <c r="F873" i="2"/>
  <c r="H872" i="2"/>
  <c r="G872" i="2"/>
  <c r="N871" i="2"/>
  <c r="F871" i="2"/>
  <c r="N870" i="2"/>
  <c r="F870" i="2"/>
  <c r="N869" i="2"/>
  <c r="F869" i="2"/>
  <c r="N868" i="2"/>
  <c r="F868" i="2"/>
  <c r="N867" i="2"/>
  <c r="F867" i="2"/>
  <c r="N866" i="2"/>
  <c r="F866" i="2"/>
  <c r="N865" i="2"/>
  <c r="F865" i="2"/>
  <c r="N892" i="2" l="1"/>
  <c r="N887" i="2"/>
  <c r="F892" i="2"/>
  <c r="F872" i="2"/>
  <c r="F887" i="2"/>
  <c r="I890" i="2"/>
  <c r="G21" i="15" l="1"/>
  <c r="H21" i="15"/>
  <c r="N857" i="2" l="1"/>
  <c r="F857" i="2"/>
  <c r="N856" i="2"/>
  <c r="F856" i="2"/>
  <c r="N855" i="2"/>
  <c r="F855" i="2"/>
  <c r="N854" i="2"/>
  <c r="F854" i="2"/>
  <c r="N853" i="2"/>
  <c r="F853" i="2"/>
  <c r="N852" i="2"/>
  <c r="F852" i="2"/>
  <c r="N851" i="2"/>
  <c r="F851" i="2"/>
  <c r="N850" i="2"/>
  <c r="F850" i="2"/>
  <c r="N849" i="2"/>
  <c r="F849" i="2"/>
  <c r="N848" i="2"/>
  <c r="F848" i="2"/>
  <c r="N847" i="2"/>
  <c r="F847" i="2"/>
  <c r="N846" i="2"/>
  <c r="F846" i="2"/>
  <c r="N845" i="2"/>
  <c r="F845" i="2"/>
  <c r="N844" i="2"/>
  <c r="F844" i="2"/>
  <c r="N843" i="2"/>
  <c r="F843" i="2"/>
  <c r="N842" i="2"/>
  <c r="F842" i="2"/>
  <c r="N841" i="2"/>
  <c r="F841" i="2"/>
  <c r="N840" i="2"/>
  <c r="F840" i="2"/>
  <c r="N839" i="2"/>
  <c r="F839" i="2"/>
  <c r="N838" i="2"/>
  <c r="F838" i="2"/>
  <c r="N837" i="2"/>
  <c r="F837" i="2"/>
  <c r="N836" i="2"/>
  <c r="F836" i="2"/>
  <c r="N835" i="2"/>
  <c r="F835" i="2"/>
  <c r="N834" i="2"/>
  <c r="F834" i="2"/>
  <c r="N833" i="2"/>
  <c r="F833" i="2"/>
  <c r="N832" i="2"/>
  <c r="F832" i="2"/>
  <c r="N831" i="2"/>
  <c r="F831" i="2"/>
  <c r="N830" i="2"/>
  <c r="F830" i="2"/>
  <c r="N828" i="2"/>
  <c r="F828" i="2"/>
  <c r="H827" i="2"/>
  <c r="G827" i="2"/>
  <c r="E827" i="2"/>
  <c r="D827" i="2"/>
  <c r="N826" i="2"/>
  <c r="I826" i="2"/>
  <c r="F826" i="2"/>
  <c r="N825" i="2"/>
  <c r="F825" i="2"/>
  <c r="N824" i="2"/>
  <c r="F824" i="2"/>
  <c r="I824" i="2" s="1"/>
  <c r="N823" i="2"/>
  <c r="F823" i="2"/>
  <c r="H822" i="2"/>
  <c r="G822" i="2"/>
  <c r="E822" i="2"/>
  <c r="D822" i="2"/>
  <c r="N821" i="2"/>
  <c r="F821" i="2"/>
  <c r="N820" i="2"/>
  <c r="F820" i="2"/>
  <c r="N819" i="2"/>
  <c r="N822" i="2" s="1"/>
  <c r="F819" i="2"/>
  <c r="N818" i="2"/>
  <c r="F818" i="2"/>
  <c r="N817" i="2"/>
  <c r="F817" i="2"/>
  <c r="N816" i="2"/>
  <c r="F816" i="2"/>
  <c r="N815" i="2"/>
  <c r="F815" i="2"/>
  <c r="H813" i="2"/>
  <c r="G813" i="2"/>
  <c r="N811" i="2"/>
  <c r="F811" i="2"/>
  <c r="N810" i="2"/>
  <c r="F810" i="2"/>
  <c r="F809" i="2"/>
  <c r="N808" i="2"/>
  <c r="F808" i="2"/>
  <c r="H807" i="2"/>
  <c r="G807" i="2"/>
  <c r="N806" i="2"/>
  <c r="F806" i="2"/>
  <c r="N805" i="2"/>
  <c r="F805" i="2"/>
  <c r="N804" i="2"/>
  <c r="F804" i="2"/>
  <c r="N803" i="2"/>
  <c r="F803" i="2"/>
  <c r="N802" i="2"/>
  <c r="F802" i="2"/>
  <c r="N801" i="2"/>
  <c r="F801" i="2"/>
  <c r="N800" i="2"/>
  <c r="F800" i="2"/>
  <c r="F827" i="2" l="1"/>
  <c r="N827" i="2"/>
  <c r="F807" i="2"/>
  <c r="F822" i="2"/>
  <c r="F813" i="2"/>
  <c r="I825" i="2"/>
  <c r="H18" i="15" l="1"/>
  <c r="E16" i="15"/>
  <c r="G18" i="15" l="1"/>
  <c r="N792" i="2"/>
  <c r="F792" i="2"/>
  <c r="N791" i="2"/>
  <c r="F791" i="2"/>
  <c r="N790" i="2"/>
  <c r="F790" i="2"/>
  <c r="N789" i="2"/>
  <c r="F789" i="2"/>
  <c r="N788" i="2"/>
  <c r="F788" i="2"/>
  <c r="N787" i="2"/>
  <c r="F787" i="2"/>
  <c r="N786" i="2"/>
  <c r="F786" i="2"/>
  <c r="N785" i="2"/>
  <c r="F785" i="2"/>
  <c r="N784" i="2"/>
  <c r="F784" i="2"/>
  <c r="N783" i="2"/>
  <c r="F783" i="2"/>
  <c r="N782" i="2"/>
  <c r="F782" i="2"/>
  <c r="N781" i="2"/>
  <c r="F781" i="2"/>
  <c r="N780" i="2"/>
  <c r="F780" i="2"/>
  <c r="N779" i="2"/>
  <c r="F779" i="2"/>
  <c r="N778" i="2"/>
  <c r="F778" i="2"/>
  <c r="N777" i="2"/>
  <c r="F777" i="2"/>
  <c r="N776" i="2"/>
  <c r="F776" i="2"/>
  <c r="N775" i="2"/>
  <c r="F775" i="2"/>
  <c r="N774" i="2"/>
  <c r="F774" i="2"/>
  <c r="N773" i="2"/>
  <c r="F773" i="2"/>
  <c r="N772" i="2"/>
  <c r="F772" i="2"/>
  <c r="N771" i="2"/>
  <c r="F771" i="2"/>
  <c r="N770" i="2"/>
  <c r="F770" i="2"/>
  <c r="N769" i="2"/>
  <c r="F769" i="2"/>
  <c r="N768" i="2"/>
  <c r="F768" i="2"/>
  <c r="N767" i="2"/>
  <c r="F767" i="2"/>
  <c r="N766" i="2"/>
  <c r="F766" i="2"/>
  <c r="N765" i="2"/>
  <c r="F765" i="2"/>
  <c r="N763" i="2"/>
  <c r="F763" i="2"/>
  <c r="H762" i="2"/>
  <c r="G762" i="2"/>
  <c r="E762" i="2"/>
  <c r="D762" i="2"/>
  <c r="N761" i="2"/>
  <c r="F761" i="2"/>
  <c r="I761" i="2" s="1"/>
  <c r="N760" i="2"/>
  <c r="F760" i="2"/>
  <c r="F762" i="2" s="1"/>
  <c r="N759" i="2"/>
  <c r="F759" i="2"/>
  <c r="I759" i="2" s="1"/>
  <c r="N758" i="2"/>
  <c r="N762" i="2" s="1"/>
  <c r="F758" i="2"/>
  <c r="H757" i="2"/>
  <c r="G757" i="2"/>
  <c r="E757" i="2"/>
  <c r="D757" i="2"/>
  <c r="N756" i="2"/>
  <c r="F756" i="2"/>
  <c r="N755" i="2"/>
  <c r="F755" i="2"/>
  <c r="N754" i="2"/>
  <c r="N757" i="2" s="1"/>
  <c r="F754" i="2"/>
  <c r="N753" i="2"/>
  <c r="F753" i="2"/>
  <c r="N752" i="2"/>
  <c r="F752" i="2"/>
  <c r="N751" i="2"/>
  <c r="F751" i="2"/>
  <c r="N750" i="2"/>
  <c r="F750" i="2"/>
  <c r="H748" i="2"/>
  <c r="G748" i="2"/>
  <c r="N746" i="2"/>
  <c r="F746" i="2"/>
  <c r="N745" i="2"/>
  <c r="F745" i="2"/>
  <c r="F744" i="2"/>
  <c r="N743" i="2"/>
  <c r="F743" i="2"/>
  <c r="H742" i="2"/>
  <c r="G742" i="2"/>
  <c r="N741" i="2"/>
  <c r="F741" i="2"/>
  <c r="N740" i="2"/>
  <c r="F740" i="2"/>
  <c r="N739" i="2"/>
  <c r="F739" i="2"/>
  <c r="N738" i="2"/>
  <c r="F738" i="2"/>
  <c r="N737" i="2"/>
  <c r="F737" i="2"/>
  <c r="N736" i="2"/>
  <c r="F736" i="2"/>
  <c r="N735" i="2"/>
  <c r="F735" i="2"/>
  <c r="F742" i="2" l="1"/>
  <c r="E22" i="15"/>
  <c r="D24" i="15"/>
  <c r="E24" i="15" s="1"/>
  <c r="I24" i="15"/>
  <c r="F757" i="2"/>
  <c r="F748" i="2"/>
  <c r="I760" i="2"/>
  <c r="F24" i="15" l="1"/>
  <c r="F21" i="15"/>
  <c r="I21" i="15"/>
  <c r="E19" i="15"/>
  <c r="D21" i="15"/>
  <c r="E21" i="15" s="1"/>
  <c r="G24" i="15"/>
  <c r="G25" i="15" s="1"/>
  <c r="H24" i="15" l="1"/>
  <c r="H25" i="15" s="1"/>
  <c r="F18" i="15" l="1"/>
  <c r="F25" i="15" s="1"/>
  <c r="D18" i="15"/>
  <c r="E15" i="15"/>
  <c r="I18" i="15"/>
  <c r="I25" i="15" s="1"/>
  <c r="N727" i="2"/>
  <c r="F727" i="2"/>
  <c r="N726" i="2"/>
  <c r="F726" i="2"/>
  <c r="N725" i="2"/>
  <c r="F725" i="2"/>
  <c r="N724" i="2"/>
  <c r="F724" i="2"/>
  <c r="N723" i="2"/>
  <c r="F723" i="2"/>
  <c r="N722" i="2"/>
  <c r="F722" i="2"/>
  <c r="N721" i="2"/>
  <c r="F721" i="2"/>
  <c r="N720" i="2"/>
  <c r="F720" i="2"/>
  <c r="N719" i="2"/>
  <c r="F719" i="2"/>
  <c r="N718" i="2"/>
  <c r="F718" i="2"/>
  <c r="N717" i="2"/>
  <c r="F717" i="2"/>
  <c r="N716" i="2"/>
  <c r="F716" i="2"/>
  <c r="N715" i="2"/>
  <c r="F715" i="2"/>
  <c r="N714" i="2"/>
  <c r="F714" i="2"/>
  <c r="N713" i="2"/>
  <c r="F713" i="2"/>
  <c r="N712" i="2"/>
  <c r="F712" i="2"/>
  <c r="N711" i="2"/>
  <c r="F711" i="2"/>
  <c r="N710" i="2"/>
  <c r="F710" i="2"/>
  <c r="N709" i="2"/>
  <c r="F709" i="2"/>
  <c r="N708" i="2"/>
  <c r="F708" i="2"/>
  <c r="N707" i="2"/>
  <c r="F707" i="2"/>
  <c r="N706" i="2"/>
  <c r="F706" i="2"/>
  <c r="N705" i="2"/>
  <c r="F705" i="2"/>
  <c r="N704" i="2"/>
  <c r="F704" i="2"/>
  <c r="N703" i="2"/>
  <c r="F703" i="2"/>
  <c r="N702" i="2"/>
  <c r="F702" i="2"/>
  <c r="N701" i="2"/>
  <c r="F701" i="2"/>
  <c r="N700" i="2"/>
  <c r="F700" i="2"/>
  <c r="N698" i="2"/>
  <c r="F698" i="2"/>
  <c r="H697" i="2"/>
  <c r="G697" i="2"/>
  <c r="E697" i="2"/>
  <c r="D697" i="2"/>
  <c r="N696" i="2"/>
  <c r="I696" i="2"/>
  <c r="F696" i="2"/>
  <c r="N695" i="2"/>
  <c r="F695" i="2"/>
  <c r="I695" i="2" s="1"/>
  <c r="N694" i="2"/>
  <c r="F694" i="2"/>
  <c r="I694" i="2" s="1"/>
  <c r="N693" i="2"/>
  <c r="N697" i="2" s="1"/>
  <c r="F693" i="2"/>
  <c r="H692" i="2"/>
  <c r="G692" i="2"/>
  <c r="E692" i="2"/>
  <c r="D692" i="2"/>
  <c r="N691" i="2"/>
  <c r="F691" i="2"/>
  <c r="N690" i="2"/>
  <c r="F690" i="2"/>
  <c r="N689" i="2"/>
  <c r="F689" i="2"/>
  <c r="N688" i="2"/>
  <c r="F688" i="2"/>
  <c r="N687" i="2"/>
  <c r="F687" i="2"/>
  <c r="N686" i="2"/>
  <c r="F686" i="2"/>
  <c r="N685" i="2"/>
  <c r="F685" i="2"/>
  <c r="H683" i="2"/>
  <c r="G683" i="2"/>
  <c r="N681" i="2"/>
  <c r="F681" i="2"/>
  <c r="N680" i="2"/>
  <c r="F680" i="2"/>
  <c r="F679" i="2"/>
  <c r="N678" i="2"/>
  <c r="F678" i="2"/>
  <c r="H677" i="2"/>
  <c r="G677" i="2"/>
  <c r="N676" i="2"/>
  <c r="F676" i="2"/>
  <c r="N675" i="2"/>
  <c r="F675" i="2"/>
  <c r="N674" i="2"/>
  <c r="F674" i="2"/>
  <c r="N673" i="2"/>
  <c r="F673" i="2"/>
  <c r="N672" i="2"/>
  <c r="F672" i="2"/>
  <c r="N671" i="2"/>
  <c r="F671" i="2"/>
  <c r="N670" i="2"/>
  <c r="F670" i="2"/>
  <c r="F677" i="2" s="1"/>
  <c r="N692" i="2" l="1"/>
  <c r="E18" i="15"/>
  <c r="D25" i="15"/>
  <c r="E25" i="15" s="1"/>
  <c r="F683" i="2"/>
  <c r="F692" i="2"/>
  <c r="F697" i="2"/>
  <c r="N662" i="2"/>
  <c r="F662" i="2"/>
  <c r="N661" i="2"/>
  <c r="F661" i="2"/>
  <c r="N660" i="2"/>
  <c r="F660" i="2"/>
  <c r="N659" i="2"/>
  <c r="F659" i="2"/>
  <c r="N658" i="2"/>
  <c r="F658" i="2"/>
  <c r="N657" i="2"/>
  <c r="F657" i="2"/>
  <c r="N656" i="2"/>
  <c r="F656" i="2"/>
  <c r="N655" i="2"/>
  <c r="F655" i="2"/>
  <c r="N654" i="2"/>
  <c r="F654" i="2"/>
  <c r="N653" i="2"/>
  <c r="F653" i="2"/>
  <c r="N652" i="2"/>
  <c r="F652" i="2"/>
  <c r="N651" i="2"/>
  <c r="F651" i="2"/>
  <c r="N650" i="2"/>
  <c r="F650" i="2"/>
  <c r="N649" i="2"/>
  <c r="F649" i="2"/>
  <c r="N648" i="2"/>
  <c r="F648" i="2"/>
  <c r="N647" i="2"/>
  <c r="F647" i="2"/>
  <c r="N646" i="2"/>
  <c r="F646" i="2"/>
  <c r="N645" i="2"/>
  <c r="F645" i="2"/>
  <c r="N644" i="2"/>
  <c r="F644" i="2"/>
  <c r="N643" i="2"/>
  <c r="F643" i="2"/>
  <c r="N642" i="2"/>
  <c r="F642" i="2"/>
  <c r="N641" i="2"/>
  <c r="F641" i="2"/>
  <c r="N640" i="2"/>
  <c r="F640" i="2"/>
  <c r="N639" i="2"/>
  <c r="F639" i="2"/>
  <c r="N638" i="2"/>
  <c r="F638" i="2"/>
  <c r="N637" i="2"/>
  <c r="F637" i="2"/>
  <c r="N636" i="2"/>
  <c r="F636" i="2"/>
  <c r="N635" i="2"/>
  <c r="F635" i="2"/>
  <c r="N633" i="2"/>
  <c r="F633" i="2"/>
  <c r="H632" i="2"/>
  <c r="G632" i="2"/>
  <c r="E632" i="2"/>
  <c r="D632" i="2"/>
  <c r="N631" i="2"/>
  <c r="F631" i="2"/>
  <c r="I631" i="2" s="1"/>
  <c r="N630" i="2"/>
  <c r="I630" i="2"/>
  <c r="F630" i="2"/>
  <c r="N629" i="2"/>
  <c r="F629" i="2"/>
  <c r="I629" i="2" s="1"/>
  <c r="N628" i="2"/>
  <c r="F628" i="2"/>
  <c r="F632" i="2" s="1"/>
  <c r="H627" i="2"/>
  <c r="G627" i="2"/>
  <c r="E627" i="2"/>
  <c r="D627" i="2"/>
  <c r="N626" i="2"/>
  <c r="F626" i="2"/>
  <c r="N625" i="2"/>
  <c r="F625" i="2"/>
  <c r="N624" i="2"/>
  <c r="N627" i="2" s="1"/>
  <c r="F624" i="2"/>
  <c r="N623" i="2"/>
  <c r="F623" i="2"/>
  <c r="N622" i="2"/>
  <c r="F622" i="2"/>
  <c r="N621" i="2"/>
  <c r="F621" i="2"/>
  <c r="N620" i="2"/>
  <c r="F620" i="2"/>
  <c r="H618" i="2"/>
  <c r="G618" i="2"/>
  <c r="F618" i="2" s="1"/>
  <c r="N616" i="2"/>
  <c r="F616" i="2"/>
  <c r="N615" i="2"/>
  <c r="F615" i="2"/>
  <c r="F614" i="2"/>
  <c r="N613" i="2"/>
  <c r="F613" i="2"/>
  <c r="H612" i="2"/>
  <c r="G612" i="2"/>
  <c r="N611" i="2"/>
  <c r="F611" i="2"/>
  <c r="N610" i="2"/>
  <c r="F610" i="2"/>
  <c r="N609" i="2"/>
  <c r="F609" i="2"/>
  <c r="N608" i="2"/>
  <c r="F608" i="2"/>
  <c r="N607" i="2"/>
  <c r="F607" i="2"/>
  <c r="N606" i="2"/>
  <c r="F606" i="2"/>
  <c r="N605" i="2"/>
  <c r="F605" i="2"/>
  <c r="F627" i="2" l="1"/>
  <c r="N632" i="2"/>
  <c r="F612" i="2"/>
  <c r="N597" i="2" l="1"/>
  <c r="F597" i="2"/>
  <c r="N596" i="2"/>
  <c r="F596" i="2"/>
  <c r="N595" i="2"/>
  <c r="F595" i="2"/>
  <c r="N594" i="2"/>
  <c r="F594" i="2"/>
  <c r="N593" i="2"/>
  <c r="F593" i="2"/>
  <c r="N592" i="2"/>
  <c r="F592" i="2"/>
  <c r="N591" i="2"/>
  <c r="F591" i="2"/>
  <c r="N590" i="2"/>
  <c r="F590" i="2"/>
  <c r="N589" i="2"/>
  <c r="F589" i="2"/>
  <c r="N588" i="2"/>
  <c r="F588" i="2"/>
  <c r="N587" i="2"/>
  <c r="F587" i="2"/>
  <c r="N586" i="2"/>
  <c r="F586" i="2"/>
  <c r="N585" i="2"/>
  <c r="F585" i="2"/>
  <c r="N584" i="2"/>
  <c r="F584" i="2"/>
  <c r="N583" i="2"/>
  <c r="F583" i="2"/>
  <c r="N582" i="2"/>
  <c r="F582" i="2"/>
  <c r="N581" i="2"/>
  <c r="F581" i="2"/>
  <c r="N580" i="2"/>
  <c r="F580" i="2"/>
  <c r="N579" i="2"/>
  <c r="F579" i="2"/>
  <c r="N578" i="2"/>
  <c r="F578" i="2"/>
  <c r="N577" i="2"/>
  <c r="F577" i="2"/>
  <c r="N576" i="2"/>
  <c r="F576" i="2"/>
  <c r="N575" i="2"/>
  <c r="F575" i="2"/>
  <c r="N574" i="2"/>
  <c r="F574" i="2"/>
  <c r="N573" i="2"/>
  <c r="F573" i="2"/>
  <c r="N572" i="2"/>
  <c r="F572" i="2"/>
  <c r="N571" i="2"/>
  <c r="F571" i="2"/>
  <c r="N570" i="2"/>
  <c r="F570" i="2"/>
  <c r="N568" i="2"/>
  <c r="F568" i="2"/>
  <c r="H567" i="2"/>
  <c r="G567" i="2"/>
  <c r="E567" i="2"/>
  <c r="D567" i="2"/>
  <c r="N566" i="2"/>
  <c r="I566" i="2"/>
  <c r="F566" i="2"/>
  <c r="N565" i="2"/>
  <c r="F565" i="2"/>
  <c r="I565" i="2" s="1"/>
  <c r="N564" i="2"/>
  <c r="F564" i="2"/>
  <c r="I564" i="2" s="1"/>
  <c r="N563" i="2"/>
  <c r="N567" i="2" s="1"/>
  <c r="F563" i="2"/>
  <c r="H562" i="2"/>
  <c r="G562" i="2"/>
  <c r="E562" i="2"/>
  <c r="D562" i="2"/>
  <c r="N561" i="2"/>
  <c r="F561" i="2"/>
  <c r="N560" i="2"/>
  <c r="F560" i="2"/>
  <c r="N559" i="2"/>
  <c r="F559" i="2"/>
  <c r="N558" i="2"/>
  <c r="F558" i="2"/>
  <c r="N557" i="2"/>
  <c r="F557" i="2"/>
  <c r="N556" i="2"/>
  <c r="F556" i="2"/>
  <c r="N555" i="2"/>
  <c r="F555" i="2"/>
  <c r="H553" i="2"/>
  <c r="G553" i="2"/>
  <c r="F553" i="2" s="1"/>
  <c r="N551" i="2"/>
  <c r="F551" i="2"/>
  <c r="N550" i="2"/>
  <c r="F550" i="2"/>
  <c r="F549" i="2"/>
  <c r="N548" i="2"/>
  <c r="F548" i="2"/>
  <c r="H547" i="2"/>
  <c r="G547" i="2"/>
  <c r="N546" i="2"/>
  <c r="F546" i="2"/>
  <c r="N545" i="2"/>
  <c r="F545" i="2"/>
  <c r="N544" i="2"/>
  <c r="F544" i="2"/>
  <c r="N543" i="2"/>
  <c r="F543" i="2"/>
  <c r="N542" i="2"/>
  <c r="F542" i="2"/>
  <c r="N541" i="2"/>
  <c r="F541" i="2"/>
  <c r="N540" i="2"/>
  <c r="F540" i="2"/>
  <c r="N562" i="2" l="1"/>
  <c r="F562" i="2"/>
  <c r="F547" i="2"/>
  <c r="F567" i="2"/>
  <c r="N532" i="2" l="1"/>
  <c r="F532" i="2"/>
  <c r="N531" i="2"/>
  <c r="F531" i="2"/>
  <c r="N530" i="2"/>
  <c r="F530" i="2"/>
  <c r="N529" i="2"/>
  <c r="F529" i="2"/>
  <c r="N528" i="2"/>
  <c r="F528" i="2"/>
  <c r="N527" i="2"/>
  <c r="F527" i="2"/>
  <c r="N526" i="2"/>
  <c r="F526" i="2"/>
  <c r="N525" i="2"/>
  <c r="F525" i="2"/>
  <c r="N524" i="2"/>
  <c r="F524" i="2"/>
  <c r="N523" i="2"/>
  <c r="F523" i="2"/>
  <c r="N522" i="2"/>
  <c r="F522" i="2"/>
  <c r="N521" i="2"/>
  <c r="F521" i="2"/>
  <c r="N520" i="2"/>
  <c r="F520" i="2"/>
  <c r="N519" i="2"/>
  <c r="F519" i="2"/>
  <c r="N518" i="2"/>
  <c r="F518" i="2"/>
  <c r="N517" i="2"/>
  <c r="F517" i="2"/>
  <c r="N516" i="2"/>
  <c r="F516" i="2"/>
  <c r="N515" i="2"/>
  <c r="F515" i="2"/>
  <c r="N514" i="2"/>
  <c r="F514" i="2"/>
  <c r="N513" i="2"/>
  <c r="F513" i="2"/>
  <c r="N512" i="2"/>
  <c r="F512" i="2"/>
  <c r="N511" i="2"/>
  <c r="F511" i="2"/>
  <c r="N510" i="2"/>
  <c r="F510" i="2"/>
  <c r="N509" i="2"/>
  <c r="F509" i="2"/>
  <c r="N508" i="2"/>
  <c r="F508" i="2"/>
  <c r="N507" i="2"/>
  <c r="F507" i="2"/>
  <c r="N506" i="2"/>
  <c r="F506" i="2"/>
  <c r="N505" i="2"/>
  <c r="F505" i="2"/>
  <c r="N503" i="2"/>
  <c r="F503" i="2"/>
  <c r="H502" i="2"/>
  <c r="G502" i="2"/>
  <c r="E502" i="2"/>
  <c r="D502" i="2"/>
  <c r="N501" i="2"/>
  <c r="I501" i="2"/>
  <c r="F501" i="2"/>
  <c r="N500" i="2"/>
  <c r="F500" i="2"/>
  <c r="N499" i="2"/>
  <c r="I499" i="2"/>
  <c r="F499" i="2"/>
  <c r="N498" i="2"/>
  <c r="N502" i="2" s="1"/>
  <c r="F498" i="2"/>
  <c r="H497" i="2"/>
  <c r="G497" i="2"/>
  <c r="E497" i="2"/>
  <c r="D497" i="2"/>
  <c r="N496" i="2"/>
  <c r="F496" i="2"/>
  <c r="N495" i="2"/>
  <c r="F495" i="2"/>
  <c r="N494" i="2"/>
  <c r="F494" i="2"/>
  <c r="N493" i="2"/>
  <c r="F493" i="2"/>
  <c r="N492" i="2"/>
  <c r="F492" i="2"/>
  <c r="N491" i="2"/>
  <c r="F491" i="2"/>
  <c r="N490" i="2"/>
  <c r="F490" i="2"/>
  <c r="H488" i="2"/>
  <c r="G488" i="2"/>
  <c r="N486" i="2"/>
  <c r="F486" i="2"/>
  <c r="N485" i="2"/>
  <c r="F485" i="2"/>
  <c r="F484" i="2"/>
  <c r="N483" i="2"/>
  <c r="F483" i="2"/>
  <c r="N481" i="2"/>
  <c r="F481" i="2"/>
  <c r="N480" i="2"/>
  <c r="F480" i="2"/>
  <c r="N479" i="2"/>
  <c r="F479" i="2"/>
  <c r="N478" i="2"/>
  <c r="F478" i="2"/>
  <c r="H482" i="2"/>
  <c r="G482" i="2"/>
  <c r="N476" i="2"/>
  <c r="F476" i="2"/>
  <c r="N475" i="2"/>
  <c r="F475" i="2"/>
  <c r="H412" i="2"/>
  <c r="G412" i="2"/>
  <c r="N467" i="2"/>
  <c r="F467" i="2"/>
  <c r="N466" i="2"/>
  <c r="F466" i="2"/>
  <c r="N465" i="2"/>
  <c r="F465" i="2"/>
  <c r="N464" i="2"/>
  <c r="F464" i="2"/>
  <c r="N463" i="2"/>
  <c r="F463" i="2"/>
  <c r="N462" i="2"/>
  <c r="F462" i="2"/>
  <c r="N461" i="2"/>
  <c r="F461" i="2"/>
  <c r="N460" i="2"/>
  <c r="F460" i="2"/>
  <c r="N459" i="2"/>
  <c r="F459" i="2"/>
  <c r="N458" i="2"/>
  <c r="F458" i="2"/>
  <c r="N457" i="2"/>
  <c r="F457" i="2"/>
  <c r="N456" i="2"/>
  <c r="F456" i="2"/>
  <c r="N455" i="2"/>
  <c r="F455" i="2"/>
  <c r="N454" i="2"/>
  <c r="F454" i="2"/>
  <c r="N453" i="2"/>
  <c r="F453" i="2"/>
  <c r="N452" i="2"/>
  <c r="F452" i="2"/>
  <c r="N451" i="2"/>
  <c r="F451" i="2"/>
  <c r="N450" i="2"/>
  <c r="F450" i="2"/>
  <c r="N449" i="2"/>
  <c r="F449" i="2"/>
  <c r="N448" i="2"/>
  <c r="F448" i="2"/>
  <c r="N447" i="2"/>
  <c r="F447" i="2"/>
  <c r="N446" i="2"/>
  <c r="F446" i="2"/>
  <c r="N445" i="2"/>
  <c r="F445" i="2"/>
  <c r="N444" i="2"/>
  <c r="F444" i="2"/>
  <c r="N443" i="2"/>
  <c r="F443" i="2"/>
  <c r="N442" i="2"/>
  <c r="F442" i="2"/>
  <c r="N441" i="2"/>
  <c r="F441" i="2"/>
  <c r="N440" i="2"/>
  <c r="F440" i="2"/>
  <c r="N438" i="2"/>
  <c r="F438" i="2"/>
  <c r="H437" i="2"/>
  <c r="G437" i="2"/>
  <c r="E437" i="2"/>
  <c r="D437" i="2"/>
  <c r="N436" i="2"/>
  <c r="F436" i="2"/>
  <c r="I436" i="2" s="1"/>
  <c r="N435" i="2"/>
  <c r="F435" i="2"/>
  <c r="I435" i="2" s="1"/>
  <c r="N434" i="2"/>
  <c r="I434" i="2"/>
  <c r="F434" i="2"/>
  <c r="N433" i="2"/>
  <c r="F433" i="2"/>
  <c r="H432" i="2"/>
  <c r="G432" i="2"/>
  <c r="E432" i="2"/>
  <c r="D432" i="2"/>
  <c r="N431" i="2"/>
  <c r="F431" i="2"/>
  <c r="N430" i="2"/>
  <c r="F430" i="2"/>
  <c r="N429" i="2"/>
  <c r="N432" i="2" s="1"/>
  <c r="F429" i="2"/>
  <c r="N428" i="2"/>
  <c r="F428" i="2"/>
  <c r="N427" i="2"/>
  <c r="F427" i="2"/>
  <c r="N426" i="2"/>
  <c r="F426" i="2"/>
  <c r="N425" i="2"/>
  <c r="F425" i="2"/>
  <c r="H423" i="2"/>
  <c r="G423" i="2"/>
  <c r="N421" i="2"/>
  <c r="F421" i="2"/>
  <c r="N420" i="2"/>
  <c r="F420" i="2"/>
  <c r="F419" i="2"/>
  <c r="N418" i="2"/>
  <c r="F418" i="2"/>
  <c r="H417" i="2"/>
  <c r="N416" i="2"/>
  <c r="F416" i="2"/>
  <c r="N415" i="2"/>
  <c r="F415" i="2"/>
  <c r="N414" i="2"/>
  <c r="F414" i="2"/>
  <c r="N413" i="2"/>
  <c r="F413" i="2"/>
  <c r="N411" i="2"/>
  <c r="F411" i="2"/>
  <c r="N410" i="2"/>
  <c r="F410" i="2"/>
  <c r="N412" i="2" l="1"/>
  <c r="F437" i="2"/>
  <c r="F417" i="2"/>
  <c r="F412" i="2"/>
  <c r="N437" i="2"/>
  <c r="F502" i="2"/>
  <c r="G417" i="2"/>
  <c r="N497" i="2"/>
  <c r="F497" i="2"/>
  <c r="F488" i="2"/>
  <c r="N477" i="2"/>
  <c r="I500" i="2"/>
  <c r="F477" i="2"/>
  <c r="F482" i="2" s="1"/>
  <c r="F432" i="2"/>
  <c r="F423" i="2"/>
  <c r="H347" i="2" l="1"/>
  <c r="N402" i="2"/>
  <c r="F402" i="2"/>
  <c r="N401" i="2"/>
  <c r="F401" i="2"/>
  <c r="N400" i="2"/>
  <c r="F400" i="2"/>
  <c r="N399" i="2"/>
  <c r="F399" i="2"/>
  <c r="N398" i="2"/>
  <c r="F398" i="2"/>
  <c r="N397" i="2"/>
  <c r="F397" i="2"/>
  <c r="N396" i="2"/>
  <c r="F396" i="2"/>
  <c r="N395" i="2"/>
  <c r="F395" i="2"/>
  <c r="N394" i="2"/>
  <c r="F394" i="2"/>
  <c r="N393" i="2"/>
  <c r="F393" i="2"/>
  <c r="N392" i="2"/>
  <c r="F392" i="2"/>
  <c r="N391" i="2"/>
  <c r="F391" i="2"/>
  <c r="N390" i="2"/>
  <c r="F390" i="2"/>
  <c r="N389" i="2"/>
  <c r="F389" i="2"/>
  <c r="N388" i="2"/>
  <c r="F388" i="2"/>
  <c r="N387" i="2"/>
  <c r="F387" i="2"/>
  <c r="N386" i="2"/>
  <c r="F386" i="2"/>
  <c r="N385" i="2"/>
  <c r="F385" i="2"/>
  <c r="N384" i="2"/>
  <c r="F384" i="2"/>
  <c r="N383" i="2"/>
  <c r="F383" i="2"/>
  <c r="N382" i="2"/>
  <c r="F382" i="2"/>
  <c r="N381" i="2"/>
  <c r="F381" i="2"/>
  <c r="N380" i="2"/>
  <c r="F380" i="2"/>
  <c r="N379" i="2"/>
  <c r="F379" i="2"/>
  <c r="N378" i="2"/>
  <c r="F378" i="2"/>
  <c r="N377" i="2"/>
  <c r="F377" i="2"/>
  <c r="N376" i="2"/>
  <c r="F376" i="2"/>
  <c r="N375" i="2"/>
  <c r="F375" i="2"/>
  <c r="N373" i="2"/>
  <c r="F373" i="2"/>
  <c r="H372" i="2"/>
  <c r="G372" i="2"/>
  <c r="E372" i="2"/>
  <c r="D372" i="2"/>
  <c r="N371" i="2"/>
  <c r="F371" i="2"/>
  <c r="I371" i="2" s="1"/>
  <c r="N370" i="2"/>
  <c r="F370" i="2"/>
  <c r="F372" i="2" s="1"/>
  <c r="N369" i="2"/>
  <c r="I369" i="2"/>
  <c r="F369" i="2"/>
  <c r="N368" i="2"/>
  <c r="F368" i="2"/>
  <c r="H367" i="2"/>
  <c r="G367" i="2"/>
  <c r="E367" i="2"/>
  <c r="D367" i="2"/>
  <c r="N366" i="2"/>
  <c r="F366" i="2"/>
  <c r="N365" i="2"/>
  <c r="F365" i="2"/>
  <c r="N364" i="2"/>
  <c r="N367" i="2" s="1"/>
  <c r="F364" i="2"/>
  <c r="N363" i="2"/>
  <c r="F363" i="2"/>
  <c r="N362" i="2"/>
  <c r="F362" i="2"/>
  <c r="N361" i="2"/>
  <c r="F361" i="2"/>
  <c r="N360" i="2"/>
  <c r="F360" i="2"/>
  <c r="H358" i="2"/>
  <c r="G358" i="2"/>
  <c r="N356" i="2"/>
  <c r="F356" i="2"/>
  <c r="N355" i="2"/>
  <c r="F355" i="2"/>
  <c r="F354" i="2"/>
  <c r="N353" i="2"/>
  <c r="F353" i="2"/>
  <c r="N351" i="2"/>
  <c r="F351" i="2"/>
  <c r="N350" i="2"/>
  <c r="F350" i="2"/>
  <c r="N349" i="2"/>
  <c r="F349" i="2"/>
  <c r="N348" i="2"/>
  <c r="F348" i="2"/>
  <c r="H352" i="2"/>
  <c r="G352" i="2"/>
  <c r="N346" i="2"/>
  <c r="F346" i="2"/>
  <c r="N345" i="2"/>
  <c r="F345" i="2"/>
  <c r="N372" i="2" l="1"/>
  <c r="F358" i="2"/>
  <c r="F367" i="2"/>
  <c r="N347" i="2"/>
  <c r="I370" i="2"/>
  <c r="F347" i="2"/>
  <c r="F352" i="2" s="1"/>
  <c r="H282" i="2" l="1"/>
  <c r="G282" i="2"/>
  <c r="G287" i="2" s="1"/>
  <c r="N337" i="2"/>
  <c r="F337" i="2"/>
  <c r="N336" i="2"/>
  <c r="F336" i="2"/>
  <c r="N335" i="2"/>
  <c r="F335" i="2"/>
  <c r="N334" i="2"/>
  <c r="F334" i="2"/>
  <c r="N333" i="2"/>
  <c r="F333" i="2"/>
  <c r="N332" i="2"/>
  <c r="F332" i="2"/>
  <c r="N331" i="2"/>
  <c r="F331" i="2"/>
  <c r="N330" i="2"/>
  <c r="F330" i="2"/>
  <c r="N329" i="2"/>
  <c r="F329" i="2"/>
  <c r="N328" i="2"/>
  <c r="F328" i="2"/>
  <c r="N327" i="2"/>
  <c r="F327" i="2"/>
  <c r="N326" i="2"/>
  <c r="F326" i="2"/>
  <c r="N325" i="2"/>
  <c r="F325" i="2"/>
  <c r="N324" i="2"/>
  <c r="F324" i="2"/>
  <c r="N323" i="2"/>
  <c r="F323" i="2"/>
  <c r="N322" i="2"/>
  <c r="F322" i="2"/>
  <c r="N321" i="2"/>
  <c r="F321" i="2"/>
  <c r="N320" i="2"/>
  <c r="F320" i="2"/>
  <c r="N319" i="2"/>
  <c r="F319" i="2"/>
  <c r="N318" i="2"/>
  <c r="F318" i="2"/>
  <c r="N317" i="2"/>
  <c r="F317" i="2"/>
  <c r="N316" i="2"/>
  <c r="F316" i="2"/>
  <c r="N315" i="2"/>
  <c r="F315" i="2"/>
  <c r="N314" i="2"/>
  <c r="F314" i="2"/>
  <c r="N313" i="2"/>
  <c r="F313" i="2"/>
  <c r="N312" i="2"/>
  <c r="F312" i="2"/>
  <c r="N311" i="2"/>
  <c r="F311" i="2"/>
  <c r="N310" i="2"/>
  <c r="F310" i="2"/>
  <c r="N308" i="2"/>
  <c r="F308" i="2"/>
  <c r="H307" i="2"/>
  <c r="G307" i="2"/>
  <c r="E307" i="2"/>
  <c r="D307" i="2"/>
  <c r="N306" i="2"/>
  <c r="F306" i="2"/>
  <c r="I306" i="2" s="1"/>
  <c r="N305" i="2"/>
  <c r="F305" i="2"/>
  <c r="I305" i="2" s="1"/>
  <c r="N304" i="2"/>
  <c r="F304" i="2"/>
  <c r="I304" i="2" s="1"/>
  <c r="N303" i="2"/>
  <c r="F303" i="2"/>
  <c r="H302" i="2"/>
  <c r="G302" i="2"/>
  <c r="E302" i="2"/>
  <c r="D302" i="2"/>
  <c r="N301" i="2"/>
  <c r="F301" i="2"/>
  <c r="N300" i="2"/>
  <c r="F300" i="2"/>
  <c r="N299" i="2"/>
  <c r="F299" i="2"/>
  <c r="N298" i="2"/>
  <c r="F298" i="2"/>
  <c r="N297" i="2"/>
  <c r="F297" i="2"/>
  <c r="N296" i="2"/>
  <c r="F296" i="2"/>
  <c r="N295" i="2"/>
  <c r="F295" i="2"/>
  <c r="H293" i="2"/>
  <c r="G293" i="2"/>
  <c r="N291" i="2"/>
  <c r="F291" i="2"/>
  <c r="N290" i="2"/>
  <c r="F290" i="2"/>
  <c r="F289" i="2"/>
  <c r="N288" i="2"/>
  <c r="F288" i="2"/>
  <c r="N286" i="2"/>
  <c r="F286" i="2"/>
  <c r="N285" i="2"/>
  <c r="F285" i="2"/>
  <c r="N284" i="2"/>
  <c r="F284" i="2"/>
  <c r="N283" i="2"/>
  <c r="F283" i="2"/>
  <c r="H287" i="2"/>
  <c r="N281" i="2"/>
  <c r="F281" i="2"/>
  <c r="N280" i="2"/>
  <c r="F280" i="2"/>
  <c r="N282" i="2" l="1"/>
  <c r="F293" i="2"/>
  <c r="N307" i="2"/>
  <c r="N302" i="2"/>
  <c r="F302" i="2"/>
  <c r="F307" i="2"/>
  <c r="F282" i="2"/>
  <c r="F287" i="2" s="1"/>
  <c r="H217" i="2" l="1"/>
  <c r="H152" i="2" l="1"/>
  <c r="G152" i="2"/>
  <c r="N272" i="2"/>
  <c r="F272" i="2"/>
  <c r="N271" i="2"/>
  <c r="F271" i="2"/>
  <c r="N270" i="2"/>
  <c r="F270" i="2"/>
  <c r="N269" i="2"/>
  <c r="F269" i="2"/>
  <c r="N268" i="2"/>
  <c r="F268" i="2"/>
  <c r="N267" i="2"/>
  <c r="F267" i="2"/>
  <c r="N266" i="2"/>
  <c r="F266" i="2"/>
  <c r="N265" i="2"/>
  <c r="F265" i="2"/>
  <c r="N264" i="2"/>
  <c r="F264" i="2"/>
  <c r="N263" i="2"/>
  <c r="F263" i="2"/>
  <c r="N262" i="2"/>
  <c r="F262" i="2"/>
  <c r="N261" i="2"/>
  <c r="F261" i="2"/>
  <c r="N260" i="2"/>
  <c r="F260" i="2"/>
  <c r="N259" i="2"/>
  <c r="F259" i="2"/>
  <c r="N258" i="2"/>
  <c r="F258" i="2"/>
  <c r="N257" i="2"/>
  <c r="F257" i="2"/>
  <c r="N256" i="2"/>
  <c r="F256" i="2"/>
  <c r="N255" i="2"/>
  <c r="F255" i="2"/>
  <c r="N254" i="2"/>
  <c r="F254" i="2"/>
  <c r="N253" i="2"/>
  <c r="F253" i="2"/>
  <c r="N252" i="2"/>
  <c r="F252" i="2"/>
  <c r="N251" i="2"/>
  <c r="F251" i="2"/>
  <c r="N250" i="2"/>
  <c r="F250" i="2"/>
  <c r="N249" i="2"/>
  <c r="F249" i="2"/>
  <c r="N248" i="2"/>
  <c r="F248" i="2"/>
  <c r="N247" i="2"/>
  <c r="F247" i="2"/>
  <c r="N246" i="2"/>
  <c r="F246" i="2"/>
  <c r="N245" i="2"/>
  <c r="F245" i="2"/>
  <c r="N243" i="2"/>
  <c r="F243" i="2"/>
  <c r="H242" i="2"/>
  <c r="G242" i="2"/>
  <c r="E242" i="2"/>
  <c r="D242" i="2"/>
  <c r="N241" i="2"/>
  <c r="F241" i="2"/>
  <c r="I241" i="2" s="1"/>
  <c r="N240" i="2"/>
  <c r="F240" i="2"/>
  <c r="I240" i="2" s="1"/>
  <c r="N239" i="2"/>
  <c r="F239" i="2"/>
  <c r="I239" i="2" s="1"/>
  <c r="N238" i="2"/>
  <c r="F238" i="2"/>
  <c r="H237" i="2"/>
  <c r="G237" i="2"/>
  <c r="E237" i="2"/>
  <c r="D237" i="2"/>
  <c r="N236" i="2"/>
  <c r="F236" i="2"/>
  <c r="N235" i="2"/>
  <c r="F235" i="2"/>
  <c r="N234" i="2"/>
  <c r="F234" i="2"/>
  <c r="N233" i="2"/>
  <c r="F233" i="2"/>
  <c r="N232" i="2"/>
  <c r="F232" i="2"/>
  <c r="N231" i="2"/>
  <c r="F231" i="2"/>
  <c r="N230" i="2"/>
  <c r="F230" i="2"/>
  <c r="H228" i="2"/>
  <c r="G228" i="2"/>
  <c r="N226" i="2"/>
  <c r="F226" i="2"/>
  <c r="N225" i="2"/>
  <c r="F225" i="2"/>
  <c r="F224" i="2"/>
  <c r="N223" i="2"/>
  <c r="F223" i="2"/>
  <c r="H222" i="2"/>
  <c r="G222" i="2"/>
  <c r="N221" i="2"/>
  <c r="F221" i="2"/>
  <c r="N220" i="2"/>
  <c r="F220" i="2"/>
  <c r="N219" i="2"/>
  <c r="F219" i="2"/>
  <c r="N218" i="2"/>
  <c r="F218" i="2"/>
  <c r="N217" i="2"/>
  <c r="F217" i="2"/>
  <c r="N216" i="2"/>
  <c r="F216" i="2"/>
  <c r="N215" i="2"/>
  <c r="F215" i="2"/>
  <c r="F237" i="2" l="1"/>
  <c r="F228" i="2"/>
  <c r="N237" i="2"/>
  <c r="F222" i="2"/>
  <c r="N242" i="2"/>
  <c r="F242" i="2"/>
  <c r="N207" i="2" l="1"/>
  <c r="F207" i="2"/>
  <c r="N206" i="2"/>
  <c r="F206" i="2"/>
  <c r="N205" i="2"/>
  <c r="F205" i="2"/>
  <c r="N204" i="2"/>
  <c r="F204" i="2"/>
  <c r="N203" i="2"/>
  <c r="F203" i="2"/>
  <c r="N202" i="2"/>
  <c r="F202" i="2"/>
  <c r="N201" i="2"/>
  <c r="F201" i="2"/>
  <c r="N200" i="2"/>
  <c r="F200" i="2"/>
  <c r="N199" i="2"/>
  <c r="F199" i="2"/>
  <c r="N198" i="2"/>
  <c r="F198" i="2"/>
  <c r="N197" i="2"/>
  <c r="F197" i="2"/>
  <c r="N196" i="2"/>
  <c r="F196" i="2"/>
  <c r="N195" i="2"/>
  <c r="F195" i="2"/>
  <c r="N194" i="2"/>
  <c r="F194" i="2"/>
  <c r="N193" i="2"/>
  <c r="F193" i="2"/>
  <c r="N192" i="2"/>
  <c r="F192" i="2"/>
  <c r="N191" i="2"/>
  <c r="F191" i="2"/>
  <c r="N190" i="2"/>
  <c r="F190" i="2"/>
  <c r="N189" i="2"/>
  <c r="F189" i="2"/>
  <c r="N188" i="2"/>
  <c r="F188" i="2"/>
  <c r="N187" i="2"/>
  <c r="F187" i="2"/>
  <c r="N186" i="2"/>
  <c r="F186" i="2"/>
  <c r="N185" i="2"/>
  <c r="F185" i="2"/>
  <c r="N184" i="2"/>
  <c r="F184" i="2"/>
  <c r="N183" i="2"/>
  <c r="F183" i="2"/>
  <c r="N182" i="2"/>
  <c r="F182" i="2"/>
  <c r="N181" i="2"/>
  <c r="F181" i="2"/>
  <c r="N180" i="2"/>
  <c r="F180" i="2"/>
  <c r="N178" i="2"/>
  <c r="F178" i="2"/>
  <c r="H177" i="2"/>
  <c r="G177" i="2"/>
  <c r="E177" i="2"/>
  <c r="D177" i="2"/>
  <c r="N176" i="2"/>
  <c r="F176" i="2"/>
  <c r="I176" i="2" s="1"/>
  <c r="N175" i="2"/>
  <c r="F175" i="2"/>
  <c r="I175" i="2" s="1"/>
  <c r="N174" i="2"/>
  <c r="I174" i="2"/>
  <c r="F174" i="2"/>
  <c r="N173" i="2"/>
  <c r="N177" i="2" s="1"/>
  <c r="F173" i="2"/>
  <c r="F177" i="2" s="1"/>
  <c r="H172" i="2"/>
  <c r="G172" i="2"/>
  <c r="E172" i="2"/>
  <c r="D172" i="2"/>
  <c r="N171" i="2"/>
  <c r="F171" i="2"/>
  <c r="N170" i="2"/>
  <c r="F170" i="2"/>
  <c r="N169" i="2"/>
  <c r="F169" i="2"/>
  <c r="N168" i="2"/>
  <c r="F168" i="2"/>
  <c r="N167" i="2"/>
  <c r="F167" i="2"/>
  <c r="N166" i="2"/>
  <c r="F166" i="2"/>
  <c r="N165" i="2"/>
  <c r="F165" i="2"/>
  <c r="F172" i="2" s="1"/>
  <c r="H163" i="2"/>
  <c r="G163" i="2"/>
  <c r="F163" i="2" s="1"/>
  <c r="N161" i="2"/>
  <c r="F161" i="2"/>
  <c r="N160" i="2"/>
  <c r="F160" i="2"/>
  <c r="F159" i="2"/>
  <c r="N158" i="2"/>
  <c r="F158" i="2"/>
  <c r="H157" i="2"/>
  <c r="G157" i="2"/>
  <c r="N156" i="2"/>
  <c r="F156" i="2"/>
  <c r="N155" i="2"/>
  <c r="F155" i="2"/>
  <c r="N154" i="2"/>
  <c r="F154" i="2"/>
  <c r="N153" i="2"/>
  <c r="F153" i="2"/>
  <c r="N152" i="2"/>
  <c r="F152" i="2"/>
  <c r="N151" i="2"/>
  <c r="F151" i="2"/>
  <c r="N150" i="2"/>
  <c r="F150" i="2"/>
  <c r="N172" i="2" l="1"/>
  <c r="F157" i="2"/>
  <c r="N142" i="2"/>
  <c r="F142" i="2"/>
  <c r="N141" i="2"/>
  <c r="F141" i="2"/>
  <c r="N140" i="2"/>
  <c r="F140" i="2"/>
  <c r="N139" i="2"/>
  <c r="F139" i="2"/>
  <c r="N138" i="2"/>
  <c r="F138" i="2"/>
  <c r="N137" i="2"/>
  <c r="F137" i="2"/>
  <c r="N136" i="2"/>
  <c r="F136" i="2"/>
  <c r="N135" i="2"/>
  <c r="F135" i="2"/>
  <c r="N134" i="2"/>
  <c r="F134" i="2"/>
  <c r="N133" i="2"/>
  <c r="F133" i="2"/>
  <c r="N132" i="2"/>
  <c r="F132" i="2"/>
  <c r="N131" i="2"/>
  <c r="F131" i="2"/>
  <c r="N130" i="2"/>
  <c r="F130" i="2"/>
  <c r="N129" i="2"/>
  <c r="F129" i="2"/>
  <c r="N128" i="2"/>
  <c r="F128" i="2"/>
  <c r="N127" i="2"/>
  <c r="F127" i="2"/>
  <c r="N126" i="2"/>
  <c r="F126" i="2"/>
  <c r="N125" i="2"/>
  <c r="F125" i="2"/>
  <c r="N124" i="2"/>
  <c r="F124" i="2"/>
  <c r="N123" i="2"/>
  <c r="F123" i="2"/>
  <c r="N122" i="2"/>
  <c r="F122" i="2"/>
  <c r="N121" i="2"/>
  <c r="F121" i="2"/>
  <c r="N120" i="2"/>
  <c r="F120" i="2"/>
  <c r="N119" i="2"/>
  <c r="F119" i="2"/>
  <c r="N118" i="2"/>
  <c r="F118" i="2"/>
  <c r="N117" i="2"/>
  <c r="F117" i="2"/>
  <c r="N116" i="2"/>
  <c r="F116" i="2"/>
  <c r="N115" i="2"/>
  <c r="F115" i="2"/>
  <c r="N113" i="2"/>
  <c r="F113" i="2"/>
  <c r="E112" i="2"/>
  <c r="D112" i="2"/>
  <c r="N111" i="2"/>
  <c r="F111" i="2"/>
  <c r="I111" i="2" s="1"/>
  <c r="N110" i="2"/>
  <c r="F110" i="2"/>
  <c r="I110" i="2" s="1"/>
  <c r="N109" i="2"/>
  <c r="I109" i="2"/>
  <c r="F109" i="2"/>
  <c r="N108" i="2"/>
  <c r="H112" i="2"/>
  <c r="G112" i="2"/>
  <c r="H107" i="2"/>
  <c r="G107" i="2"/>
  <c r="E107" i="2"/>
  <c r="D107" i="2"/>
  <c r="N106" i="2"/>
  <c r="F106" i="2"/>
  <c r="N105" i="2"/>
  <c r="F105" i="2"/>
  <c r="N104" i="2"/>
  <c r="F104" i="2"/>
  <c r="N103" i="2"/>
  <c r="F103" i="2"/>
  <c r="N102" i="2"/>
  <c r="F102" i="2"/>
  <c r="N101" i="2"/>
  <c r="F101" i="2"/>
  <c r="N100" i="2"/>
  <c r="F100" i="2"/>
  <c r="H98" i="2"/>
  <c r="G98" i="2"/>
  <c r="F98" i="2" s="1"/>
  <c r="N96" i="2"/>
  <c r="F96" i="2"/>
  <c r="N95" i="2"/>
  <c r="F95" i="2"/>
  <c r="F94" i="2"/>
  <c r="N93" i="2"/>
  <c r="F93" i="2"/>
  <c r="H92" i="2"/>
  <c r="G92" i="2"/>
  <c r="N91" i="2"/>
  <c r="F91" i="2"/>
  <c r="N90" i="2"/>
  <c r="F90" i="2"/>
  <c r="N89" i="2"/>
  <c r="F89" i="2"/>
  <c r="N88" i="2"/>
  <c r="F88" i="2"/>
  <c r="N87" i="2"/>
  <c r="F87" i="2"/>
  <c r="N86" i="2"/>
  <c r="F86" i="2"/>
  <c r="N85" i="2"/>
  <c r="F85" i="2"/>
  <c r="H43" i="2"/>
  <c r="G43" i="2"/>
  <c r="N112" i="2" l="1"/>
  <c r="F92" i="2"/>
  <c r="N107" i="2"/>
  <c r="F107" i="2"/>
  <c r="F108" i="2"/>
  <c r="F112" i="2" s="1"/>
  <c r="K75" i="2" l="1"/>
  <c r="K140" i="2" s="1"/>
  <c r="K205" i="2" s="1"/>
  <c r="K270" i="2" s="1"/>
  <c r="K335" i="2" s="1"/>
  <c r="K400" i="2" s="1"/>
  <c r="K465" i="2" s="1"/>
  <c r="K530" i="2" s="1"/>
  <c r="K595" i="2" s="1"/>
  <c r="K660" i="2" s="1"/>
  <c r="K725" i="2" s="1"/>
  <c r="K790" i="2" s="1"/>
  <c r="K855" i="2" s="1"/>
  <c r="K920" i="2" s="1"/>
  <c r="K985" i="2" s="1"/>
  <c r="K1050" i="2" s="1"/>
  <c r="K76" i="2"/>
  <c r="K141" i="2" s="1"/>
  <c r="K206" i="2" s="1"/>
  <c r="K271" i="2" s="1"/>
  <c r="K77" i="2"/>
  <c r="K142" i="2" s="1"/>
  <c r="K207" i="2" s="1"/>
  <c r="K272" i="2" s="1"/>
  <c r="K337" i="2" s="1"/>
  <c r="K402" i="2" s="1"/>
  <c r="K467" i="2" s="1"/>
  <c r="K532" i="2" s="1"/>
  <c r="K597" i="2" s="1"/>
  <c r="K662" i="2" s="1"/>
  <c r="K727" i="2" s="1"/>
  <c r="K792" i="2" s="1"/>
  <c r="K857" i="2" s="1"/>
  <c r="K922" i="2" s="1"/>
  <c r="K987" i="2" s="1"/>
  <c r="K1052" i="2" s="1"/>
  <c r="K69" i="2"/>
  <c r="K134" i="2" s="1"/>
  <c r="K199" i="2" s="1"/>
  <c r="K264" i="2" s="1"/>
  <c r="K329" i="2" s="1"/>
  <c r="K394" i="2" s="1"/>
  <c r="K459" i="2" s="1"/>
  <c r="K524" i="2" s="1"/>
  <c r="K589" i="2" s="1"/>
  <c r="K654" i="2" s="1"/>
  <c r="K719" i="2" s="1"/>
  <c r="K784" i="2" s="1"/>
  <c r="K849" i="2" s="1"/>
  <c r="K914" i="2" s="1"/>
  <c r="K979" i="2" s="1"/>
  <c r="K1044" i="2" s="1"/>
  <c r="K70" i="2"/>
  <c r="K135" i="2" s="1"/>
  <c r="K200" i="2" s="1"/>
  <c r="K265" i="2" s="1"/>
  <c r="K330" i="2" s="1"/>
  <c r="K395" i="2" s="1"/>
  <c r="K460" i="2" s="1"/>
  <c r="K525" i="2" s="1"/>
  <c r="K590" i="2" s="1"/>
  <c r="K655" i="2" s="1"/>
  <c r="K720" i="2" s="1"/>
  <c r="K785" i="2" s="1"/>
  <c r="K850" i="2" s="1"/>
  <c r="K915" i="2" s="1"/>
  <c r="K980" i="2" s="1"/>
  <c r="K1045" i="2" s="1"/>
  <c r="K71" i="2"/>
  <c r="K136" i="2" s="1"/>
  <c r="K201" i="2" s="1"/>
  <c r="K266" i="2" s="1"/>
  <c r="K331" i="2" s="1"/>
  <c r="K396" i="2" s="1"/>
  <c r="K461" i="2" s="1"/>
  <c r="K526" i="2" s="1"/>
  <c r="K591" i="2" s="1"/>
  <c r="K656" i="2" s="1"/>
  <c r="K721" i="2" s="1"/>
  <c r="K786" i="2" s="1"/>
  <c r="K851" i="2" s="1"/>
  <c r="K916" i="2" s="1"/>
  <c r="K981" i="2" s="1"/>
  <c r="K1046" i="2" s="1"/>
  <c r="K72" i="2"/>
  <c r="K137" i="2" s="1"/>
  <c r="K202" i="2" s="1"/>
  <c r="K267" i="2" s="1"/>
  <c r="K73" i="2"/>
  <c r="K138" i="2" s="1"/>
  <c r="K203" i="2" s="1"/>
  <c r="K268" i="2" s="1"/>
  <c r="K333" i="2" s="1"/>
  <c r="K398" i="2" s="1"/>
  <c r="K463" i="2" s="1"/>
  <c r="K528" i="2" s="1"/>
  <c r="K593" i="2" s="1"/>
  <c r="K658" i="2" s="1"/>
  <c r="K723" i="2" s="1"/>
  <c r="K788" i="2" s="1"/>
  <c r="K853" i="2" s="1"/>
  <c r="K918" i="2" s="1"/>
  <c r="K983" i="2" s="1"/>
  <c r="K1048" i="2" s="1"/>
  <c r="K74" i="2"/>
  <c r="K139" i="2" s="1"/>
  <c r="K204" i="2" s="1"/>
  <c r="K269" i="2" s="1"/>
  <c r="K334" i="2" s="1"/>
  <c r="K399" i="2" s="1"/>
  <c r="K464" i="2" s="1"/>
  <c r="K529" i="2" s="1"/>
  <c r="K594" i="2" s="1"/>
  <c r="K659" i="2" s="1"/>
  <c r="K724" i="2" s="1"/>
  <c r="K789" i="2" s="1"/>
  <c r="K854" i="2" s="1"/>
  <c r="K919" i="2" s="1"/>
  <c r="K984" i="2" s="1"/>
  <c r="K1049" i="2" s="1"/>
  <c r="K63" i="2"/>
  <c r="K128" i="2" s="1"/>
  <c r="K193" i="2" s="1"/>
  <c r="K258" i="2" s="1"/>
  <c r="K323" i="2" s="1"/>
  <c r="K388" i="2" s="1"/>
  <c r="K453" i="2" s="1"/>
  <c r="K518" i="2" s="1"/>
  <c r="K583" i="2" s="1"/>
  <c r="K648" i="2" s="1"/>
  <c r="K713" i="2" s="1"/>
  <c r="K778" i="2" s="1"/>
  <c r="K843" i="2" s="1"/>
  <c r="K908" i="2" s="1"/>
  <c r="K973" i="2" s="1"/>
  <c r="K1038" i="2" s="1"/>
  <c r="K64" i="2"/>
  <c r="K129" i="2" s="1"/>
  <c r="K194" i="2" s="1"/>
  <c r="K259" i="2" s="1"/>
  <c r="K324" i="2" s="1"/>
  <c r="K389" i="2" s="1"/>
  <c r="K454" i="2" s="1"/>
  <c r="K519" i="2" s="1"/>
  <c r="K584" i="2" s="1"/>
  <c r="K649" i="2" s="1"/>
  <c r="K714" i="2" s="1"/>
  <c r="K779" i="2" s="1"/>
  <c r="K844" i="2" s="1"/>
  <c r="K909" i="2" s="1"/>
  <c r="K974" i="2" s="1"/>
  <c r="K1039" i="2" s="1"/>
  <c r="K65" i="2"/>
  <c r="K130" i="2" s="1"/>
  <c r="K66" i="2"/>
  <c r="K131" i="2" s="1"/>
  <c r="K196" i="2" s="1"/>
  <c r="K261" i="2" s="1"/>
  <c r="K326" i="2" s="1"/>
  <c r="K391" i="2" s="1"/>
  <c r="K456" i="2" s="1"/>
  <c r="K521" i="2" s="1"/>
  <c r="K586" i="2" s="1"/>
  <c r="K651" i="2" s="1"/>
  <c r="K716" i="2" s="1"/>
  <c r="K781" i="2" s="1"/>
  <c r="K846" i="2" s="1"/>
  <c r="K911" i="2" s="1"/>
  <c r="K976" i="2" s="1"/>
  <c r="K1041" i="2" s="1"/>
  <c r="K67" i="2"/>
  <c r="K132" i="2" s="1"/>
  <c r="K197" i="2" s="1"/>
  <c r="K262" i="2" s="1"/>
  <c r="K327" i="2" s="1"/>
  <c r="K392" i="2" s="1"/>
  <c r="K457" i="2" s="1"/>
  <c r="K522" i="2" s="1"/>
  <c r="K587" i="2" s="1"/>
  <c r="K652" i="2" s="1"/>
  <c r="K717" i="2" s="1"/>
  <c r="K782" i="2" s="1"/>
  <c r="K847" i="2" s="1"/>
  <c r="K912" i="2" s="1"/>
  <c r="K977" i="2" s="1"/>
  <c r="K1042" i="2" s="1"/>
  <c r="K68" i="2"/>
  <c r="K133" i="2" s="1"/>
  <c r="K198" i="2" s="1"/>
  <c r="K263" i="2" s="1"/>
  <c r="K58" i="2"/>
  <c r="K123" i="2" s="1"/>
  <c r="K188" i="2" s="1"/>
  <c r="K253" i="2" s="1"/>
  <c r="K318" i="2" s="1"/>
  <c r="K383" i="2" s="1"/>
  <c r="K448" i="2" s="1"/>
  <c r="K513" i="2" s="1"/>
  <c r="K578" i="2" s="1"/>
  <c r="K643" i="2" s="1"/>
  <c r="K708" i="2" s="1"/>
  <c r="K773" i="2" s="1"/>
  <c r="K838" i="2" s="1"/>
  <c r="K59" i="2"/>
  <c r="K124" i="2" s="1"/>
  <c r="K189" i="2" s="1"/>
  <c r="K254" i="2" s="1"/>
  <c r="K319" i="2" s="1"/>
  <c r="K384" i="2" s="1"/>
  <c r="K449" i="2" s="1"/>
  <c r="K514" i="2" s="1"/>
  <c r="K579" i="2" s="1"/>
  <c r="K644" i="2" s="1"/>
  <c r="K709" i="2" s="1"/>
  <c r="K774" i="2" s="1"/>
  <c r="K839" i="2" s="1"/>
  <c r="K904" i="2" s="1"/>
  <c r="K969" i="2" s="1"/>
  <c r="K1034" i="2" s="1"/>
  <c r="K60" i="2"/>
  <c r="K125" i="2" s="1"/>
  <c r="K190" i="2" s="1"/>
  <c r="K255" i="2" s="1"/>
  <c r="K320" i="2" s="1"/>
  <c r="K385" i="2" s="1"/>
  <c r="K450" i="2" s="1"/>
  <c r="K515" i="2" s="1"/>
  <c r="K580" i="2" s="1"/>
  <c r="K645" i="2" s="1"/>
  <c r="K710" i="2" s="1"/>
  <c r="K775" i="2" s="1"/>
  <c r="K840" i="2" s="1"/>
  <c r="K905" i="2" s="1"/>
  <c r="K970" i="2" s="1"/>
  <c r="K1035" i="2" s="1"/>
  <c r="K61" i="2"/>
  <c r="K126" i="2" s="1"/>
  <c r="K62" i="2"/>
  <c r="K127" i="2" s="1"/>
  <c r="K192" i="2" s="1"/>
  <c r="K257" i="2" s="1"/>
  <c r="K322" i="2" s="1"/>
  <c r="K387" i="2" s="1"/>
  <c r="K452" i="2" s="1"/>
  <c r="K517" i="2" s="1"/>
  <c r="K52" i="2"/>
  <c r="K117" i="2" s="1"/>
  <c r="K182" i="2" s="1"/>
  <c r="K247" i="2" s="1"/>
  <c r="K312" i="2" s="1"/>
  <c r="K377" i="2" s="1"/>
  <c r="K442" i="2" s="1"/>
  <c r="K507" i="2" s="1"/>
  <c r="K572" i="2" s="1"/>
  <c r="K637" i="2" s="1"/>
  <c r="K702" i="2" s="1"/>
  <c r="K767" i="2" s="1"/>
  <c r="K832" i="2" s="1"/>
  <c r="K897" i="2" s="1"/>
  <c r="K962" i="2" s="1"/>
  <c r="K1027" i="2" s="1"/>
  <c r="K53" i="2"/>
  <c r="K118" i="2" s="1"/>
  <c r="K54" i="2"/>
  <c r="K119" i="2" s="1"/>
  <c r="K184" i="2" s="1"/>
  <c r="K249" i="2" s="1"/>
  <c r="K314" i="2" s="1"/>
  <c r="K379" i="2" s="1"/>
  <c r="K444" i="2" s="1"/>
  <c r="K509" i="2" s="1"/>
  <c r="K574" i="2" s="1"/>
  <c r="K639" i="2" s="1"/>
  <c r="K704" i="2" s="1"/>
  <c r="K769" i="2" s="1"/>
  <c r="K834" i="2" s="1"/>
  <c r="K899" i="2" s="1"/>
  <c r="K964" i="2" s="1"/>
  <c r="K55" i="2"/>
  <c r="K120" i="2" s="1"/>
  <c r="K185" i="2" s="1"/>
  <c r="K250" i="2" s="1"/>
  <c r="K315" i="2" s="1"/>
  <c r="K380" i="2" s="1"/>
  <c r="K445" i="2" s="1"/>
  <c r="K510" i="2" s="1"/>
  <c r="K575" i="2" s="1"/>
  <c r="K640" i="2" s="1"/>
  <c r="K705" i="2" s="1"/>
  <c r="K770" i="2" s="1"/>
  <c r="K835" i="2" s="1"/>
  <c r="K900" i="2" s="1"/>
  <c r="K965" i="2" s="1"/>
  <c r="K1030" i="2" s="1"/>
  <c r="K56" i="2"/>
  <c r="K121" i="2" s="1"/>
  <c r="K186" i="2" s="1"/>
  <c r="K251" i="2" s="1"/>
  <c r="K316" i="2" s="1"/>
  <c r="K381" i="2" s="1"/>
  <c r="K446" i="2" s="1"/>
  <c r="K511" i="2" s="1"/>
  <c r="K576" i="2" s="1"/>
  <c r="K641" i="2" s="1"/>
  <c r="K706" i="2" s="1"/>
  <c r="K771" i="2" s="1"/>
  <c r="K836" i="2" s="1"/>
  <c r="K901" i="2" s="1"/>
  <c r="K966" i="2" s="1"/>
  <c r="K1031" i="2" s="1"/>
  <c r="K57" i="2"/>
  <c r="K122" i="2" s="1"/>
  <c r="K187" i="2" s="1"/>
  <c r="K252" i="2" s="1"/>
  <c r="J69" i="2"/>
  <c r="J134" i="2" s="1"/>
  <c r="J70" i="2"/>
  <c r="J135" i="2" s="1"/>
  <c r="J71" i="2"/>
  <c r="J136" i="2" s="1"/>
  <c r="J72" i="2"/>
  <c r="J137" i="2" s="1"/>
  <c r="J73" i="2"/>
  <c r="J138" i="2" s="1"/>
  <c r="J74" i="2"/>
  <c r="J139" i="2" s="1"/>
  <c r="J75" i="2"/>
  <c r="J140" i="2" s="1"/>
  <c r="J76" i="2"/>
  <c r="J141" i="2" s="1"/>
  <c r="J77" i="2"/>
  <c r="J142" i="2" s="1"/>
  <c r="J60" i="2"/>
  <c r="J125" i="2" s="1"/>
  <c r="J61" i="2"/>
  <c r="J126" i="2" s="1"/>
  <c r="J62" i="2"/>
  <c r="J127" i="2" s="1"/>
  <c r="J63" i="2"/>
  <c r="J128" i="2" s="1"/>
  <c r="J64" i="2"/>
  <c r="J129" i="2" s="1"/>
  <c r="J65" i="2"/>
  <c r="J130" i="2" s="1"/>
  <c r="J66" i="2"/>
  <c r="J131" i="2" s="1"/>
  <c r="J67" i="2"/>
  <c r="J132" i="2" s="1"/>
  <c r="J68" i="2"/>
  <c r="J133" i="2" s="1"/>
  <c r="J52" i="2"/>
  <c r="J117" i="2" s="1"/>
  <c r="J53" i="2"/>
  <c r="J118" i="2" s="1"/>
  <c r="J54" i="2"/>
  <c r="J119" i="2" s="1"/>
  <c r="J55" i="2"/>
  <c r="J120" i="2" s="1"/>
  <c r="J56" i="2"/>
  <c r="J121" i="2" s="1"/>
  <c r="J57" i="2"/>
  <c r="J122" i="2" s="1"/>
  <c r="J58" i="2"/>
  <c r="J123" i="2" s="1"/>
  <c r="J59" i="2"/>
  <c r="J124" i="2" s="1"/>
  <c r="K51" i="2"/>
  <c r="K116" i="2" s="1"/>
  <c r="K181" i="2" s="1"/>
  <c r="K246" i="2" s="1"/>
  <c r="K311" i="2" s="1"/>
  <c r="K376" i="2" s="1"/>
  <c r="K441" i="2" s="1"/>
  <c r="K506" i="2" s="1"/>
  <c r="K571" i="2" s="1"/>
  <c r="K636" i="2" s="1"/>
  <c r="K701" i="2" s="1"/>
  <c r="J51" i="2"/>
  <c r="J116" i="2" s="1"/>
  <c r="K50" i="2"/>
  <c r="K115" i="2" s="1"/>
  <c r="K180" i="2" s="1"/>
  <c r="K245" i="2" s="1"/>
  <c r="K310" i="2" s="1"/>
  <c r="K375" i="2" s="1"/>
  <c r="J50" i="2"/>
  <c r="J115" i="2" s="1"/>
  <c r="K48" i="2"/>
  <c r="K113" i="2" s="1"/>
  <c r="K178" i="2" s="1"/>
  <c r="K243" i="2" s="1"/>
  <c r="J48" i="2"/>
  <c r="J113" i="2" s="1"/>
  <c r="K45" i="2"/>
  <c r="K110" i="2" s="1"/>
  <c r="K175" i="2" s="1"/>
  <c r="K240" i="2" s="1"/>
  <c r="K305" i="2" s="1"/>
  <c r="K370" i="2" s="1"/>
  <c r="K435" i="2" s="1"/>
  <c r="K500" i="2" s="1"/>
  <c r="K565" i="2" s="1"/>
  <c r="K630" i="2" s="1"/>
  <c r="K695" i="2" s="1"/>
  <c r="K760" i="2" s="1"/>
  <c r="K825" i="2" s="1"/>
  <c r="K890" i="2" s="1"/>
  <c r="K955" i="2" s="1"/>
  <c r="K1020" i="2" s="1"/>
  <c r="K46" i="2"/>
  <c r="K111" i="2" s="1"/>
  <c r="K176" i="2" s="1"/>
  <c r="K241" i="2" s="1"/>
  <c r="K306" i="2" s="1"/>
  <c r="K371" i="2" s="1"/>
  <c r="K436" i="2" s="1"/>
  <c r="K501" i="2" s="1"/>
  <c r="K566" i="2" s="1"/>
  <c r="K631" i="2" s="1"/>
  <c r="K696" i="2" s="1"/>
  <c r="K761" i="2" s="1"/>
  <c r="K826" i="2" s="1"/>
  <c r="K891" i="2" s="1"/>
  <c r="K956" i="2" s="1"/>
  <c r="K1021" i="2" s="1"/>
  <c r="J45" i="2"/>
  <c r="J110" i="2" s="1"/>
  <c r="J46" i="2"/>
  <c r="J111" i="2" s="1"/>
  <c r="K44" i="2"/>
  <c r="K109" i="2" s="1"/>
  <c r="K174" i="2" s="1"/>
  <c r="K239" i="2" s="1"/>
  <c r="K304" i="2" s="1"/>
  <c r="K369" i="2" s="1"/>
  <c r="K434" i="2" s="1"/>
  <c r="K499" i="2" s="1"/>
  <c r="K564" i="2" s="1"/>
  <c r="K629" i="2" s="1"/>
  <c r="K694" i="2" s="1"/>
  <c r="K759" i="2" s="1"/>
  <c r="K824" i="2" s="1"/>
  <c r="K889" i="2" s="1"/>
  <c r="K954" i="2" s="1"/>
  <c r="K1019" i="2" s="1"/>
  <c r="J44" i="2"/>
  <c r="J109" i="2" s="1"/>
  <c r="K43" i="2"/>
  <c r="K108" i="2" s="1"/>
  <c r="J43" i="2"/>
  <c r="J108" i="2" s="1"/>
  <c r="K37" i="2"/>
  <c r="K102" i="2" s="1"/>
  <c r="K167" i="2" s="1"/>
  <c r="K232" i="2" s="1"/>
  <c r="K38" i="2"/>
  <c r="K103" i="2" s="1"/>
  <c r="K168" i="2" s="1"/>
  <c r="K233" i="2" s="1"/>
  <c r="K298" i="2" s="1"/>
  <c r="K363" i="2" s="1"/>
  <c r="K428" i="2" s="1"/>
  <c r="K493" i="2" s="1"/>
  <c r="K558" i="2" s="1"/>
  <c r="K623" i="2" s="1"/>
  <c r="K688" i="2" s="1"/>
  <c r="K753" i="2" s="1"/>
  <c r="K818" i="2" s="1"/>
  <c r="K883" i="2" s="1"/>
  <c r="K948" i="2" s="1"/>
  <c r="K1013" i="2" s="1"/>
  <c r="K39" i="2"/>
  <c r="K104" i="2" s="1"/>
  <c r="K169" i="2" s="1"/>
  <c r="K234" i="2" s="1"/>
  <c r="K299" i="2" s="1"/>
  <c r="K364" i="2" s="1"/>
  <c r="K429" i="2" s="1"/>
  <c r="K494" i="2" s="1"/>
  <c r="K559" i="2" s="1"/>
  <c r="K624" i="2" s="1"/>
  <c r="K689" i="2" s="1"/>
  <c r="K754" i="2" s="1"/>
  <c r="K819" i="2" s="1"/>
  <c r="K884" i="2" s="1"/>
  <c r="K949" i="2" s="1"/>
  <c r="K1014" i="2" s="1"/>
  <c r="K40" i="2"/>
  <c r="K105" i="2" s="1"/>
  <c r="K170" i="2" s="1"/>
  <c r="K235" i="2" s="1"/>
  <c r="K41" i="2"/>
  <c r="K106" i="2" s="1"/>
  <c r="K171" i="2" s="1"/>
  <c r="K236" i="2" s="1"/>
  <c r="K301" i="2" s="1"/>
  <c r="K366" i="2" s="1"/>
  <c r="K431" i="2" s="1"/>
  <c r="K496" i="2" s="1"/>
  <c r="K561" i="2" s="1"/>
  <c r="K626" i="2" s="1"/>
  <c r="K691" i="2" s="1"/>
  <c r="K756" i="2" s="1"/>
  <c r="K821" i="2" s="1"/>
  <c r="K886" i="2" s="1"/>
  <c r="K951" i="2" s="1"/>
  <c r="K1016" i="2" s="1"/>
  <c r="J37" i="2"/>
  <c r="J102" i="2" s="1"/>
  <c r="J38" i="2"/>
  <c r="J103" i="2" s="1"/>
  <c r="J39" i="2"/>
  <c r="J104" i="2" s="1"/>
  <c r="J40" i="2"/>
  <c r="J105" i="2" s="1"/>
  <c r="J41" i="2"/>
  <c r="J106" i="2" s="1"/>
  <c r="K36" i="2"/>
  <c r="K101" i="2" s="1"/>
  <c r="K166" i="2" s="1"/>
  <c r="K231" i="2" s="1"/>
  <c r="K296" i="2" s="1"/>
  <c r="K361" i="2" s="1"/>
  <c r="K426" i="2" s="1"/>
  <c r="K491" i="2" s="1"/>
  <c r="K556" i="2" s="1"/>
  <c r="K621" i="2" s="1"/>
  <c r="K686" i="2" s="1"/>
  <c r="K751" i="2" s="1"/>
  <c r="K816" i="2" s="1"/>
  <c r="K881" i="2" s="1"/>
  <c r="K946" i="2" s="1"/>
  <c r="K1011" i="2" s="1"/>
  <c r="J36" i="2"/>
  <c r="J101" i="2" s="1"/>
  <c r="K35" i="2"/>
  <c r="K100" i="2" s="1"/>
  <c r="J35" i="2"/>
  <c r="J100" i="2" s="1"/>
  <c r="K30" i="2"/>
  <c r="K95" i="2" s="1"/>
  <c r="K160" i="2" s="1"/>
  <c r="K225" i="2" s="1"/>
  <c r="K290" i="2" s="1"/>
  <c r="K355" i="2" s="1"/>
  <c r="K420" i="2" s="1"/>
  <c r="K485" i="2" s="1"/>
  <c r="K550" i="2" s="1"/>
  <c r="K615" i="2" s="1"/>
  <c r="K680" i="2" s="1"/>
  <c r="K745" i="2" s="1"/>
  <c r="K810" i="2" s="1"/>
  <c r="K875" i="2" s="1"/>
  <c r="K940" i="2" s="1"/>
  <c r="K1005" i="2" s="1"/>
  <c r="K31" i="2"/>
  <c r="K96" i="2" s="1"/>
  <c r="K161" i="2" s="1"/>
  <c r="K226" i="2" s="1"/>
  <c r="K291" i="2" s="1"/>
  <c r="K356" i="2" s="1"/>
  <c r="K421" i="2" s="1"/>
  <c r="K486" i="2" s="1"/>
  <c r="K551" i="2" s="1"/>
  <c r="K616" i="2" s="1"/>
  <c r="K681" i="2" s="1"/>
  <c r="K746" i="2" s="1"/>
  <c r="K811" i="2" s="1"/>
  <c r="K876" i="2" s="1"/>
  <c r="K941" i="2" s="1"/>
  <c r="K1006" i="2" s="1"/>
  <c r="K32" i="2"/>
  <c r="K97" i="2" s="1"/>
  <c r="K162" i="2" s="1"/>
  <c r="K227" i="2" s="1"/>
  <c r="J30" i="2"/>
  <c r="J95" i="2" s="1"/>
  <c r="J31" i="2"/>
  <c r="J96" i="2" s="1"/>
  <c r="J32" i="2"/>
  <c r="J97" i="2" s="1"/>
  <c r="K29" i="2"/>
  <c r="K94" i="2" s="1"/>
  <c r="K159" i="2" s="1"/>
  <c r="K224" i="2" s="1"/>
  <c r="K289" i="2" s="1"/>
  <c r="K354" i="2" s="1"/>
  <c r="K419" i="2" s="1"/>
  <c r="K484" i="2" s="1"/>
  <c r="K549" i="2" s="1"/>
  <c r="K614" i="2" s="1"/>
  <c r="K679" i="2" s="1"/>
  <c r="K744" i="2" s="1"/>
  <c r="K809" i="2" s="1"/>
  <c r="K874" i="2" s="1"/>
  <c r="K939" i="2" s="1"/>
  <c r="K1004" i="2" s="1"/>
  <c r="J29" i="2"/>
  <c r="J94" i="2" s="1"/>
  <c r="K28" i="2"/>
  <c r="K93" i="2" s="1"/>
  <c r="J28" i="2"/>
  <c r="J93" i="2" s="1"/>
  <c r="K22" i="2"/>
  <c r="K87" i="2" s="1"/>
  <c r="K152" i="2" s="1"/>
  <c r="K217" i="2" s="1"/>
  <c r="K23" i="2"/>
  <c r="K88" i="2" s="1"/>
  <c r="K153" i="2" s="1"/>
  <c r="K218" i="2" s="1"/>
  <c r="K283" i="2" s="1"/>
  <c r="K348" i="2" s="1"/>
  <c r="K413" i="2" s="1"/>
  <c r="K478" i="2" s="1"/>
  <c r="K543" i="2" s="1"/>
  <c r="K608" i="2" s="1"/>
  <c r="K673" i="2" s="1"/>
  <c r="K738" i="2" s="1"/>
  <c r="K803" i="2" s="1"/>
  <c r="K868" i="2" s="1"/>
  <c r="K933" i="2" s="1"/>
  <c r="K998" i="2" s="1"/>
  <c r="K24" i="2"/>
  <c r="K89" i="2" s="1"/>
  <c r="K154" i="2" s="1"/>
  <c r="K219" i="2" s="1"/>
  <c r="K25" i="2"/>
  <c r="K90" i="2" s="1"/>
  <c r="K26" i="2"/>
  <c r="K91" i="2" s="1"/>
  <c r="K156" i="2" s="1"/>
  <c r="K221" i="2" s="1"/>
  <c r="K286" i="2" s="1"/>
  <c r="K351" i="2" s="1"/>
  <c r="K416" i="2" s="1"/>
  <c r="K481" i="2" s="1"/>
  <c r="K546" i="2" s="1"/>
  <c r="K611" i="2" s="1"/>
  <c r="K676" i="2" s="1"/>
  <c r="K741" i="2" s="1"/>
  <c r="K806" i="2" s="1"/>
  <c r="K871" i="2" s="1"/>
  <c r="K936" i="2" s="1"/>
  <c r="K1001" i="2" s="1"/>
  <c r="J22" i="2"/>
  <c r="J87" i="2" s="1"/>
  <c r="J23" i="2"/>
  <c r="J88" i="2" s="1"/>
  <c r="J24" i="2"/>
  <c r="J89" i="2" s="1"/>
  <c r="J25" i="2"/>
  <c r="J90" i="2" s="1"/>
  <c r="J26" i="2"/>
  <c r="J91" i="2" s="1"/>
  <c r="K21" i="2"/>
  <c r="K86" i="2" s="1"/>
  <c r="K151" i="2" s="1"/>
  <c r="K216" i="2" s="1"/>
  <c r="K281" i="2" s="1"/>
  <c r="K346" i="2" s="1"/>
  <c r="K411" i="2" s="1"/>
  <c r="K476" i="2" s="1"/>
  <c r="K541" i="2" s="1"/>
  <c r="K606" i="2" s="1"/>
  <c r="K671" i="2" s="1"/>
  <c r="K736" i="2" s="1"/>
  <c r="K801" i="2" s="1"/>
  <c r="K866" i="2" s="1"/>
  <c r="K931" i="2" s="1"/>
  <c r="K996" i="2" s="1"/>
  <c r="J21" i="2"/>
  <c r="J86" i="2" s="1"/>
  <c r="K20" i="2"/>
  <c r="K85" i="2" s="1"/>
  <c r="J20" i="2"/>
  <c r="J85" i="2" s="1"/>
  <c r="O120" i="2" l="1"/>
  <c r="J185" i="2"/>
  <c r="L120" i="2"/>
  <c r="I120" i="2"/>
  <c r="J190" i="2"/>
  <c r="L125" i="2"/>
  <c r="I125" i="2"/>
  <c r="O125" i="2"/>
  <c r="K582" i="2"/>
  <c r="K647" i="2" s="1"/>
  <c r="K712" i="2" s="1"/>
  <c r="K777" i="2" s="1"/>
  <c r="K842" i="2" s="1"/>
  <c r="K907" i="2" s="1"/>
  <c r="K972" i="2" s="1"/>
  <c r="K1037" i="2" s="1"/>
  <c r="K282" i="2"/>
  <c r="K292" i="2"/>
  <c r="O105" i="2"/>
  <c r="J170" i="2"/>
  <c r="L105" i="2"/>
  <c r="I105" i="2"/>
  <c r="K440" i="2"/>
  <c r="J188" i="2"/>
  <c r="O123" i="2"/>
  <c r="L123" i="2"/>
  <c r="I123" i="2"/>
  <c r="J184" i="2"/>
  <c r="O119" i="2"/>
  <c r="L119" i="2"/>
  <c r="I119" i="2"/>
  <c r="J197" i="2"/>
  <c r="O132" i="2"/>
  <c r="L132" i="2"/>
  <c r="I132" i="2"/>
  <c r="J193" i="2"/>
  <c r="O128" i="2"/>
  <c r="L128" i="2"/>
  <c r="I128" i="2"/>
  <c r="J207" i="2"/>
  <c r="O142" i="2"/>
  <c r="I142" i="2"/>
  <c r="L142" i="2"/>
  <c r="J203" i="2"/>
  <c r="L138" i="2"/>
  <c r="O138" i="2"/>
  <c r="I138" i="2"/>
  <c r="J199" i="2"/>
  <c r="O134" i="2"/>
  <c r="L134" i="2"/>
  <c r="I134" i="2"/>
  <c r="K1029" i="2"/>
  <c r="I126" i="2"/>
  <c r="K191" i="2"/>
  <c r="K256" i="2" s="1"/>
  <c r="K328" i="2"/>
  <c r="K332" i="2"/>
  <c r="J150" i="2"/>
  <c r="I85" i="2"/>
  <c r="J92" i="2"/>
  <c r="L85" i="2"/>
  <c r="O85" i="2"/>
  <c r="J156" i="2"/>
  <c r="I91" i="2"/>
  <c r="O91" i="2"/>
  <c r="O87" i="2"/>
  <c r="J152" i="2"/>
  <c r="L87" i="2"/>
  <c r="I87" i="2"/>
  <c r="J180" i="2"/>
  <c r="O115" i="2"/>
  <c r="I115" i="2"/>
  <c r="L115" i="2"/>
  <c r="K903" i="2"/>
  <c r="K968" i="2" s="1"/>
  <c r="K1033" i="2" s="1"/>
  <c r="I130" i="2"/>
  <c r="K195" i="2"/>
  <c r="K260" i="2" s="1"/>
  <c r="K150" i="2"/>
  <c r="K92" i="2"/>
  <c r="L90" i="2"/>
  <c r="J155" i="2"/>
  <c r="O90" i="2"/>
  <c r="K165" i="2"/>
  <c r="K107" i="2"/>
  <c r="K297" i="2"/>
  <c r="K362" i="2" s="1"/>
  <c r="J151" i="2"/>
  <c r="O86" i="2"/>
  <c r="I86" i="2"/>
  <c r="J154" i="2"/>
  <c r="L89" i="2"/>
  <c r="O89" i="2"/>
  <c r="I89" i="2"/>
  <c r="I90" i="2"/>
  <c r="K155" i="2"/>
  <c r="K220" i="2" s="1"/>
  <c r="K285" i="2" s="1"/>
  <c r="K350" i="2" s="1"/>
  <c r="K415" i="2" s="1"/>
  <c r="K480" i="2" s="1"/>
  <c r="K545" i="2" s="1"/>
  <c r="K610" i="2" s="1"/>
  <c r="K675" i="2" s="1"/>
  <c r="K740" i="2" s="1"/>
  <c r="K805" i="2" s="1"/>
  <c r="K870" i="2" s="1"/>
  <c r="K935" i="2" s="1"/>
  <c r="K1000" i="2" s="1"/>
  <c r="J158" i="2"/>
  <c r="J98" i="2"/>
  <c r="I98" i="2" s="1"/>
  <c r="L93" i="2"/>
  <c r="O93" i="2"/>
  <c r="I93" i="2"/>
  <c r="J162" i="2"/>
  <c r="L97" i="2"/>
  <c r="O97" i="2"/>
  <c r="I97" i="2"/>
  <c r="J166" i="2"/>
  <c r="O101" i="2"/>
  <c r="L101" i="2"/>
  <c r="I101" i="2"/>
  <c r="J169" i="2"/>
  <c r="O104" i="2"/>
  <c r="I104" i="2"/>
  <c r="L104" i="2"/>
  <c r="K300" i="2"/>
  <c r="J173" i="2"/>
  <c r="O108" i="2"/>
  <c r="J112" i="2"/>
  <c r="L112" i="2" s="1"/>
  <c r="I108" i="2"/>
  <c r="I112" i="2" s="1"/>
  <c r="L108" i="2"/>
  <c r="J176" i="2"/>
  <c r="L111" i="2"/>
  <c r="O111" i="2"/>
  <c r="J178" i="2"/>
  <c r="O113" i="2"/>
  <c r="I113" i="2"/>
  <c r="L113" i="2"/>
  <c r="J181" i="2"/>
  <c r="O116" i="2"/>
  <c r="I116" i="2"/>
  <c r="L116" i="2"/>
  <c r="J187" i="2"/>
  <c r="O122" i="2"/>
  <c r="I122" i="2"/>
  <c r="L122" i="2"/>
  <c r="O131" i="2"/>
  <c r="J196" i="2"/>
  <c r="I131" i="2"/>
  <c r="J192" i="2"/>
  <c r="O127" i="2"/>
  <c r="I127" i="2"/>
  <c r="L127" i="2"/>
  <c r="J206" i="2"/>
  <c r="I141" i="2"/>
  <c r="O141" i="2"/>
  <c r="L141" i="2"/>
  <c r="O137" i="2"/>
  <c r="J202" i="2"/>
  <c r="I137" i="2"/>
  <c r="L137" i="2"/>
  <c r="K317" i="2"/>
  <c r="K382" i="2" s="1"/>
  <c r="K336" i="2"/>
  <c r="J159" i="2"/>
  <c r="I94" i="2"/>
  <c r="O94" i="2"/>
  <c r="J160" i="2"/>
  <c r="L95" i="2"/>
  <c r="O95" i="2"/>
  <c r="I95" i="2"/>
  <c r="J165" i="2"/>
  <c r="I100" i="2"/>
  <c r="O100" i="2"/>
  <c r="J107" i="2"/>
  <c r="L100" i="2"/>
  <c r="J171" i="2"/>
  <c r="I106" i="2"/>
  <c r="O106" i="2"/>
  <c r="L106" i="2"/>
  <c r="J167" i="2"/>
  <c r="L102" i="2"/>
  <c r="O102" i="2"/>
  <c r="I102" i="2"/>
  <c r="J174" i="2"/>
  <c r="O109" i="2"/>
  <c r="L109" i="2"/>
  <c r="O124" i="2"/>
  <c r="J189" i="2"/>
  <c r="L124" i="2"/>
  <c r="I124" i="2"/>
  <c r="J198" i="2"/>
  <c r="O133" i="2"/>
  <c r="I133" i="2"/>
  <c r="L133" i="2"/>
  <c r="J194" i="2"/>
  <c r="O129" i="2"/>
  <c r="L129" i="2"/>
  <c r="I129" i="2"/>
  <c r="J204" i="2"/>
  <c r="I139" i="2"/>
  <c r="O139" i="2"/>
  <c r="L139" i="2"/>
  <c r="J200" i="2"/>
  <c r="O135" i="2"/>
  <c r="I135" i="2"/>
  <c r="L135" i="2"/>
  <c r="J153" i="2"/>
  <c r="O88" i="2"/>
  <c r="I88" i="2"/>
  <c r="K284" i="2"/>
  <c r="K349" i="2" s="1"/>
  <c r="K158" i="2"/>
  <c r="K98" i="2"/>
  <c r="J161" i="2"/>
  <c r="O96" i="2"/>
  <c r="I96" i="2"/>
  <c r="L96" i="2"/>
  <c r="J168" i="2"/>
  <c r="O103" i="2"/>
  <c r="I103" i="2"/>
  <c r="K173" i="2"/>
  <c r="K112" i="2"/>
  <c r="K114" i="2" s="1"/>
  <c r="J175" i="2"/>
  <c r="O110" i="2"/>
  <c r="L110" i="2"/>
  <c r="K308" i="2"/>
  <c r="K373" i="2" s="1"/>
  <c r="K766" i="2"/>
  <c r="K831" i="2" s="1"/>
  <c r="K896" i="2" s="1"/>
  <c r="K961" i="2" s="1"/>
  <c r="K1026" i="2" s="1"/>
  <c r="J186" i="2"/>
  <c r="L121" i="2"/>
  <c r="O121" i="2"/>
  <c r="I121" i="2"/>
  <c r="J182" i="2"/>
  <c r="L117" i="2"/>
  <c r="O117" i="2"/>
  <c r="I117" i="2"/>
  <c r="O130" i="2"/>
  <c r="J195" i="2"/>
  <c r="L130" i="2"/>
  <c r="J191" i="2"/>
  <c r="O126" i="2"/>
  <c r="L126" i="2"/>
  <c r="J205" i="2"/>
  <c r="I140" i="2"/>
  <c r="O140" i="2"/>
  <c r="L140" i="2"/>
  <c r="J201" i="2"/>
  <c r="L136" i="2"/>
  <c r="I136" i="2"/>
  <c r="O136" i="2"/>
  <c r="K183" i="2"/>
  <c r="K143" i="2"/>
  <c r="J183" i="2"/>
  <c r="O118" i="2"/>
  <c r="O143" i="2" s="1"/>
  <c r="J143" i="2"/>
  <c r="I118" i="2"/>
  <c r="L118" i="2"/>
  <c r="K438" i="2" l="1"/>
  <c r="K503" i="2" s="1"/>
  <c r="K568" i="2" s="1"/>
  <c r="K633" i="2" s="1"/>
  <c r="K698" i="2" s="1"/>
  <c r="K763" i="2" s="1"/>
  <c r="K414" i="2"/>
  <c r="K479" i="2" s="1"/>
  <c r="K544" i="2" s="1"/>
  <c r="K609" i="2" s="1"/>
  <c r="K674" i="2" s="1"/>
  <c r="K739" i="2" s="1"/>
  <c r="O204" i="2"/>
  <c r="J269" i="2"/>
  <c r="L204" i="2"/>
  <c r="I204" i="2"/>
  <c r="L198" i="2"/>
  <c r="J263" i="2"/>
  <c r="I198" i="2"/>
  <c r="O198" i="2"/>
  <c r="J172" i="2"/>
  <c r="J230" i="2"/>
  <c r="L165" i="2"/>
  <c r="O165" i="2"/>
  <c r="I165" i="2"/>
  <c r="K401" i="2"/>
  <c r="O166" i="2"/>
  <c r="J231" i="2"/>
  <c r="I166" i="2"/>
  <c r="L166" i="2"/>
  <c r="I155" i="2"/>
  <c r="J220" i="2"/>
  <c r="L155" i="2"/>
  <c r="O155" i="2"/>
  <c r="I260" i="2"/>
  <c r="K325" i="2"/>
  <c r="K390" i="2" s="1"/>
  <c r="K397" i="2"/>
  <c r="K321" i="2"/>
  <c r="K386" i="2" s="1"/>
  <c r="L170" i="2"/>
  <c r="J235" i="2"/>
  <c r="I170" i="2"/>
  <c r="O170" i="2"/>
  <c r="K347" i="2"/>
  <c r="O182" i="2"/>
  <c r="J247" i="2"/>
  <c r="I182" i="2"/>
  <c r="L182" i="2"/>
  <c r="O186" i="2"/>
  <c r="J251" i="2"/>
  <c r="L186" i="2"/>
  <c r="I186" i="2"/>
  <c r="O168" i="2"/>
  <c r="J233" i="2"/>
  <c r="I168" i="2"/>
  <c r="O161" i="2"/>
  <c r="J226" i="2"/>
  <c r="L161" i="2"/>
  <c r="I161" i="2"/>
  <c r="L107" i="2"/>
  <c r="J114" i="2"/>
  <c r="I114" i="2" s="1"/>
  <c r="O98" i="2"/>
  <c r="O196" i="2"/>
  <c r="J261" i="2"/>
  <c r="I196" i="2"/>
  <c r="O176" i="2"/>
  <c r="J241" i="2"/>
  <c r="L176" i="2"/>
  <c r="O112" i="2"/>
  <c r="O114" i="2" s="1"/>
  <c r="O145" i="2" s="1"/>
  <c r="I158" i="2"/>
  <c r="J223" i="2"/>
  <c r="O158" i="2"/>
  <c r="J163" i="2"/>
  <c r="L158" i="2"/>
  <c r="I92" i="2"/>
  <c r="K505" i="2"/>
  <c r="L195" i="2"/>
  <c r="J260" i="2"/>
  <c r="I195" i="2"/>
  <c r="O195" i="2"/>
  <c r="L175" i="2"/>
  <c r="J240" i="2"/>
  <c r="O175" i="2"/>
  <c r="O153" i="2"/>
  <c r="J218" i="2"/>
  <c r="I153" i="2"/>
  <c r="O194" i="2"/>
  <c r="J259" i="2"/>
  <c r="I194" i="2"/>
  <c r="L194" i="2"/>
  <c r="I160" i="2"/>
  <c r="J225" i="2"/>
  <c r="L160" i="2"/>
  <c r="O160" i="2"/>
  <c r="O169" i="2"/>
  <c r="J234" i="2"/>
  <c r="L169" i="2"/>
  <c r="I169" i="2"/>
  <c r="K177" i="2"/>
  <c r="K238" i="2"/>
  <c r="O107" i="2"/>
  <c r="K447" i="2"/>
  <c r="K512" i="2" s="1"/>
  <c r="K577" i="2" s="1"/>
  <c r="K642" i="2" s="1"/>
  <c r="K707" i="2" s="1"/>
  <c r="K772" i="2" s="1"/>
  <c r="L202" i="2"/>
  <c r="J267" i="2"/>
  <c r="I202" i="2"/>
  <c r="O202" i="2"/>
  <c r="L187" i="2"/>
  <c r="J252" i="2"/>
  <c r="I187" i="2"/>
  <c r="O187" i="2"/>
  <c r="O181" i="2"/>
  <c r="J246" i="2"/>
  <c r="L181" i="2"/>
  <c r="I181" i="2"/>
  <c r="L178" i="2"/>
  <c r="J243" i="2"/>
  <c r="I178" i="2"/>
  <c r="O178" i="2"/>
  <c r="J238" i="2"/>
  <c r="L173" i="2"/>
  <c r="I173" i="2"/>
  <c r="I177" i="2" s="1"/>
  <c r="J177" i="2"/>
  <c r="L177" i="2" s="1"/>
  <c r="O173" i="2"/>
  <c r="I107" i="2"/>
  <c r="J216" i="2"/>
  <c r="I151" i="2"/>
  <c r="O151" i="2"/>
  <c r="K172" i="2"/>
  <c r="K179" i="2" s="1"/>
  <c r="K230" i="2"/>
  <c r="J217" i="2"/>
  <c r="O152" i="2"/>
  <c r="L152" i="2"/>
  <c r="I152" i="2"/>
  <c r="O156" i="2"/>
  <c r="J221" i="2"/>
  <c r="I156" i="2"/>
  <c r="K393" i="2"/>
  <c r="K357" i="2"/>
  <c r="O185" i="2"/>
  <c r="J250" i="2"/>
  <c r="L185" i="2"/>
  <c r="I185" i="2"/>
  <c r="O200" i="2"/>
  <c r="J265" i="2"/>
  <c r="I200" i="2"/>
  <c r="L200" i="2"/>
  <c r="L162" i="2"/>
  <c r="J227" i="2"/>
  <c r="O162" i="2"/>
  <c r="I162" i="2"/>
  <c r="L191" i="2"/>
  <c r="J256" i="2"/>
  <c r="I256" i="2" s="1"/>
  <c r="I191" i="2"/>
  <c r="O191" i="2"/>
  <c r="I143" i="2"/>
  <c r="O201" i="2"/>
  <c r="J266" i="2"/>
  <c r="L201" i="2"/>
  <c r="I201" i="2"/>
  <c r="O205" i="2"/>
  <c r="J270" i="2"/>
  <c r="I205" i="2"/>
  <c r="L205" i="2"/>
  <c r="K163" i="2"/>
  <c r="K223" i="2"/>
  <c r="O189" i="2"/>
  <c r="J254" i="2"/>
  <c r="L189" i="2"/>
  <c r="I189" i="2"/>
  <c r="L174" i="2"/>
  <c r="J239" i="2"/>
  <c r="O174" i="2"/>
  <c r="L167" i="2"/>
  <c r="J232" i="2"/>
  <c r="I167" i="2"/>
  <c r="O167" i="2"/>
  <c r="I171" i="2"/>
  <c r="J236" i="2"/>
  <c r="O171" i="2"/>
  <c r="L171" i="2"/>
  <c r="I159" i="2"/>
  <c r="J224" i="2"/>
  <c r="O159" i="2"/>
  <c r="L206" i="2"/>
  <c r="J271" i="2"/>
  <c r="I206" i="2"/>
  <c r="O206" i="2"/>
  <c r="I192" i="2"/>
  <c r="J257" i="2"/>
  <c r="O192" i="2"/>
  <c r="L192" i="2"/>
  <c r="K365" i="2"/>
  <c r="L154" i="2"/>
  <c r="J219" i="2"/>
  <c r="I154" i="2"/>
  <c r="O154" i="2"/>
  <c r="K427" i="2"/>
  <c r="K492" i="2" s="1"/>
  <c r="K557" i="2" s="1"/>
  <c r="K215" i="2"/>
  <c r="K157" i="2"/>
  <c r="I180" i="2"/>
  <c r="J245" i="2"/>
  <c r="L180" i="2"/>
  <c r="O180" i="2"/>
  <c r="O92" i="2"/>
  <c r="O99" i="2" s="1"/>
  <c r="J215" i="2"/>
  <c r="L150" i="2"/>
  <c r="O150" i="2"/>
  <c r="I150" i="2"/>
  <c r="J157" i="2"/>
  <c r="I199" i="2"/>
  <c r="J264" i="2"/>
  <c r="O199" i="2"/>
  <c r="L199" i="2"/>
  <c r="I203" i="2"/>
  <c r="J268" i="2"/>
  <c r="L203" i="2"/>
  <c r="O203" i="2"/>
  <c r="I207" i="2"/>
  <c r="J272" i="2"/>
  <c r="L207" i="2"/>
  <c r="O207" i="2"/>
  <c r="O193" i="2"/>
  <c r="J258" i="2"/>
  <c r="L193" i="2"/>
  <c r="I193" i="2"/>
  <c r="J262" i="2"/>
  <c r="L197" i="2"/>
  <c r="I197" i="2"/>
  <c r="O197" i="2"/>
  <c r="I184" i="2"/>
  <c r="J249" i="2"/>
  <c r="O184" i="2"/>
  <c r="L184" i="2"/>
  <c r="J253" i="2"/>
  <c r="O188" i="2"/>
  <c r="I188" i="2"/>
  <c r="L188" i="2"/>
  <c r="O190" i="2"/>
  <c r="J255" i="2"/>
  <c r="L190" i="2"/>
  <c r="I190" i="2"/>
  <c r="K248" i="2"/>
  <c r="K208" i="2"/>
  <c r="J248" i="2"/>
  <c r="O183" i="2"/>
  <c r="L183" i="2"/>
  <c r="I183" i="2"/>
  <c r="J208" i="2"/>
  <c r="J292" i="2" l="1"/>
  <c r="L227" i="2"/>
  <c r="O227" i="2"/>
  <c r="I227" i="2"/>
  <c r="J286" i="2"/>
  <c r="O221" i="2"/>
  <c r="I221" i="2"/>
  <c r="O177" i="2"/>
  <c r="O179" i="2" s="1"/>
  <c r="K242" i="2"/>
  <c r="K303" i="2"/>
  <c r="O225" i="2"/>
  <c r="J290" i="2"/>
  <c r="L225" i="2"/>
  <c r="I225" i="2"/>
  <c r="L226" i="2"/>
  <c r="J291" i="2"/>
  <c r="I226" i="2"/>
  <c r="O226" i="2"/>
  <c r="O172" i="2"/>
  <c r="O208" i="2"/>
  <c r="I157" i="2"/>
  <c r="L215" i="2"/>
  <c r="J280" i="2"/>
  <c r="O215" i="2"/>
  <c r="I215" i="2"/>
  <c r="J222" i="2"/>
  <c r="O245" i="2"/>
  <c r="J310" i="2"/>
  <c r="I245" i="2"/>
  <c r="L245" i="2"/>
  <c r="K622" i="2"/>
  <c r="K687" i="2" s="1"/>
  <c r="K752" i="2" s="1"/>
  <c r="O219" i="2"/>
  <c r="J284" i="2"/>
  <c r="L219" i="2"/>
  <c r="I219" i="2"/>
  <c r="O239" i="2"/>
  <c r="J304" i="2"/>
  <c r="L239" i="2"/>
  <c r="L254" i="2"/>
  <c r="J319" i="2"/>
  <c r="I254" i="2"/>
  <c r="O254" i="2"/>
  <c r="L250" i="2"/>
  <c r="J315" i="2"/>
  <c r="I250" i="2"/>
  <c r="O250" i="2"/>
  <c r="K458" i="2"/>
  <c r="K523" i="2" s="1"/>
  <c r="K588" i="2" s="1"/>
  <c r="K653" i="2" s="1"/>
  <c r="K718" i="2" s="1"/>
  <c r="K783" i="2" s="1"/>
  <c r="K848" i="2" s="1"/>
  <c r="K913" i="2" s="1"/>
  <c r="K978" i="2" s="1"/>
  <c r="K1043" i="2" s="1"/>
  <c r="J282" i="2"/>
  <c r="I217" i="2"/>
  <c r="L217" i="2"/>
  <c r="O217" i="2"/>
  <c r="K837" i="2"/>
  <c r="K570" i="2"/>
  <c r="O163" i="2"/>
  <c r="J326" i="2"/>
  <c r="O261" i="2"/>
  <c r="I261" i="2"/>
  <c r="K412" i="2"/>
  <c r="K477" i="2" s="1"/>
  <c r="O235" i="2"/>
  <c r="J300" i="2"/>
  <c r="L235" i="2"/>
  <c r="I235" i="2"/>
  <c r="K462" i="2"/>
  <c r="K527" i="2" s="1"/>
  <c r="K592" i="2" s="1"/>
  <c r="K466" i="2"/>
  <c r="K531" i="2" s="1"/>
  <c r="K596" i="2" s="1"/>
  <c r="O253" i="2"/>
  <c r="J318" i="2"/>
  <c r="L253" i="2"/>
  <c r="I253" i="2"/>
  <c r="J327" i="2"/>
  <c r="I262" i="2"/>
  <c r="L262" i="2"/>
  <c r="O262" i="2"/>
  <c r="O256" i="2"/>
  <c r="J321" i="2"/>
  <c r="L256" i="2"/>
  <c r="L265" i="2"/>
  <c r="J330" i="2"/>
  <c r="I265" i="2"/>
  <c r="O265" i="2"/>
  <c r="I238" i="2"/>
  <c r="I242" i="2" s="1"/>
  <c r="J303" i="2"/>
  <c r="L238" i="2"/>
  <c r="J242" i="2"/>
  <c r="L242" i="2" s="1"/>
  <c r="O238" i="2"/>
  <c r="O242" i="2" s="1"/>
  <c r="J299" i="2"/>
  <c r="I234" i="2"/>
  <c r="O234" i="2"/>
  <c r="L234" i="2"/>
  <c r="J324" i="2"/>
  <c r="L259" i="2"/>
  <c r="I259" i="2"/>
  <c r="O259" i="2"/>
  <c r="I163" i="2"/>
  <c r="K804" i="2"/>
  <c r="K869" i="2" s="1"/>
  <c r="K934" i="2" s="1"/>
  <c r="I208" i="2"/>
  <c r="O224" i="2"/>
  <c r="J289" i="2"/>
  <c r="I224" i="2"/>
  <c r="O236" i="2"/>
  <c r="J301" i="2"/>
  <c r="I236" i="2"/>
  <c r="L236" i="2"/>
  <c r="O232" i="2"/>
  <c r="J297" i="2"/>
  <c r="L232" i="2"/>
  <c r="I232" i="2"/>
  <c r="K295" i="2"/>
  <c r="K237" i="2"/>
  <c r="K244" i="2" s="1"/>
  <c r="O216" i="2"/>
  <c r="J281" i="2"/>
  <c r="I216" i="2"/>
  <c r="I172" i="2"/>
  <c r="O240" i="2"/>
  <c r="J305" i="2"/>
  <c r="L240" i="2"/>
  <c r="O260" i="2"/>
  <c r="J325" i="2"/>
  <c r="L260" i="2"/>
  <c r="J228" i="2"/>
  <c r="J288" i="2"/>
  <c r="L223" i="2"/>
  <c r="I223" i="2"/>
  <c r="O223" i="2"/>
  <c r="O228" i="2" s="1"/>
  <c r="L241" i="2"/>
  <c r="J306" i="2"/>
  <c r="O241" i="2"/>
  <c r="L230" i="2"/>
  <c r="J295" i="2"/>
  <c r="I230" i="2"/>
  <c r="O230" i="2"/>
  <c r="J237" i="2"/>
  <c r="O263" i="2"/>
  <c r="J328" i="2"/>
  <c r="L263" i="2"/>
  <c r="I263" i="2"/>
  <c r="L269" i="2"/>
  <c r="J334" i="2"/>
  <c r="I269" i="2"/>
  <c r="O269" i="2"/>
  <c r="K828" i="2"/>
  <c r="K893" i="2" s="1"/>
  <c r="K958" i="2" s="1"/>
  <c r="K1023" i="2" s="1"/>
  <c r="K280" i="2"/>
  <c r="K222" i="2"/>
  <c r="I255" i="2"/>
  <c r="J320" i="2"/>
  <c r="L255" i="2"/>
  <c r="O255" i="2"/>
  <c r="O249" i="2"/>
  <c r="J314" i="2"/>
  <c r="I249" i="2"/>
  <c r="L249" i="2"/>
  <c r="L258" i="2"/>
  <c r="J323" i="2"/>
  <c r="I258" i="2"/>
  <c r="O258" i="2"/>
  <c r="O272" i="2"/>
  <c r="J337" i="2"/>
  <c r="L272" i="2"/>
  <c r="I272" i="2"/>
  <c r="O268" i="2"/>
  <c r="J333" i="2"/>
  <c r="L268" i="2"/>
  <c r="I268" i="2"/>
  <c r="O264" i="2"/>
  <c r="J329" i="2"/>
  <c r="L264" i="2"/>
  <c r="I264" i="2"/>
  <c r="O157" i="2"/>
  <c r="K430" i="2"/>
  <c r="K495" i="2" s="1"/>
  <c r="K560" i="2" s="1"/>
  <c r="O257" i="2"/>
  <c r="J322" i="2"/>
  <c r="L257" i="2"/>
  <c r="I257" i="2"/>
  <c r="O271" i="2"/>
  <c r="J336" i="2"/>
  <c r="L271" i="2"/>
  <c r="I271" i="2"/>
  <c r="K288" i="2"/>
  <c r="K228" i="2"/>
  <c r="I270" i="2"/>
  <c r="J335" i="2"/>
  <c r="O270" i="2"/>
  <c r="L270" i="2"/>
  <c r="I266" i="2"/>
  <c r="J331" i="2"/>
  <c r="O266" i="2"/>
  <c r="L266" i="2"/>
  <c r="K422" i="2"/>
  <c r="K487" i="2" s="1"/>
  <c r="O243" i="2"/>
  <c r="J308" i="2"/>
  <c r="L243" i="2"/>
  <c r="I243" i="2"/>
  <c r="L246" i="2"/>
  <c r="J311" i="2"/>
  <c r="I246" i="2"/>
  <c r="O246" i="2"/>
  <c r="O252" i="2"/>
  <c r="J317" i="2"/>
  <c r="L252" i="2"/>
  <c r="I252" i="2"/>
  <c r="O267" i="2"/>
  <c r="J332" i="2"/>
  <c r="L267" i="2"/>
  <c r="I267" i="2"/>
  <c r="J283" i="2"/>
  <c r="O218" i="2"/>
  <c r="I218" i="2"/>
  <c r="J298" i="2"/>
  <c r="O233" i="2"/>
  <c r="I233" i="2"/>
  <c r="I251" i="2"/>
  <c r="J316" i="2"/>
  <c r="O251" i="2"/>
  <c r="L251" i="2"/>
  <c r="I247" i="2"/>
  <c r="J312" i="2"/>
  <c r="O247" i="2"/>
  <c r="L247" i="2"/>
  <c r="K451" i="2"/>
  <c r="K516" i="2" s="1"/>
  <c r="K581" i="2" s="1"/>
  <c r="K646" i="2" s="1"/>
  <c r="K711" i="2" s="1"/>
  <c r="K776" i="2" s="1"/>
  <c r="K455" i="2"/>
  <c r="K520" i="2" s="1"/>
  <c r="K585" i="2" s="1"/>
  <c r="K650" i="2" s="1"/>
  <c r="K715" i="2" s="1"/>
  <c r="K780" i="2" s="1"/>
  <c r="O220" i="2"/>
  <c r="J285" i="2"/>
  <c r="L220" i="2"/>
  <c r="I220" i="2"/>
  <c r="I231" i="2"/>
  <c r="J296" i="2"/>
  <c r="O231" i="2"/>
  <c r="L231" i="2"/>
  <c r="J179" i="2"/>
  <c r="I179" i="2" s="1"/>
  <c r="L172" i="2"/>
  <c r="K313" i="2"/>
  <c r="K273" i="2"/>
  <c r="J313" i="2"/>
  <c r="J378" i="2" s="1"/>
  <c r="L248" i="2"/>
  <c r="I248" i="2"/>
  <c r="O248" i="2"/>
  <c r="J273" i="2"/>
  <c r="J348" i="2" l="1"/>
  <c r="O283" i="2"/>
  <c r="I283" i="2"/>
  <c r="K360" i="2"/>
  <c r="K302" i="2"/>
  <c r="K542" i="2"/>
  <c r="K607" i="2" s="1"/>
  <c r="K672" i="2" s="1"/>
  <c r="K737" i="2" s="1"/>
  <c r="K802" i="2" s="1"/>
  <c r="K867" i="2" s="1"/>
  <c r="J391" i="2"/>
  <c r="O326" i="2"/>
  <c r="I326" i="2"/>
  <c r="O210" i="2"/>
  <c r="O290" i="2"/>
  <c r="J355" i="2"/>
  <c r="L290" i="2"/>
  <c r="I290" i="2"/>
  <c r="I296" i="2"/>
  <c r="J361" i="2"/>
  <c r="O296" i="2"/>
  <c r="L296" i="2"/>
  <c r="O285" i="2"/>
  <c r="J350" i="2"/>
  <c r="I285" i="2"/>
  <c r="L285" i="2"/>
  <c r="K841" i="2"/>
  <c r="I312" i="2"/>
  <c r="J377" i="2"/>
  <c r="O312" i="2"/>
  <c r="L312" i="2"/>
  <c r="J381" i="2"/>
  <c r="O316" i="2"/>
  <c r="L316" i="2"/>
  <c r="I316" i="2"/>
  <c r="J363" i="2"/>
  <c r="O298" i="2"/>
  <c r="I298" i="2"/>
  <c r="K552" i="2"/>
  <c r="I331" i="2"/>
  <c r="J396" i="2"/>
  <c r="O331" i="2"/>
  <c r="L331" i="2"/>
  <c r="I335" i="2"/>
  <c r="J400" i="2"/>
  <c r="L335" i="2"/>
  <c r="O335" i="2"/>
  <c r="K625" i="2"/>
  <c r="K690" i="2" s="1"/>
  <c r="K755" i="2" s="1"/>
  <c r="K345" i="2"/>
  <c r="K287" i="2"/>
  <c r="O237" i="2"/>
  <c r="O244" i="2" s="1"/>
  <c r="O275" i="2" s="1"/>
  <c r="O305" i="2"/>
  <c r="J370" i="2"/>
  <c r="L305" i="2"/>
  <c r="O281" i="2"/>
  <c r="J346" i="2"/>
  <c r="I281" i="2"/>
  <c r="K999" i="2"/>
  <c r="O164" i="2"/>
  <c r="J345" i="2"/>
  <c r="J287" i="2"/>
  <c r="I280" i="2"/>
  <c r="O280" i="2"/>
  <c r="L280" i="2"/>
  <c r="K353" i="2"/>
  <c r="K293" i="2"/>
  <c r="I293" i="2" s="1"/>
  <c r="J244" i="2"/>
  <c r="I244" i="2" s="1"/>
  <c r="L237" i="2"/>
  <c r="K661" i="2"/>
  <c r="K726" i="2" s="1"/>
  <c r="K902" i="2"/>
  <c r="K817" i="2"/>
  <c r="K882" i="2" s="1"/>
  <c r="K947" i="2" s="1"/>
  <c r="K1012" i="2" s="1"/>
  <c r="O310" i="2"/>
  <c r="J375" i="2"/>
  <c r="I310" i="2"/>
  <c r="L310" i="2"/>
  <c r="L291" i="2"/>
  <c r="J356" i="2"/>
  <c r="I291" i="2"/>
  <c r="O291" i="2"/>
  <c r="O378" i="2"/>
  <c r="J443" i="2"/>
  <c r="L378" i="2"/>
  <c r="O329" i="2"/>
  <c r="J394" i="2"/>
  <c r="L329" i="2"/>
  <c r="I329" i="2"/>
  <c r="O333" i="2"/>
  <c r="J398" i="2"/>
  <c r="I333" i="2"/>
  <c r="L333" i="2"/>
  <c r="O337" i="2"/>
  <c r="J402" i="2"/>
  <c r="I337" i="2"/>
  <c r="L337" i="2"/>
  <c r="L323" i="2"/>
  <c r="J388" i="2"/>
  <c r="I323" i="2"/>
  <c r="O323" i="2"/>
  <c r="O314" i="2"/>
  <c r="J379" i="2"/>
  <c r="I314" i="2"/>
  <c r="L314" i="2"/>
  <c r="J385" i="2"/>
  <c r="I320" i="2"/>
  <c r="L320" i="2"/>
  <c r="O320" i="2"/>
  <c r="L334" i="2"/>
  <c r="J399" i="2"/>
  <c r="I334" i="2"/>
  <c r="O334" i="2"/>
  <c r="O328" i="2"/>
  <c r="J393" i="2"/>
  <c r="L328" i="2"/>
  <c r="I328" i="2"/>
  <c r="L306" i="2"/>
  <c r="J371" i="2"/>
  <c r="O306" i="2"/>
  <c r="O325" i="2"/>
  <c r="J390" i="2"/>
  <c r="L325" i="2"/>
  <c r="I325" i="2"/>
  <c r="O289" i="2"/>
  <c r="J354" i="2"/>
  <c r="I289" i="2"/>
  <c r="I237" i="2"/>
  <c r="O321" i="2"/>
  <c r="J386" i="2"/>
  <c r="L321" i="2"/>
  <c r="I321" i="2"/>
  <c r="O318" i="2"/>
  <c r="J383" i="2"/>
  <c r="I318" i="2"/>
  <c r="L318" i="2"/>
  <c r="K657" i="2"/>
  <c r="K722" i="2" s="1"/>
  <c r="K787" i="2" s="1"/>
  <c r="O300" i="2"/>
  <c r="J365" i="2"/>
  <c r="L300" i="2"/>
  <c r="I300" i="2"/>
  <c r="O282" i="2"/>
  <c r="J347" i="2"/>
  <c r="L282" i="2"/>
  <c r="I282" i="2"/>
  <c r="O304" i="2"/>
  <c r="J369" i="2"/>
  <c r="L304" i="2"/>
  <c r="O284" i="2"/>
  <c r="J349" i="2"/>
  <c r="L284" i="2"/>
  <c r="I284" i="2"/>
  <c r="I222" i="2"/>
  <c r="K307" i="2"/>
  <c r="K368" i="2"/>
  <c r="K338" i="2"/>
  <c r="K378" i="2"/>
  <c r="O273" i="2"/>
  <c r="K845" i="2"/>
  <c r="K910" i="2" s="1"/>
  <c r="O332" i="2"/>
  <c r="J397" i="2"/>
  <c r="L332" i="2"/>
  <c r="I332" i="2"/>
  <c r="O317" i="2"/>
  <c r="J382" i="2"/>
  <c r="L317" i="2"/>
  <c r="I317" i="2"/>
  <c r="L311" i="2"/>
  <c r="J376" i="2"/>
  <c r="I311" i="2"/>
  <c r="O311" i="2"/>
  <c r="O308" i="2"/>
  <c r="J373" i="2"/>
  <c r="L308" i="2"/>
  <c r="I308" i="2"/>
  <c r="I228" i="2"/>
  <c r="O336" i="2"/>
  <c r="J401" i="2"/>
  <c r="L336" i="2"/>
  <c r="I336" i="2"/>
  <c r="O322" i="2"/>
  <c r="J387" i="2"/>
  <c r="L322" i="2"/>
  <c r="I322" i="2"/>
  <c r="L295" i="2"/>
  <c r="J360" i="2"/>
  <c r="I295" i="2"/>
  <c r="J302" i="2"/>
  <c r="O295" i="2"/>
  <c r="J293" i="2"/>
  <c r="J353" i="2"/>
  <c r="I288" i="2"/>
  <c r="L288" i="2"/>
  <c r="O288" i="2"/>
  <c r="O297" i="2"/>
  <c r="J362" i="2"/>
  <c r="L297" i="2"/>
  <c r="I297" i="2"/>
  <c r="O301" i="2"/>
  <c r="J366" i="2"/>
  <c r="I301" i="2"/>
  <c r="L301" i="2"/>
  <c r="J389" i="2"/>
  <c r="L324" i="2"/>
  <c r="O324" i="2"/>
  <c r="I324" i="2"/>
  <c r="J364" i="2"/>
  <c r="L299" i="2"/>
  <c r="O299" i="2"/>
  <c r="I299" i="2"/>
  <c r="I303" i="2"/>
  <c r="I307" i="2" s="1"/>
  <c r="J368" i="2"/>
  <c r="O303" i="2"/>
  <c r="O307" i="2" s="1"/>
  <c r="L303" i="2"/>
  <c r="J307" i="2"/>
  <c r="L307" i="2" s="1"/>
  <c r="L330" i="2"/>
  <c r="J395" i="2"/>
  <c r="O330" i="2"/>
  <c r="I330" i="2"/>
  <c r="I327" i="2"/>
  <c r="J392" i="2"/>
  <c r="O327" i="2"/>
  <c r="L327" i="2"/>
  <c r="K635" i="2"/>
  <c r="O222" i="2"/>
  <c r="O229" i="2" s="1"/>
  <c r="L315" i="2"/>
  <c r="J380" i="2"/>
  <c r="O315" i="2"/>
  <c r="I315" i="2"/>
  <c r="L319" i="2"/>
  <c r="J384" i="2"/>
  <c r="I319" i="2"/>
  <c r="O319" i="2"/>
  <c r="J351" i="2"/>
  <c r="O286" i="2"/>
  <c r="I286" i="2"/>
  <c r="O292" i="2"/>
  <c r="J357" i="2"/>
  <c r="L292" i="2"/>
  <c r="I292" i="2"/>
  <c r="I273" i="2"/>
  <c r="J338" i="2"/>
  <c r="I338" i="2" s="1"/>
  <c r="I313" i="2"/>
  <c r="O313" i="2"/>
  <c r="L313" i="2"/>
  <c r="K700" i="2" l="1"/>
  <c r="I378" i="2"/>
  <c r="K443" i="2"/>
  <c r="K403" i="2"/>
  <c r="O383" i="2"/>
  <c r="J448" i="2"/>
  <c r="L383" i="2"/>
  <c r="I383" i="2"/>
  <c r="O390" i="2"/>
  <c r="J455" i="2"/>
  <c r="L390" i="2"/>
  <c r="I390" i="2"/>
  <c r="J450" i="2"/>
  <c r="O385" i="2"/>
  <c r="L385" i="2"/>
  <c r="I385" i="2"/>
  <c r="K791" i="2"/>
  <c r="I377" i="2"/>
  <c r="J442" i="2"/>
  <c r="L377" i="2"/>
  <c r="O377" i="2"/>
  <c r="K367" i="2"/>
  <c r="K425" i="2"/>
  <c r="L357" i="2"/>
  <c r="J422" i="2"/>
  <c r="O357" i="2"/>
  <c r="I357" i="2"/>
  <c r="J416" i="2"/>
  <c r="O351" i="2"/>
  <c r="I351" i="2"/>
  <c r="J429" i="2"/>
  <c r="I364" i="2"/>
  <c r="L364" i="2"/>
  <c r="O364" i="2"/>
  <c r="J454" i="2"/>
  <c r="L389" i="2"/>
  <c r="O389" i="2"/>
  <c r="I389" i="2"/>
  <c r="J358" i="2"/>
  <c r="J418" i="2"/>
  <c r="L353" i="2"/>
  <c r="I353" i="2"/>
  <c r="O353" i="2"/>
  <c r="K975" i="2"/>
  <c r="K1040" i="2" s="1"/>
  <c r="K418" i="2"/>
  <c r="K358" i="2"/>
  <c r="I287" i="2"/>
  <c r="K617" i="2"/>
  <c r="K682" i="2" s="1"/>
  <c r="O363" i="2"/>
  <c r="J428" i="2"/>
  <c r="I363" i="2"/>
  <c r="I381" i="2"/>
  <c r="J446" i="2"/>
  <c r="O381" i="2"/>
  <c r="L381" i="2"/>
  <c r="L384" i="2"/>
  <c r="J449" i="2"/>
  <c r="I384" i="2"/>
  <c r="O384" i="2"/>
  <c r="O366" i="2"/>
  <c r="J431" i="2"/>
  <c r="L366" i="2"/>
  <c r="I366" i="2"/>
  <c r="L302" i="2"/>
  <c r="J309" i="2"/>
  <c r="K852" i="2"/>
  <c r="O386" i="2"/>
  <c r="J451" i="2"/>
  <c r="L386" i="2"/>
  <c r="I386" i="2"/>
  <c r="K932" i="2"/>
  <c r="K997" i="2" s="1"/>
  <c r="O338" i="2"/>
  <c r="I302" i="2"/>
  <c r="O293" i="2"/>
  <c r="J367" i="2"/>
  <c r="J425" i="2"/>
  <c r="I360" i="2"/>
  <c r="L360" i="2"/>
  <c r="O360" i="2"/>
  <c r="O387" i="2"/>
  <c r="J452" i="2"/>
  <c r="L387" i="2"/>
  <c r="I387" i="2"/>
  <c r="O401" i="2"/>
  <c r="J466" i="2"/>
  <c r="L401" i="2"/>
  <c r="I401" i="2"/>
  <c r="K372" i="2"/>
  <c r="K433" i="2"/>
  <c r="O369" i="2"/>
  <c r="J434" i="2"/>
  <c r="L369" i="2"/>
  <c r="O347" i="2"/>
  <c r="J412" i="2"/>
  <c r="L347" i="2"/>
  <c r="I347" i="2"/>
  <c r="O365" i="2"/>
  <c r="J430" i="2"/>
  <c r="L365" i="2"/>
  <c r="I365" i="2"/>
  <c r="J508" i="2"/>
  <c r="L443" i="2"/>
  <c r="O443" i="2"/>
  <c r="O356" i="2"/>
  <c r="J421" i="2"/>
  <c r="I356" i="2"/>
  <c r="L356" i="2"/>
  <c r="O375" i="2"/>
  <c r="J440" i="2"/>
  <c r="L375" i="2"/>
  <c r="J403" i="2"/>
  <c r="I403" i="2" s="1"/>
  <c r="I375" i="2"/>
  <c r="K967" i="2"/>
  <c r="K1032" i="2" s="1"/>
  <c r="O345" i="2"/>
  <c r="J410" i="2"/>
  <c r="L345" i="2"/>
  <c r="I345" i="2"/>
  <c r="J352" i="2"/>
  <c r="O370" i="2"/>
  <c r="J435" i="2"/>
  <c r="L370" i="2"/>
  <c r="K410" i="2"/>
  <c r="K352" i="2"/>
  <c r="K906" i="2"/>
  <c r="O350" i="2"/>
  <c r="J415" i="2"/>
  <c r="L350" i="2"/>
  <c r="I350" i="2"/>
  <c r="I361" i="2"/>
  <c r="J426" i="2"/>
  <c r="L361" i="2"/>
  <c r="O361" i="2"/>
  <c r="O355" i="2"/>
  <c r="J420" i="2"/>
  <c r="L355" i="2"/>
  <c r="I355" i="2"/>
  <c r="L380" i="2"/>
  <c r="J445" i="2"/>
  <c r="O380" i="2"/>
  <c r="I380" i="2"/>
  <c r="I368" i="2"/>
  <c r="I372" i="2" s="1"/>
  <c r="J433" i="2"/>
  <c r="O368" i="2"/>
  <c r="L368" i="2"/>
  <c r="J372" i="2"/>
  <c r="L372" i="2" s="1"/>
  <c r="O362" i="2"/>
  <c r="J427" i="2"/>
  <c r="L362" i="2"/>
  <c r="I362" i="2"/>
  <c r="J419" i="2"/>
  <c r="O354" i="2"/>
  <c r="I354" i="2"/>
  <c r="I392" i="2"/>
  <c r="J457" i="2"/>
  <c r="L392" i="2"/>
  <c r="O392" i="2"/>
  <c r="L395" i="2"/>
  <c r="J460" i="2"/>
  <c r="I395" i="2"/>
  <c r="O395" i="2"/>
  <c r="O302" i="2"/>
  <c r="O309" i="2" s="1"/>
  <c r="O373" i="2"/>
  <c r="J438" i="2"/>
  <c r="L373" i="2"/>
  <c r="I373" i="2"/>
  <c r="I376" i="2"/>
  <c r="J441" i="2"/>
  <c r="O376" i="2"/>
  <c r="L376" i="2"/>
  <c r="O382" i="2"/>
  <c r="J447" i="2"/>
  <c r="L382" i="2"/>
  <c r="I382" i="2"/>
  <c r="O397" i="2"/>
  <c r="J462" i="2"/>
  <c r="L397" i="2"/>
  <c r="I397" i="2"/>
  <c r="O349" i="2"/>
  <c r="J414" i="2"/>
  <c r="L349" i="2"/>
  <c r="I349" i="2"/>
  <c r="L371" i="2"/>
  <c r="J436" i="2"/>
  <c r="O371" i="2"/>
  <c r="O393" i="2"/>
  <c r="J458" i="2"/>
  <c r="L393" i="2"/>
  <c r="I393" i="2"/>
  <c r="L399" i="2"/>
  <c r="J464" i="2"/>
  <c r="I399" i="2"/>
  <c r="O399" i="2"/>
  <c r="O379" i="2"/>
  <c r="J444" i="2"/>
  <c r="L379" i="2"/>
  <c r="I379" i="2"/>
  <c r="L388" i="2"/>
  <c r="J453" i="2"/>
  <c r="I388" i="2"/>
  <c r="O388" i="2"/>
  <c r="O402" i="2"/>
  <c r="J467" i="2"/>
  <c r="I402" i="2"/>
  <c r="L402" i="2"/>
  <c r="O398" i="2"/>
  <c r="J463" i="2"/>
  <c r="L398" i="2"/>
  <c r="I398" i="2"/>
  <c r="O394" i="2"/>
  <c r="J459" i="2"/>
  <c r="L394" i="2"/>
  <c r="I394" i="2"/>
  <c r="O287" i="2"/>
  <c r="O294" i="2" s="1"/>
  <c r="O346" i="2"/>
  <c r="J411" i="2"/>
  <c r="I346" i="2"/>
  <c r="K820" i="2"/>
  <c r="K885" i="2" s="1"/>
  <c r="K950" i="2" s="1"/>
  <c r="K1015" i="2" s="1"/>
  <c r="I400" i="2"/>
  <c r="J465" i="2"/>
  <c r="O400" i="2"/>
  <c r="L400" i="2"/>
  <c r="I396" i="2"/>
  <c r="J461" i="2"/>
  <c r="L396" i="2"/>
  <c r="O396" i="2"/>
  <c r="O391" i="2"/>
  <c r="J456" i="2"/>
  <c r="I391" i="2"/>
  <c r="K309" i="2"/>
  <c r="J413" i="2"/>
  <c r="O348" i="2"/>
  <c r="I348" i="2"/>
  <c r="N77" i="2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I46" i="2"/>
  <c r="F46" i="2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O352" i="2" l="1"/>
  <c r="O340" i="2"/>
  <c r="K917" i="2"/>
  <c r="K423" i="2"/>
  <c r="K483" i="2"/>
  <c r="K508" i="2"/>
  <c r="K468" i="2"/>
  <c r="O456" i="2"/>
  <c r="J521" i="2"/>
  <c r="I456" i="2"/>
  <c r="O461" i="2"/>
  <c r="L461" i="2"/>
  <c r="I461" i="2"/>
  <c r="J526" i="2"/>
  <c r="O465" i="2"/>
  <c r="J530" i="2"/>
  <c r="I465" i="2"/>
  <c r="L465" i="2"/>
  <c r="K971" i="2"/>
  <c r="K1036" i="2" s="1"/>
  <c r="L434" i="2"/>
  <c r="J499" i="2"/>
  <c r="O434" i="2"/>
  <c r="O367" i="2"/>
  <c r="L367" i="2"/>
  <c r="J374" i="2"/>
  <c r="I367" i="2"/>
  <c r="O422" i="2"/>
  <c r="J487" i="2"/>
  <c r="L422" i="2"/>
  <c r="I422" i="2"/>
  <c r="K856" i="2"/>
  <c r="I455" i="2"/>
  <c r="J520" i="2"/>
  <c r="O455" i="2"/>
  <c r="L455" i="2"/>
  <c r="O448" i="2"/>
  <c r="J513" i="2"/>
  <c r="I448" i="2"/>
  <c r="L448" i="2"/>
  <c r="K475" i="2"/>
  <c r="K417" i="2"/>
  <c r="J432" i="2"/>
  <c r="J490" i="2"/>
  <c r="L425" i="2"/>
  <c r="I425" i="2"/>
  <c r="O425" i="2"/>
  <c r="K747" i="2"/>
  <c r="K374" i="2"/>
  <c r="O413" i="2"/>
  <c r="J478" i="2"/>
  <c r="I413" i="2"/>
  <c r="O411" i="2"/>
  <c r="J476" i="2"/>
  <c r="I411" i="2"/>
  <c r="O436" i="2"/>
  <c r="L436" i="2"/>
  <c r="J501" i="2"/>
  <c r="I414" i="2"/>
  <c r="J479" i="2"/>
  <c r="O414" i="2"/>
  <c r="L414" i="2"/>
  <c r="I462" i="2"/>
  <c r="J527" i="2"/>
  <c r="L462" i="2"/>
  <c r="O462" i="2"/>
  <c r="I447" i="2"/>
  <c r="J512" i="2"/>
  <c r="L447" i="2"/>
  <c r="O447" i="2"/>
  <c r="I441" i="2"/>
  <c r="L441" i="2"/>
  <c r="O441" i="2"/>
  <c r="J506" i="2"/>
  <c r="I438" i="2"/>
  <c r="J503" i="2"/>
  <c r="O438" i="2"/>
  <c r="L438" i="2"/>
  <c r="I427" i="2"/>
  <c r="J492" i="2"/>
  <c r="L427" i="2"/>
  <c r="O427" i="2"/>
  <c r="O372" i="2"/>
  <c r="O435" i="2"/>
  <c r="J500" i="2"/>
  <c r="L435" i="2"/>
  <c r="O440" i="2"/>
  <c r="J505" i="2"/>
  <c r="L440" i="2"/>
  <c r="I440" i="2"/>
  <c r="J468" i="2"/>
  <c r="O421" i="2"/>
  <c r="L421" i="2"/>
  <c r="J486" i="2"/>
  <c r="I421" i="2"/>
  <c r="O508" i="2"/>
  <c r="J573" i="2"/>
  <c r="L508" i="2"/>
  <c r="I508" i="2"/>
  <c r="I430" i="2"/>
  <c r="J495" i="2"/>
  <c r="L430" i="2"/>
  <c r="O430" i="2"/>
  <c r="O412" i="2"/>
  <c r="I412" i="2"/>
  <c r="L412" i="2"/>
  <c r="J477" i="2"/>
  <c r="I451" i="2"/>
  <c r="J516" i="2"/>
  <c r="L451" i="2"/>
  <c r="O451" i="2"/>
  <c r="O428" i="2"/>
  <c r="J493" i="2"/>
  <c r="I428" i="2"/>
  <c r="O418" i="2"/>
  <c r="J483" i="2"/>
  <c r="L418" i="2"/>
  <c r="J423" i="2"/>
  <c r="I423" i="2" s="1"/>
  <c r="I418" i="2"/>
  <c r="O416" i="2"/>
  <c r="J481" i="2"/>
  <c r="I416" i="2"/>
  <c r="O450" i="2"/>
  <c r="I450" i="2"/>
  <c r="L450" i="2"/>
  <c r="J515" i="2"/>
  <c r="O459" i="2"/>
  <c r="J524" i="2"/>
  <c r="L459" i="2"/>
  <c r="I459" i="2"/>
  <c r="O463" i="2"/>
  <c r="J528" i="2"/>
  <c r="I463" i="2"/>
  <c r="L463" i="2"/>
  <c r="O467" i="2"/>
  <c r="J532" i="2"/>
  <c r="I467" i="2"/>
  <c r="L467" i="2"/>
  <c r="O453" i="2"/>
  <c r="J518" i="2"/>
  <c r="L453" i="2"/>
  <c r="I453" i="2"/>
  <c r="O444" i="2"/>
  <c r="J509" i="2"/>
  <c r="L444" i="2"/>
  <c r="I444" i="2"/>
  <c r="O464" i="2"/>
  <c r="J529" i="2"/>
  <c r="L464" i="2"/>
  <c r="I464" i="2"/>
  <c r="I458" i="2"/>
  <c r="J523" i="2"/>
  <c r="L458" i="2"/>
  <c r="O458" i="2"/>
  <c r="O460" i="2"/>
  <c r="L460" i="2"/>
  <c r="I460" i="2"/>
  <c r="J525" i="2"/>
  <c r="O457" i="2"/>
  <c r="J522" i="2"/>
  <c r="L457" i="2"/>
  <c r="I457" i="2"/>
  <c r="I419" i="2"/>
  <c r="O419" i="2"/>
  <c r="J484" i="2"/>
  <c r="J437" i="2"/>
  <c r="L437" i="2" s="1"/>
  <c r="J498" i="2"/>
  <c r="I433" i="2"/>
  <c r="I437" i="2" s="1"/>
  <c r="L433" i="2"/>
  <c r="O433" i="2"/>
  <c r="O445" i="2"/>
  <c r="L445" i="2"/>
  <c r="J510" i="2"/>
  <c r="I445" i="2"/>
  <c r="O420" i="2"/>
  <c r="J485" i="2"/>
  <c r="I420" i="2"/>
  <c r="L420" i="2"/>
  <c r="O426" i="2"/>
  <c r="I426" i="2"/>
  <c r="L426" i="2"/>
  <c r="J491" i="2"/>
  <c r="O415" i="2"/>
  <c r="J480" i="2"/>
  <c r="L415" i="2"/>
  <c r="I415" i="2"/>
  <c r="I352" i="2"/>
  <c r="J417" i="2"/>
  <c r="J475" i="2"/>
  <c r="L410" i="2"/>
  <c r="O410" i="2"/>
  <c r="I410" i="2"/>
  <c r="O403" i="2"/>
  <c r="I443" i="2"/>
  <c r="K437" i="2"/>
  <c r="K498" i="2"/>
  <c r="I466" i="2"/>
  <c r="J531" i="2"/>
  <c r="O466" i="2"/>
  <c r="L466" i="2"/>
  <c r="O452" i="2"/>
  <c r="J517" i="2"/>
  <c r="L452" i="2"/>
  <c r="I452" i="2"/>
  <c r="I309" i="2"/>
  <c r="O431" i="2"/>
  <c r="J496" i="2"/>
  <c r="L431" i="2"/>
  <c r="I431" i="2"/>
  <c r="I432" i="2" s="1"/>
  <c r="O449" i="2"/>
  <c r="J514" i="2"/>
  <c r="L449" i="2"/>
  <c r="I449" i="2"/>
  <c r="O446" i="2"/>
  <c r="J511" i="2"/>
  <c r="L446" i="2"/>
  <c r="I446" i="2"/>
  <c r="O358" i="2"/>
  <c r="I358" i="2"/>
  <c r="O454" i="2"/>
  <c r="I454" i="2"/>
  <c r="L454" i="2"/>
  <c r="J519" i="2"/>
  <c r="O429" i="2"/>
  <c r="L429" i="2"/>
  <c r="J494" i="2"/>
  <c r="I429" i="2"/>
  <c r="K490" i="2"/>
  <c r="K432" i="2"/>
  <c r="K439" i="2" s="1"/>
  <c r="O442" i="2"/>
  <c r="J507" i="2"/>
  <c r="I442" i="2"/>
  <c r="L442" i="2"/>
  <c r="K765" i="2"/>
  <c r="L55" i="2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K555" i="2" l="1"/>
  <c r="K497" i="2"/>
  <c r="K502" i="2"/>
  <c r="K563" i="2"/>
  <c r="L529" i="2"/>
  <c r="J594" i="2"/>
  <c r="I529" i="2"/>
  <c r="O529" i="2"/>
  <c r="L518" i="2"/>
  <c r="J583" i="2"/>
  <c r="I518" i="2"/>
  <c r="O518" i="2"/>
  <c r="O528" i="2"/>
  <c r="J593" i="2"/>
  <c r="L528" i="2"/>
  <c r="I528" i="2"/>
  <c r="O516" i="2"/>
  <c r="J581" i="2"/>
  <c r="L516" i="2"/>
  <c r="I516" i="2"/>
  <c r="O495" i="2"/>
  <c r="J560" i="2"/>
  <c r="I495" i="2"/>
  <c r="L495" i="2"/>
  <c r="O500" i="2"/>
  <c r="J565" i="2"/>
  <c r="L500" i="2"/>
  <c r="O468" i="2"/>
  <c r="O513" i="2"/>
  <c r="J578" i="2"/>
  <c r="L513" i="2"/>
  <c r="I513" i="2"/>
  <c r="K982" i="2"/>
  <c r="K1047" i="2" s="1"/>
  <c r="I507" i="2"/>
  <c r="J572" i="2"/>
  <c r="L507" i="2"/>
  <c r="O507" i="2"/>
  <c r="I519" i="2"/>
  <c r="J584" i="2"/>
  <c r="O519" i="2"/>
  <c r="L519" i="2"/>
  <c r="I511" i="2"/>
  <c r="J576" i="2"/>
  <c r="O511" i="2"/>
  <c r="L511" i="2"/>
  <c r="L514" i="2"/>
  <c r="J579" i="2"/>
  <c r="I514" i="2"/>
  <c r="O514" i="2"/>
  <c r="O496" i="2"/>
  <c r="J561" i="2"/>
  <c r="L496" i="2"/>
  <c r="I496" i="2"/>
  <c r="O417" i="2"/>
  <c r="I498" i="2"/>
  <c r="I502" i="2" s="1"/>
  <c r="J563" i="2"/>
  <c r="J502" i="2"/>
  <c r="L502" i="2" s="1"/>
  <c r="L498" i="2"/>
  <c r="O498" i="2"/>
  <c r="J488" i="2"/>
  <c r="J548" i="2"/>
  <c r="L483" i="2"/>
  <c r="O483" i="2"/>
  <c r="O488" i="2" s="1"/>
  <c r="I483" i="2"/>
  <c r="O505" i="2"/>
  <c r="J570" i="2"/>
  <c r="L505" i="2"/>
  <c r="I505" i="2"/>
  <c r="J533" i="2"/>
  <c r="O492" i="2"/>
  <c r="J557" i="2"/>
  <c r="L492" i="2"/>
  <c r="I492" i="2"/>
  <c r="O503" i="2"/>
  <c r="J568" i="2"/>
  <c r="L503" i="2"/>
  <c r="I503" i="2"/>
  <c r="O512" i="2"/>
  <c r="J577" i="2"/>
  <c r="L512" i="2"/>
  <c r="I512" i="2"/>
  <c r="O527" i="2"/>
  <c r="J592" i="2"/>
  <c r="I527" i="2"/>
  <c r="L527" i="2"/>
  <c r="O479" i="2"/>
  <c r="J544" i="2"/>
  <c r="I479" i="2"/>
  <c r="L479" i="2"/>
  <c r="K812" i="2"/>
  <c r="K877" i="2" s="1"/>
  <c r="K540" i="2"/>
  <c r="K482" i="2"/>
  <c r="I374" i="2"/>
  <c r="O499" i="2"/>
  <c r="J564" i="2"/>
  <c r="L499" i="2"/>
  <c r="I526" i="2"/>
  <c r="J591" i="2"/>
  <c r="O526" i="2"/>
  <c r="L526" i="2"/>
  <c r="K573" i="2"/>
  <c r="K533" i="2"/>
  <c r="O480" i="2"/>
  <c r="J545" i="2"/>
  <c r="L480" i="2"/>
  <c r="I480" i="2"/>
  <c r="O485" i="2"/>
  <c r="J550" i="2"/>
  <c r="L485" i="2"/>
  <c r="I485" i="2"/>
  <c r="J587" i="2"/>
  <c r="L522" i="2"/>
  <c r="O522" i="2"/>
  <c r="I522" i="2"/>
  <c r="O523" i="2"/>
  <c r="J588" i="2"/>
  <c r="I523" i="2"/>
  <c r="L523" i="2"/>
  <c r="O509" i="2"/>
  <c r="J574" i="2"/>
  <c r="L509" i="2"/>
  <c r="I509" i="2"/>
  <c r="O532" i="2"/>
  <c r="J597" i="2"/>
  <c r="L532" i="2"/>
  <c r="I532" i="2"/>
  <c r="O524" i="2"/>
  <c r="J589" i="2"/>
  <c r="L524" i="2"/>
  <c r="I524" i="2"/>
  <c r="J546" i="2"/>
  <c r="O481" i="2"/>
  <c r="I481" i="2"/>
  <c r="O493" i="2"/>
  <c r="J558" i="2"/>
  <c r="I493" i="2"/>
  <c r="O573" i="2"/>
  <c r="J638" i="2"/>
  <c r="I573" i="2"/>
  <c r="L573" i="2"/>
  <c r="I417" i="2"/>
  <c r="O520" i="2"/>
  <c r="J585" i="2"/>
  <c r="L520" i="2"/>
  <c r="I520" i="2"/>
  <c r="K830" i="2"/>
  <c r="J559" i="2"/>
  <c r="L494" i="2"/>
  <c r="I494" i="2"/>
  <c r="I497" i="2" s="1"/>
  <c r="O494" i="2"/>
  <c r="O517" i="2"/>
  <c r="J582" i="2"/>
  <c r="L517" i="2"/>
  <c r="I517" i="2"/>
  <c r="O531" i="2"/>
  <c r="J596" i="2"/>
  <c r="L531" i="2"/>
  <c r="I531" i="2"/>
  <c r="I491" i="2"/>
  <c r="J556" i="2"/>
  <c r="O491" i="2"/>
  <c r="L491" i="2"/>
  <c r="O437" i="2"/>
  <c r="O439" i="2" s="1"/>
  <c r="J590" i="2"/>
  <c r="O525" i="2"/>
  <c r="L525" i="2"/>
  <c r="I525" i="2"/>
  <c r="O423" i="2"/>
  <c r="J542" i="2"/>
  <c r="L477" i="2"/>
  <c r="I477" i="2"/>
  <c r="O477" i="2"/>
  <c r="I468" i="2"/>
  <c r="J543" i="2"/>
  <c r="O478" i="2"/>
  <c r="I478" i="2"/>
  <c r="J555" i="2"/>
  <c r="I490" i="2"/>
  <c r="L490" i="2"/>
  <c r="O490" i="2"/>
  <c r="J497" i="2"/>
  <c r="K921" i="2"/>
  <c r="O487" i="2"/>
  <c r="J552" i="2"/>
  <c r="I487" i="2"/>
  <c r="L487" i="2"/>
  <c r="O521" i="2"/>
  <c r="J586" i="2"/>
  <c r="I521" i="2"/>
  <c r="K548" i="2"/>
  <c r="K488" i="2"/>
  <c r="O475" i="2"/>
  <c r="J540" i="2"/>
  <c r="J482" i="2"/>
  <c r="I482" i="2" s="1"/>
  <c r="I475" i="2"/>
  <c r="L475" i="2"/>
  <c r="J575" i="2"/>
  <c r="O510" i="2"/>
  <c r="L510" i="2"/>
  <c r="I510" i="2"/>
  <c r="J549" i="2"/>
  <c r="I484" i="2"/>
  <c r="O484" i="2"/>
  <c r="I515" i="2"/>
  <c r="J580" i="2"/>
  <c r="L515" i="2"/>
  <c r="O515" i="2"/>
  <c r="O486" i="2"/>
  <c r="J551" i="2"/>
  <c r="L486" i="2"/>
  <c r="I486" i="2"/>
  <c r="L506" i="2"/>
  <c r="I506" i="2"/>
  <c r="J571" i="2"/>
  <c r="O506" i="2"/>
  <c r="O501" i="2"/>
  <c r="J566" i="2"/>
  <c r="L501" i="2"/>
  <c r="O476" i="2"/>
  <c r="J541" i="2"/>
  <c r="I476" i="2"/>
  <c r="O432" i="2"/>
  <c r="J439" i="2"/>
  <c r="I439" i="2" s="1"/>
  <c r="L432" i="2"/>
  <c r="O374" i="2"/>
  <c r="O405" i="2" s="1"/>
  <c r="I530" i="2"/>
  <c r="J595" i="2"/>
  <c r="L530" i="2"/>
  <c r="O530" i="2"/>
  <c r="O359" i="2"/>
  <c r="I42" i="2"/>
  <c r="I33" i="2"/>
  <c r="I78" i="2"/>
  <c r="O78" i="2"/>
  <c r="J49" i="2"/>
  <c r="O34" i="2"/>
  <c r="O42" i="2"/>
  <c r="O49" i="2" s="1"/>
  <c r="L566" i="2" l="1"/>
  <c r="J631" i="2"/>
  <c r="O566" i="2"/>
  <c r="L551" i="2"/>
  <c r="J616" i="2"/>
  <c r="I551" i="2"/>
  <c r="O551" i="2"/>
  <c r="L575" i="2"/>
  <c r="J640" i="2"/>
  <c r="I575" i="2"/>
  <c r="O575" i="2"/>
  <c r="K613" i="2"/>
  <c r="K553" i="2"/>
  <c r="K986" i="2"/>
  <c r="K1051" i="2" s="1"/>
  <c r="J624" i="2"/>
  <c r="L559" i="2"/>
  <c r="O559" i="2"/>
  <c r="I559" i="2"/>
  <c r="I591" i="2"/>
  <c r="J656" i="2"/>
  <c r="L591" i="2"/>
  <c r="O591" i="2"/>
  <c r="O544" i="2"/>
  <c r="J609" i="2"/>
  <c r="L544" i="2"/>
  <c r="I544" i="2"/>
  <c r="O577" i="2"/>
  <c r="J642" i="2"/>
  <c r="L577" i="2"/>
  <c r="I577" i="2"/>
  <c r="O557" i="2"/>
  <c r="J622" i="2"/>
  <c r="L557" i="2"/>
  <c r="I557" i="2"/>
  <c r="L579" i="2"/>
  <c r="J644" i="2"/>
  <c r="I579" i="2"/>
  <c r="O579" i="2"/>
  <c r="J649" i="2"/>
  <c r="L584" i="2"/>
  <c r="O584" i="2"/>
  <c r="I584" i="2"/>
  <c r="I572" i="2"/>
  <c r="J637" i="2"/>
  <c r="L572" i="2"/>
  <c r="O572" i="2"/>
  <c r="K567" i="2"/>
  <c r="K628" i="2"/>
  <c r="O541" i="2"/>
  <c r="J606" i="2"/>
  <c r="I541" i="2"/>
  <c r="J608" i="2"/>
  <c r="I543" i="2"/>
  <c r="O543" i="2"/>
  <c r="K638" i="2"/>
  <c r="K598" i="2"/>
  <c r="O570" i="2"/>
  <c r="J635" i="2"/>
  <c r="I570" i="2"/>
  <c r="L570" i="2"/>
  <c r="J598" i="2"/>
  <c r="O424" i="2"/>
  <c r="O549" i="2"/>
  <c r="J614" i="2"/>
  <c r="I549" i="2"/>
  <c r="L540" i="2"/>
  <c r="J605" i="2"/>
  <c r="J547" i="2"/>
  <c r="I540" i="2"/>
  <c r="O540" i="2"/>
  <c r="L638" i="2"/>
  <c r="J703" i="2"/>
  <c r="O638" i="2"/>
  <c r="K942" i="2"/>
  <c r="O592" i="2"/>
  <c r="J657" i="2"/>
  <c r="L592" i="2"/>
  <c r="I592" i="2"/>
  <c r="O568" i="2"/>
  <c r="J633" i="2"/>
  <c r="L568" i="2"/>
  <c r="I568" i="2"/>
  <c r="O502" i="2"/>
  <c r="O561" i="2"/>
  <c r="J626" i="2"/>
  <c r="L561" i="2"/>
  <c r="I561" i="2"/>
  <c r="I576" i="2"/>
  <c r="J641" i="2"/>
  <c r="O576" i="2"/>
  <c r="L576" i="2"/>
  <c r="O470" i="2"/>
  <c r="I595" i="2"/>
  <c r="J660" i="2"/>
  <c r="O595" i="2"/>
  <c r="L595" i="2"/>
  <c r="O533" i="2"/>
  <c r="O535" i="2" s="1"/>
  <c r="J651" i="2"/>
  <c r="O586" i="2"/>
  <c r="I586" i="2"/>
  <c r="O552" i="2"/>
  <c r="J617" i="2"/>
  <c r="L552" i="2"/>
  <c r="I552" i="2"/>
  <c r="L497" i="2"/>
  <c r="J504" i="2"/>
  <c r="L555" i="2"/>
  <c r="J620" i="2"/>
  <c r="I555" i="2"/>
  <c r="O555" i="2"/>
  <c r="J562" i="2"/>
  <c r="O542" i="2"/>
  <c r="J607" i="2"/>
  <c r="L542" i="2"/>
  <c r="I542" i="2"/>
  <c r="K895" i="2"/>
  <c r="O585" i="2"/>
  <c r="J650" i="2"/>
  <c r="L585" i="2"/>
  <c r="I585" i="2"/>
  <c r="O589" i="2"/>
  <c r="J654" i="2"/>
  <c r="I589" i="2"/>
  <c r="L589" i="2"/>
  <c r="O597" i="2"/>
  <c r="J662" i="2"/>
  <c r="I597" i="2"/>
  <c r="L597" i="2"/>
  <c r="O574" i="2"/>
  <c r="J639" i="2"/>
  <c r="I574" i="2"/>
  <c r="L574" i="2"/>
  <c r="O588" i="2"/>
  <c r="J653" i="2"/>
  <c r="L588" i="2"/>
  <c r="I588" i="2"/>
  <c r="O550" i="2"/>
  <c r="J615" i="2"/>
  <c r="I550" i="2"/>
  <c r="L550" i="2"/>
  <c r="O545" i="2"/>
  <c r="J610" i="2"/>
  <c r="I545" i="2"/>
  <c r="L545" i="2"/>
  <c r="I533" i="2"/>
  <c r="J553" i="2"/>
  <c r="I553" i="2" s="1"/>
  <c r="J613" i="2"/>
  <c r="I548" i="2"/>
  <c r="L548" i="2"/>
  <c r="O548" i="2"/>
  <c r="O578" i="2"/>
  <c r="J643" i="2"/>
  <c r="I578" i="2"/>
  <c r="L578" i="2"/>
  <c r="O565" i="2"/>
  <c r="J630" i="2"/>
  <c r="L565" i="2"/>
  <c r="O560" i="2"/>
  <c r="J625" i="2"/>
  <c r="L560" i="2"/>
  <c r="I560" i="2"/>
  <c r="O581" i="2"/>
  <c r="J646" i="2"/>
  <c r="L581" i="2"/>
  <c r="I581" i="2"/>
  <c r="O593" i="2"/>
  <c r="J658" i="2"/>
  <c r="L593" i="2"/>
  <c r="I593" i="2"/>
  <c r="L583" i="2"/>
  <c r="J648" i="2"/>
  <c r="I583" i="2"/>
  <c r="O583" i="2"/>
  <c r="L594" i="2"/>
  <c r="J659" i="2"/>
  <c r="I594" i="2"/>
  <c r="O594" i="2"/>
  <c r="K504" i="2"/>
  <c r="I580" i="2"/>
  <c r="J645" i="2"/>
  <c r="O580" i="2"/>
  <c r="L580" i="2"/>
  <c r="J636" i="2"/>
  <c r="L571" i="2"/>
  <c r="I571" i="2"/>
  <c r="O571" i="2"/>
  <c r="O598" i="2" s="1"/>
  <c r="O497" i="2"/>
  <c r="O504" i="2" s="1"/>
  <c r="O482" i="2"/>
  <c r="O489" i="2" s="1"/>
  <c r="L590" i="2"/>
  <c r="J655" i="2"/>
  <c r="O590" i="2"/>
  <c r="I590" i="2"/>
  <c r="I556" i="2"/>
  <c r="J621" i="2"/>
  <c r="L556" i="2"/>
  <c r="O556" i="2"/>
  <c r="O596" i="2"/>
  <c r="J661" i="2"/>
  <c r="L596" i="2"/>
  <c r="I596" i="2"/>
  <c r="O582" i="2"/>
  <c r="J647" i="2"/>
  <c r="I582" i="2"/>
  <c r="L582" i="2"/>
  <c r="J623" i="2"/>
  <c r="O558" i="2"/>
  <c r="I558" i="2"/>
  <c r="J611" i="2"/>
  <c r="O546" i="2"/>
  <c r="I546" i="2"/>
  <c r="J652" i="2"/>
  <c r="I587" i="2"/>
  <c r="O587" i="2"/>
  <c r="L587" i="2"/>
  <c r="O564" i="2"/>
  <c r="J629" i="2"/>
  <c r="L564" i="2"/>
  <c r="K547" i="2"/>
  <c r="K605" i="2"/>
  <c r="I488" i="2"/>
  <c r="I563" i="2"/>
  <c r="I567" i="2" s="1"/>
  <c r="J628" i="2"/>
  <c r="J567" i="2"/>
  <c r="L567" i="2" s="1"/>
  <c r="L563" i="2"/>
  <c r="O563" i="2"/>
  <c r="K620" i="2"/>
  <c r="K562" i="2"/>
  <c r="K569" i="2" s="1"/>
  <c r="I49" i="2"/>
  <c r="O80" i="2"/>
  <c r="O647" i="2" l="1"/>
  <c r="J712" i="2"/>
  <c r="I647" i="2"/>
  <c r="L647" i="2"/>
  <c r="O613" i="2"/>
  <c r="J678" i="2"/>
  <c r="J618" i="2"/>
  <c r="I618" i="2" s="1"/>
  <c r="L613" i="2"/>
  <c r="I613" i="2"/>
  <c r="K960" i="2"/>
  <c r="O641" i="2"/>
  <c r="J706" i="2"/>
  <c r="L641" i="2"/>
  <c r="I641" i="2"/>
  <c r="J670" i="2"/>
  <c r="L605" i="2"/>
  <c r="O605" i="2"/>
  <c r="J612" i="2"/>
  <c r="I605" i="2"/>
  <c r="K703" i="2"/>
  <c r="K663" i="2"/>
  <c r="O649" i="2"/>
  <c r="J714" i="2"/>
  <c r="I649" i="2"/>
  <c r="L649" i="2"/>
  <c r="O624" i="2"/>
  <c r="J689" i="2"/>
  <c r="I624" i="2"/>
  <c r="L624" i="2"/>
  <c r="O567" i="2"/>
  <c r="O569" i="2" s="1"/>
  <c r="O600" i="2" s="1"/>
  <c r="O623" i="2"/>
  <c r="J688" i="2"/>
  <c r="I623" i="2"/>
  <c r="O553" i="2"/>
  <c r="O554" i="2" s="1"/>
  <c r="I610" i="2"/>
  <c r="J675" i="2"/>
  <c r="L610" i="2"/>
  <c r="O610" i="2"/>
  <c r="O615" i="2"/>
  <c r="J680" i="2"/>
  <c r="I615" i="2"/>
  <c r="L615" i="2"/>
  <c r="L653" i="2"/>
  <c r="J718" i="2"/>
  <c r="I653" i="2"/>
  <c r="O653" i="2"/>
  <c r="O639" i="2"/>
  <c r="J704" i="2"/>
  <c r="I639" i="2"/>
  <c r="L639" i="2"/>
  <c r="O662" i="2"/>
  <c r="J727" i="2"/>
  <c r="L662" i="2"/>
  <c r="I662" i="2"/>
  <c r="O654" i="2"/>
  <c r="J719" i="2"/>
  <c r="I654" i="2"/>
  <c r="L654" i="2"/>
  <c r="L650" i="2"/>
  <c r="J715" i="2"/>
  <c r="I650" i="2"/>
  <c r="O650" i="2"/>
  <c r="J627" i="2"/>
  <c r="J685" i="2"/>
  <c r="L620" i="2"/>
  <c r="O620" i="2"/>
  <c r="I620" i="2"/>
  <c r="L633" i="2"/>
  <c r="J698" i="2"/>
  <c r="I633" i="2"/>
  <c r="O633" i="2"/>
  <c r="L657" i="2"/>
  <c r="J722" i="2"/>
  <c r="I657" i="2"/>
  <c r="O657" i="2"/>
  <c r="O547" i="2"/>
  <c r="J700" i="2"/>
  <c r="O635" i="2"/>
  <c r="L635" i="2"/>
  <c r="J663" i="2"/>
  <c r="I663" i="2" s="1"/>
  <c r="I635" i="2"/>
  <c r="J671" i="2"/>
  <c r="I606" i="2"/>
  <c r="O606" i="2"/>
  <c r="I562" i="2"/>
  <c r="J632" i="2"/>
  <c r="L632" i="2" s="1"/>
  <c r="J693" i="2"/>
  <c r="L628" i="2"/>
  <c r="I628" i="2"/>
  <c r="I632" i="2" s="1"/>
  <c r="O628" i="2"/>
  <c r="O632" i="2" s="1"/>
  <c r="L661" i="2"/>
  <c r="J726" i="2"/>
  <c r="I661" i="2"/>
  <c r="O661" i="2"/>
  <c r="O621" i="2"/>
  <c r="J686" i="2"/>
  <c r="L621" i="2"/>
  <c r="I621" i="2"/>
  <c r="O655" i="2"/>
  <c r="J720" i="2"/>
  <c r="I655" i="2"/>
  <c r="L655" i="2"/>
  <c r="J672" i="2"/>
  <c r="I607" i="2"/>
  <c r="O607" i="2"/>
  <c r="L607" i="2"/>
  <c r="O626" i="2"/>
  <c r="J691" i="2"/>
  <c r="L626" i="2"/>
  <c r="I626" i="2"/>
  <c r="I627" i="2" s="1"/>
  <c r="K618" i="2"/>
  <c r="K678" i="2"/>
  <c r="L629" i="2"/>
  <c r="J694" i="2"/>
  <c r="O629" i="2"/>
  <c r="O611" i="2"/>
  <c r="J676" i="2"/>
  <c r="I611" i="2"/>
  <c r="O645" i="2"/>
  <c r="J710" i="2"/>
  <c r="L645" i="2"/>
  <c r="I645" i="2"/>
  <c r="O630" i="2"/>
  <c r="J695" i="2"/>
  <c r="L630" i="2"/>
  <c r="O643" i="2"/>
  <c r="J708" i="2"/>
  <c r="L643" i="2"/>
  <c r="I643" i="2"/>
  <c r="J569" i="2"/>
  <c r="I569" i="2" s="1"/>
  <c r="L562" i="2"/>
  <c r="I638" i="2"/>
  <c r="I598" i="2"/>
  <c r="O631" i="2"/>
  <c r="J696" i="2"/>
  <c r="L631" i="2"/>
  <c r="K627" i="2"/>
  <c r="K634" i="2" s="1"/>
  <c r="K685" i="2"/>
  <c r="K670" i="2"/>
  <c r="K612" i="2"/>
  <c r="O652" i="2"/>
  <c r="J717" i="2"/>
  <c r="L652" i="2"/>
  <c r="I652" i="2"/>
  <c r="O636" i="2"/>
  <c r="J701" i="2"/>
  <c r="L636" i="2"/>
  <c r="I636" i="2"/>
  <c r="O659" i="2"/>
  <c r="J724" i="2"/>
  <c r="L659" i="2"/>
  <c r="I659" i="2"/>
  <c r="O648" i="2"/>
  <c r="J713" i="2"/>
  <c r="L648" i="2"/>
  <c r="I648" i="2"/>
  <c r="O658" i="2"/>
  <c r="J723" i="2"/>
  <c r="I658" i="2"/>
  <c r="L658" i="2"/>
  <c r="L646" i="2"/>
  <c r="J711" i="2"/>
  <c r="I646" i="2"/>
  <c r="O646" i="2"/>
  <c r="L625" i="2"/>
  <c r="J690" i="2"/>
  <c r="I625" i="2"/>
  <c r="O625" i="2"/>
  <c r="O562" i="2"/>
  <c r="I504" i="2"/>
  <c r="L617" i="2"/>
  <c r="J682" i="2"/>
  <c r="O617" i="2"/>
  <c r="I617" i="2"/>
  <c r="O651" i="2"/>
  <c r="J716" i="2"/>
  <c r="I651" i="2"/>
  <c r="O660" i="2"/>
  <c r="J725" i="2"/>
  <c r="I660" i="2"/>
  <c r="L660" i="2"/>
  <c r="K1007" i="2"/>
  <c r="O703" i="2"/>
  <c r="J768" i="2"/>
  <c r="L703" i="2"/>
  <c r="I703" i="2"/>
  <c r="I547" i="2"/>
  <c r="I614" i="2"/>
  <c r="J679" i="2"/>
  <c r="O614" i="2"/>
  <c r="O608" i="2"/>
  <c r="J673" i="2"/>
  <c r="I608" i="2"/>
  <c r="K632" i="2"/>
  <c r="K693" i="2"/>
  <c r="O637" i="2"/>
  <c r="J702" i="2"/>
  <c r="I637" i="2"/>
  <c r="L637" i="2"/>
  <c r="O644" i="2"/>
  <c r="J709" i="2"/>
  <c r="L644" i="2"/>
  <c r="I644" i="2"/>
  <c r="L622" i="2"/>
  <c r="J687" i="2"/>
  <c r="I622" i="2"/>
  <c r="O622" i="2"/>
  <c r="L642" i="2"/>
  <c r="J707" i="2"/>
  <c r="I642" i="2"/>
  <c r="O642" i="2"/>
  <c r="L609" i="2"/>
  <c r="J674" i="2"/>
  <c r="I609" i="2"/>
  <c r="O609" i="2"/>
  <c r="O656" i="2"/>
  <c r="J721" i="2"/>
  <c r="L656" i="2"/>
  <c r="I656" i="2"/>
  <c r="O640" i="2"/>
  <c r="J705" i="2"/>
  <c r="L640" i="2"/>
  <c r="I640" i="2"/>
  <c r="O616" i="2"/>
  <c r="J681" i="2"/>
  <c r="L616" i="2"/>
  <c r="I616" i="2"/>
  <c r="K697" i="2" l="1"/>
  <c r="K758" i="2"/>
  <c r="J683" i="2"/>
  <c r="J747" i="2"/>
  <c r="L682" i="2"/>
  <c r="I682" i="2"/>
  <c r="O682" i="2"/>
  <c r="O671" i="2"/>
  <c r="J736" i="2"/>
  <c r="I671" i="2"/>
  <c r="I725" i="2"/>
  <c r="J790" i="2"/>
  <c r="L725" i="2"/>
  <c r="O725" i="2"/>
  <c r="K735" i="2"/>
  <c r="K677" i="2"/>
  <c r="O696" i="2"/>
  <c r="J761" i="2"/>
  <c r="L696" i="2"/>
  <c r="O695" i="2"/>
  <c r="J760" i="2"/>
  <c r="L695" i="2"/>
  <c r="J775" i="2"/>
  <c r="I710" i="2"/>
  <c r="O710" i="2"/>
  <c r="L710" i="2"/>
  <c r="K743" i="2"/>
  <c r="K683" i="2"/>
  <c r="O691" i="2"/>
  <c r="J756" i="2"/>
  <c r="L691" i="2"/>
  <c r="I691" i="2"/>
  <c r="L720" i="2"/>
  <c r="J785" i="2"/>
  <c r="I720" i="2"/>
  <c r="O720" i="2"/>
  <c r="I686" i="2"/>
  <c r="J751" i="2"/>
  <c r="O686" i="2"/>
  <c r="L686" i="2"/>
  <c r="O726" i="2"/>
  <c r="J791" i="2"/>
  <c r="L726" i="2"/>
  <c r="I726" i="2"/>
  <c r="O700" i="2"/>
  <c r="J765" i="2"/>
  <c r="J728" i="2"/>
  <c r="I728" i="2" s="1"/>
  <c r="L700" i="2"/>
  <c r="I700" i="2"/>
  <c r="O722" i="2"/>
  <c r="J787" i="2"/>
  <c r="I722" i="2"/>
  <c r="L722" i="2"/>
  <c r="O698" i="2"/>
  <c r="J763" i="2"/>
  <c r="I698" i="2"/>
  <c r="L698" i="2"/>
  <c r="O612" i="2"/>
  <c r="K1025" i="2"/>
  <c r="O678" i="2"/>
  <c r="J743" i="2"/>
  <c r="L678" i="2"/>
  <c r="I678" i="2"/>
  <c r="O716" i="2"/>
  <c r="J781" i="2"/>
  <c r="I716" i="2"/>
  <c r="J741" i="2"/>
  <c r="O676" i="2"/>
  <c r="I676" i="2"/>
  <c r="O663" i="2"/>
  <c r="O627" i="2"/>
  <c r="I612" i="2"/>
  <c r="O681" i="2"/>
  <c r="J746" i="2"/>
  <c r="L681" i="2"/>
  <c r="I681" i="2"/>
  <c r="O705" i="2"/>
  <c r="J770" i="2"/>
  <c r="L705" i="2"/>
  <c r="I705" i="2"/>
  <c r="J786" i="2"/>
  <c r="I721" i="2"/>
  <c r="O721" i="2"/>
  <c r="L721" i="2"/>
  <c r="O674" i="2"/>
  <c r="J739" i="2"/>
  <c r="I674" i="2"/>
  <c r="L674" i="2"/>
  <c r="O707" i="2"/>
  <c r="J772" i="2"/>
  <c r="I707" i="2"/>
  <c r="L707" i="2"/>
  <c r="O687" i="2"/>
  <c r="J752" i="2"/>
  <c r="I687" i="2"/>
  <c r="L687" i="2"/>
  <c r="O709" i="2"/>
  <c r="J774" i="2"/>
  <c r="I709" i="2"/>
  <c r="L709" i="2"/>
  <c r="I702" i="2"/>
  <c r="J767" i="2"/>
  <c r="O702" i="2"/>
  <c r="L702" i="2"/>
  <c r="J744" i="2"/>
  <c r="I679" i="2"/>
  <c r="O679" i="2"/>
  <c r="O690" i="2"/>
  <c r="J755" i="2"/>
  <c r="I690" i="2"/>
  <c r="L690" i="2"/>
  <c r="O711" i="2"/>
  <c r="J776" i="2"/>
  <c r="L711" i="2"/>
  <c r="I711" i="2"/>
  <c r="O723" i="2"/>
  <c r="J788" i="2"/>
  <c r="L723" i="2"/>
  <c r="I723" i="2"/>
  <c r="O713" i="2"/>
  <c r="J778" i="2"/>
  <c r="I713" i="2"/>
  <c r="L713" i="2"/>
  <c r="L724" i="2"/>
  <c r="J789" i="2"/>
  <c r="I724" i="2"/>
  <c r="O724" i="2"/>
  <c r="O701" i="2"/>
  <c r="J766" i="2"/>
  <c r="L701" i="2"/>
  <c r="I701" i="2"/>
  <c r="I717" i="2"/>
  <c r="J782" i="2"/>
  <c r="L717" i="2"/>
  <c r="O717" i="2"/>
  <c r="K750" i="2"/>
  <c r="K692" i="2"/>
  <c r="K699" i="2" s="1"/>
  <c r="O708" i="2"/>
  <c r="J773" i="2"/>
  <c r="L708" i="2"/>
  <c r="I708" i="2"/>
  <c r="O672" i="2"/>
  <c r="J737" i="2"/>
  <c r="L672" i="2"/>
  <c r="I672" i="2"/>
  <c r="I693" i="2"/>
  <c r="I697" i="2" s="1"/>
  <c r="J758" i="2"/>
  <c r="J697" i="2"/>
  <c r="L697" i="2" s="1"/>
  <c r="L693" i="2"/>
  <c r="O693" i="2"/>
  <c r="O697" i="2" s="1"/>
  <c r="J750" i="2"/>
  <c r="I685" i="2"/>
  <c r="L685" i="2"/>
  <c r="J692" i="2"/>
  <c r="O685" i="2"/>
  <c r="O715" i="2"/>
  <c r="J780" i="2"/>
  <c r="I715" i="2"/>
  <c r="L715" i="2"/>
  <c r="O719" i="2"/>
  <c r="J784" i="2"/>
  <c r="L719" i="2"/>
  <c r="I719" i="2"/>
  <c r="O727" i="2"/>
  <c r="J792" i="2"/>
  <c r="L727" i="2"/>
  <c r="I727" i="2"/>
  <c r="O704" i="2"/>
  <c r="J769" i="2"/>
  <c r="L704" i="2"/>
  <c r="I704" i="2"/>
  <c r="O718" i="2"/>
  <c r="J783" i="2"/>
  <c r="L718" i="2"/>
  <c r="I718" i="2"/>
  <c r="O680" i="2"/>
  <c r="J745" i="2"/>
  <c r="L680" i="2"/>
  <c r="I680" i="2"/>
  <c r="O675" i="2"/>
  <c r="J740" i="2"/>
  <c r="L675" i="2"/>
  <c r="I675" i="2"/>
  <c r="O688" i="2"/>
  <c r="J753" i="2"/>
  <c r="I688" i="2"/>
  <c r="K768" i="2"/>
  <c r="I768" i="2" s="1"/>
  <c r="K728" i="2"/>
  <c r="J771" i="2"/>
  <c r="O706" i="2"/>
  <c r="I706" i="2"/>
  <c r="L706" i="2"/>
  <c r="O618" i="2"/>
  <c r="O712" i="2"/>
  <c r="J777" i="2"/>
  <c r="L712" i="2"/>
  <c r="I712" i="2"/>
  <c r="J738" i="2"/>
  <c r="O673" i="2"/>
  <c r="I673" i="2"/>
  <c r="O768" i="2"/>
  <c r="J833" i="2"/>
  <c r="L768" i="2"/>
  <c r="O694" i="2"/>
  <c r="J759" i="2"/>
  <c r="L694" i="2"/>
  <c r="O634" i="2"/>
  <c r="J634" i="2"/>
  <c r="I634" i="2" s="1"/>
  <c r="L627" i="2"/>
  <c r="J754" i="2"/>
  <c r="L689" i="2"/>
  <c r="O689" i="2"/>
  <c r="I689" i="2"/>
  <c r="I714" i="2"/>
  <c r="J779" i="2"/>
  <c r="L714" i="2"/>
  <c r="O714" i="2"/>
  <c r="J677" i="2"/>
  <c r="J735" i="2"/>
  <c r="I670" i="2"/>
  <c r="L670" i="2"/>
  <c r="O670" i="2"/>
  <c r="O677" i="2" s="1"/>
  <c r="O759" i="2" l="1"/>
  <c r="J824" i="2"/>
  <c r="L759" i="2"/>
  <c r="L774" i="2"/>
  <c r="J839" i="2"/>
  <c r="I774" i="2"/>
  <c r="O774" i="2"/>
  <c r="O739" i="2"/>
  <c r="J804" i="2"/>
  <c r="L739" i="2"/>
  <c r="I739" i="2"/>
  <c r="O665" i="2"/>
  <c r="I775" i="2"/>
  <c r="J840" i="2"/>
  <c r="O775" i="2"/>
  <c r="L775" i="2"/>
  <c r="K742" i="2"/>
  <c r="K800" i="2"/>
  <c r="L747" i="2"/>
  <c r="J812" i="2"/>
  <c r="O747" i="2"/>
  <c r="I747" i="2"/>
  <c r="J836" i="2"/>
  <c r="L771" i="2"/>
  <c r="O771" i="2"/>
  <c r="I771" i="2"/>
  <c r="J818" i="2"/>
  <c r="O753" i="2"/>
  <c r="I753" i="2"/>
  <c r="O740" i="2"/>
  <c r="J805" i="2"/>
  <c r="I740" i="2"/>
  <c r="L740" i="2"/>
  <c r="O745" i="2"/>
  <c r="J810" i="2"/>
  <c r="I745" i="2"/>
  <c r="L745" i="2"/>
  <c r="O783" i="2"/>
  <c r="J848" i="2"/>
  <c r="I783" i="2"/>
  <c r="L783" i="2"/>
  <c r="O769" i="2"/>
  <c r="J834" i="2"/>
  <c r="I769" i="2"/>
  <c r="L769" i="2"/>
  <c r="O792" i="2"/>
  <c r="J857" i="2"/>
  <c r="I792" i="2"/>
  <c r="L792" i="2"/>
  <c r="O784" i="2"/>
  <c r="J849" i="2"/>
  <c r="I784" i="2"/>
  <c r="L784" i="2"/>
  <c r="O780" i="2"/>
  <c r="J845" i="2"/>
  <c r="L780" i="2"/>
  <c r="I780" i="2"/>
  <c r="J847" i="2"/>
  <c r="L782" i="2"/>
  <c r="O782" i="2"/>
  <c r="I782" i="2"/>
  <c r="L766" i="2"/>
  <c r="J831" i="2"/>
  <c r="I766" i="2"/>
  <c r="O766" i="2"/>
  <c r="L789" i="2"/>
  <c r="J854" i="2"/>
  <c r="I789" i="2"/>
  <c r="O789" i="2"/>
  <c r="L778" i="2"/>
  <c r="J843" i="2"/>
  <c r="I778" i="2"/>
  <c r="O778" i="2"/>
  <c r="O788" i="2"/>
  <c r="J853" i="2"/>
  <c r="I788" i="2"/>
  <c r="L788" i="2"/>
  <c r="O776" i="2"/>
  <c r="J841" i="2"/>
  <c r="L776" i="2"/>
  <c r="I776" i="2"/>
  <c r="O755" i="2"/>
  <c r="J820" i="2"/>
  <c r="L755" i="2"/>
  <c r="I755" i="2"/>
  <c r="O744" i="2"/>
  <c r="J809" i="2"/>
  <c r="I744" i="2"/>
  <c r="J851" i="2"/>
  <c r="O786" i="2"/>
  <c r="L786" i="2"/>
  <c r="I786" i="2"/>
  <c r="J846" i="2"/>
  <c r="O781" i="2"/>
  <c r="I781" i="2"/>
  <c r="J808" i="2"/>
  <c r="I743" i="2"/>
  <c r="L743" i="2"/>
  <c r="J748" i="2"/>
  <c r="O743" i="2"/>
  <c r="O748" i="2" s="1"/>
  <c r="O619" i="2"/>
  <c r="O765" i="2"/>
  <c r="J830" i="2"/>
  <c r="J793" i="2"/>
  <c r="I793" i="2" s="1"/>
  <c r="L765" i="2"/>
  <c r="I765" i="2"/>
  <c r="O791" i="2"/>
  <c r="J856" i="2"/>
  <c r="L791" i="2"/>
  <c r="I791" i="2"/>
  <c r="I751" i="2"/>
  <c r="J816" i="2"/>
  <c r="L751" i="2"/>
  <c r="O751" i="2"/>
  <c r="L785" i="2"/>
  <c r="J850" i="2"/>
  <c r="I785" i="2"/>
  <c r="O785" i="2"/>
  <c r="O756" i="2"/>
  <c r="J821" i="2"/>
  <c r="I756" i="2"/>
  <c r="L756" i="2"/>
  <c r="L761" i="2"/>
  <c r="J826" i="2"/>
  <c r="O761" i="2"/>
  <c r="O683" i="2"/>
  <c r="I683" i="2"/>
  <c r="O833" i="2"/>
  <c r="J898" i="2"/>
  <c r="L833" i="2"/>
  <c r="L692" i="2"/>
  <c r="J699" i="2"/>
  <c r="I699" i="2" s="1"/>
  <c r="I692" i="2"/>
  <c r="I767" i="2"/>
  <c r="J832" i="2"/>
  <c r="L767" i="2"/>
  <c r="O767" i="2"/>
  <c r="O752" i="2"/>
  <c r="J817" i="2"/>
  <c r="L752" i="2"/>
  <c r="I752" i="2"/>
  <c r="O772" i="2"/>
  <c r="J837" i="2"/>
  <c r="L772" i="2"/>
  <c r="I772" i="2"/>
  <c r="L770" i="2"/>
  <c r="J835" i="2"/>
  <c r="I770" i="2"/>
  <c r="O770" i="2"/>
  <c r="L746" i="2"/>
  <c r="J811" i="2"/>
  <c r="I746" i="2"/>
  <c r="O746" i="2"/>
  <c r="O763" i="2"/>
  <c r="J828" i="2"/>
  <c r="L763" i="2"/>
  <c r="I763" i="2"/>
  <c r="O787" i="2"/>
  <c r="J852" i="2"/>
  <c r="L787" i="2"/>
  <c r="I787" i="2"/>
  <c r="K808" i="2"/>
  <c r="K748" i="2"/>
  <c r="L735" i="2"/>
  <c r="J800" i="2"/>
  <c r="I735" i="2"/>
  <c r="J742" i="2"/>
  <c r="I742" i="2" s="1"/>
  <c r="O735" i="2"/>
  <c r="I779" i="2"/>
  <c r="J844" i="2"/>
  <c r="O779" i="2"/>
  <c r="L779" i="2"/>
  <c r="K815" i="2"/>
  <c r="K757" i="2"/>
  <c r="O728" i="2"/>
  <c r="O760" i="2"/>
  <c r="J825" i="2"/>
  <c r="L760" i="2"/>
  <c r="K762" i="2"/>
  <c r="K823" i="2"/>
  <c r="J803" i="2"/>
  <c r="O738" i="2"/>
  <c r="I738" i="2"/>
  <c r="O684" i="2"/>
  <c r="J819" i="2"/>
  <c r="L754" i="2"/>
  <c r="I754" i="2"/>
  <c r="I757" i="2" s="1"/>
  <c r="O754" i="2"/>
  <c r="O777" i="2"/>
  <c r="J842" i="2"/>
  <c r="I777" i="2"/>
  <c r="L777" i="2"/>
  <c r="K833" i="2"/>
  <c r="K793" i="2"/>
  <c r="O692" i="2"/>
  <c r="O699" i="2" s="1"/>
  <c r="L750" i="2"/>
  <c r="J815" i="2"/>
  <c r="I750" i="2"/>
  <c r="O750" i="2"/>
  <c r="O757" i="2" s="1"/>
  <c r="J757" i="2"/>
  <c r="I758" i="2"/>
  <c r="I762" i="2" s="1"/>
  <c r="J823" i="2"/>
  <c r="J762" i="2"/>
  <c r="L762" i="2" s="1"/>
  <c r="O758" i="2"/>
  <c r="O762" i="2" s="1"/>
  <c r="L758" i="2"/>
  <c r="O737" i="2"/>
  <c r="J802" i="2"/>
  <c r="L737" i="2"/>
  <c r="I737" i="2"/>
  <c r="O773" i="2"/>
  <c r="J838" i="2"/>
  <c r="I773" i="2"/>
  <c r="L773" i="2"/>
  <c r="J806" i="2"/>
  <c r="O741" i="2"/>
  <c r="I741" i="2"/>
  <c r="I677" i="2"/>
  <c r="I790" i="2"/>
  <c r="J855" i="2"/>
  <c r="O790" i="2"/>
  <c r="L790" i="2"/>
  <c r="O736" i="2"/>
  <c r="J801" i="2"/>
  <c r="I736" i="2"/>
  <c r="O838" i="2" l="1"/>
  <c r="J903" i="2"/>
  <c r="L838" i="2"/>
  <c r="I838" i="2"/>
  <c r="O852" i="2"/>
  <c r="J917" i="2"/>
  <c r="L852" i="2"/>
  <c r="I852" i="2"/>
  <c r="L811" i="2"/>
  <c r="J876" i="2"/>
  <c r="I811" i="2"/>
  <c r="O811" i="2"/>
  <c r="O837" i="2"/>
  <c r="J902" i="2"/>
  <c r="L837" i="2"/>
  <c r="I837" i="2"/>
  <c r="I832" i="2"/>
  <c r="J897" i="2"/>
  <c r="O832" i="2"/>
  <c r="L832" i="2"/>
  <c r="L826" i="2"/>
  <c r="J891" i="2"/>
  <c r="O826" i="2"/>
  <c r="L850" i="2"/>
  <c r="J915" i="2"/>
  <c r="I850" i="2"/>
  <c r="O850" i="2"/>
  <c r="O808" i="2"/>
  <c r="J873" i="2"/>
  <c r="L808" i="2"/>
  <c r="I808" i="2"/>
  <c r="O812" i="2"/>
  <c r="I812" i="2"/>
  <c r="J877" i="2"/>
  <c r="L812" i="2"/>
  <c r="J871" i="2"/>
  <c r="O806" i="2"/>
  <c r="I806" i="2"/>
  <c r="I823" i="2"/>
  <c r="I827" i="2" s="1"/>
  <c r="J888" i="2"/>
  <c r="L823" i="2"/>
  <c r="O823" i="2"/>
  <c r="J827" i="2"/>
  <c r="L827" i="2" s="1"/>
  <c r="O842" i="2"/>
  <c r="J907" i="2"/>
  <c r="I842" i="2"/>
  <c r="L842" i="2"/>
  <c r="K764" i="2"/>
  <c r="J909" i="2"/>
  <c r="I844" i="2"/>
  <c r="O844" i="2"/>
  <c r="L844" i="2"/>
  <c r="K873" i="2"/>
  <c r="K813" i="2"/>
  <c r="O830" i="2"/>
  <c r="J895" i="2"/>
  <c r="L830" i="2"/>
  <c r="J858" i="2"/>
  <c r="I830" i="2"/>
  <c r="I748" i="2"/>
  <c r="J813" i="2"/>
  <c r="I813" i="2" s="1"/>
  <c r="J874" i="2"/>
  <c r="I809" i="2"/>
  <c r="O809" i="2"/>
  <c r="O813" i="2" s="1"/>
  <c r="O820" i="2"/>
  <c r="J885" i="2"/>
  <c r="L820" i="2"/>
  <c r="I820" i="2"/>
  <c r="O841" i="2"/>
  <c r="J906" i="2"/>
  <c r="L841" i="2"/>
  <c r="I841" i="2"/>
  <c r="O853" i="2"/>
  <c r="J918" i="2"/>
  <c r="I853" i="2"/>
  <c r="L853" i="2"/>
  <c r="L843" i="2"/>
  <c r="J908" i="2"/>
  <c r="I843" i="2"/>
  <c r="O843" i="2"/>
  <c r="L854" i="2"/>
  <c r="J919" i="2"/>
  <c r="I854" i="2"/>
  <c r="O854" i="2"/>
  <c r="L831" i="2"/>
  <c r="J896" i="2"/>
  <c r="I831" i="2"/>
  <c r="O831" i="2"/>
  <c r="O845" i="2"/>
  <c r="J910" i="2"/>
  <c r="L845" i="2"/>
  <c r="I845" i="2"/>
  <c r="O849" i="2"/>
  <c r="J914" i="2"/>
  <c r="I849" i="2"/>
  <c r="L849" i="2"/>
  <c r="O857" i="2"/>
  <c r="J922" i="2"/>
  <c r="I857" i="2"/>
  <c r="L857" i="2"/>
  <c r="O834" i="2"/>
  <c r="J899" i="2"/>
  <c r="I834" i="2"/>
  <c r="L834" i="2"/>
  <c r="O848" i="2"/>
  <c r="J913" i="2"/>
  <c r="I848" i="2"/>
  <c r="L848" i="2"/>
  <c r="O810" i="2"/>
  <c r="J875" i="2"/>
  <c r="I810" i="2"/>
  <c r="L810" i="2"/>
  <c r="O805" i="2"/>
  <c r="J870" i="2"/>
  <c r="I805" i="2"/>
  <c r="L805" i="2"/>
  <c r="J883" i="2"/>
  <c r="O818" i="2"/>
  <c r="I818" i="2"/>
  <c r="I836" i="2"/>
  <c r="J901" i="2"/>
  <c r="L836" i="2"/>
  <c r="O836" i="2"/>
  <c r="J867" i="2"/>
  <c r="I802" i="2"/>
  <c r="L802" i="2"/>
  <c r="O802" i="2"/>
  <c r="O730" i="2"/>
  <c r="O828" i="2"/>
  <c r="J893" i="2"/>
  <c r="L828" i="2"/>
  <c r="I828" i="2"/>
  <c r="L835" i="2"/>
  <c r="J900" i="2"/>
  <c r="I835" i="2"/>
  <c r="O835" i="2"/>
  <c r="O817" i="2"/>
  <c r="J882" i="2"/>
  <c r="L817" i="2"/>
  <c r="I817" i="2"/>
  <c r="O821" i="2"/>
  <c r="J886" i="2"/>
  <c r="I821" i="2"/>
  <c r="L821" i="2"/>
  <c r="I816" i="2"/>
  <c r="J881" i="2"/>
  <c r="L816" i="2"/>
  <c r="O816" i="2"/>
  <c r="O856" i="2"/>
  <c r="J921" i="2"/>
  <c r="L856" i="2"/>
  <c r="I856" i="2"/>
  <c r="L815" i="2"/>
  <c r="J880" i="2"/>
  <c r="I815" i="2"/>
  <c r="O815" i="2"/>
  <c r="O822" i="2" s="1"/>
  <c r="J822" i="2"/>
  <c r="K898" i="2"/>
  <c r="K858" i="2"/>
  <c r="J884" i="2"/>
  <c r="O819" i="2"/>
  <c r="L819" i="2"/>
  <c r="I819" i="2"/>
  <c r="J868" i="2"/>
  <c r="O803" i="2"/>
  <c r="I803" i="2"/>
  <c r="O825" i="2"/>
  <c r="J890" i="2"/>
  <c r="L825" i="2"/>
  <c r="K880" i="2"/>
  <c r="K822" i="2"/>
  <c r="L800" i="2"/>
  <c r="J865" i="2"/>
  <c r="I800" i="2"/>
  <c r="J807" i="2"/>
  <c r="O800" i="2"/>
  <c r="I833" i="2"/>
  <c r="O793" i="2"/>
  <c r="J912" i="2"/>
  <c r="I847" i="2"/>
  <c r="L847" i="2"/>
  <c r="O847" i="2"/>
  <c r="K865" i="2"/>
  <c r="K807" i="2"/>
  <c r="I840" i="2"/>
  <c r="J905" i="2"/>
  <c r="O840" i="2"/>
  <c r="L840" i="2"/>
  <c r="O824" i="2"/>
  <c r="J889" i="2"/>
  <c r="L824" i="2"/>
  <c r="O801" i="2"/>
  <c r="J866" i="2"/>
  <c r="I801" i="2"/>
  <c r="I855" i="2"/>
  <c r="J920" i="2"/>
  <c r="O855" i="2"/>
  <c r="L855" i="2"/>
  <c r="O764" i="2"/>
  <c r="L757" i="2"/>
  <c r="J764" i="2"/>
  <c r="I764" i="2" s="1"/>
  <c r="K827" i="2"/>
  <c r="K888" i="2"/>
  <c r="O742" i="2"/>
  <c r="O749" i="2" s="1"/>
  <c r="O898" i="2"/>
  <c r="J963" i="2"/>
  <c r="L898" i="2"/>
  <c r="I898" i="2"/>
  <c r="J911" i="2"/>
  <c r="O846" i="2"/>
  <c r="I846" i="2"/>
  <c r="J916" i="2"/>
  <c r="I851" i="2"/>
  <c r="O851" i="2"/>
  <c r="L851" i="2"/>
  <c r="J869" i="2"/>
  <c r="L804" i="2"/>
  <c r="O804" i="2"/>
  <c r="I804" i="2"/>
  <c r="L839" i="2"/>
  <c r="J904" i="2"/>
  <c r="I839" i="2"/>
  <c r="O839" i="2"/>
  <c r="I916" i="2" l="1"/>
  <c r="J981" i="2"/>
  <c r="O916" i="2"/>
  <c r="L916" i="2"/>
  <c r="O807" i="2"/>
  <c r="O814" i="2" s="1"/>
  <c r="O890" i="2"/>
  <c r="J955" i="2"/>
  <c r="L890" i="2"/>
  <c r="J933" i="2"/>
  <c r="O868" i="2"/>
  <c r="I868" i="2"/>
  <c r="J932" i="2"/>
  <c r="L867" i="2"/>
  <c r="O867" i="2"/>
  <c r="I867" i="2"/>
  <c r="I888" i="2"/>
  <c r="I892" i="2" s="1"/>
  <c r="J953" i="2"/>
  <c r="O888" i="2"/>
  <c r="L888" i="2"/>
  <c r="J892" i="2"/>
  <c r="L892" i="2" s="1"/>
  <c r="K892" i="2"/>
  <c r="K953" i="2"/>
  <c r="K930" i="2"/>
  <c r="K872" i="2"/>
  <c r="J977" i="2"/>
  <c r="I912" i="2"/>
  <c r="L912" i="2"/>
  <c r="O912" i="2"/>
  <c r="I807" i="2"/>
  <c r="K829" i="2"/>
  <c r="I822" i="2"/>
  <c r="O858" i="2"/>
  <c r="J934" i="2"/>
  <c r="L869" i="2"/>
  <c r="I869" i="2"/>
  <c r="O869" i="2"/>
  <c r="I920" i="2"/>
  <c r="J985" i="2"/>
  <c r="L920" i="2"/>
  <c r="O920" i="2"/>
  <c r="O895" i="2"/>
  <c r="J960" i="2"/>
  <c r="L895" i="2"/>
  <c r="J923" i="2"/>
  <c r="I895" i="2"/>
  <c r="J936" i="2"/>
  <c r="I871" i="2"/>
  <c r="O871" i="2"/>
  <c r="J1028" i="2"/>
  <c r="L963" i="2"/>
  <c r="O963" i="2"/>
  <c r="O889" i="2"/>
  <c r="J954" i="2"/>
  <c r="L889" i="2"/>
  <c r="I905" i="2"/>
  <c r="J970" i="2"/>
  <c r="L905" i="2"/>
  <c r="O905" i="2"/>
  <c r="O795" i="2"/>
  <c r="K945" i="2"/>
  <c r="K887" i="2"/>
  <c r="K894" i="2" s="1"/>
  <c r="K963" i="2"/>
  <c r="I963" i="2" s="1"/>
  <c r="K923" i="2"/>
  <c r="L880" i="2"/>
  <c r="J945" i="2"/>
  <c r="I880" i="2"/>
  <c r="J887" i="2"/>
  <c r="O880" i="2"/>
  <c r="O921" i="2"/>
  <c r="J986" i="2"/>
  <c r="L921" i="2"/>
  <c r="I921" i="2"/>
  <c r="I881" i="2"/>
  <c r="J946" i="2"/>
  <c r="O881" i="2"/>
  <c r="L881" i="2"/>
  <c r="O886" i="2"/>
  <c r="J951" i="2"/>
  <c r="I886" i="2"/>
  <c r="L886" i="2"/>
  <c r="O882" i="2"/>
  <c r="J947" i="2"/>
  <c r="L882" i="2"/>
  <c r="I882" i="2"/>
  <c r="L900" i="2"/>
  <c r="J965" i="2"/>
  <c r="I900" i="2"/>
  <c r="O900" i="2"/>
  <c r="O893" i="2"/>
  <c r="J958" i="2"/>
  <c r="L893" i="2"/>
  <c r="I893" i="2"/>
  <c r="O870" i="2"/>
  <c r="J935" i="2"/>
  <c r="I870" i="2"/>
  <c r="L870" i="2"/>
  <c r="O875" i="2"/>
  <c r="J940" i="2"/>
  <c r="I875" i="2"/>
  <c r="L875" i="2"/>
  <c r="O913" i="2"/>
  <c r="J978" i="2"/>
  <c r="L913" i="2"/>
  <c r="I913" i="2"/>
  <c r="O899" i="2"/>
  <c r="J964" i="2"/>
  <c r="L899" i="2"/>
  <c r="I899" i="2"/>
  <c r="O922" i="2"/>
  <c r="J987" i="2"/>
  <c r="I922" i="2"/>
  <c r="L922" i="2"/>
  <c r="O914" i="2"/>
  <c r="J979" i="2"/>
  <c r="I914" i="2"/>
  <c r="L914" i="2"/>
  <c r="O910" i="2"/>
  <c r="J975" i="2"/>
  <c r="L910" i="2"/>
  <c r="I910" i="2"/>
  <c r="L896" i="2"/>
  <c r="J961" i="2"/>
  <c r="I896" i="2"/>
  <c r="O896" i="2"/>
  <c r="L919" i="2"/>
  <c r="J984" i="2"/>
  <c r="I919" i="2"/>
  <c r="O919" i="2"/>
  <c r="L908" i="2"/>
  <c r="J973" i="2"/>
  <c r="I908" i="2"/>
  <c r="O908" i="2"/>
  <c r="O918" i="2"/>
  <c r="J983" i="2"/>
  <c r="I918" i="2"/>
  <c r="L918" i="2"/>
  <c r="O906" i="2"/>
  <c r="J971" i="2"/>
  <c r="L906" i="2"/>
  <c r="I906" i="2"/>
  <c r="O885" i="2"/>
  <c r="J950" i="2"/>
  <c r="L885" i="2"/>
  <c r="I885" i="2"/>
  <c r="O874" i="2"/>
  <c r="J939" i="2"/>
  <c r="I874" i="2"/>
  <c r="I858" i="2"/>
  <c r="O827" i="2"/>
  <c r="O829" i="2" s="1"/>
  <c r="J942" i="2"/>
  <c r="L877" i="2"/>
  <c r="I877" i="2"/>
  <c r="O877" i="2"/>
  <c r="L891" i="2"/>
  <c r="J956" i="2"/>
  <c r="O891" i="2"/>
  <c r="I897" i="2"/>
  <c r="J962" i="2"/>
  <c r="L897" i="2"/>
  <c r="O897" i="2"/>
  <c r="O902" i="2"/>
  <c r="J967" i="2"/>
  <c r="L902" i="2"/>
  <c r="I902" i="2"/>
  <c r="L876" i="2"/>
  <c r="J941" i="2"/>
  <c r="I876" i="2"/>
  <c r="O876" i="2"/>
  <c r="O917" i="2"/>
  <c r="J982" i="2"/>
  <c r="L917" i="2"/>
  <c r="I917" i="2"/>
  <c r="O903" i="2"/>
  <c r="J968" i="2"/>
  <c r="I903" i="2"/>
  <c r="L903" i="2"/>
  <c r="J949" i="2"/>
  <c r="L884" i="2"/>
  <c r="O884" i="2"/>
  <c r="I884" i="2"/>
  <c r="L904" i="2"/>
  <c r="J969" i="2"/>
  <c r="I904" i="2"/>
  <c r="O904" i="2"/>
  <c r="J976" i="2"/>
  <c r="O911" i="2"/>
  <c r="I911" i="2"/>
  <c r="O866" i="2"/>
  <c r="J931" i="2"/>
  <c r="I866" i="2"/>
  <c r="L865" i="2"/>
  <c r="J930" i="2"/>
  <c r="I865" i="2"/>
  <c r="O865" i="2"/>
  <c r="J872" i="2"/>
  <c r="L822" i="2"/>
  <c r="J829" i="2"/>
  <c r="I829" i="2" s="1"/>
  <c r="J966" i="2"/>
  <c r="I901" i="2"/>
  <c r="O901" i="2"/>
  <c r="L901" i="2"/>
  <c r="J948" i="2"/>
  <c r="O883" i="2"/>
  <c r="I883" i="2"/>
  <c r="K938" i="2"/>
  <c r="K878" i="2"/>
  <c r="J974" i="2"/>
  <c r="L909" i="2"/>
  <c r="O909" i="2"/>
  <c r="I909" i="2"/>
  <c r="O907" i="2"/>
  <c r="J972" i="2"/>
  <c r="I907" i="2"/>
  <c r="L907" i="2"/>
  <c r="J938" i="2"/>
  <c r="I873" i="2"/>
  <c r="L873" i="2"/>
  <c r="O873" i="2"/>
  <c r="J878" i="2"/>
  <c r="L915" i="2"/>
  <c r="J980" i="2"/>
  <c r="I915" i="2"/>
  <c r="O915" i="2"/>
  <c r="I966" i="2" l="1"/>
  <c r="J1031" i="2"/>
  <c r="L966" i="2"/>
  <c r="O966" i="2"/>
  <c r="I962" i="2"/>
  <c r="J1027" i="2"/>
  <c r="O962" i="2"/>
  <c r="L962" i="2"/>
  <c r="O971" i="2"/>
  <c r="J1036" i="2"/>
  <c r="I971" i="2"/>
  <c r="L971" i="2"/>
  <c r="O975" i="2"/>
  <c r="J1040" i="2"/>
  <c r="L975" i="2"/>
  <c r="I975" i="2"/>
  <c r="O935" i="2"/>
  <c r="J1000" i="2"/>
  <c r="L935" i="2"/>
  <c r="I935" i="2"/>
  <c r="O986" i="2"/>
  <c r="J1051" i="2"/>
  <c r="I986" i="2"/>
  <c r="L986" i="2"/>
  <c r="O932" i="2"/>
  <c r="J997" i="2"/>
  <c r="L932" i="2"/>
  <c r="I932" i="2"/>
  <c r="I949" i="2"/>
  <c r="J1014" i="2"/>
  <c r="L949" i="2"/>
  <c r="O949" i="2"/>
  <c r="J952" i="2"/>
  <c r="J1010" i="2"/>
  <c r="I945" i="2"/>
  <c r="L945" i="2"/>
  <c r="O945" i="2"/>
  <c r="O954" i="2"/>
  <c r="J1019" i="2"/>
  <c r="L954" i="2"/>
  <c r="J1001" i="2"/>
  <c r="O936" i="2"/>
  <c r="I936" i="2"/>
  <c r="L960" i="2"/>
  <c r="J1025" i="2"/>
  <c r="J988" i="2"/>
  <c r="I960" i="2"/>
  <c r="O960" i="2"/>
  <c r="K937" i="2"/>
  <c r="K995" i="2"/>
  <c r="K1002" i="2" s="1"/>
  <c r="O955" i="2"/>
  <c r="J1020" i="2"/>
  <c r="L955" i="2"/>
  <c r="O968" i="2"/>
  <c r="J1033" i="2"/>
  <c r="L968" i="2"/>
  <c r="I968" i="2"/>
  <c r="O941" i="2"/>
  <c r="J1006" i="2"/>
  <c r="L941" i="2"/>
  <c r="I941" i="2"/>
  <c r="J1004" i="2"/>
  <c r="I939" i="2"/>
  <c r="O939" i="2"/>
  <c r="O983" i="2"/>
  <c r="J1048" i="2"/>
  <c r="L983" i="2"/>
  <c r="I983" i="2"/>
  <c r="O984" i="2"/>
  <c r="J1049" i="2"/>
  <c r="I984" i="2"/>
  <c r="L984" i="2"/>
  <c r="O979" i="2"/>
  <c r="J1044" i="2"/>
  <c r="L979" i="2"/>
  <c r="I979" i="2"/>
  <c r="O964" i="2"/>
  <c r="J1029" i="2"/>
  <c r="L964" i="2"/>
  <c r="I964" i="2"/>
  <c r="O940" i="2"/>
  <c r="J1005" i="2"/>
  <c r="L940" i="2"/>
  <c r="I940" i="2"/>
  <c r="O965" i="2"/>
  <c r="J1030" i="2"/>
  <c r="I965" i="2"/>
  <c r="L965" i="2"/>
  <c r="O951" i="2"/>
  <c r="J1016" i="2"/>
  <c r="L951" i="2"/>
  <c r="I951" i="2"/>
  <c r="I952" i="2" s="1"/>
  <c r="K1028" i="2"/>
  <c r="K1053" i="2" s="1"/>
  <c r="K988" i="2"/>
  <c r="O980" i="2"/>
  <c r="J1045" i="2"/>
  <c r="I980" i="2"/>
  <c r="L980" i="2"/>
  <c r="K1003" i="2"/>
  <c r="K1008" i="2" s="1"/>
  <c r="K943" i="2"/>
  <c r="O931" i="2"/>
  <c r="J996" i="2"/>
  <c r="I931" i="2"/>
  <c r="O972" i="2"/>
  <c r="L972" i="2"/>
  <c r="I972" i="2"/>
  <c r="J1037" i="2"/>
  <c r="J995" i="2"/>
  <c r="J937" i="2"/>
  <c r="I937" i="2" s="1"/>
  <c r="O930" i="2"/>
  <c r="L930" i="2"/>
  <c r="I930" i="2"/>
  <c r="I887" i="2"/>
  <c r="O887" i="2"/>
  <c r="K952" i="2"/>
  <c r="K959" i="2" s="1"/>
  <c r="K1010" i="2"/>
  <c r="K1017" i="2" s="1"/>
  <c r="K1024" i="2" s="1"/>
  <c r="I970" i="2"/>
  <c r="J1035" i="2"/>
  <c r="L970" i="2"/>
  <c r="O970" i="2"/>
  <c r="I1028" i="2"/>
  <c r="L1028" i="2"/>
  <c r="O1028" i="2"/>
  <c r="O923" i="2"/>
  <c r="I985" i="2"/>
  <c r="J1050" i="2"/>
  <c r="L985" i="2"/>
  <c r="O985" i="2"/>
  <c r="K957" i="2"/>
  <c r="K1018" i="2"/>
  <c r="K1022" i="2" s="1"/>
  <c r="O892" i="2"/>
  <c r="O872" i="2"/>
  <c r="J1046" i="2"/>
  <c r="O981" i="2"/>
  <c r="L981" i="2"/>
  <c r="I981" i="2"/>
  <c r="O948" i="2"/>
  <c r="J1013" i="2"/>
  <c r="I948" i="2"/>
  <c r="O969" i="2"/>
  <c r="J1034" i="2"/>
  <c r="L969" i="2"/>
  <c r="I969" i="2"/>
  <c r="O982" i="2"/>
  <c r="J1047" i="2"/>
  <c r="L982" i="2"/>
  <c r="I982" i="2"/>
  <c r="O967" i="2"/>
  <c r="J1032" i="2"/>
  <c r="L967" i="2"/>
  <c r="I967" i="2"/>
  <c r="O942" i="2"/>
  <c r="J1007" i="2"/>
  <c r="I942" i="2"/>
  <c r="L942" i="2"/>
  <c r="O950" i="2"/>
  <c r="J1015" i="2"/>
  <c r="I950" i="2"/>
  <c r="L950" i="2"/>
  <c r="L973" i="2"/>
  <c r="I973" i="2"/>
  <c r="O973" i="2"/>
  <c r="J1038" i="2"/>
  <c r="O961" i="2"/>
  <c r="J1026" i="2"/>
  <c r="I961" i="2"/>
  <c r="L961" i="2"/>
  <c r="O987" i="2"/>
  <c r="J1052" i="2"/>
  <c r="L987" i="2"/>
  <c r="I987" i="2"/>
  <c r="J1043" i="2"/>
  <c r="I978" i="2"/>
  <c r="O978" i="2"/>
  <c r="L978" i="2"/>
  <c r="O958" i="2"/>
  <c r="J1023" i="2"/>
  <c r="L958" i="2"/>
  <c r="I958" i="2"/>
  <c r="O947" i="2"/>
  <c r="J1012" i="2"/>
  <c r="L947" i="2"/>
  <c r="I947" i="2"/>
  <c r="I946" i="2"/>
  <c r="J1011" i="2"/>
  <c r="L946" i="2"/>
  <c r="O946" i="2"/>
  <c r="O860" i="2"/>
  <c r="O976" i="2"/>
  <c r="J1041" i="2"/>
  <c r="I976" i="2"/>
  <c r="O878" i="2"/>
  <c r="I878" i="2"/>
  <c r="J1003" i="2"/>
  <c r="L938" i="2"/>
  <c r="O938" i="2"/>
  <c r="O943" i="2" s="1"/>
  <c r="J943" i="2"/>
  <c r="I938" i="2"/>
  <c r="I974" i="2"/>
  <c r="J1039" i="2"/>
  <c r="L974" i="2"/>
  <c r="O974" i="2"/>
  <c r="I872" i="2"/>
  <c r="O956" i="2"/>
  <c r="J1021" i="2"/>
  <c r="L956" i="2"/>
  <c r="L887" i="2"/>
  <c r="J894" i="2"/>
  <c r="I894" i="2" s="1"/>
  <c r="I923" i="2"/>
  <c r="O934" i="2"/>
  <c r="J999" i="2"/>
  <c r="L934" i="2"/>
  <c r="I934" i="2"/>
  <c r="I977" i="2"/>
  <c r="J1042" i="2"/>
  <c r="L977" i="2"/>
  <c r="O977" i="2"/>
  <c r="I953" i="2"/>
  <c r="I957" i="2" s="1"/>
  <c r="J1018" i="2"/>
  <c r="L953" i="2"/>
  <c r="J957" i="2"/>
  <c r="L957" i="2" s="1"/>
  <c r="O953" i="2"/>
  <c r="J998" i="2"/>
  <c r="O933" i="2"/>
  <c r="I933" i="2"/>
  <c r="I1042" i="2" l="1"/>
  <c r="L1042" i="2"/>
  <c r="O1042" i="2"/>
  <c r="L1037" i="2"/>
  <c r="I1037" i="2"/>
  <c r="O1037" i="2"/>
  <c r="O1006" i="2"/>
  <c r="L1006" i="2"/>
  <c r="I1006" i="2"/>
  <c r="O1033" i="2"/>
  <c r="I1033" i="2"/>
  <c r="L1033" i="2"/>
  <c r="O1019" i="2"/>
  <c r="L1019" i="2"/>
  <c r="O1043" i="2"/>
  <c r="L1043" i="2"/>
  <c r="I1043" i="2"/>
  <c r="L1045" i="2"/>
  <c r="I1045" i="2"/>
  <c r="O1045" i="2"/>
  <c r="O1020" i="2"/>
  <c r="L1020" i="2"/>
  <c r="O998" i="2"/>
  <c r="I998" i="2"/>
  <c r="O1038" i="2"/>
  <c r="I1038" i="2"/>
  <c r="L1038" i="2"/>
  <c r="J1008" i="2"/>
  <c r="I1008" i="2" s="1"/>
  <c r="L1003" i="2"/>
  <c r="I1003" i="2"/>
  <c r="O1003" i="2"/>
  <c r="O1041" i="2"/>
  <c r="I1041" i="2"/>
  <c r="O1013" i="2"/>
  <c r="I1013" i="2"/>
  <c r="I1050" i="2"/>
  <c r="L1050" i="2"/>
  <c r="O1050" i="2"/>
  <c r="I1035" i="2"/>
  <c r="O1035" i="2"/>
  <c r="L1035" i="2"/>
  <c r="O894" i="2"/>
  <c r="O937" i="2"/>
  <c r="O944" i="2" s="1"/>
  <c r="O996" i="2"/>
  <c r="I996" i="2"/>
  <c r="O1016" i="2"/>
  <c r="L1016" i="2"/>
  <c r="I1016" i="2"/>
  <c r="I1017" i="2" s="1"/>
  <c r="L1030" i="2"/>
  <c r="I1030" i="2"/>
  <c r="O1030" i="2"/>
  <c r="O1005" i="2"/>
  <c r="L1005" i="2"/>
  <c r="I1005" i="2"/>
  <c r="O1029" i="2"/>
  <c r="I1029" i="2"/>
  <c r="L1029" i="2"/>
  <c r="O1044" i="2"/>
  <c r="L1044" i="2"/>
  <c r="I1044" i="2"/>
  <c r="L1049" i="2"/>
  <c r="I1049" i="2"/>
  <c r="O1049" i="2"/>
  <c r="O1048" i="2"/>
  <c r="L1048" i="2"/>
  <c r="I1048" i="2"/>
  <c r="I1004" i="2"/>
  <c r="O1004" i="2"/>
  <c r="I988" i="2"/>
  <c r="J1017" i="2"/>
  <c r="I1010" i="2"/>
  <c r="L1010" i="2"/>
  <c r="O1010" i="2"/>
  <c r="I1014" i="2"/>
  <c r="O1014" i="2"/>
  <c r="L1014" i="2"/>
  <c r="O997" i="2"/>
  <c r="I997" i="2"/>
  <c r="L997" i="2"/>
  <c r="O1051" i="2"/>
  <c r="L1051" i="2"/>
  <c r="I1051" i="2"/>
  <c r="O1000" i="2"/>
  <c r="L1000" i="2"/>
  <c r="I1000" i="2"/>
  <c r="O1040" i="2"/>
  <c r="L1040" i="2"/>
  <c r="I1040" i="2"/>
  <c r="O1036" i="2"/>
  <c r="L1036" i="2"/>
  <c r="I1036" i="2"/>
  <c r="I1027" i="2"/>
  <c r="L1027" i="2"/>
  <c r="O1027" i="2"/>
  <c r="I1031" i="2"/>
  <c r="L1031" i="2"/>
  <c r="O1031" i="2"/>
  <c r="I1039" i="2"/>
  <c r="O1039" i="2"/>
  <c r="L1039" i="2"/>
  <c r="O879" i="2"/>
  <c r="O925" i="2" s="1"/>
  <c r="L995" i="2"/>
  <c r="I995" i="2"/>
  <c r="O995" i="2"/>
  <c r="O1002" i="2" s="1"/>
  <c r="J1002" i="2"/>
  <c r="I1002" i="2" s="1"/>
  <c r="O988" i="2"/>
  <c r="I1018" i="2"/>
  <c r="I1022" i="2" s="1"/>
  <c r="O1018" i="2"/>
  <c r="J1022" i="2"/>
  <c r="L1022" i="2" s="1"/>
  <c r="L1018" i="2"/>
  <c r="O999" i="2"/>
  <c r="L999" i="2"/>
  <c r="I999" i="2"/>
  <c r="O957" i="2"/>
  <c r="L1021" i="2"/>
  <c r="O1021" i="2"/>
  <c r="I943" i="2"/>
  <c r="I1011" i="2"/>
  <c r="L1011" i="2"/>
  <c r="O1011" i="2"/>
  <c r="O1012" i="2"/>
  <c r="L1012" i="2"/>
  <c r="I1012" i="2"/>
  <c r="O1023" i="2"/>
  <c r="L1023" i="2"/>
  <c r="I1023" i="2"/>
  <c r="O1052" i="2"/>
  <c r="L1052" i="2"/>
  <c r="I1052" i="2"/>
  <c r="L1026" i="2"/>
  <c r="I1026" i="2"/>
  <c r="O1026" i="2"/>
  <c r="O1015" i="2"/>
  <c r="L1015" i="2"/>
  <c r="I1015" i="2"/>
  <c r="O1007" i="2"/>
  <c r="I1007" i="2"/>
  <c r="L1007" i="2"/>
  <c r="O1032" i="2"/>
  <c r="L1032" i="2"/>
  <c r="I1032" i="2"/>
  <c r="O1047" i="2"/>
  <c r="L1047" i="2"/>
  <c r="I1047" i="2"/>
  <c r="L1034" i="2"/>
  <c r="I1034" i="2"/>
  <c r="O1034" i="2"/>
  <c r="I1046" i="2"/>
  <c r="L1046" i="2"/>
  <c r="O1046" i="2"/>
  <c r="J1053" i="2"/>
  <c r="I1053" i="2" s="1"/>
  <c r="O1025" i="2"/>
  <c r="O1053" i="2" s="1"/>
  <c r="I1025" i="2"/>
  <c r="L1025" i="2"/>
  <c r="O1001" i="2"/>
  <c r="I1001" i="2"/>
  <c r="O952" i="2"/>
  <c r="L952" i="2"/>
  <c r="J959" i="2"/>
  <c r="I959" i="2" s="1"/>
  <c r="O1022" i="2" l="1"/>
  <c r="O1008" i="2"/>
  <c r="O1009" i="2"/>
  <c r="O1055" i="2" s="1"/>
  <c r="O959" i="2"/>
  <c r="O990" i="2" s="1"/>
  <c r="L1017" i="2"/>
  <c r="J1024" i="2"/>
  <c r="I1024" i="2" s="1"/>
  <c r="O1017" i="2"/>
  <c r="O10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6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<sst xmlns="http://schemas.openxmlformats.org/spreadsheetml/2006/main" count="21592" uniqueCount="513">
  <si>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</si>
  <si>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</si>
  <si>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</si>
  <si>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</si>
  <si>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</si>
  <si>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</si>
  <si>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</si>
  <si>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</si>
  <si>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</si>
  <si>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</si>
  <si>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</si>
  <si>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</si>
  <si>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</si>
  <si>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</si>
  <si>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</si>
  <si>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</si>
  <si>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</si>
  <si>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</si>
  <si>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</si>
  <si>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</si>
  <si>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</si>
  <si>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</si>
  <si>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</si>
  <si>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</si>
  <si>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</si>
  <si>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</si>
  <si>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</si>
  <si>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</si>
  <si>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</si>
  <si>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</si>
  <si>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</si>
  <si>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</si>
  <si>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</si>
  <si>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 xml:space="preserve">Pails 20l </t>
  </si>
  <si>
    <t>Cblanc CYLINDRIQUE</t>
  </si>
  <si>
    <t>TOTAL 20 L</t>
  </si>
  <si>
    <t xml:space="preserve">Pails 18 l </t>
  </si>
  <si>
    <t>Pails 18 l C BLANC</t>
  </si>
  <si>
    <t>TOTAL 18 L</t>
  </si>
  <si>
    <t>Pails 10L</t>
  </si>
  <si>
    <t>TOTAL 10 L</t>
  </si>
  <si>
    <t xml:space="preserve">ligne 800 grs 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</si>
  <si>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</si>
  <si>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</si>
  <si>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</si>
  <si>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</si>
  <si>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</si>
  <si>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</si>
  <si>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</si>
  <si>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</si>
  <si>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</si>
  <si>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</si>
  <si>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</si>
  <si>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</si>
  <si>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</si>
  <si>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</si>
  <si>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</si>
  <si>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</si>
  <si>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</si>
  <si>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</si>
  <si>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</si>
  <si>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</si>
  <si>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</si>
  <si>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</si>
  <si>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</si>
  <si>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</si>
  <si>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</si>
  <si>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</si>
  <si>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</si>
  <si>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</si>
  <si>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</si>
  <si>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</si>
  <si>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</si>
  <si>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</si>
  <si>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</si>
  <si>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</si>
  <si>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</si>
  <si>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</si>
  <si>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</si>
  <si>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</si>
  <si>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</si>
  <si>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</si>
  <si>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</si>
  <si>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</si>
  <si>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</si>
  <si>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</si>
  <si>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</si>
  <si>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</si>
  <si>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</si>
  <si>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</si>
  <si>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</si>
  <si>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</si>
  <si>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</si>
  <si>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Clients</t>
  </si>
  <si>
    <t>Quantités</t>
  </si>
  <si>
    <t>Journalières</t>
  </si>
  <si>
    <t>Cumulées</t>
  </si>
  <si>
    <t>P.U</t>
  </si>
  <si>
    <t>Montant Journée</t>
  </si>
  <si>
    <t>TELLOISE</t>
  </si>
  <si>
    <t>ICA</t>
  </si>
  <si>
    <t xml:space="preserve">TELLOISE </t>
  </si>
  <si>
    <t>TOTAL AZDU</t>
  </si>
  <si>
    <t>PIGMA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</si>
  <si>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</si>
  <si>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</si>
  <si>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</si>
  <si>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</si>
  <si>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</si>
  <si>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</si>
  <si>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</si>
  <si>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</si>
  <si>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</si>
  <si>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</si>
  <si>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</si>
  <si>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</si>
  <si>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</si>
  <si>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</si>
  <si>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</si>
  <si>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</si>
  <si>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</si>
  <si>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</si>
  <si>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</si>
  <si>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</si>
  <si>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</si>
  <si>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</si>
  <si>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</si>
  <si>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</si>
  <si>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</si>
  <si>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</si>
  <si>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</si>
  <si>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</si>
  <si>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</si>
  <si>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</si>
  <si>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</si>
  <si>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</si>
  <si>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</si>
  <si>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</si>
  <si>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</si>
  <si>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</si>
  <si>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</si>
  <si>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</si>
  <si>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</si>
  <si>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</si>
  <si>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</si>
  <si>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</si>
  <si>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Bts 4/4 ON   2C+VBI+VOE sens invers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</si>
  <si>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</si>
  <si>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</si>
  <si>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</si>
  <si>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</si>
  <si>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</si>
  <si>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</si>
  <si>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</si>
  <si>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</si>
  <si>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</si>
  <si>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</si>
  <si>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</si>
  <si>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</si>
  <si>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</si>
  <si>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</si>
  <si>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</si>
  <si>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</si>
  <si>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</si>
  <si>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</si>
  <si>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</si>
  <si>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</si>
  <si>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</si>
  <si>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</si>
  <si>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</si>
  <si>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</si>
  <si>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</si>
  <si>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</si>
  <si>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</si>
  <si>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</si>
  <si>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</si>
  <si>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</si>
  <si>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</si>
  <si>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</si>
  <si>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</si>
  <si>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</si>
  <si>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</si>
  <si>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</si>
  <si>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</si>
  <si>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FRITA LALAHOUM </t>
  </si>
  <si>
    <t xml:space="preserve">BOUKRAINE SUBT </t>
  </si>
  <si>
    <t xml:space="preserve">Bidon 5/1 FRITA  </t>
  </si>
  <si>
    <t>Bidon 2,5 HARRISSA</t>
  </si>
  <si>
    <t xml:space="preserve">Bts 1/4 F/FONDU  </t>
  </si>
  <si>
    <t xml:space="preserve">MDN </t>
  </si>
  <si>
    <t>Bidon 5/1 TCNA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</si>
  <si>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</si>
  <si>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</si>
  <si>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</si>
  <si>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</si>
  <si>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</si>
  <si>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</si>
  <si>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</si>
  <si>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Bts 16 OZ </t>
  </si>
  <si>
    <t xml:space="preserve">Bts 1/2 OT   4C+VBI+VOE sens invers  </t>
  </si>
  <si>
    <t xml:space="preserve">SHRIKI </t>
  </si>
  <si>
    <t xml:space="preserve">Pails 18 l  </t>
  </si>
  <si>
    <t xml:space="preserve">Bts 1L Ø 108 LAQUE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</si>
  <si>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</si>
  <si>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</si>
  <si>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</si>
  <si>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</si>
  <si>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</si>
  <si>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Bts 1/4 CORNET  BŒUF SOCOV Sub TFS  0,17</t>
  </si>
  <si>
    <t>-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</si>
  <si>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</si>
  <si>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</si>
  <si>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</si>
  <si>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</si>
  <si>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</si>
  <si>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</si>
  <si>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</si>
  <si>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</si>
  <si>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</si>
  <si>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</si>
  <si>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</si>
  <si>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</si>
  <si>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</si>
  <si>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</si>
  <si>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</si>
  <si>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</si>
  <si>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</si>
  <si>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</si>
  <si>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</si>
  <si>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</si>
  <si>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</si>
  <si>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</si>
  <si>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</si>
  <si>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</si>
  <si>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</si>
  <si>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</si>
  <si>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</si>
  <si>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</si>
  <si>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</si>
  <si>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</si>
  <si>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</si>
  <si>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</si>
  <si>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</si>
  <si>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</si>
  <si>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</si>
  <si>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</si>
  <si>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Prod.
Réalisée</t>
  </si>
  <si>
    <t>Prod.
Vloriséé</t>
  </si>
  <si>
    <t>Accesoires</t>
  </si>
  <si>
    <t>Nbre
pièces</t>
  </si>
  <si>
    <t>Chiffre d'Affaires</t>
  </si>
  <si>
    <t>Production Stockée</t>
  </si>
  <si>
    <t>Valeurs en DA/HT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</si>
  <si>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</si>
  <si>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</si>
  <si>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 xml:space="preserve">Bidon 3/1 </t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</si>
  <si>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</si>
  <si>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</si>
  <si>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</si>
  <si>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</si>
  <si>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</si>
  <si>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</si>
  <si>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</si>
  <si>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</si>
  <si>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</si>
  <si>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</si>
  <si>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</si>
  <si>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</si>
  <si>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</si>
  <si>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 xml:space="preserve">4 OZ HARISSA </t>
  </si>
  <si>
    <t>BCHN Ø 180 CB NU       726*717*0,23</t>
  </si>
  <si>
    <t>FDS Ø 73 FB    803*772*0,20  VBI/VOE</t>
  </si>
  <si>
    <t>FDS Ø 52,6 TFS  926*852*0,16</t>
  </si>
  <si>
    <t>FDS Ø 99 TFS  850*777*021   VBI/VOE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</si>
  <si>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</si>
  <si>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</si>
  <si>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</si>
  <si>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</si>
  <si>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</si>
  <si>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</si>
  <si>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</si>
  <si>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</si>
  <si>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</si>
  <si>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</si>
  <si>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</si>
  <si>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</si>
  <si>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</si>
  <si>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</si>
  <si>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</si>
  <si>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</si>
  <si>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1/4 CORNET  BŒUF  Sub TFS  0,17 1C</t>
  </si>
  <si>
    <t>Bts 16 OZ ALPHYT (875*865*0,18)</t>
  </si>
  <si>
    <t xml:space="preserve">CAB 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</si>
  <si>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</si>
  <si>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</si>
  <si>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</si>
  <si>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</si>
  <si>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</si>
  <si>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</si>
  <si>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</si>
  <si>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BTE 3/1 4C</t>
  </si>
  <si>
    <t>GLYLAC 2000  4C</t>
  </si>
  <si>
    <t>AUTRES</t>
  </si>
  <si>
    <t xml:space="preserve">FBI REBUTE 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</si>
  <si>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</si>
  <si>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</si>
  <si>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</si>
  <si>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</si>
  <si>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</si>
  <si>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</si>
  <si>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</si>
  <si>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</si>
  <si>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</si>
  <si>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</si>
  <si>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</si>
  <si>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</si>
  <si>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</si>
  <si>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</si>
  <si>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SUPERLAC </t>
  </si>
  <si>
    <t xml:space="preserve">BOITE ¨PASTILLE </t>
  </si>
  <si>
    <t>RAHALI</t>
  </si>
  <si>
    <t xml:space="preserve">16 OZ </t>
  </si>
  <si>
    <t>Bts 1/2 OT   4C+VBI+CB+VSI CPS EXCLU</t>
  </si>
  <si>
    <t xml:space="preserve">4 OZ harissa </t>
  </si>
  <si>
    <t xml:space="preserve">AMOUR </t>
  </si>
  <si>
    <t>Bts 1/2 OT   4C+VBI+VSI sens invers</t>
  </si>
  <si>
    <t>Bts 1/2 OT   4C+VBI+CB+VSI sens inv CPS EXCLU</t>
  </si>
  <si>
    <t>Bts 4/4 OT VBI+VSI</t>
  </si>
  <si>
    <t>1/2 OT 4C+CB+VSI SUB 24 ELEM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</si>
  <si>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</si>
  <si>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</si>
  <si>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</si>
  <si>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</si>
  <si>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</si>
  <si>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</si>
  <si>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 xml:space="preserve">1/2 OT 4C+CB+VSI </t>
  </si>
  <si>
    <t>1/2 OT 2C+VBI+VSI</t>
  </si>
  <si>
    <t>1/2 OT 4C+VBI+VOE SUB 24 ELEM</t>
  </si>
  <si>
    <t xml:space="preserve">1/2 OT 4C+VBI+VOE </t>
  </si>
  <si>
    <t xml:space="preserve">1/2 OT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</si>
  <si>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</si>
  <si>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</si>
  <si>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</si>
  <si>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</si>
  <si>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</si>
  <si>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</si>
  <si>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</si>
  <si>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</si>
  <si>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</si>
  <si>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>4/4 ot vbi+vsi</t>
  </si>
  <si>
    <t xml:space="preserve">divers clients </t>
  </si>
  <si>
    <t xml:space="preserve">1/2 ON VBI+VOE </t>
  </si>
  <si>
    <t>Bts 4/4 ON   +VBI+VSI</t>
  </si>
  <si>
    <t xml:space="preserve">PRIMAFER </t>
  </si>
  <si>
    <t xml:space="preserve">DECHET FER BLANC ROND </t>
  </si>
  <si>
    <t xml:space="preserve">200 GRS TRANSP OT </t>
  </si>
  <si>
    <t>NUICHI</t>
  </si>
  <si>
    <t>PPI</t>
  </si>
  <si>
    <t xml:space="preserve">VC </t>
  </si>
  <si>
    <t xml:space="preserve">1/2  FIGUE TELLOISE </t>
  </si>
  <si>
    <t xml:space="preserve">Bts 1/4 F/FONDU  MDN </t>
  </si>
  <si>
    <t>FDS Ø 99 TFS  850*777*021   FB</t>
  </si>
  <si>
    <t xml:space="preserve">200 GRS V/TRANSP </t>
  </si>
  <si>
    <t>FDS Ø169  726*717*0,23</t>
  </si>
  <si>
    <t xml:space="preserve">SUB CVS 20L </t>
  </si>
  <si>
    <t xml:space="preserve">10 L C/BLANC </t>
  </si>
  <si>
    <t xml:space="preserve">1/2 L C/ BLANC (N/INT +CB) CHUTE </t>
  </si>
  <si>
    <t xml:space="preserve">1/2 B TFS VBI+VOE+(VOIE) </t>
  </si>
  <si>
    <t>Bts 4/4 OT   1C+VBI+VOE+VSI</t>
  </si>
  <si>
    <t>4/4 OT MDN CAT</t>
  </si>
  <si>
    <t xml:space="preserve">DCT MDN </t>
  </si>
  <si>
    <t>LFB</t>
  </si>
  <si>
    <t xml:space="preserve">FDS Ø 153 VBI VOE </t>
  </si>
  <si>
    <t>FDS Ø169  763*775*0,23</t>
  </si>
  <si>
    <t xml:space="preserve">BCHN FBN SUB BGS </t>
  </si>
  <si>
    <t xml:space="preserve">Bts 4/4 OT   1C+VBI+VOE+VSI  CPS EXCLU </t>
  </si>
  <si>
    <t xml:space="preserve">200 GRS F/FONDU </t>
  </si>
  <si>
    <t>Bts 1/4 F,FONDU GP /CIVIL</t>
  </si>
  <si>
    <t xml:space="preserve">201 GRS F/FONDU GP /CIVIL </t>
  </si>
  <si>
    <t xml:space="preserve">LFB </t>
  </si>
  <si>
    <t xml:space="preserve">202 GRS V/TRS OT </t>
  </si>
  <si>
    <t xml:space="preserve">SARL GENUIS </t>
  </si>
  <si>
    <t>Capacité
 Théorique/M 
(D)</t>
  </si>
  <si>
    <t xml:space="preserve">BTE 3/1 CB OT </t>
  </si>
  <si>
    <t xml:space="preserve">200 GRS C/BEEF </t>
  </si>
  <si>
    <t xml:space="preserve">4/4 OT MDN COT MDN </t>
  </si>
  <si>
    <t xml:space="preserve">1 L Ø 83 C/BLANC </t>
  </si>
  <si>
    <t xml:space="preserve">METAL CBR </t>
  </si>
  <si>
    <t xml:space="preserve">20 L C/BLANC </t>
  </si>
  <si>
    <t xml:space="preserve">CONCORDAL </t>
  </si>
  <si>
    <t xml:space="preserve">1L C/BLANC </t>
  </si>
  <si>
    <t xml:space="preserve">1/2 L C/BLANC </t>
  </si>
  <si>
    <t>Bts 1/4 CORNET  BŒUF  Sub   0,17 1C</t>
  </si>
  <si>
    <t xml:space="preserve">Bts 1/2 OT   4C+VBI+VSI </t>
  </si>
  <si>
    <t>BOUKRAINE</t>
  </si>
  <si>
    <t>Bts 4/4 OT   1C+VBI+VOE+VSI  MDN CAT</t>
  </si>
  <si>
    <t>Bts 4/4 OT   1C+VBI+VOE+VSI  CPS EXCLU COT</t>
  </si>
  <si>
    <t xml:space="preserve">Bts 4/4 OT   4C+VBI+VSI </t>
  </si>
  <si>
    <t>4/4 TFS VBI+VOE SUB 1/8</t>
  </si>
  <si>
    <t>1/2 B FB VBI+VOE+SUB 1/8</t>
  </si>
  <si>
    <t>4/4 DCT</t>
  </si>
  <si>
    <t xml:space="preserve">BELHOR SAYEH </t>
  </si>
  <si>
    <t xml:space="preserve">DECHET COMPACT </t>
  </si>
  <si>
    <t>4/4 OT 4C+CB+VBI+VSI</t>
  </si>
  <si>
    <t>TRISTAR</t>
  </si>
  <si>
    <t>1/2 2C+VBI+VOE SUB 24 ELEM</t>
  </si>
  <si>
    <t xml:space="preserve">DECHET FER BLANC </t>
  </si>
  <si>
    <t>FDS 169 SUB FDS</t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</si>
  <si>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Novembre 2021</t>
    </r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</si>
  <si>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Novembre 2021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</si>
  <si>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Novembre 2021</t>
    </r>
  </si>
  <si>
    <t>Journée du: 02/11/2021</t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</si>
  <si>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Novembre 2021</t>
    </r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</si>
  <si>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Novembre 2021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</si>
  <si>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Novembre 2021</t>
    </r>
  </si>
  <si>
    <t>PRODUCTION 02/11/2021</t>
  </si>
  <si>
    <t>Bts 1/4 F/FONDU  sub (926*854*0,17) 2c</t>
  </si>
  <si>
    <t xml:space="preserve">1/10 PEINTURE </t>
  </si>
  <si>
    <t>Journée du: 03/11/2021</t>
  </si>
  <si>
    <t xml:space="preserve">20 L D CELLULOSIQUE </t>
  </si>
  <si>
    <t>PRODUCTION 03/11/2021</t>
  </si>
  <si>
    <t>Bts 1/4 F/FONDU  MDN (926*869*0,17)2c</t>
  </si>
  <si>
    <t>Journée du: 04/11/2021</t>
  </si>
  <si>
    <t xml:space="preserve">Bts 1L Ø 108 N/INT 4C+CB+VSI </t>
  </si>
  <si>
    <t>PRODUCTION 04/11/2021</t>
  </si>
  <si>
    <t>05 au 06/11/2021</t>
  </si>
  <si>
    <t>Journée du: 05 au 06/11/2021</t>
  </si>
  <si>
    <t>PRODUCTION 06/11/2021</t>
  </si>
  <si>
    <t>Journée du: 07/11/2021</t>
  </si>
  <si>
    <t>FDS 169 SUB FDS 108 PERCE</t>
  </si>
  <si>
    <t>PRODUCTION 07/11/2021</t>
  </si>
  <si>
    <t>Journée du: 08/11/2021</t>
  </si>
  <si>
    <t xml:space="preserve">DECHET GALVANISE </t>
  </si>
  <si>
    <t>Bts 1/4 CORNET  BŒUF SOCOV 926*869*0,17</t>
  </si>
  <si>
    <t>PRODUCTION 08/11/2021</t>
  </si>
  <si>
    <t xml:space="preserve">CPS 10L SUB CVS </t>
  </si>
  <si>
    <t>1/2 FB +VBI+VOE</t>
  </si>
  <si>
    <t>Journée du: 09/11/2021</t>
  </si>
  <si>
    <t>THIXOMATE</t>
  </si>
  <si>
    <t xml:space="preserve">4/4 TFS VBI+VOE </t>
  </si>
  <si>
    <t xml:space="preserve">BCHN FBN SUB FDS </t>
  </si>
  <si>
    <t xml:space="preserve">Bts 1/4 CORNET  BŒUF  </t>
  </si>
  <si>
    <t>Journée du: 10/11/2021</t>
  </si>
  <si>
    <t>Bts 1/4 CORNET  BŒUF SOCOV (926*854*0,17 )1C</t>
  </si>
  <si>
    <t>4/4 FB VBI+VOE</t>
  </si>
  <si>
    <t>4/4 ON vbi+vsi</t>
  </si>
  <si>
    <t>4/4 OT vbi+vsi</t>
  </si>
  <si>
    <t>DJENADI MOHAMED</t>
  </si>
  <si>
    <t>Journée du: 11/11/2021</t>
  </si>
  <si>
    <t xml:space="preserve">200 grs C/BEEF </t>
  </si>
  <si>
    <t xml:space="preserve">ALVIAR </t>
  </si>
  <si>
    <t>Journée du: 14/11/2021</t>
  </si>
  <si>
    <t>PRODUCTION 09/11/2021</t>
  </si>
  <si>
    <t>PRODUCTION 10/11/2021</t>
  </si>
  <si>
    <t>PRODUCTION 11/11/2021</t>
  </si>
  <si>
    <t>PRODUCTION 12/11/2021</t>
  </si>
  <si>
    <t>PRODUCTION 13/11/2021</t>
  </si>
  <si>
    <t xml:space="preserve">4 OZ pure tomate </t>
  </si>
  <si>
    <t xml:space="preserve">4 OZ PURE TOMATE </t>
  </si>
  <si>
    <t>Journée du: 15/11/2021</t>
  </si>
  <si>
    <t>PRODUCTION 14/11/2021</t>
  </si>
  <si>
    <t>PRODUCTION 15/11/2021</t>
  </si>
  <si>
    <t>Journée du: 16/11/2021</t>
  </si>
  <si>
    <t>PRODUCTION 16/11/2021</t>
  </si>
  <si>
    <t>PRODUCTION 17/11/2021</t>
  </si>
  <si>
    <t>Journée du: 17/11/2021</t>
  </si>
  <si>
    <t xml:space="preserve">CONFITA </t>
  </si>
  <si>
    <t>SEDDIKI</t>
  </si>
  <si>
    <t>PRODUCTION 18/11/2021</t>
  </si>
  <si>
    <t>1/2 OT DCT</t>
  </si>
  <si>
    <t xml:space="preserve">4 OZ harissa CT </t>
  </si>
  <si>
    <t xml:space="preserve">CVS 10L SUB CVS </t>
  </si>
  <si>
    <t>Journée du: 18 AU20/11/2021</t>
  </si>
  <si>
    <t>Bts 16 OZ  (909*848*0,18)</t>
  </si>
  <si>
    <t>Journée du: 21/11/2021</t>
  </si>
  <si>
    <t xml:space="preserve">4/4 OT 4C+CB+VSI </t>
  </si>
  <si>
    <t>PRODUCTION 21/11/2021</t>
  </si>
  <si>
    <t>Journée du: 22/11/2021</t>
  </si>
  <si>
    <t>Journée du: 23/11/2021</t>
  </si>
  <si>
    <t>PRODUCTION 22/11/2021</t>
  </si>
  <si>
    <t>PRODUCTION 23/11/2021</t>
  </si>
  <si>
    <t>NAFTAL BEJAIA</t>
  </si>
  <si>
    <t>Journée du: 24/11/2021</t>
  </si>
  <si>
    <t>Journée du: 25+26/11/2021</t>
  </si>
  <si>
    <t>PRODUCTION 24/11/2021</t>
  </si>
  <si>
    <t>PRODUCTION 25/11/2021</t>
  </si>
  <si>
    <t>PRODUCTION 26/11/2021</t>
  </si>
  <si>
    <t>FDS Ø 99  850*777*0,23   FB</t>
  </si>
  <si>
    <t>FDS Ø 99 TFS  850*777*0,21   VBI/VOE</t>
  </si>
  <si>
    <t>PRODUCTION 27/11/2021</t>
  </si>
  <si>
    <t>Journée du: 29/11/2021</t>
  </si>
  <si>
    <t xml:space="preserve">divers </t>
  </si>
  <si>
    <t>PRODUCTION 28/11/2021</t>
  </si>
  <si>
    <t>PRODUCTION 29/11/2021</t>
  </si>
  <si>
    <t>SOLVANTAL</t>
  </si>
  <si>
    <t>Journée du: 28/11/2021</t>
  </si>
  <si>
    <t>FDS Ø 99 TFS  850*777*0,23   FB</t>
  </si>
  <si>
    <t>FDS Ø 99 850*777*0,23   FB</t>
  </si>
  <si>
    <t>FDS Ø 99  850*777*0,23 FB</t>
  </si>
  <si>
    <t>Journée du: 30/11/2021</t>
  </si>
  <si>
    <t>PRODUCTION 30/11/2021</t>
  </si>
  <si>
    <t xml:space="preserve">ENR </t>
  </si>
  <si>
    <t>Production 30/11/2021</t>
  </si>
  <si>
    <t>1/2 OT 4C+CB+VSI CAT</t>
  </si>
  <si>
    <t>1/2 OT 4C+VBI+VOE SUB 24 ELEM CT</t>
  </si>
  <si>
    <t>1/2 OT HARISSA+CAT+CT</t>
  </si>
  <si>
    <t xml:space="preserve">1/2 OT CT  </t>
  </si>
  <si>
    <t>4/4 OT VBI VSI</t>
  </si>
  <si>
    <t xml:space="preserve">SOUHOUL BLADI </t>
  </si>
  <si>
    <t xml:space="preserve">CHERIK MED </t>
  </si>
  <si>
    <t xml:space="preserve">4/4 OT </t>
  </si>
  <si>
    <t>TEXASO</t>
  </si>
  <si>
    <t>18 AU 20/11/2021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</si>
</sst>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#,##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</fonts>
  <fills count="1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107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9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3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20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0" borderId="34" xfId="0" applyNumberFormat="1" applyFont="1" applyFill="1" applyBorder="1" applyAlignment="1" applyProtection="1">
      <alignment horizontal="center" vertical="center"/>
      <protection locked="0"/>
    </xf>
    <xf numFmtId="10" fontId="31" fillId="0" borderId="37" xfId="1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0" fontId="28" fillId="0" borderId="32" xfId="0" applyFont="1" applyFill="1" applyBorder="1" applyAlignment="1" applyProtection="1">
      <alignment horizontal="center" vertical="center" wrapText="1"/>
      <protection locked="0"/>
    </xf>
    <xf numFmtId="0" fontId="30" fillId="8" borderId="31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8" fillId="11" borderId="63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80" xfId="0" applyNumberFormat="1" applyFont="1" applyFill="1" applyBorder="1" applyAlignment="1" applyProtection="1">
      <alignment horizontal="center" vertical="center"/>
    </xf>
    <xf numFmtId="10" fontId="32" fillId="14" borderId="80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6" xfId="0" applyNumberFormat="1" applyFont="1" applyFill="1" applyBorder="1" applyAlignment="1" applyProtection="1">
      <alignment horizontal="right" vertical="center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40" xfId="0" applyNumberFormat="1" applyFont="1" applyFill="1" applyBorder="1" applyAlignment="1" applyProtection="1">
      <alignment horizontal="right" vertical="center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80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1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30" xfId="0" applyFont="1" applyFill="1" applyBorder="1" applyAlignment="1" applyProtection="1">
      <alignment vertical="center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0" fontId="30" fillId="8" borderId="52" xfId="0" applyFont="1" applyFill="1" applyBorder="1" applyAlignment="1" applyProtection="1">
      <alignment vertical="center"/>
      <protection locked="0"/>
    </xf>
    <xf numFmtId="0" fontId="30" fillId="8" borderId="77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36" xfId="1" applyNumberFormat="1" applyFont="1" applyFill="1" applyBorder="1" applyAlignment="1" applyProtection="1">
      <alignment horizontal="right" vertical="center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22" fillId="12" borderId="18" xfId="0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10" fontId="28" fillId="8" borderId="13" xfId="1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3" fontId="28" fillId="11" borderId="55" xfId="0" applyNumberFormat="1" applyFont="1" applyFill="1" applyBorder="1" applyAlignment="1" applyProtection="1">
      <alignment horizontal="center" vertical="center"/>
    </xf>
    <xf numFmtId="10" fontId="28" fillId="11" borderId="82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0" fontId="28" fillId="0" borderId="21" xfId="0" applyFont="1" applyFill="1" applyBorder="1" applyAlignment="1" applyProtection="1">
      <alignment vertical="center" wrapText="1"/>
      <protection locked="0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0" fillId="8" borderId="55" xfId="0" applyFont="1" applyFill="1" applyBorder="1" applyAlignment="1" applyProtection="1">
      <alignment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13" xfId="0" applyFont="1" applyBorder="1"/>
    <xf numFmtId="0" fontId="36" fillId="0" borderId="30" xfId="0" applyFont="1" applyBorder="1"/>
    <xf numFmtId="0" fontId="28" fillId="0" borderId="42" xfId="0" applyFont="1" applyFill="1" applyBorder="1" applyAlignment="1" applyProtection="1">
      <alignment vertical="center" wrapText="1"/>
      <protection locked="0"/>
    </xf>
    <xf numFmtId="0" fontId="28" fillId="0" borderId="79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80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37" fillId="13" borderId="47" xfId="1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80" xfId="0" applyNumberFormat="1" applyFont="1" applyFill="1" applyBorder="1" applyAlignment="1" applyProtection="1">
      <alignment horizontal="right" vertical="center"/>
    </xf>
    <xf numFmtId="9" fontId="25" fillId="14" borderId="80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36" xfId="0" applyNumberFormat="1" applyFont="1" applyFill="1" applyBorder="1" applyAlignment="1" applyProtection="1">
      <alignment horizontal="center" vertical="center"/>
    </xf>
    <xf numFmtId="4" fontId="28" fillId="8" borderId="10" xfId="0" applyNumberFormat="1" applyFont="1" applyFill="1" applyBorder="1" applyAlignment="1" applyProtection="1">
      <alignment horizontal="center" vertical="center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166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0" fontId="30" fillId="8" borderId="53" xfId="0" applyFont="1" applyFill="1" applyBorder="1" applyAlignment="1" applyProtection="1">
      <alignment vertical="center"/>
      <protection locked="0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30" fillId="0" borderId="74" xfId="1" applyNumberFormat="1" applyFont="1" applyFill="1" applyBorder="1" applyAlignment="1" applyProtection="1">
      <alignment horizontal="center" vertical="center"/>
      <protection locked="0"/>
    </xf>
    <xf numFmtId="3" fontId="30" fillId="0" borderId="62" xfId="1" applyNumberFormat="1" applyFont="1" applyFill="1" applyBorder="1" applyAlignment="1" applyProtection="1">
      <alignment horizontal="center" vertical="center"/>
      <protection locked="0"/>
    </xf>
    <xf numFmtId="3" fontId="30" fillId="0" borderId="71" xfId="0" applyNumberFormat="1" applyFont="1" applyFill="1" applyBorder="1" applyAlignment="1" applyProtection="1">
      <alignment horizontal="center" vertical="center"/>
      <protection locked="0"/>
    </xf>
    <xf numFmtId="3" fontId="28" fillId="0" borderId="8" xfId="0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165" fontId="30" fillId="8" borderId="17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1" xfId="1" applyNumberFormat="1" applyFont="1" applyFill="1" applyBorder="1" applyAlignment="1" applyProtection="1">
      <alignment horizontal="right" vertical="center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28" fillId="8" borderId="32" xfId="0" applyNumberFormat="1" applyFont="1" applyFill="1" applyBorder="1" applyAlignment="1" applyProtection="1">
      <alignment horizontal="center" vertical="center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10" fontId="31" fillId="8" borderId="27" xfId="1" applyNumberFormat="1" applyFont="1" applyFill="1" applyBorder="1" applyAlignment="1" applyProtection="1">
      <alignment horizontal="center" vertical="center"/>
    </xf>
    <xf numFmtId="0" fontId="30" fillId="8" borderId="39" xfId="0" applyFont="1" applyFill="1" applyBorder="1" applyAlignment="1" applyProtection="1">
      <alignment vertical="center" wrapText="1"/>
      <protection locked="0"/>
    </xf>
    <xf numFmtId="0" fontId="30" fillId="8" borderId="37" xfId="0" applyFont="1" applyFill="1" applyBorder="1" applyAlignment="1" applyProtection="1">
      <alignment vertical="center" wrapText="1"/>
      <protection locked="0"/>
    </xf>
    <xf numFmtId="0" fontId="30" fillId="8" borderId="27" xfId="0" applyFont="1" applyFill="1" applyBorder="1" applyAlignment="1" applyProtection="1">
      <alignment vertical="center" wrapText="1"/>
      <protection locked="0"/>
    </xf>
    <xf numFmtId="0" fontId="30" fillId="8" borderId="18" xfId="0" applyFont="1" applyFill="1" applyBorder="1" applyAlignment="1" applyProtection="1">
      <alignment vertical="center" wrapText="1"/>
      <protection locked="0"/>
    </xf>
    <xf numFmtId="10" fontId="31" fillId="0" borderId="40" xfId="1" applyNumberFormat="1" applyFont="1" applyFill="1" applyBorder="1" applyAlignment="1" applyProtection="1">
      <alignment horizontal="center" vertical="center"/>
    </xf>
    <xf numFmtId="3" fontId="28" fillId="11" borderId="45" xfId="0" applyNumberFormat="1" applyFont="1" applyFill="1" applyBorder="1" applyAlignment="1" applyProtection="1">
      <alignment horizontal="center" vertical="center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28" fillId="8" borderId="26" xfId="0" applyNumberFormat="1" applyFont="1" applyFill="1" applyBorder="1" applyAlignment="1" applyProtection="1">
      <alignment horizontal="right" vertical="center"/>
    </xf>
    <xf numFmtId="4" fontId="30" fillId="8" borderId="26" xfId="0" applyNumberFormat="1" applyFont="1" applyFill="1" applyBorder="1" applyAlignment="1" applyProtection="1">
      <alignment horizontal="right" vertical="center"/>
      <protection locked="0"/>
    </xf>
    <xf numFmtId="3" fontId="30" fillId="0" borderId="71" xfId="1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28" fillId="0" borderId="12" xfId="1" applyNumberFormat="1" applyFont="1" applyFill="1" applyBorder="1" applyAlignment="1" applyProtection="1">
      <alignment horizontal="right" vertical="center"/>
      <protection locked="0"/>
    </xf>
    <xf numFmtId="3" fontId="28" fillId="8" borderId="20" xfId="0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0" fontId="31" fillId="0" borderId="64" xfId="1" applyNumberFormat="1" applyFont="1" applyFill="1" applyBorder="1" applyAlignment="1" applyProtection="1">
      <alignment horizontal="center" vertical="center"/>
    </xf>
    <xf numFmtId="0" fontId="30" fillId="8" borderId="68" xfId="0" applyFont="1" applyFill="1" applyBorder="1" applyAlignment="1" applyProtection="1">
      <alignment vertical="center" wrapText="1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28" fillId="8" borderId="25" xfId="0" applyNumberFormat="1" applyFont="1" applyFill="1" applyBorder="1" applyAlignment="1" applyProtection="1">
      <alignment horizontal="center" vertical="center"/>
    </xf>
    <xf numFmtId="0" fontId="30" fillId="8" borderId="3" xfId="0" applyFont="1" applyFill="1" applyBorder="1" applyAlignment="1" applyProtection="1">
      <alignment vertical="center" wrapText="1"/>
      <protection locked="0"/>
    </xf>
    <xf numFmtId="0" fontId="30" fillId="8" borderId="24" xfId="0" applyFont="1" applyFill="1" applyBorder="1" applyAlignment="1" applyProtection="1">
      <alignment vertical="center" wrapText="1"/>
      <protection locked="0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0" fontId="30" fillId="8" borderId="55" xfId="0" applyFont="1" applyFill="1" applyBorder="1" applyAlignment="1" applyProtection="1">
      <alignment vertical="center" wrapText="1"/>
      <protection locked="0"/>
    </xf>
    <xf numFmtId="0" fontId="30" fillId="8" borderId="32" xfId="0" applyFont="1" applyFill="1" applyBorder="1" applyAlignment="1" applyProtection="1">
      <alignment vertical="center" wrapText="1"/>
      <protection locked="0"/>
    </xf>
    <xf numFmtId="165" fontId="30" fillId="0" borderId="13" xfId="1" applyNumberFormat="1" applyFont="1" applyFill="1" applyBorder="1" applyAlignment="1" applyProtection="1">
      <alignment horizontal="right" vertical="center"/>
      <protection locked="0"/>
    </xf>
    <xf numFmtId="4" fontId="28" fillId="8" borderId="13" xfId="0" applyNumberFormat="1" applyFont="1" applyFill="1" applyBorder="1" applyAlignment="1" applyProtection="1">
      <alignment horizontal="right" vertical="center"/>
    </xf>
    <xf numFmtId="4" fontId="30" fillId="8" borderId="13" xfId="0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28" fillId="8" borderId="58" xfId="0" applyNumberFormat="1" applyFont="1" applyFill="1" applyBorder="1" applyAlignment="1" applyProtection="1">
      <alignment horizontal="center" vertical="center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79" xfId="0" applyFont="1" applyFill="1" applyBorder="1" applyAlignment="1" applyProtection="1">
      <alignment vertical="center" wrapText="1"/>
      <protection locked="0"/>
    </xf>
    <xf numFmtId="0" fontId="30" fillId="8" borderId="21" xfId="0" applyFont="1" applyFill="1" applyBorder="1" applyAlignment="1" applyProtection="1">
      <alignment vertical="center" wrapText="1"/>
      <protection locked="0"/>
    </xf>
    <xf numFmtId="3" fontId="30" fillId="8" borderId="31" xfId="0" applyNumberFormat="1" applyFont="1" applyFill="1" applyBorder="1" applyAlignment="1" applyProtection="1">
      <alignment horizontal="center" vertical="center"/>
      <protection locked="0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11" borderId="43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</xf>
    <xf numFmtId="0" fontId="30" fillId="8" borderId="6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 wrapText="1"/>
      <protection locked="0"/>
    </xf>
    <xf numFmtId="0" fontId="30" fillId="8" borderId="67" xfId="0" applyFont="1" applyFill="1" applyBorder="1" applyAlignment="1" applyProtection="1">
      <alignment vertical="center" wrapText="1"/>
      <protection locked="0"/>
    </xf>
    <xf numFmtId="4" fontId="30" fillId="8" borderId="25" xfId="0" applyNumberFormat="1" applyFont="1" applyFill="1" applyBorder="1" applyAlignment="1" applyProtection="1">
      <alignment horizontal="right" vertical="center"/>
      <protection locked="0"/>
    </xf>
    <xf numFmtId="4" fontId="30" fillId="8" borderId="12" xfId="0" applyNumberFormat="1" applyFont="1" applyFill="1" applyBorder="1" applyAlignment="1" applyProtection="1">
      <alignment horizontal="right" vertical="center"/>
      <protection locked="0"/>
    </xf>
    <xf numFmtId="4" fontId="30" fillId="0" borderId="32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1" xfId="0" applyFont="1" applyFill="1" applyBorder="1" applyAlignment="1" applyProtection="1">
      <alignment vertical="center" wrapText="1"/>
      <protection locked="0"/>
    </xf>
    <xf numFmtId="165" fontId="30" fillId="0" borderId="4" xfId="1" applyNumberFormat="1" applyFont="1" applyFill="1" applyBorder="1" applyAlignment="1" applyProtection="1">
      <alignment horizontal="right" vertical="center"/>
      <protection locked="0"/>
    </xf>
    <xf numFmtId="4" fontId="28" fillId="8" borderId="7" xfId="0" applyNumberFormat="1" applyFont="1" applyFill="1" applyBorder="1" applyAlignment="1" applyProtection="1">
      <alignment horizontal="right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0" fontId="30" fillId="8" borderId="10" xfId="0" applyFont="1" applyFill="1" applyBorder="1" applyAlignment="1" applyProtection="1">
      <alignment vertical="center" wrapText="1"/>
      <protection locked="0"/>
    </xf>
    <xf numFmtId="0" fontId="30" fillId="8" borderId="41" xfId="0" applyFont="1" applyFill="1" applyBorder="1" applyAlignment="1" applyProtection="1">
      <alignment vertical="center" wrapText="1"/>
      <protection locked="0"/>
    </xf>
    <xf numFmtId="3" fontId="30" fillId="8" borderId="54" xfId="0" applyNumberFormat="1" applyFont="1" applyFill="1" applyBorder="1" applyAlignment="1" applyProtection="1">
      <alignment horizontal="center" vertical="center"/>
      <protection locked="0"/>
    </xf>
    <xf numFmtId="4" fontId="28" fillId="0" borderId="54" xfId="1" applyNumberFormat="1" applyFont="1" applyFill="1" applyBorder="1" applyAlignment="1" applyProtection="1">
      <alignment horizontal="right" vertical="center"/>
    </xf>
    <xf numFmtId="4" fontId="28" fillId="0" borderId="55" xfId="1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70" xfId="0" applyFont="1" applyFill="1" applyBorder="1" applyAlignment="1" applyProtection="1">
      <alignment horizontal="left" vertical="center"/>
      <protection locked="0"/>
    </xf>
    <xf numFmtId="3" fontId="28" fillId="0" borderId="36" xfId="0" applyNumberFormat="1" applyFont="1" applyFill="1" applyBorder="1" applyAlignment="1" applyProtection="1">
      <alignment horizontal="center" vertical="center"/>
      <protection locked="0"/>
    </xf>
    <xf numFmtId="3" fontId="30" fillId="0" borderId="26" xfId="0" applyNumberFormat="1" applyFont="1" applyFill="1" applyBorder="1" applyAlignment="1" applyProtection="1">
      <alignment horizontal="center" vertical="center"/>
      <protection locked="0"/>
    </xf>
    <xf numFmtId="0" fontId="28" fillId="0" borderId="72" xfId="0" applyFont="1" applyFill="1" applyBorder="1" applyAlignment="1" applyProtection="1">
      <alignment horizontal="left" vertical="center" wrapText="1"/>
      <protection locked="0"/>
    </xf>
    <xf numFmtId="0" fontId="28" fillId="0" borderId="65" xfId="0" applyFont="1" applyFill="1" applyBorder="1" applyAlignment="1" applyProtection="1">
      <alignment horizontal="left" vertical="center" wrapText="1"/>
      <protection locked="0"/>
    </xf>
    <xf numFmtId="0" fontId="30" fillId="0" borderId="65" xfId="0" applyFont="1" applyFill="1" applyBorder="1" applyAlignment="1" applyProtection="1">
      <alignment horizontal="left" vertical="center" wrapText="1"/>
      <protection locked="0"/>
    </xf>
    <xf numFmtId="0" fontId="30" fillId="0" borderId="76" xfId="0" applyFont="1" applyFill="1" applyBorder="1" applyAlignment="1" applyProtection="1">
      <alignment horizontal="left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28" fillId="0" borderId="69" xfId="0" applyNumberFormat="1" applyFont="1" applyFill="1" applyBorder="1" applyAlignment="1" applyProtection="1">
      <alignment horizontal="center" vertical="center"/>
      <protection locked="0"/>
    </xf>
    <xf numFmtId="4" fontId="30" fillId="8" borderId="40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41" fillId="0" borderId="10" xfId="1" applyNumberFormat="1" applyFont="1" applyFill="1" applyBorder="1" applyAlignment="1" applyProtection="1">
      <alignment horizontal="right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3" fontId="41" fillId="0" borderId="69" xfId="0" applyNumberFormat="1" applyFont="1" applyFill="1" applyBorder="1" applyAlignment="1" applyProtection="1">
      <alignment horizontal="center" vertical="center"/>
      <protection locked="0"/>
    </xf>
    <xf numFmtId="3" fontId="41" fillId="8" borderId="17" xfId="0" applyNumberFormat="1" applyFont="1" applyFill="1" applyBorder="1" applyAlignment="1" applyProtection="1">
      <alignment horizontal="center" vertical="center"/>
      <protection locked="0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0" borderId="50" xfId="0" applyFont="1" applyFill="1" applyBorder="1" applyAlignment="1" applyProtection="1">
      <alignment horizontal="center" vertical="center" wrapText="1"/>
      <protection locked="0"/>
    </xf>
    <xf numFmtId="0" fontId="28" fillId="0" borderId="35" xfId="0" applyFont="1" applyFill="1" applyBorder="1" applyAlignment="1" applyProtection="1">
      <alignment horizontal="center" vertical="center" wrapText="1"/>
      <protection locked="0"/>
    </xf>
    <xf numFmtId="0" fontId="28" fillId="0" borderId="41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9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11" borderId="82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7" fillId="13" borderId="4" xfId="0" applyFont="1" applyFill="1" applyBorder="1" applyAlignment="1" applyProtection="1">
      <alignment horizontal="center" vertical="center" wrapText="1"/>
      <protection locked="0"/>
    </xf>
    <xf numFmtId="0" fontId="27" fillId="13" borderId="48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7" fillId="13" borderId="50" xfId="0" applyFont="1" applyFill="1" applyBorder="1" applyAlignment="1" applyProtection="1">
      <alignment horizontal="center" vertical="center" wrapText="1"/>
      <protection locked="0"/>
    </xf>
    <xf numFmtId="0" fontId="27" fillId="13" borderId="51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23" xfId="0" applyFont="1" applyFill="1" applyBorder="1" applyAlignment="1" applyProtection="1">
      <alignment horizontal="center" vertical="center" wrapText="1"/>
      <protection locked="0"/>
    </xf>
    <xf numFmtId="0" fontId="28" fillId="12" borderId="76" xfId="0" applyFont="1" applyFill="1" applyBorder="1" applyAlignment="1" applyProtection="1">
      <alignment horizontal="center" vertical="center" wrapText="1"/>
      <protection locked="0"/>
    </xf>
    <xf numFmtId="0" fontId="28" fillId="12" borderId="78" xfId="0" applyFont="1" applyFill="1" applyBorder="1" applyAlignment="1" applyProtection="1">
      <alignment horizontal="center" vertical="center" wrapText="1"/>
      <protection locked="0"/>
    </xf>
    <xf numFmtId="0" fontId="28" fillId="12" borderId="49" xfId="0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3" xfId="2" xr:uid="{00000000-0005-0000-0000-000001000000}"/>
    <cellStyle name="Normal 4" xfId="3" xr:uid="{00000000-0005-0000-0000-000002000000}"/>
    <cellStyle name="Percent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12</xdr:col>
      <xdr:colOff>467760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1346200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933450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6551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7:O2393"/>
  <sheetViews>
    <sheetView tabSelected="1" view="pageBreakPreview" topLeftCell="A2285" zoomScale="50" zoomScaleNormal="30" zoomScaleSheetLayoutView="50" workbookViewId="0">
      <pane xSplit="4" topLeftCell="E1" activePane="topRight" state="frozen"/>
      <selection pane="topRight" activeCell="E1857" sqref="E1857"/>
    </sheetView>
  </sheetViews>
  <sheetFormatPr defaultColWidth="9.109375" defaultRowHeight="13.8" x14ac:dyDescent="0.3"/>
  <cols>
    <col min="1" max="1" width="10.109375" style="229" customWidth="1"/>
    <col min="2" max="2" width="18.6640625" style="269" customWidth="1"/>
    <col min="3" max="3" width="85.5546875" style="269" customWidth="1"/>
    <col min="4" max="4" width="34.6640625" style="229" customWidth="1"/>
    <col min="5" max="5" width="21.88671875" style="222" customWidth="1"/>
    <col min="6" max="6" width="17.109375" style="222" customWidth="1"/>
    <col min="7" max="7" width="15.6640625" style="223" customWidth="1"/>
    <col min="8" max="8" width="16.109375" style="222" customWidth="1"/>
    <col min="9" max="9" width="15.6640625" style="222" customWidth="1"/>
    <col min="10" max="10" width="16.109375" style="224" customWidth="1"/>
    <col min="11" max="11" width="19.88671875" style="223" customWidth="1"/>
    <col min="12" max="12" width="19" style="222" bestFit="1" customWidth="1"/>
    <col min="13" max="13" width="15.6640625" style="222" customWidth="1"/>
    <col min="14" max="14" width="17" style="224" customWidth="1"/>
    <col min="15" max="15" width="14.6640625" style="224" customWidth="1"/>
    <col min="16" max="16384" width="9.109375" style="229"/>
  </cols>
  <sheetData>
    <row r="7" spans="1:15" ht="67.2" customHeight="1" x14ac:dyDescent="0.3">
      <c r="A7" s="220" t="s">
        <v>0</v>
      </c>
    </row>
    <row r="9" spans="1:15" ht="81" customHeight="1" x14ac:dyDescent="0.3">
      <c r="A9" s="961" t="s">
        <v>408</v>
      </c>
      <c r="B9" s="962"/>
      <c r="C9" s="962"/>
      <c r="D9" s="962"/>
      <c r="E9" s="962"/>
      <c r="F9" s="962"/>
      <c r="G9" s="962"/>
      <c r="H9" s="962"/>
      <c r="I9" s="962"/>
      <c r="J9" s="962"/>
      <c r="K9" s="962"/>
      <c r="L9" s="962"/>
      <c r="M9" s="962"/>
      <c r="N9" s="962"/>
      <c r="O9" s="962"/>
    </row>
    <row r="10" spans="1:15" ht="24.6" customHeight="1" thickBot="1" x14ac:dyDescent="0.35">
      <c r="A10" s="230"/>
      <c r="B10" s="230"/>
      <c r="C10" s="230"/>
      <c r="D10" s="230"/>
      <c r="E10" s="232"/>
      <c r="F10" s="232"/>
      <c r="G10" s="466"/>
      <c r="H10" s="467"/>
      <c r="I10" s="467"/>
      <c r="J10" s="467"/>
      <c r="K10" s="232"/>
      <c r="L10" s="232"/>
      <c r="M10" s="232"/>
      <c r="N10" s="234"/>
      <c r="O10" s="234"/>
    </row>
    <row r="11" spans="1:15" ht="23.4" x14ac:dyDescent="0.3">
      <c r="A11" s="935" t="s">
        <v>1</v>
      </c>
      <c r="B11" s="938" t="s">
        <v>2</v>
      </c>
      <c r="C11" s="941" t="s">
        <v>3</v>
      </c>
      <c r="D11" s="941" t="s">
        <v>93</v>
      </c>
      <c r="E11" s="944" t="s">
        <v>4</v>
      </c>
      <c r="F11" s="945"/>
      <c r="G11" s="945"/>
      <c r="H11" s="945"/>
      <c r="I11" s="945"/>
      <c r="J11" s="945"/>
      <c r="K11" s="945"/>
      <c r="L11" s="945"/>
      <c r="M11" s="945"/>
      <c r="N11" s="945"/>
      <c r="O11" s="946"/>
    </row>
    <row r="12" spans="1:15" ht="23.4" x14ac:dyDescent="0.3">
      <c r="A12" s="936"/>
      <c r="B12" s="939"/>
      <c r="C12" s="942"/>
      <c r="D12" s="942"/>
      <c r="E12" s="947" t="s">
        <v>7</v>
      </c>
      <c r="F12" s="949" t="s">
        <v>116</v>
      </c>
      <c r="G12" s="951">
        <v>44502</v>
      </c>
      <c r="H12" s="952"/>
      <c r="I12" s="952"/>
      <c r="J12" s="953"/>
      <c r="K12" s="954" t="s">
        <v>8</v>
      </c>
      <c r="L12" s="955"/>
      <c r="M12" s="956"/>
      <c r="N12" s="957" t="s">
        <v>174</v>
      </c>
      <c r="O12" s="959" t="s">
        <v>173</v>
      </c>
    </row>
    <row r="13" spans="1:15" ht="41.4" thickBot="1" x14ac:dyDescent="0.35">
      <c r="A13" s="937"/>
      <c r="B13" s="940"/>
      <c r="C13" s="943"/>
      <c r="D13" s="943"/>
      <c r="E13" s="948"/>
      <c r="F13" s="950"/>
      <c r="G13" s="462" t="s">
        <v>13</v>
      </c>
      <c r="H13" s="463" t="s">
        <v>14</v>
      </c>
      <c r="I13" s="463" t="s">
        <v>15</v>
      </c>
      <c r="J13" s="464" t="s">
        <v>175</v>
      </c>
      <c r="K13" s="462" t="s">
        <v>13</v>
      </c>
      <c r="L13" s="463" t="s">
        <v>14</v>
      </c>
      <c r="M13" s="465" t="s">
        <v>15</v>
      </c>
      <c r="N13" s="958"/>
      <c r="O13" s="960"/>
    </row>
    <row r="14" spans="1:15" ht="23.4" x14ac:dyDescent="0.3">
      <c r="A14" s="271" t="s">
        <v>111</v>
      </c>
      <c r="B14" s="922" t="s">
        <v>16</v>
      </c>
      <c r="C14" s="272" t="s">
        <v>186</v>
      </c>
      <c r="D14" s="272" t="s">
        <v>184</v>
      </c>
      <c r="E14" s="273">
        <v>0</v>
      </c>
      <c r="F14" s="274"/>
      <c r="G14" s="338">
        <f>+H14+I14</f>
        <v>0</v>
      </c>
      <c r="H14" s="275">
        <v>0</v>
      </c>
      <c r="I14" s="275">
        <v>0</v>
      </c>
      <c r="J14" s="357" t="str">
        <f>IFERROR(G14/#REF!,"-")</f>
        <v>-</v>
      </c>
      <c r="K14" s="468">
        <f>+L14+M14</f>
        <v>0</v>
      </c>
      <c r="L14" s="469">
        <f>H14</f>
        <v>0</v>
      </c>
      <c r="M14" s="469">
        <f>I14</f>
        <v>0</v>
      </c>
      <c r="N14" s="342" t="str">
        <f>IFERROR(K14/E14,"-")</f>
        <v>-</v>
      </c>
      <c r="O14" s="349" t="str">
        <f t="shared" ref="O14:O15" si="0">IFERROR(M14/K14,"-")</f>
        <v>-</v>
      </c>
    </row>
    <row r="15" spans="1:15" ht="23.4" x14ac:dyDescent="0.3">
      <c r="A15" s="277" t="s">
        <v>111</v>
      </c>
      <c r="B15" s="923"/>
      <c r="C15" s="278" t="s">
        <v>190</v>
      </c>
      <c r="D15" s="278" t="s">
        <v>101</v>
      </c>
      <c r="E15" s="279">
        <v>0</v>
      </c>
      <c r="F15" s="280"/>
      <c r="G15" s="339">
        <f t="shared" ref="G15:G17" si="1">+H15+I15</f>
        <v>0</v>
      </c>
      <c r="H15" s="281">
        <v>0</v>
      </c>
      <c r="I15" s="281">
        <v>0</v>
      </c>
      <c r="J15" s="358" t="str">
        <f>IFERROR(G15/#REF!,"-")</f>
        <v>-</v>
      </c>
      <c r="K15" s="339">
        <f t="shared" ref="K15:K17" si="2">+L15+M15</f>
        <v>0</v>
      </c>
      <c r="L15" s="281">
        <f t="shared" ref="L15:L17" si="3">H15</f>
        <v>0</v>
      </c>
      <c r="M15" s="442">
        <f t="shared" ref="M15:M17" si="4">I15</f>
        <v>0</v>
      </c>
      <c r="N15" s="343" t="str">
        <f t="shared" ref="N15:N17" si="5">IFERROR(K15/E15,"-")</f>
        <v>-</v>
      </c>
      <c r="O15" s="268" t="str">
        <f t="shared" si="0"/>
        <v>-</v>
      </c>
    </row>
    <row r="16" spans="1:15" ht="23.4" x14ac:dyDescent="0.3">
      <c r="A16" s="277" t="s">
        <v>111</v>
      </c>
      <c r="B16" s="923"/>
      <c r="C16" s="278" t="s">
        <v>187</v>
      </c>
      <c r="D16" s="278" t="s">
        <v>185</v>
      </c>
      <c r="E16" s="279">
        <v>0</v>
      </c>
      <c r="F16" s="280"/>
      <c r="G16" s="339">
        <f t="shared" si="1"/>
        <v>0</v>
      </c>
      <c r="H16" s="281">
        <v>0</v>
      </c>
      <c r="I16" s="281">
        <v>0</v>
      </c>
      <c r="J16" s="358" t="str">
        <f>IFERROR(G16/#REF!,"-")</f>
        <v>-</v>
      </c>
      <c r="K16" s="339">
        <f t="shared" si="2"/>
        <v>0</v>
      </c>
      <c r="L16" s="281">
        <f t="shared" si="3"/>
        <v>0</v>
      </c>
      <c r="M16" s="442">
        <f t="shared" si="4"/>
        <v>0</v>
      </c>
      <c r="N16" s="343" t="str">
        <f t="shared" si="5"/>
        <v>-</v>
      </c>
      <c r="O16" s="268" t="str">
        <f>IFERROR(M16/K16,"-")</f>
        <v>-</v>
      </c>
    </row>
    <row r="17" spans="1:15" ht="24" thickBot="1" x14ac:dyDescent="0.35">
      <c r="A17" s="277" t="s">
        <v>111</v>
      </c>
      <c r="B17" s="924"/>
      <c r="C17" s="282" t="s">
        <v>255</v>
      </c>
      <c r="D17" s="282" t="s">
        <v>256</v>
      </c>
      <c r="E17" s="283">
        <v>0</v>
      </c>
      <c r="F17" s="284"/>
      <c r="G17" s="340">
        <f t="shared" si="1"/>
        <v>16289</v>
      </c>
      <c r="H17" s="285">
        <v>15872</v>
      </c>
      <c r="I17" s="285">
        <v>417</v>
      </c>
      <c r="J17" s="359" t="str">
        <f>IFERROR(G17/#REF!,"-")</f>
        <v>-</v>
      </c>
      <c r="K17" s="471">
        <f t="shared" si="2"/>
        <v>16289</v>
      </c>
      <c r="L17" s="472">
        <f t="shared" si="3"/>
        <v>15872</v>
      </c>
      <c r="M17" s="473">
        <f t="shared" si="4"/>
        <v>417</v>
      </c>
      <c r="N17" s="344" t="str">
        <f t="shared" si="5"/>
        <v>-</v>
      </c>
      <c r="O17" s="350">
        <f t="shared" ref="O17:O81" si="6">IFERROR(M17/K17,"-")</f>
        <v>2.560009822579655E-2</v>
      </c>
    </row>
    <row r="18" spans="1:15" ht="24" thickBot="1" x14ac:dyDescent="0.35">
      <c r="A18" s="277" t="s">
        <v>111</v>
      </c>
      <c r="B18" s="906" t="s">
        <v>47</v>
      </c>
      <c r="C18" s="907"/>
      <c r="D18" s="908"/>
      <c r="E18" s="326">
        <v>144600</v>
      </c>
      <c r="F18" s="289">
        <v>15000</v>
      </c>
      <c r="G18" s="326">
        <f>SUM(G14:G17)</f>
        <v>16289</v>
      </c>
      <c r="H18" s="327">
        <f t="shared" ref="H18:I18" si="7">SUM(H14:H17)</f>
        <v>15872</v>
      </c>
      <c r="I18" s="327">
        <f t="shared" si="7"/>
        <v>417</v>
      </c>
      <c r="J18" s="351" t="str">
        <f>IFERROR(G18/#REF!,"-")</f>
        <v>-</v>
      </c>
      <c r="K18" s="326">
        <f t="shared" ref="K18:M18" si="8">SUM(K14:K17)</f>
        <v>16289</v>
      </c>
      <c r="L18" s="327">
        <f t="shared" si="8"/>
        <v>15872</v>
      </c>
      <c r="M18" s="328">
        <f t="shared" si="8"/>
        <v>417</v>
      </c>
      <c r="N18" s="345">
        <f>IFERROR(K18/E18,"-")</f>
        <v>0.11264868603042877</v>
      </c>
      <c r="O18" s="351">
        <f t="shared" si="6"/>
        <v>2.560009822579655E-2</v>
      </c>
    </row>
    <row r="19" spans="1:15" ht="23.4" x14ac:dyDescent="0.3">
      <c r="A19" s="277" t="s">
        <v>111</v>
      </c>
      <c r="B19" s="922" t="s">
        <v>17</v>
      </c>
      <c r="C19" s="272" t="s">
        <v>331</v>
      </c>
      <c r="D19" s="272"/>
      <c r="E19" s="273">
        <v>0</v>
      </c>
      <c r="F19" s="274"/>
      <c r="G19" s="338">
        <f t="shared" ref="G19:G25" si="9">+H19+I19</f>
        <v>0</v>
      </c>
      <c r="H19" s="275">
        <v>0</v>
      </c>
      <c r="I19" s="275">
        <v>0</v>
      </c>
      <c r="J19" s="357" t="str">
        <f>IFERROR(G19/#REF!,"-")</f>
        <v>-</v>
      </c>
      <c r="K19" s="468">
        <f t="shared" ref="K19:K25" si="10">+L19+M19</f>
        <v>0</v>
      </c>
      <c r="L19" s="469">
        <f t="shared" ref="L19:L25" si="11">H19</f>
        <v>0</v>
      </c>
      <c r="M19" s="470">
        <f t="shared" ref="M19:M25" si="12">I19</f>
        <v>0</v>
      </c>
      <c r="N19" s="342" t="str">
        <f t="shared" ref="N19:N60" si="13">IFERROR(K19/E19,"-")</f>
        <v>-</v>
      </c>
      <c r="O19" s="352" t="str">
        <f t="shared" si="6"/>
        <v>-</v>
      </c>
    </row>
    <row r="20" spans="1:15" ht="23.4" x14ac:dyDescent="0.3">
      <c r="A20" s="277" t="s">
        <v>111</v>
      </c>
      <c r="B20" s="923"/>
      <c r="C20" s="278" t="s">
        <v>360</v>
      </c>
      <c r="D20" s="278" t="s">
        <v>257</v>
      </c>
      <c r="E20" s="279">
        <v>0</v>
      </c>
      <c r="F20" s="280"/>
      <c r="G20" s="339">
        <f t="shared" si="9"/>
        <v>0</v>
      </c>
      <c r="H20" s="281">
        <v>0</v>
      </c>
      <c r="I20" s="281">
        <v>0</v>
      </c>
      <c r="J20" s="358" t="str">
        <f>IFERROR(G20/#REF!,"-")</f>
        <v>-</v>
      </c>
      <c r="K20" s="339">
        <f t="shared" si="10"/>
        <v>0</v>
      </c>
      <c r="L20" s="281">
        <f t="shared" si="11"/>
        <v>0</v>
      </c>
      <c r="M20" s="442">
        <f t="shared" si="12"/>
        <v>0</v>
      </c>
      <c r="N20" s="343" t="str">
        <f t="shared" si="13"/>
        <v>-</v>
      </c>
      <c r="O20" s="264" t="str">
        <f t="shared" si="6"/>
        <v>-</v>
      </c>
    </row>
    <row r="21" spans="1:15" ht="23.4" x14ac:dyDescent="0.3">
      <c r="A21" s="277" t="s">
        <v>111</v>
      </c>
      <c r="B21" s="923"/>
      <c r="C21" s="278" t="s">
        <v>290</v>
      </c>
      <c r="D21" s="278" t="s">
        <v>205</v>
      </c>
      <c r="E21" s="279">
        <v>0</v>
      </c>
      <c r="F21" s="280"/>
      <c r="G21" s="339">
        <f t="shared" si="9"/>
        <v>0</v>
      </c>
      <c r="H21" s="281">
        <v>0</v>
      </c>
      <c r="I21" s="281">
        <v>0</v>
      </c>
      <c r="J21" s="358" t="str">
        <f>IFERROR(G21/#REF!,"-")</f>
        <v>-</v>
      </c>
      <c r="K21" s="339">
        <f t="shared" si="10"/>
        <v>0</v>
      </c>
      <c r="L21" s="281">
        <f t="shared" si="11"/>
        <v>0</v>
      </c>
      <c r="M21" s="442">
        <f t="shared" si="12"/>
        <v>0</v>
      </c>
      <c r="N21" s="343" t="str">
        <f t="shared" si="13"/>
        <v>-</v>
      </c>
      <c r="O21" s="264" t="str">
        <f t="shared" si="6"/>
        <v>-</v>
      </c>
    </row>
    <row r="22" spans="1:15" ht="23.4" x14ac:dyDescent="0.3">
      <c r="A22" s="277" t="s">
        <v>111</v>
      </c>
      <c r="B22" s="923"/>
      <c r="C22" s="278" t="s">
        <v>330</v>
      </c>
      <c r="D22" s="278" t="s">
        <v>206</v>
      </c>
      <c r="E22" s="279">
        <v>0</v>
      </c>
      <c r="F22" s="280"/>
      <c r="G22" s="339">
        <f t="shared" si="9"/>
        <v>0</v>
      </c>
      <c r="H22" s="281">
        <v>0</v>
      </c>
      <c r="I22" s="281">
        <v>0</v>
      </c>
      <c r="J22" s="358" t="str">
        <f>IFERROR(G22/#REF!,"-")</f>
        <v>-</v>
      </c>
      <c r="K22" s="339">
        <f t="shared" si="10"/>
        <v>0</v>
      </c>
      <c r="L22" s="281">
        <f t="shared" si="11"/>
        <v>0</v>
      </c>
      <c r="M22" s="442">
        <f t="shared" si="12"/>
        <v>0</v>
      </c>
      <c r="N22" s="343" t="str">
        <f t="shared" si="13"/>
        <v>-</v>
      </c>
      <c r="O22" s="264" t="str">
        <f t="shared" si="6"/>
        <v>-</v>
      </c>
    </row>
    <row r="23" spans="1:15" ht="23.4" x14ac:dyDescent="0.3">
      <c r="A23" s="277" t="s">
        <v>111</v>
      </c>
      <c r="B23" s="923"/>
      <c r="C23" s="278" t="s">
        <v>377</v>
      </c>
      <c r="D23" s="278" t="s">
        <v>371</v>
      </c>
      <c r="E23" s="279">
        <v>0</v>
      </c>
      <c r="F23" s="280"/>
      <c r="G23" s="339">
        <f t="shared" si="9"/>
        <v>0</v>
      </c>
      <c r="H23" s="281">
        <v>0</v>
      </c>
      <c r="I23" s="281">
        <v>0</v>
      </c>
      <c r="J23" s="358" t="str">
        <f>IFERROR(G23/#REF!,"-")</f>
        <v>-</v>
      </c>
      <c r="K23" s="339">
        <f t="shared" si="10"/>
        <v>0</v>
      </c>
      <c r="L23" s="281">
        <f t="shared" si="11"/>
        <v>0</v>
      </c>
      <c r="M23" s="442">
        <f t="shared" si="12"/>
        <v>0</v>
      </c>
      <c r="N23" s="343" t="str">
        <f t="shared" si="13"/>
        <v>-</v>
      </c>
      <c r="O23" s="264" t="str">
        <f t="shared" si="6"/>
        <v>-</v>
      </c>
    </row>
    <row r="24" spans="1:15" ht="23.4" x14ac:dyDescent="0.3">
      <c r="A24" s="277" t="s">
        <v>111</v>
      </c>
      <c r="B24" s="923"/>
      <c r="C24" s="278" t="s">
        <v>208</v>
      </c>
      <c r="D24" s="278" t="s">
        <v>207</v>
      </c>
      <c r="E24" s="279">
        <v>0</v>
      </c>
      <c r="F24" s="280"/>
      <c r="G24" s="339">
        <f t="shared" si="9"/>
        <v>0</v>
      </c>
      <c r="H24" s="281">
        <v>0</v>
      </c>
      <c r="I24" s="281">
        <v>0</v>
      </c>
      <c r="J24" s="358" t="str">
        <f>IFERROR(G24/#REF!,"-")</f>
        <v>-</v>
      </c>
      <c r="K24" s="339">
        <f t="shared" si="10"/>
        <v>0</v>
      </c>
      <c r="L24" s="281">
        <f t="shared" si="11"/>
        <v>0</v>
      </c>
      <c r="M24" s="442">
        <f t="shared" si="12"/>
        <v>0</v>
      </c>
      <c r="N24" s="343" t="str">
        <f t="shared" si="13"/>
        <v>-</v>
      </c>
      <c r="O24" s="264" t="str">
        <f t="shared" si="6"/>
        <v>-</v>
      </c>
    </row>
    <row r="25" spans="1:15" ht="24" thickBot="1" x14ac:dyDescent="0.35">
      <c r="A25" s="277" t="s">
        <v>111</v>
      </c>
      <c r="B25" s="924"/>
      <c r="C25" s="282" t="s">
        <v>416</v>
      </c>
      <c r="D25" s="282" t="s">
        <v>257</v>
      </c>
      <c r="E25" s="283">
        <v>0</v>
      </c>
      <c r="F25" s="284"/>
      <c r="G25" s="340">
        <f t="shared" si="9"/>
        <v>73650</v>
      </c>
      <c r="H25" s="285">
        <v>73440</v>
      </c>
      <c r="I25" s="285">
        <v>210</v>
      </c>
      <c r="J25" s="359" t="str">
        <f>IFERROR(G25/#REF!,"-")</f>
        <v>-</v>
      </c>
      <c r="K25" s="471">
        <f t="shared" si="10"/>
        <v>73650</v>
      </c>
      <c r="L25" s="472">
        <f t="shared" si="11"/>
        <v>73440</v>
      </c>
      <c r="M25" s="473">
        <f t="shared" si="12"/>
        <v>210</v>
      </c>
      <c r="N25" s="344" t="str">
        <f t="shared" si="13"/>
        <v>-</v>
      </c>
      <c r="O25" s="353">
        <f t="shared" si="6"/>
        <v>2.8513238289205704E-3</v>
      </c>
    </row>
    <row r="26" spans="1:15" ht="24" thickBot="1" x14ac:dyDescent="0.35">
      <c r="A26" s="277" t="s">
        <v>111</v>
      </c>
      <c r="B26" s="906" t="s">
        <v>48</v>
      </c>
      <c r="C26" s="907"/>
      <c r="D26" s="908"/>
      <c r="E26" s="326">
        <v>3480000</v>
      </c>
      <c r="F26" s="289">
        <v>100000</v>
      </c>
      <c r="G26" s="326">
        <f>SUM(G19:G25)</f>
        <v>73650</v>
      </c>
      <c r="H26" s="327">
        <f t="shared" ref="H26:I26" si="14">SUM(H19:H25)</f>
        <v>73440</v>
      </c>
      <c r="I26" s="327">
        <f t="shared" si="14"/>
        <v>210</v>
      </c>
      <c r="J26" s="351" t="str">
        <f>IFERROR(G26/#REF!,"-")</f>
        <v>-</v>
      </c>
      <c r="K26" s="326">
        <f t="shared" ref="K26:M26" si="15">SUM(K19:K25)</f>
        <v>73650</v>
      </c>
      <c r="L26" s="327">
        <f t="shared" si="15"/>
        <v>73440</v>
      </c>
      <c r="M26" s="328">
        <f t="shared" si="15"/>
        <v>210</v>
      </c>
      <c r="N26" s="345">
        <f t="shared" si="13"/>
        <v>2.1163793103448274E-2</v>
      </c>
      <c r="O26" s="351">
        <f t="shared" si="6"/>
        <v>2.8513238289205704E-3</v>
      </c>
    </row>
    <row r="27" spans="1:15" ht="23.4" x14ac:dyDescent="0.3">
      <c r="A27" s="277" t="s">
        <v>111</v>
      </c>
      <c r="B27" s="922" t="s">
        <v>18</v>
      </c>
      <c r="C27" s="272" t="s">
        <v>359</v>
      </c>
      <c r="D27" s="272" t="s">
        <v>99</v>
      </c>
      <c r="E27" s="273">
        <v>0</v>
      </c>
      <c r="F27" s="274"/>
      <c r="G27" s="338">
        <f t="shared" ref="G27:G33" si="16">+H27+I27</f>
        <v>0</v>
      </c>
      <c r="H27" s="275">
        <v>0</v>
      </c>
      <c r="I27" s="275">
        <v>0</v>
      </c>
      <c r="J27" s="357" t="str">
        <f>IFERROR(G27/#REF!,"-")</f>
        <v>-</v>
      </c>
      <c r="K27" s="338">
        <f t="shared" ref="K27:K33" si="17">+L27+M27</f>
        <v>0</v>
      </c>
      <c r="L27" s="275">
        <f t="shared" ref="L27:L33" si="18">H27</f>
        <v>0</v>
      </c>
      <c r="M27" s="276">
        <f t="shared" ref="M27:M33" si="19">I27</f>
        <v>0</v>
      </c>
      <c r="N27" s="342" t="str">
        <f t="shared" si="13"/>
        <v>-</v>
      </c>
      <c r="O27" s="352" t="str">
        <f t="shared" si="6"/>
        <v>-</v>
      </c>
    </row>
    <row r="28" spans="1:15" ht="23.4" x14ac:dyDescent="0.3">
      <c r="A28" s="277" t="s">
        <v>111</v>
      </c>
      <c r="B28" s="923"/>
      <c r="C28" s="278" t="s">
        <v>258</v>
      </c>
      <c r="D28" s="278" t="s">
        <v>259</v>
      </c>
      <c r="E28" s="279">
        <v>0</v>
      </c>
      <c r="F28" s="280"/>
      <c r="G28" s="339">
        <f t="shared" si="16"/>
        <v>0</v>
      </c>
      <c r="H28" s="281">
        <v>0</v>
      </c>
      <c r="I28" s="281">
        <v>0</v>
      </c>
      <c r="J28" s="358" t="str">
        <f>IFERROR(G28/#REF!,"-")</f>
        <v>-</v>
      </c>
      <c r="K28" s="339">
        <f t="shared" si="17"/>
        <v>0</v>
      </c>
      <c r="L28" s="281">
        <f t="shared" si="18"/>
        <v>0</v>
      </c>
      <c r="M28" s="251">
        <f t="shared" si="19"/>
        <v>0</v>
      </c>
      <c r="N28" s="343" t="str">
        <f t="shared" si="13"/>
        <v>-</v>
      </c>
      <c r="O28" s="264" t="str">
        <f t="shared" si="6"/>
        <v>-</v>
      </c>
    </row>
    <row r="29" spans="1:15" ht="23.4" x14ac:dyDescent="0.3">
      <c r="A29" s="277" t="s">
        <v>111</v>
      </c>
      <c r="B29" s="923"/>
      <c r="C29" s="278" t="s">
        <v>123</v>
      </c>
      <c r="D29" s="278"/>
      <c r="E29" s="279">
        <v>0</v>
      </c>
      <c r="F29" s="280"/>
      <c r="G29" s="339">
        <f t="shared" si="16"/>
        <v>0</v>
      </c>
      <c r="H29" s="281">
        <v>0</v>
      </c>
      <c r="I29" s="281">
        <v>0</v>
      </c>
      <c r="J29" s="358" t="str">
        <f>IFERROR(G29/#REF!,"-")</f>
        <v>-</v>
      </c>
      <c r="K29" s="339">
        <f t="shared" si="17"/>
        <v>0</v>
      </c>
      <c r="L29" s="281">
        <f t="shared" si="18"/>
        <v>0</v>
      </c>
      <c r="M29" s="251">
        <f t="shared" si="19"/>
        <v>0</v>
      </c>
      <c r="N29" s="343" t="str">
        <f t="shared" si="13"/>
        <v>-</v>
      </c>
      <c r="O29" s="264" t="str">
        <f t="shared" si="6"/>
        <v>-</v>
      </c>
    </row>
    <row r="30" spans="1:15" ht="23.4" x14ac:dyDescent="0.3">
      <c r="A30" s="277" t="s">
        <v>111</v>
      </c>
      <c r="B30" s="923"/>
      <c r="C30" s="278" t="s">
        <v>130</v>
      </c>
      <c r="D30" s="278"/>
      <c r="E30" s="279">
        <v>0</v>
      </c>
      <c r="F30" s="280"/>
      <c r="G30" s="339">
        <f t="shared" si="16"/>
        <v>0</v>
      </c>
      <c r="H30" s="281">
        <v>0</v>
      </c>
      <c r="I30" s="281">
        <v>0</v>
      </c>
      <c r="J30" s="358" t="str">
        <f>IFERROR(G30/#REF!,"-")</f>
        <v>-</v>
      </c>
      <c r="K30" s="339">
        <f t="shared" si="17"/>
        <v>0</v>
      </c>
      <c r="L30" s="281">
        <f t="shared" si="18"/>
        <v>0</v>
      </c>
      <c r="M30" s="251">
        <f t="shared" si="19"/>
        <v>0</v>
      </c>
      <c r="N30" s="343" t="str">
        <f t="shared" si="13"/>
        <v>-</v>
      </c>
      <c r="O30" s="264" t="str">
        <f t="shared" si="6"/>
        <v>-</v>
      </c>
    </row>
    <row r="31" spans="1:15" ht="23.4" x14ac:dyDescent="0.3">
      <c r="A31" s="277" t="s">
        <v>111</v>
      </c>
      <c r="B31" s="923"/>
      <c r="C31" s="278" t="s">
        <v>191</v>
      </c>
      <c r="D31" s="278" t="s">
        <v>192</v>
      </c>
      <c r="E31" s="279">
        <v>0</v>
      </c>
      <c r="F31" s="280"/>
      <c r="G31" s="339">
        <f t="shared" si="16"/>
        <v>0</v>
      </c>
      <c r="H31" s="281">
        <v>0</v>
      </c>
      <c r="I31" s="281">
        <v>0</v>
      </c>
      <c r="J31" s="358" t="str">
        <f>IFERROR(G31/#REF!,"-")</f>
        <v>-</v>
      </c>
      <c r="K31" s="339">
        <f t="shared" si="17"/>
        <v>0</v>
      </c>
      <c r="L31" s="281">
        <f t="shared" si="18"/>
        <v>0</v>
      </c>
      <c r="M31" s="251">
        <f t="shared" si="19"/>
        <v>0</v>
      </c>
      <c r="N31" s="343" t="str">
        <f t="shared" si="13"/>
        <v>-</v>
      </c>
      <c r="O31" s="264" t="str">
        <f t="shared" si="6"/>
        <v>-</v>
      </c>
    </row>
    <row r="32" spans="1:15" ht="23.4" x14ac:dyDescent="0.3">
      <c r="A32" s="277" t="s">
        <v>111</v>
      </c>
      <c r="B32" s="923"/>
      <c r="C32" s="278" t="s">
        <v>194</v>
      </c>
      <c r="D32" s="278" t="s">
        <v>193</v>
      </c>
      <c r="E32" s="279">
        <v>0</v>
      </c>
      <c r="F32" s="280"/>
      <c r="G32" s="339">
        <f t="shared" si="16"/>
        <v>0</v>
      </c>
      <c r="H32" s="281">
        <v>0</v>
      </c>
      <c r="I32" s="281">
        <v>0</v>
      </c>
      <c r="J32" s="358" t="str">
        <f>IFERROR(G32/#REF!,"-")</f>
        <v>-</v>
      </c>
      <c r="K32" s="339">
        <f t="shared" si="17"/>
        <v>0</v>
      </c>
      <c r="L32" s="281">
        <f t="shared" si="18"/>
        <v>0</v>
      </c>
      <c r="M32" s="251">
        <f t="shared" si="19"/>
        <v>0</v>
      </c>
      <c r="N32" s="343" t="str">
        <f t="shared" si="13"/>
        <v>-</v>
      </c>
      <c r="O32" s="264" t="str">
        <f t="shared" si="6"/>
        <v>-</v>
      </c>
    </row>
    <row r="33" spans="1:15" ht="24" thickBot="1" x14ac:dyDescent="0.35">
      <c r="A33" s="277" t="s">
        <v>111</v>
      </c>
      <c r="B33" s="924"/>
      <c r="C33" s="290" t="s">
        <v>195</v>
      </c>
      <c r="D33" s="290" t="s">
        <v>115</v>
      </c>
      <c r="E33" s="283">
        <v>0</v>
      </c>
      <c r="F33" s="284"/>
      <c r="G33" s="340">
        <f t="shared" si="16"/>
        <v>0</v>
      </c>
      <c r="H33" s="285">
        <v>0</v>
      </c>
      <c r="I33" s="285">
        <v>0</v>
      </c>
      <c r="J33" s="359" t="str">
        <f>IFERROR(G33/#REF!,"-")</f>
        <v>-</v>
      </c>
      <c r="K33" s="340">
        <f t="shared" si="17"/>
        <v>0</v>
      </c>
      <c r="L33" s="285">
        <f t="shared" si="18"/>
        <v>0</v>
      </c>
      <c r="M33" s="286">
        <f t="shared" si="19"/>
        <v>0</v>
      </c>
      <c r="N33" s="344" t="str">
        <f t="shared" si="13"/>
        <v>-</v>
      </c>
      <c r="O33" s="353" t="str">
        <f t="shared" si="6"/>
        <v>-</v>
      </c>
    </row>
    <row r="34" spans="1:15" ht="24" thickBot="1" x14ac:dyDescent="0.35">
      <c r="A34" s="277" t="s">
        <v>111</v>
      </c>
      <c r="B34" s="906" t="s">
        <v>29</v>
      </c>
      <c r="C34" s="907"/>
      <c r="D34" s="908"/>
      <c r="E34" s="326">
        <f t="shared" ref="E34" si="20">SUM(E27:E33)</f>
        <v>0</v>
      </c>
      <c r="F34" s="289">
        <v>80000</v>
      </c>
      <c r="G34" s="326">
        <f>SUM(G27:G33)</f>
        <v>0</v>
      </c>
      <c r="H34" s="327">
        <f t="shared" ref="H34:I34" si="21">SUM(H27:H33)</f>
        <v>0</v>
      </c>
      <c r="I34" s="327">
        <f t="shared" si="21"/>
        <v>0</v>
      </c>
      <c r="J34" s="351" t="str">
        <f>IFERROR(G34/#REF!,"-")</f>
        <v>-</v>
      </c>
      <c r="K34" s="326">
        <f t="shared" ref="K34:M34" si="22">SUM(K27:K33)</f>
        <v>0</v>
      </c>
      <c r="L34" s="327">
        <f t="shared" si="22"/>
        <v>0</v>
      </c>
      <c r="M34" s="328">
        <f t="shared" si="22"/>
        <v>0</v>
      </c>
      <c r="N34" s="345" t="str">
        <f t="shared" si="13"/>
        <v>-</v>
      </c>
      <c r="O34" s="351" t="str">
        <f t="shared" si="6"/>
        <v>-</v>
      </c>
    </row>
    <row r="35" spans="1:15" ht="23.4" x14ac:dyDescent="0.3">
      <c r="A35" s="252" t="s">
        <v>111</v>
      </c>
      <c r="B35" s="918" t="s">
        <v>19</v>
      </c>
      <c r="C35" s="678" t="s">
        <v>260</v>
      </c>
      <c r="D35" s="676" t="s">
        <v>192</v>
      </c>
      <c r="E35" s="293">
        <v>2000000</v>
      </c>
      <c r="F35" s="294">
        <v>110000</v>
      </c>
      <c r="G35" s="468">
        <f t="shared" ref="G35:G36" si="23">+H35+I35</f>
        <v>25508</v>
      </c>
      <c r="H35" s="674">
        <v>25344</v>
      </c>
      <c r="I35" s="674">
        <v>164</v>
      </c>
      <c r="J35" s="675" t="str">
        <f>IFERROR(G35/#REF!,"-")</f>
        <v>-</v>
      </c>
      <c r="K35" s="673">
        <f>+L35+M35</f>
        <v>25508</v>
      </c>
      <c r="L35" s="295">
        <f>H35</f>
        <v>25344</v>
      </c>
      <c r="M35" s="295">
        <f>I35</f>
        <v>164</v>
      </c>
      <c r="N35" s="346">
        <f t="shared" si="13"/>
        <v>1.2754E-2</v>
      </c>
      <c r="O35" s="354">
        <f t="shared" si="6"/>
        <v>6.4293554963148819E-3</v>
      </c>
    </row>
    <row r="36" spans="1:15" ht="24" thickBot="1" x14ac:dyDescent="0.35">
      <c r="A36" s="252"/>
      <c r="B36" s="920"/>
      <c r="C36" s="679" t="s">
        <v>417</v>
      </c>
      <c r="D36" s="677"/>
      <c r="E36" s="285">
        <v>150000</v>
      </c>
      <c r="F36" s="285">
        <v>110000</v>
      </c>
      <c r="G36" s="607">
        <f t="shared" si="23"/>
        <v>0</v>
      </c>
      <c r="H36" s="285">
        <v>0</v>
      </c>
      <c r="I36" s="285">
        <v>0</v>
      </c>
      <c r="J36" s="359"/>
      <c r="K36" s="607">
        <f>+L36+M36</f>
        <v>0</v>
      </c>
      <c r="L36" s="285">
        <f>+H36</f>
        <v>0</v>
      </c>
      <c r="M36" s="285">
        <f>+I36</f>
        <v>0</v>
      </c>
      <c r="N36" s="680">
        <f t="shared" ref="N36" si="24">IFERROR(K36/E36,"-")</f>
        <v>0</v>
      </c>
      <c r="O36" s="680" t="str">
        <f t="shared" ref="O36" si="25">IFERROR(M36/K36,"-")</f>
        <v>-</v>
      </c>
    </row>
    <row r="37" spans="1:15" ht="24" thickBot="1" x14ac:dyDescent="0.35">
      <c r="A37" s="277" t="s">
        <v>111</v>
      </c>
      <c r="B37" s="921" t="s">
        <v>49</v>
      </c>
      <c r="C37" s="907"/>
      <c r="D37" s="908"/>
      <c r="E37" s="326">
        <f>SUM(E35:E36)</f>
        <v>2150000</v>
      </c>
      <c r="F37" s="329">
        <f t="shared" ref="F37" si="26">SUM(F35)</f>
        <v>110000</v>
      </c>
      <c r="G37" s="326">
        <f>SUM(G35)</f>
        <v>25508</v>
      </c>
      <c r="H37" s="327">
        <f t="shared" ref="H37:I37" si="27">SUM(H35)</f>
        <v>25344</v>
      </c>
      <c r="I37" s="327">
        <f t="shared" si="27"/>
        <v>164</v>
      </c>
      <c r="J37" s="351" t="str">
        <f>IFERROR(G37/#REF!,"-")</f>
        <v>-</v>
      </c>
      <c r="K37" s="681">
        <f t="shared" ref="K37:M37" si="28">SUM(K35)</f>
        <v>25508</v>
      </c>
      <c r="L37" s="327">
        <f t="shared" si="28"/>
        <v>25344</v>
      </c>
      <c r="M37" s="328">
        <f t="shared" si="28"/>
        <v>164</v>
      </c>
      <c r="N37" s="345">
        <f t="shared" si="13"/>
        <v>1.1864186046511628E-2</v>
      </c>
      <c r="O37" s="351">
        <f t="shared" si="6"/>
        <v>6.4293554963148819E-3</v>
      </c>
    </row>
    <row r="38" spans="1:15" ht="23.4" x14ac:dyDescent="0.3">
      <c r="A38" s="277" t="s">
        <v>111</v>
      </c>
      <c r="B38" s="922" t="s">
        <v>20</v>
      </c>
      <c r="C38" s="297" t="s">
        <v>370</v>
      </c>
      <c r="D38" s="297" t="s">
        <v>324</v>
      </c>
      <c r="E38" s="273">
        <v>0</v>
      </c>
      <c r="F38" s="274"/>
      <c r="G38" s="338">
        <f t="shared" ref="G38:G40" si="29">+H38+I38</f>
        <v>0</v>
      </c>
      <c r="H38" s="275">
        <v>0</v>
      </c>
      <c r="I38" s="275">
        <v>0</v>
      </c>
      <c r="J38" s="357" t="str">
        <f>IFERROR(G38/#REF!,"-")</f>
        <v>-</v>
      </c>
      <c r="K38" s="338">
        <f t="shared" ref="K38:K40" si="30">+L38+M38</f>
        <v>0</v>
      </c>
      <c r="L38" s="275">
        <f t="shared" ref="L38:L40" si="31">H38</f>
        <v>0</v>
      </c>
      <c r="M38" s="276">
        <f t="shared" ref="M38:M40" si="32">I38</f>
        <v>0</v>
      </c>
      <c r="N38" s="342" t="str">
        <f t="shared" si="13"/>
        <v>-</v>
      </c>
      <c r="O38" s="352" t="str">
        <f t="shared" si="6"/>
        <v>-</v>
      </c>
    </row>
    <row r="39" spans="1:15" ht="23.4" x14ac:dyDescent="0.3">
      <c r="A39" s="277" t="s">
        <v>111</v>
      </c>
      <c r="B39" s="923"/>
      <c r="C39" s="298" t="s">
        <v>122</v>
      </c>
      <c r="D39" s="298"/>
      <c r="E39" s="279">
        <v>0</v>
      </c>
      <c r="F39" s="280"/>
      <c r="G39" s="339">
        <f t="shared" si="29"/>
        <v>0</v>
      </c>
      <c r="H39" s="281">
        <v>0</v>
      </c>
      <c r="I39" s="281">
        <v>0</v>
      </c>
      <c r="J39" s="358" t="str">
        <f>IFERROR(G39/#REF!,"-")</f>
        <v>-</v>
      </c>
      <c r="K39" s="339">
        <f t="shared" si="30"/>
        <v>0</v>
      </c>
      <c r="L39" s="281">
        <f t="shared" si="31"/>
        <v>0</v>
      </c>
      <c r="M39" s="251">
        <f t="shared" si="32"/>
        <v>0</v>
      </c>
      <c r="N39" s="343" t="str">
        <f t="shared" si="13"/>
        <v>-</v>
      </c>
      <c r="O39" s="264" t="str">
        <f t="shared" si="6"/>
        <v>-</v>
      </c>
    </row>
    <row r="40" spans="1:15" ht="24" thickBot="1" x14ac:dyDescent="0.35">
      <c r="A40" s="277" t="s">
        <v>111</v>
      </c>
      <c r="B40" s="924"/>
      <c r="C40" s="299" t="s">
        <v>128</v>
      </c>
      <c r="D40" s="299"/>
      <c r="E40" s="283">
        <v>0</v>
      </c>
      <c r="F40" s="284"/>
      <c r="G40" s="340">
        <f t="shared" si="29"/>
        <v>0</v>
      </c>
      <c r="H40" s="285">
        <v>0</v>
      </c>
      <c r="I40" s="285">
        <v>0</v>
      </c>
      <c r="J40" s="359" t="str">
        <f>IFERROR(G40/#REF!,"-")</f>
        <v>-</v>
      </c>
      <c r="K40" s="340">
        <f t="shared" si="30"/>
        <v>0</v>
      </c>
      <c r="L40" s="285">
        <f t="shared" si="31"/>
        <v>0</v>
      </c>
      <c r="M40" s="286">
        <f t="shared" si="32"/>
        <v>0</v>
      </c>
      <c r="N40" s="344" t="str">
        <f t="shared" si="13"/>
        <v>-</v>
      </c>
      <c r="O40" s="353" t="str">
        <f t="shared" si="6"/>
        <v>-</v>
      </c>
    </row>
    <row r="41" spans="1:15" ht="24" thickBot="1" x14ac:dyDescent="0.35">
      <c r="A41" s="277" t="s">
        <v>111</v>
      </c>
      <c r="B41" s="907" t="s">
        <v>50</v>
      </c>
      <c r="C41" s="907"/>
      <c r="D41" s="925"/>
      <c r="E41" s="326">
        <f t="shared" ref="E41" si="33">SUM(E38:E40)</f>
        <v>0</v>
      </c>
      <c r="F41" s="289">
        <v>50000</v>
      </c>
      <c r="G41" s="326">
        <f>SUM(G38:G40)</f>
        <v>0</v>
      </c>
      <c r="H41" s="327">
        <f t="shared" ref="H41:I41" si="34">SUM(H38:H40)</f>
        <v>0</v>
      </c>
      <c r="I41" s="327">
        <f t="shared" si="34"/>
        <v>0</v>
      </c>
      <c r="J41" s="351" t="str">
        <f>IFERROR(G41/#REF!,"-")</f>
        <v>-</v>
      </c>
      <c r="K41" s="326">
        <f t="shared" ref="K41:M41" si="35">SUM(K38:K40)</f>
        <v>0</v>
      </c>
      <c r="L41" s="327">
        <f t="shared" si="35"/>
        <v>0</v>
      </c>
      <c r="M41" s="328">
        <f t="shared" si="35"/>
        <v>0</v>
      </c>
      <c r="N41" s="345" t="str">
        <f t="shared" si="13"/>
        <v>-</v>
      </c>
      <c r="O41" s="351" t="str">
        <f t="shared" si="6"/>
        <v>-</v>
      </c>
    </row>
    <row r="42" spans="1:15" ht="24" thickBot="1" x14ac:dyDescent="0.35">
      <c r="A42" s="277" t="s">
        <v>111</v>
      </c>
      <c r="B42" s="926" t="s">
        <v>21</v>
      </c>
      <c r="C42" s="927"/>
      <c r="D42" s="928"/>
      <c r="E42" s="332">
        <f>+E18+E26+E34+E37+E41</f>
        <v>5774600</v>
      </c>
      <c r="F42" s="333">
        <f>+F18+F26+F34+F37+F41</f>
        <v>355000</v>
      </c>
      <c r="G42" s="332">
        <f>+G18+G26+G34+G37+G41</f>
        <v>115447</v>
      </c>
      <c r="H42" s="330">
        <f>+H18+H26+H34+H37+H41</f>
        <v>114656</v>
      </c>
      <c r="I42" s="330">
        <f>+I18+I26+I34+I37+I41</f>
        <v>791</v>
      </c>
      <c r="J42" s="355" t="str">
        <f>IFERROR(G42/#REF!,"-")</f>
        <v>-</v>
      </c>
      <c r="K42" s="332">
        <f>+K18+K26+K34+K37+K41</f>
        <v>115447</v>
      </c>
      <c r="L42" s="330">
        <f>+L18+L26+L34+L37+L41</f>
        <v>114656</v>
      </c>
      <c r="M42" s="331">
        <f>+M18+M26+M34+M37+M41</f>
        <v>791</v>
      </c>
      <c r="N42" s="347">
        <f t="shared" si="13"/>
        <v>1.9992207252450385E-2</v>
      </c>
      <c r="O42" s="355">
        <f t="shared" si="6"/>
        <v>6.8516288859823121E-3</v>
      </c>
    </row>
    <row r="43" spans="1:15" ht="23.4" x14ac:dyDescent="0.3">
      <c r="A43" s="277" t="s">
        <v>111</v>
      </c>
      <c r="B43" s="922" t="s">
        <v>22</v>
      </c>
      <c r="C43" s="272" t="s">
        <v>133</v>
      </c>
      <c r="D43" s="272"/>
      <c r="E43" s="273">
        <v>0</v>
      </c>
      <c r="F43" s="274"/>
      <c r="G43" s="338">
        <f t="shared" ref="G43:G46" si="36">+H43+I43</f>
        <v>0</v>
      </c>
      <c r="H43" s="275">
        <v>0</v>
      </c>
      <c r="I43" s="275">
        <v>0</v>
      </c>
      <c r="J43" s="357" t="str">
        <f>IFERROR(G43/#REF!,"-")</f>
        <v>-</v>
      </c>
      <c r="K43" s="338">
        <f t="shared" ref="K43:K46" si="37">+L43+M43</f>
        <v>0</v>
      </c>
      <c r="L43" s="275">
        <f t="shared" ref="L43:L46" si="38">H43</f>
        <v>0</v>
      </c>
      <c r="M43" s="276">
        <f t="shared" ref="M43:M46" si="39">I43</f>
        <v>0</v>
      </c>
      <c r="N43" s="342" t="str">
        <f t="shared" si="13"/>
        <v>-</v>
      </c>
      <c r="O43" s="352" t="str">
        <f t="shared" si="6"/>
        <v>-</v>
      </c>
    </row>
    <row r="44" spans="1:15" ht="23.4" x14ac:dyDescent="0.3">
      <c r="A44" s="277" t="s">
        <v>111</v>
      </c>
      <c r="B44" s="923"/>
      <c r="C44" s="301" t="s">
        <v>291</v>
      </c>
      <c r="D44" s="301" t="s">
        <v>196</v>
      </c>
      <c r="E44" s="279">
        <v>0</v>
      </c>
      <c r="F44" s="280"/>
      <c r="G44" s="339">
        <f t="shared" si="36"/>
        <v>0</v>
      </c>
      <c r="H44" s="281">
        <v>0</v>
      </c>
      <c r="I44" s="281">
        <v>0</v>
      </c>
      <c r="J44" s="358" t="str">
        <f>IFERROR(G44/#REF!,"-")</f>
        <v>-</v>
      </c>
      <c r="K44" s="339">
        <f t="shared" si="37"/>
        <v>0</v>
      </c>
      <c r="L44" s="281">
        <f t="shared" si="38"/>
        <v>0</v>
      </c>
      <c r="M44" s="251">
        <f t="shared" si="39"/>
        <v>0</v>
      </c>
      <c r="N44" s="343" t="str">
        <f t="shared" si="13"/>
        <v>-</v>
      </c>
      <c r="O44" s="264" t="str">
        <f t="shared" si="6"/>
        <v>-</v>
      </c>
    </row>
    <row r="45" spans="1:15" ht="23.4" x14ac:dyDescent="0.3">
      <c r="A45" s="277" t="s">
        <v>111</v>
      </c>
      <c r="B45" s="923"/>
      <c r="C45" s="301" t="s">
        <v>198</v>
      </c>
      <c r="D45" s="301" t="s">
        <v>100</v>
      </c>
      <c r="E45" s="279">
        <v>0</v>
      </c>
      <c r="F45" s="280"/>
      <c r="G45" s="339">
        <f t="shared" si="36"/>
        <v>0</v>
      </c>
      <c r="H45" s="281">
        <v>0</v>
      </c>
      <c r="I45" s="281">
        <v>0</v>
      </c>
      <c r="J45" s="358" t="str">
        <f>IFERROR(G45/#REF!,"-")</f>
        <v>-</v>
      </c>
      <c r="K45" s="339">
        <f t="shared" si="37"/>
        <v>0</v>
      </c>
      <c r="L45" s="281">
        <f t="shared" si="38"/>
        <v>0</v>
      </c>
      <c r="M45" s="251">
        <f t="shared" si="39"/>
        <v>0</v>
      </c>
      <c r="N45" s="343" t="str">
        <f t="shared" si="13"/>
        <v>-</v>
      </c>
      <c r="O45" s="264" t="str">
        <f t="shared" si="6"/>
        <v>-</v>
      </c>
    </row>
    <row r="46" spans="1:15" ht="24" thickBot="1" x14ac:dyDescent="0.35">
      <c r="A46" s="277" t="s">
        <v>111</v>
      </c>
      <c r="B46" s="924"/>
      <c r="C46" s="282" t="s">
        <v>197</v>
      </c>
      <c r="D46" s="282" t="s">
        <v>100</v>
      </c>
      <c r="E46" s="283">
        <v>0</v>
      </c>
      <c r="F46" s="284"/>
      <c r="G46" s="340">
        <f t="shared" si="36"/>
        <v>0</v>
      </c>
      <c r="H46" s="285">
        <v>0</v>
      </c>
      <c r="I46" s="285">
        <v>0</v>
      </c>
      <c r="J46" s="359" t="str">
        <f>IFERROR(G46/#REF!,"-")</f>
        <v>-</v>
      </c>
      <c r="K46" s="340">
        <f t="shared" si="37"/>
        <v>0</v>
      </c>
      <c r="L46" s="285">
        <f t="shared" si="38"/>
        <v>0</v>
      </c>
      <c r="M46" s="286">
        <f t="shared" si="39"/>
        <v>0</v>
      </c>
      <c r="N46" s="344" t="str">
        <f t="shared" si="13"/>
        <v>-</v>
      </c>
      <c r="O46" s="353" t="str">
        <f t="shared" si="6"/>
        <v>-</v>
      </c>
    </row>
    <row r="47" spans="1:15" ht="24" thickBot="1" x14ac:dyDescent="0.35">
      <c r="A47" s="277" t="s">
        <v>111</v>
      </c>
      <c r="B47" s="906" t="s">
        <v>51</v>
      </c>
      <c r="C47" s="907"/>
      <c r="D47" s="908"/>
      <c r="E47" s="288">
        <v>0</v>
      </c>
      <c r="F47" s="289">
        <v>80000</v>
      </c>
      <c r="G47" s="326">
        <f>SUM(G43:G46)</f>
        <v>0</v>
      </c>
      <c r="H47" s="327">
        <f t="shared" ref="H47:I47" si="40">SUM(H43:H46)</f>
        <v>0</v>
      </c>
      <c r="I47" s="327">
        <f t="shared" si="40"/>
        <v>0</v>
      </c>
      <c r="J47" s="351" t="str">
        <f>IFERROR(G47/#REF!,"-")</f>
        <v>-</v>
      </c>
      <c r="K47" s="326">
        <f t="shared" ref="K47:M47" si="41">SUM(K43:K46)</f>
        <v>0</v>
      </c>
      <c r="L47" s="327">
        <f t="shared" si="41"/>
        <v>0</v>
      </c>
      <c r="M47" s="328">
        <f t="shared" si="41"/>
        <v>0</v>
      </c>
      <c r="N47" s="345" t="str">
        <f t="shared" si="13"/>
        <v>-</v>
      </c>
      <c r="O47" s="351" t="str">
        <f t="shared" si="6"/>
        <v>-</v>
      </c>
    </row>
    <row r="48" spans="1:15" ht="23.4" x14ac:dyDescent="0.3">
      <c r="A48" s="277" t="s">
        <v>111</v>
      </c>
      <c r="B48" s="922" t="s">
        <v>23</v>
      </c>
      <c r="C48" s="302" t="s">
        <v>348</v>
      </c>
      <c r="D48" s="302" t="s">
        <v>263</v>
      </c>
      <c r="E48" s="273">
        <v>0</v>
      </c>
      <c r="F48" s="274"/>
      <c r="G48" s="338">
        <f t="shared" ref="G48:G55" si="42">+H48+I48</f>
        <v>0</v>
      </c>
      <c r="H48" s="275">
        <v>0</v>
      </c>
      <c r="I48" s="275">
        <v>0</v>
      </c>
      <c r="J48" s="357" t="str">
        <f>IFERROR(G48/#REF!,"-")</f>
        <v>-</v>
      </c>
      <c r="K48" s="338">
        <f t="shared" ref="K48:K55" si="43">+L48+M48</f>
        <v>0</v>
      </c>
      <c r="L48" s="275">
        <f t="shared" ref="L48:L55" si="44">H48</f>
        <v>0</v>
      </c>
      <c r="M48" s="276">
        <f t="shared" ref="M48:M55" si="45">I48</f>
        <v>0</v>
      </c>
      <c r="N48" s="342" t="str">
        <f t="shared" si="13"/>
        <v>-</v>
      </c>
      <c r="O48" s="352" t="str">
        <f t="shared" si="6"/>
        <v>-</v>
      </c>
    </row>
    <row r="49" spans="1:15" ht="23.4" x14ac:dyDescent="0.3">
      <c r="A49" s="277" t="s">
        <v>111</v>
      </c>
      <c r="B49" s="923"/>
      <c r="C49" s="278" t="s">
        <v>24</v>
      </c>
      <c r="D49" s="278" t="s">
        <v>263</v>
      </c>
      <c r="E49" s="279">
        <v>0</v>
      </c>
      <c r="F49" s="280"/>
      <c r="G49" s="339">
        <f t="shared" si="42"/>
        <v>10561</v>
      </c>
      <c r="H49" s="281">
        <v>10500</v>
      </c>
      <c r="I49" s="281">
        <v>61</v>
      </c>
      <c r="J49" s="358" t="str">
        <f>IFERROR(G49/#REF!,"-")</f>
        <v>-</v>
      </c>
      <c r="K49" s="339">
        <f t="shared" si="43"/>
        <v>10561</v>
      </c>
      <c r="L49" s="281">
        <f t="shared" si="44"/>
        <v>10500</v>
      </c>
      <c r="M49" s="251">
        <f t="shared" si="45"/>
        <v>61</v>
      </c>
      <c r="N49" s="343" t="str">
        <f t="shared" si="13"/>
        <v>-</v>
      </c>
      <c r="O49" s="264">
        <f t="shared" si="6"/>
        <v>5.7759681848309815E-3</v>
      </c>
    </row>
    <row r="50" spans="1:15" ht="23.4" x14ac:dyDescent="0.3">
      <c r="A50" s="277" t="s">
        <v>111</v>
      </c>
      <c r="B50" s="923"/>
      <c r="C50" s="278" t="s">
        <v>261</v>
      </c>
      <c r="D50" s="278" t="s">
        <v>263</v>
      </c>
      <c r="E50" s="279">
        <v>0</v>
      </c>
      <c r="F50" s="280"/>
      <c r="G50" s="339">
        <f t="shared" si="42"/>
        <v>0</v>
      </c>
      <c r="H50" s="281">
        <v>0</v>
      </c>
      <c r="I50" s="281">
        <v>0</v>
      </c>
      <c r="J50" s="358" t="str">
        <f>IFERROR(G50/#REF!,"-")</f>
        <v>-</v>
      </c>
      <c r="K50" s="339">
        <f t="shared" si="43"/>
        <v>0</v>
      </c>
      <c r="L50" s="281">
        <f t="shared" si="44"/>
        <v>0</v>
      </c>
      <c r="M50" s="251">
        <f t="shared" si="45"/>
        <v>0</v>
      </c>
      <c r="N50" s="343" t="str">
        <f t="shared" si="13"/>
        <v>-</v>
      </c>
      <c r="O50" s="264" t="str">
        <f t="shared" si="6"/>
        <v>-</v>
      </c>
    </row>
    <row r="51" spans="1:15" ht="23.4" x14ac:dyDescent="0.3">
      <c r="A51" s="277" t="s">
        <v>111</v>
      </c>
      <c r="B51" s="923"/>
      <c r="C51" s="278" t="s">
        <v>262</v>
      </c>
      <c r="D51" s="278" t="s">
        <v>263</v>
      </c>
      <c r="E51" s="279">
        <v>0</v>
      </c>
      <c r="F51" s="280"/>
      <c r="G51" s="339">
        <f t="shared" si="42"/>
        <v>0</v>
      </c>
      <c r="H51" s="281">
        <v>0</v>
      </c>
      <c r="I51" s="281">
        <v>0</v>
      </c>
      <c r="J51" s="358" t="str">
        <f>IFERROR(G51/#REF!,"-")</f>
        <v>-</v>
      </c>
      <c r="K51" s="339">
        <f t="shared" si="43"/>
        <v>0</v>
      </c>
      <c r="L51" s="281">
        <f t="shared" si="44"/>
        <v>0</v>
      </c>
      <c r="M51" s="251">
        <f t="shared" si="45"/>
        <v>0</v>
      </c>
      <c r="N51" s="343" t="str">
        <f t="shared" si="13"/>
        <v>-</v>
      </c>
      <c r="O51" s="264" t="str">
        <f t="shared" si="6"/>
        <v>-</v>
      </c>
    </row>
    <row r="52" spans="1:15" ht="23.4" x14ac:dyDescent="0.3">
      <c r="A52" s="277" t="s">
        <v>111</v>
      </c>
      <c r="B52" s="923"/>
      <c r="C52" s="301" t="s">
        <v>264</v>
      </c>
      <c r="D52" s="278" t="s">
        <v>263</v>
      </c>
      <c r="E52" s="279">
        <v>0</v>
      </c>
      <c r="F52" s="280"/>
      <c r="G52" s="339">
        <f t="shared" si="42"/>
        <v>0</v>
      </c>
      <c r="H52" s="281">
        <v>0</v>
      </c>
      <c r="I52" s="281">
        <v>0</v>
      </c>
      <c r="J52" s="358" t="str">
        <f>IFERROR(G52/#REF!,"-")</f>
        <v>-</v>
      </c>
      <c r="K52" s="339">
        <f t="shared" si="43"/>
        <v>0</v>
      </c>
      <c r="L52" s="281">
        <f t="shared" si="44"/>
        <v>0</v>
      </c>
      <c r="M52" s="251">
        <f t="shared" si="45"/>
        <v>0</v>
      </c>
      <c r="N52" s="343" t="str">
        <f t="shared" si="13"/>
        <v>-</v>
      </c>
      <c r="O52" s="264" t="str">
        <f t="shared" si="6"/>
        <v>-</v>
      </c>
    </row>
    <row r="53" spans="1:15" ht="23.4" x14ac:dyDescent="0.3">
      <c r="A53" s="277" t="s">
        <v>111</v>
      </c>
      <c r="B53" s="923"/>
      <c r="C53" s="301" t="s">
        <v>265</v>
      </c>
      <c r="D53" s="278" t="s">
        <v>263</v>
      </c>
      <c r="E53" s="279">
        <v>0</v>
      </c>
      <c r="F53" s="280"/>
      <c r="G53" s="339">
        <f t="shared" si="42"/>
        <v>0</v>
      </c>
      <c r="H53" s="281">
        <v>0</v>
      </c>
      <c r="I53" s="281">
        <v>0</v>
      </c>
      <c r="J53" s="358" t="str">
        <f>IFERROR(G53/#REF!,"-")</f>
        <v>-</v>
      </c>
      <c r="K53" s="339">
        <f t="shared" si="43"/>
        <v>0</v>
      </c>
      <c r="L53" s="281">
        <f t="shared" si="44"/>
        <v>0</v>
      </c>
      <c r="M53" s="251">
        <f t="shared" si="45"/>
        <v>0</v>
      </c>
      <c r="N53" s="343" t="str">
        <f t="shared" si="13"/>
        <v>-</v>
      </c>
      <c r="O53" s="264" t="str">
        <f t="shared" si="6"/>
        <v>-</v>
      </c>
    </row>
    <row r="54" spans="1:15" ht="23.4" x14ac:dyDescent="0.3">
      <c r="A54" s="277" t="s">
        <v>111</v>
      </c>
      <c r="B54" s="923"/>
      <c r="C54" s="301" t="s">
        <v>266</v>
      </c>
      <c r="D54" s="278" t="s">
        <v>268</v>
      </c>
      <c r="E54" s="279">
        <v>0</v>
      </c>
      <c r="F54" s="280"/>
      <c r="G54" s="339">
        <f t="shared" si="42"/>
        <v>0</v>
      </c>
      <c r="H54" s="281">
        <v>0</v>
      </c>
      <c r="I54" s="281">
        <v>0</v>
      </c>
      <c r="J54" s="358" t="str">
        <f>IFERROR(G54/#REF!,"-")</f>
        <v>-</v>
      </c>
      <c r="K54" s="339">
        <f t="shared" si="43"/>
        <v>0</v>
      </c>
      <c r="L54" s="281">
        <f t="shared" si="44"/>
        <v>0</v>
      </c>
      <c r="M54" s="251">
        <f t="shared" si="45"/>
        <v>0</v>
      </c>
      <c r="N54" s="343" t="str">
        <f t="shared" si="13"/>
        <v>-</v>
      </c>
      <c r="O54" s="264" t="str">
        <f t="shared" si="6"/>
        <v>-</v>
      </c>
    </row>
    <row r="55" spans="1:15" ht="24" thickBot="1" x14ac:dyDescent="0.35">
      <c r="A55" s="277" t="s">
        <v>111</v>
      </c>
      <c r="B55" s="924"/>
      <c r="C55" s="301" t="s">
        <v>267</v>
      </c>
      <c r="D55" s="278" t="s">
        <v>263</v>
      </c>
      <c r="E55" s="283">
        <v>0</v>
      </c>
      <c r="F55" s="284"/>
      <c r="G55" s="340">
        <f t="shared" si="42"/>
        <v>0</v>
      </c>
      <c r="H55" s="285">
        <v>0</v>
      </c>
      <c r="I55" s="285">
        <v>0</v>
      </c>
      <c r="J55" s="359" t="str">
        <f>IFERROR(G55/#REF!,"-")</f>
        <v>-</v>
      </c>
      <c r="K55" s="340">
        <f t="shared" si="43"/>
        <v>0</v>
      </c>
      <c r="L55" s="285">
        <f t="shared" si="44"/>
        <v>0</v>
      </c>
      <c r="M55" s="286">
        <f t="shared" si="45"/>
        <v>0</v>
      </c>
      <c r="N55" s="344" t="str">
        <f t="shared" si="13"/>
        <v>-</v>
      </c>
      <c r="O55" s="353" t="str">
        <f t="shared" si="6"/>
        <v>-</v>
      </c>
    </row>
    <row r="56" spans="1:15" ht="24" thickBot="1" x14ac:dyDescent="0.35">
      <c r="A56" s="277" t="s">
        <v>111</v>
      </c>
      <c r="B56" s="906" t="s">
        <v>52</v>
      </c>
      <c r="C56" s="907"/>
      <c r="D56" s="908"/>
      <c r="E56" s="288">
        <v>157500</v>
      </c>
      <c r="F56" s="289">
        <v>14000</v>
      </c>
      <c r="G56" s="326">
        <f>SUM(G48:G55)</f>
        <v>10561</v>
      </c>
      <c r="H56" s="327">
        <f t="shared" ref="H56:I56" si="46">SUM(H48:H55)</f>
        <v>10500</v>
      </c>
      <c r="I56" s="327">
        <f t="shared" si="46"/>
        <v>61</v>
      </c>
      <c r="J56" s="351" t="str">
        <f>IFERROR(G56/#REF!,"-")</f>
        <v>-</v>
      </c>
      <c r="K56" s="326">
        <f t="shared" ref="K56:M56" si="47">SUM(K48:K55)</f>
        <v>10561</v>
      </c>
      <c r="L56" s="327">
        <f t="shared" si="47"/>
        <v>10500</v>
      </c>
      <c r="M56" s="328">
        <f t="shared" si="47"/>
        <v>61</v>
      </c>
      <c r="N56" s="345">
        <f t="shared" si="13"/>
        <v>6.7053968253968255E-2</v>
      </c>
      <c r="O56" s="351">
        <f t="shared" si="6"/>
        <v>5.7759681848309815E-3</v>
      </c>
    </row>
    <row r="57" spans="1:15" ht="24" thickBot="1" x14ac:dyDescent="0.35">
      <c r="A57" s="277" t="s">
        <v>111</v>
      </c>
      <c r="B57" s="926" t="s">
        <v>25</v>
      </c>
      <c r="C57" s="927"/>
      <c r="D57" s="928"/>
      <c r="E57" s="332">
        <f t="shared" ref="E57:F57" si="48">+E47+E56</f>
        <v>157500</v>
      </c>
      <c r="F57" s="333">
        <f t="shared" si="48"/>
        <v>94000</v>
      </c>
      <c r="G57" s="332">
        <f>+G47+G56</f>
        <v>10561</v>
      </c>
      <c r="H57" s="330">
        <f t="shared" ref="H57:I57" si="49">+H47+H56</f>
        <v>10500</v>
      </c>
      <c r="I57" s="330">
        <f t="shared" si="49"/>
        <v>61</v>
      </c>
      <c r="J57" s="355" t="str">
        <f>IFERROR(G57/#REF!,"-")</f>
        <v>-</v>
      </c>
      <c r="K57" s="332">
        <f t="shared" ref="K57" si="50">+K47+K56</f>
        <v>10561</v>
      </c>
      <c r="L57" s="330">
        <f>+L47+L56</f>
        <v>10500</v>
      </c>
      <c r="M57" s="331">
        <f t="shared" ref="M57" si="51">+M47+M56</f>
        <v>61</v>
      </c>
      <c r="N57" s="347">
        <f t="shared" si="13"/>
        <v>6.7053968253968255E-2</v>
      </c>
      <c r="O57" s="355">
        <f t="shared" si="6"/>
        <v>5.7759681848309815E-3</v>
      </c>
    </row>
    <row r="58" spans="1:15" ht="24" thickBot="1" x14ac:dyDescent="0.35">
      <c r="A58" s="277" t="s">
        <v>111</v>
      </c>
      <c r="B58" s="900" t="s">
        <v>181</v>
      </c>
      <c r="C58" s="901"/>
      <c r="D58" s="902"/>
      <c r="E58" s="336">
        <f>+E42+E57</f>
        <v>5932100</v>
      </c>
      <c r="F58" s="337">
        <f t="shared" ref="F58:I58" si="52">+F42+F57</f>
        <v>449000</v>
      </c>
      <c r="G58" s="336">
        <f t="shared" si="52"/>
        <v>126008</v>
      </c>
      <c r="H58" s="334">
        <f t="shared" si="52"/>
        <v>125156</v>
      </c>
      <c r="I58" s="334">
        <f t="shared" si="52"/>
        <v>852</v>
      </c>
      <c r="J58" s="356" t="str">
        <f>IFERROR(G58/#REF!,"-")</f>
        <v>-</v>
      </c>
      <c r="K58" s="336">
        <f t="shared" ref="K58:M58" si="53">+K42+K57</f>
        <v>126008</v>
      </c>
      <c r="L58" s="334">
        <f t="shared" si="53"/>
        <v>125156</v>
      </c>
      <c r="M58" s="335">
        <f t="shared" si="53"/>
        <v>852</v>
      </c>
      <c r="N58" s="348">
        <f t="shared" si="13"/>
        <v>2.1241718784241668E-2</v>
      </c>
      <c r="O58" s="356">
        <f t="shared" si="6"/>
        <v>6.7614754618754366E-3</v>
      </c>
    </row>
    <row r="59" spans="1:15" ht="23.4" x14ac:dyDescent="0.3">
      <c r="A59" s="271" t="s">
        <v>109</v>
      </c>
      <c r="B59" s="929" t="s">
        <v>26</v>
      </c>
      <c r="C59" s="303" t="s">
        <v>334</v>
      </c>
      <c r="D59" s="303" t="s">
        <v>192</v>
      </c>
      <c r="E59" s="273">
        <v>0</v>
      </c>
      <c r="F59" s="274"/>
      <c r="G59" s="338">
        <f t="shared" ref="G59:G67" si="54">+H59+I59</f>
        <v>20485</v>
      </c>
      <c r="H59" s="275">
        <v>19890</v>
      </c>
      <c r="I59" s="275">
        <v>595</v>
      </c>
      <c r="J59" s="357" t="str">
        <f>IFERROR(G59/#REF!,"-")</f>
        <v>-</v>
      </c>
      <c r="K59" s="338">
        <f t="shared" ref="K59:K67" si="55">+L59+M59</f>
        <v>20485</v>
      </c>
      <c r="L59" s="275">
        <f t="shared" ref="L59:L67" si="56">H59</f>
        <v>19890</v>
      </c>
      <c r="M59" s="276">
        <f t="shared" ref="M59:M67" si="57">I59</f>
        <v>595</v>
      </c>
      <c r="N59" s="342" t="str">
        <f t="shared" si="13"/>
        <v>-</v>
      </c>
      <c r="O59" s="352">
        <f t="shared" si="6"/>
        <v>2.9045643153526972E-2</v>
      </c>
    </row>
    <row r="60" spans="1:15" ht="23.4" x14ac:dyDescent="0.3">
      <c r="A60" s="277" t="s">
        <v>109</v>
      </c>
      <c r="B60" s="929"/>
      <c r="C60" s="304" t="s">
        <v>199</v>
      </c>
      <c r="D60" s="304" t="s">
        <v>115</v>
      </c>
      <c r="E60" s="279">
        <v>0</v>
      </c>
      <c r="F60" s="280"/>
      <c r="G60" s="339">
        <f t="shared" si="54"/>
        <v>0</v>
      </c>
      <c r="H60" s="281">
        <v>0</v>
      </c>
      <c r="I60" s="281">
        <v>0</v>
      </c>
      <c r="J60" s="358" t="str">
        <f>IFERROR(G60/#REF!,"-")</f>
        <v>-</v>
      </c>
      <c r="K60" s="339">
        <f t="shared" si="55"/>
        <v>0</v>
      </c>
      <c r="L60" s="281">
        <f t="shared" si="56"/>
        <v>0</v>
      </c>
      <c r="M60" s="251">
        <f t="shared" si="57"/>
        <v>0</v>
      </c>
      <c r="N60" s="343" t="str">
        <f t="shared" si="13"/>
        <v>-</v>
      </c>
      <c r="O60" s="264" t="str">
        <f t="shared" si="6"/>
        <v>-</v>
      </c>
    </row>
    <row r="61" spans="1:15" ht="23.4" x14ac:dyDescent="0.3">
      <c r="A61" s="277" t="s">
        <v>109</v>
      </c>
      <c r="B61" s="929"/>
      <c r="C61" s="305" t="s">
        <v>27</v>
      </c>
      <c r="D61" s="305" t="s">
        <v>310</v>
      </c>
      <c r="E61" s="283">
        <v>0</v>
      </c>
      <c r="F61" s="284"/>
      <c r="G61" s="339">
        <f t="shared" si="54"/>
        <v>0</v>
      </c>
      <c r="H61" s="285">
        <v>0</v>
      </c>
      <c r="I61" s="285">
        <v>0</v>
      </c>
      <c r="J61" s="359" t="str">
        <f>IFERROR(G61/#REF!,"-")</f>
        <v>-</v>
      </c>
      <c r="K61" s="339">
        <f t="shared" si="55"/>
        <v>0</v>
      </c>
      <c r="L61" s="285">
        <f t="shared" si="56"/>
        <v>0</v>
      </c>
      <c r="M61" s="286">
        <f t="shared" si="57"/>
        <v>0</v>
      </c>
      <c r="N61" s="287"/>
      <c r="O61" s="264" t="str">
        <f t="shared" si="6"/>
        <v>-</v>
      </c>
    </row>
    <row r="62" spans="1:15" ht="23.4" x14ac:dyDescent="0.3">
      <c r="A62" s="277" t="s">
        <v>109</v>
      </c>
      <c r="B62" s="929"/>
      <c r="C62" s="305" t="s">
        <v>27</v>
      </c>
      <c r="D62" s="305" t="s">
        <v>311</v>
      </c>
      <c r="E62" s="283">
        <v>0</v>
      </c>
      <c r="F62" s="284"/>
      <c r="G62" s="339">
        <f t="shared" si="54"/>
        <v>0</v>
      </c>
      <c r="H62" s="285">
        <v>0</v>
      </c>
      <c r="I62" s="285">
        <v>0</v>
      </c>
      <c r="J62" s="359" t="str">
        <f>IFERROR(G62/#REF!,"-")</f>
        <v>-</v>
      </c>
      <c r="K62" s="339">
        <f t="shared" si="55"/>
        <v>0</v>
      </c>
      <c r="L62" s="285">
        <f t="shared" si="56"/>
        <v>0</v>
      </c>
      <c r="M62" s="286">
        <f t="shared" si="57"/>
        <v>0</v>
      </c>
      <c r="N62" s="287"/>
      <c r="O62" s="264" t="str">
        <f t="shared" si="6"/>
        <v>-</v>
      </c>
    </row>
    <row r="63" spans="1:15" ht="23.4" x14ac:dyDescent="0.3">
      <c r="A63" s="277" t="s">
        <v>109</v>
      </c>
      <c r="B63" s="929"/>
      <c r="C63" s="305" t="s">
        <v>325</v>
      </c>
      <c r="D63" s="305" t="s">
        <v>324</v>
      </c>
      <c r="E63" s="283">
        <v>0</v>
      </c>
      <c r="F63" s="284"/>
      <c r="G63" s="339">
        <f t="shared" si="54"/>
        <v>0</v>
      </c>
      <c r="H63" s="285">
        <v>0</v>
      </c>
      <c r="I63" s="285">
        <v>0</v>
      </c>
      <c r="J63" s="359" t="str">
        <f>IFERROR(G63/#REF!,"-")</f>
        <v>-</v>
      </c>
      <c r="K63" s="339">
        <f t="shared" si="55"/>
        <v>0</v>
      </c>
      <c r="L63" s="285">
        <f t="shared" si="56"/>
        <v>0</v>
      </c>
      <c r="M63" s="286">
        <f t="shared" si="57"/>
        <v>0</v>
      </c>
      <c r="N63" s="287"/>
      <c r="O63" s="264" t="str">
        <f t="shared" si="6"/>
        <v>-</v>
      </c>
    </row>
    <row r="64" spans="1:15" ht="23.4" x14ac:dyDescent="0.3">
      <c r="A64" s="277"/>
      <c r="B64" s="929"/>
      <c r="C64" s="305" t="s">
        <v>325</v>
      </c>
      <c r="D64" s="305" t="s">
        <v>192</v>
      </c>
      <c r="E64" s="283">
        <v>0</v>
      </c>
      <c r="F64" s="284"/>
      <c r="G64" s="340">
        <f t="shared" si="54"/>
        <v>0</v>
      </c>
      <c r="H64" s="285">
        <v>0</v>
      </c>
      <c r="I64" s="285">
        <v>0</v>
      </c>
      <c r="J64" s="359" t="str">
        <f>IFERROR(G64/#REF!,"-")</f>
        <v>-</v>
      </c>
      <c r="K64" s="340">
        <f t="shared" si="55"/>
        <v>0</v>
      </c>
      <c r="L64" s="285">
        <f t="shared" si="56"/>
        <v>0</v>
      </c>
      <c r="M64" s="286">
        <f t="shared" si="57"/>
        <v>0</v>
      </c>
      <c r="N64" s="287"/>
      <c r="O64" s="264" t="str">
        <f t="shared" si="6"/>
        <v>-</v>
      </c>
    </row>
    <row r="65" spans="1:15" ht="23.4" x14ac:dyDescent="0.3">
      <c r="A65" s="277"/>
      <c r="B65" s="929"/>
      <c r="C65" s="305" t="s">
        <v>325</v>
      </c>
      <c r="D65" s="305" t="s">
        <v>101</v>
      </c>
      <c r="E65" s="283">
        <v>0</v>
      </c>
      <c r="F65" s="284"/>
      <c r="G65" s="340">
        <f t="shared" si="54"/>
        <v>0</v>
      </c>
      <c r="H65" s="285">
        <v>0</v>
      </c>
      <c r="I65" s="285">
        <v>0</v>
      </c>
      <c r="J65" s="359" t="str">
        <f>IFERROR(G65/#REF!,"-")</f>
        <v>-</v>
      </c>
      <c r="K65" s="340">
        <f t="shared" si="55"/>
        <v>0</v>
      </c>
      <c r="L65" s="285">
        <f t="shared" si="56"/>
        <v>0</v>
      </c>
      <c r="M65" s="286">
        <f t="shared" si="57"/>
        <v>0</v>
      </c>
      <c r="N65" s="287"/>
      <c r="O65" s="264" t="str">
        <f t="shared" si="6"/>
        <v>-</v>
      </c>
    </row>
    <row r="66" spans="1:15" ht="23.4" x14ac:dyDescent="0.3">
      <c r="A66" s="277"/>
      <c r="B66" s="929"/>
      <c r="C66" s="305" t="s">
        <v>393</v>
      </c>
      <c r="D66" s="305" t="s">
        <v>394</v>
      </c>
      <c r="E66" s="283">
        <v>0</v>
      </c>
      <c r="F66" s="284"/>
      <c r="G66" s="340">
        <f t="shared" si="54"/>
        <v>0</v>
      </c>
      <c r="H66" s="285">
        <v>0</v>
      </c>
      <c r="I66" s="285">
        <v>0</v>
      </c>
      <c r="J66" s="359" t="str">
        <f>IFERROR(G66/#REF!,"-")</f>
        <v>-</v>
      </c>
      <c r="K66" s="340">
        <f t="shared" si="55"/>
        <v>0</v>
      </c>
      <c r="L66" s="285">
        <f t="shared" si="56"/>
        <v>0</v>
      </c>
      <c r="M66" s="286">
        <f t="shared" si="57"/>
        <v>0</v>
      </c>
      <c r="N66" s="287"/>
      <c r="O66" s="264" t="str">
        <f t="shared" si="6"/>
        <v>-</v>
      </c>
    </row>
    <row r="67" spans="1:15" ht="24" thickBot="1" x14ac:dyDescent="0.35">
      <c r="A67" s="277" t="s">
        <v>109</v>
      </c>
      <c r="B67" s="929"/>
      <c r="C67" s="306" t="s">
        <v>326</v>
      </c>
      <c r="D67" s="305" t="s">
        <v>324</v>
      </c>
      <c r="E67" s="283">
        <v>0</v>
      </c>
      <c r="F67" s="284"/>
      <c r="G67" s="340">
        <f t="shared" si="54"/>
        <v>0</v>
      </c>
      <c r="H67" s="285">
        <v>0</v>
      </c>
      <c r="I67" s="285">
        <v>0</v>
      </c>
      <c r="J67" s="359" t="str">
        <f>IFERROR(G67/#REF!,"-")</f>
        <v>-</v>
      </c>
      <c r="K67" s="340">
        <f t="shared" si="55"/>
        <v>0</v>
      </c>
      <c r="L67" s="285">
        <f t="shared" si="56"/>
        <v>0</v>
      </c>
      <c r="M67" s="286">
        <f t="shared" si="57"/>
        <v>0</v>
      </c>
      <c r="N67" s="344" t="str">
        <f t="shared" ref="N67:N84" si="58">IFERROR(K67/E67,"-")</f>
        <v>-</v>
      </c>
      <c r="O67" s="353" t="str">
        <f t="shared" si="6"/>
        <v>-</v>
      </c>
    </row>
    <row r="68" spans="1:15" ht="24" thickBot="1" x14ac:dyDescent="0.35">
      <c r="A68" s="277" t="s">
        <v>109</v>
      </c>
      <c r="B68" s="930"/>
      <c r="C68" s="307"/>
      <c r="D68" s="308" t="s">
        <v>55</v>
      </c>
      <c r="E68" s="288">
        <v>0</v>
      </c>
      <c r="F68" s="289"/>
      <c r="G68" s="326">
        <f>SUM(G59:G67)</f>
        <v>20485</v>
      </c>
      <c r="H68" s="327">
        <f>SUM(H59:H67)</f>
        <v>19890</v>
      </c>
      <c r="I68" s="327">
        <f>SUM(I59:I67)</f>
        <v>595</v>
      </c>
      <c r="J68" s="351" t="str">
        <f>IFERROR(G68/#REF!,"-")</f>
        <v>-</v>
      </c>
      <c r="K68" s="326">
        <f>SUM(K59:K67)</f>
        <v>20485</v>
      </c>
      <c r="L68" s="327">
        <f>SUM(L59:L67)</f>
        <v>19890</v>
      </c>
      <c r="M68" s="328">
        <f>SUM(M59:M67)</f>
        <v>595</v>
      </c>
      <c r="N68" s="345" t="str">
        <f t="shared" si="58"/>
        <v>-</v>
      </c>
      <c r="O68" s="351">
        <f t="shared" si="6"/>
        <v>2.9045643153526972E-2</v>
      </c>
    </row>
    <row r="69" spans="1:15" ht="23.4" x14ac:dyDescent="0.3">
      <c r="A69" s="277" t="s">
        <v>109</v>
      </c>
      <c r="B69" s="931" t="s">
        <v>28</v>
      </c>
      <c r="C69" s="303" t="s">
        <v>322</v>
      </c>
      <c r="D69" s="303" t="s">
        <v>193</v>
      </c>
      <c r="E69" s="273">
        <v>0</v>
      </c>
      <c r="F69" s="274"/>
      <c r="G69" s="338">
        <f t="shared" ref="G69:G71" si="59">+H69+I69</f>
        <v>0</v>
      </c>
      <c r="H69" s="275">
        <v>0</v>
      </c>
      <c r="I69" s="275">
        <v>0</v>
      </c>
      <c r="J69" s="357" t="str">
        <f>IFERROR(G69/#REF!,"-")</f>
        <v>-</v>
      </c>
      <c r="K69" s="338">
        <f t="shared" ref="K69:K71" si="60">+L69+M69</f>
        <v>0</v>
      </c>
      <c r="L69" s="275">
        <f t="shared" ref="L69:L71" si="61">H69</f>
        <v>0</v>
      </c>
      <c r="M69" s="276">
        <f t="shared" ref="M69:M71" si="62">I69</f>
        <v>0</v>
      </c>
      <c r="N69" s="342" t="str">
        <f t="shared" si="58"/>
        <v>-</v>
      </c>
      <c r="O69" s="352" t="str">
        <f t="shared" si="6"/>
        <v>-</v>
      </c>
    </row>
    <row r="70" spans="1:15" ht="23.4" x14ac:dyDescent="0.3">
      <c r="A70" s="277" t="s">
        <v>109</v>
      </c>
      <c r="B70" s="929"/>
      <c r="C70" s="305" t="s">
        <v>27</v>
      </c>
      <c r="D70" s="305" t="s">
        <v>311</v>
      </c>
      <c r="E70" s="279">
        <v>0</v>
      </c>
      <c r="F70" s="280"/>
      <c r="G70" s="339">
        <f t="shared" si="59"/>
        <v>0</v>
      </c>
      <c r="H70" s="281">
        <v>0</v>
      </c>
      <c r="I70" s="281">
        <v>0</v>
      </c>
      <c r="J70" s="358" t="str">
        <f>IFERROR(G70/#REF!,"-")</f>
        <v>-</v>
      </c>
      <c r="K70" s="339">
        <f t="shared" si="60"/>
        <v>0</v>
      </c>
      <c r="L70" s="281">
        <f t="shared" si="61"/>
        <v>0</v>
      </c>
      <c r="M70" s="251">
        <f t="shared" si="62"/>
        <v>0</v>
      </c>
      <c r="N70" s="343" t="str">
        <f t="shared" si="58"/>
        <v>-</v>
      </c>
      <c r="O70" s="264" t="str">
        <f t="shared" si="6"/>
        <v>-</v>
      </c>
    </row>
    <row r="71" spans="1:15" ht="24" thickBot="1" x14ac:dyDescent="0.35">
      <c r="A71" s="277" t="s">
        <v>109</v>
      </c>
      <c r="B71" s="929"/>
      <c r="C71" s="305" t="s">
        <v>27</v>
      </c>
      <c r="D71" s="306" t="s">
        <v>259</v>
      </c>
      <c r="E71" s="283">
        <v>0</v>
      </c>
      <c r="F71" s="284"/>
      <c r="G71" s="340">
        <f t="shared" si="59"/>
        <v>0</v>
      </c>
      <c r="H71" s="285">
        <v>0</v>
      </c>
      <c r="I71" s="285">
        <v>0</v>
      </c>
      <c r="J71" s="359" t="str">
        <f>IFERROR(G71/#REF!,"-")</f>
        <v>-</v>
      </c>
      <c r="K71" s="340">
        <f t="shared" si="60"/>
        <v>0</v>
      </c>
      <c r="L71" s="285">
        <f t="shared" si="61"/>
        <v>0</v>
      </c>
      <c r="M71" s="286">
        <f t="shared" si="62"/>
        <v>0</v>
      </c>
      <c r="N71" s="344" t="str">
        <f t="shared" si="58"/>
        <v>-</v>
      </c>
      <c r="O71" s="353" t="str">
        <f t="shared" si="6"/>
        <v>-</v>
      </c>
    </row>
    <row r="72" spans="1:15" ht="24" thickBot="1" x14ac:dyDescent="0.35">
      <c r="A72" s="277" t="s">
        <v>109</v>
      </c>
      <c r="B72" s="929"/>
      <c r="C72" s="310"/>
      <c r="D72" s="311" t="s">
        <v>55</v>
      </c>
      <c r="E72" s="312">
        <v>0</v>
      </c>
      <c r="F72" s="313"/>
      <c r="G72" s="372">
        <f>SUM(G69:G71)</f>
        <v>0</v>
      </c>
      <c r="H72" s="371">
        <f t="shared" ref="H72:I72" si="63">SUM(H69:H71)</f>
        <v>0</v>
      </c>
      <c r="I72" s="371">
        <f t="shared" si="63"/>
        <v>0</v>
      </c>
      <c r="J72" s="362" t="str">
        <f>IFERROR(G72/#REF!,"-")</f>
        <v>-</v>
      </c>
      <c r="K72" s="372">
        <f>SUM(K69:K71)</f>
        <v>0</v>
      </c>
      <c r="L72" s="371">
        <f t="shared" ref="L72:M72" si="64">SUM(L69:L71)</f>
        <v>0</v>
      </c>
      <c r="M72" s="373">
        <f t="shared" si="64"/>
        <v>0</v>
      </c>
      <c r="N72" s="361" t="str">
        <f t="shared" si="58"/>
        <v>-</v>
      </c>
      <c r="O72" s="362" t="str">
        <f t="shared" si="6"/>
        <v>-</v>
      </c>
    </row>
    <row r="73" spans="1:15" ht="24" thickBot="1" x14ac:dyDescent="0.35">
      <c r="A73" s="658" t="s">
        <v>109</v>
      </c>
      <c r="B73" s="932" t="s">
        <v>171</v>
      </c>
      <c r="C73" s="933"/>
      <c r="D73" s="934"/>
      <c r="E73" s="314">
        <v>2167000</v>
      </c>
      <c r="F73" s="315">
        <v>80000</v>
      </c>
      <c r="G73" s="375">
        <f>+G68+G72</f>
        <v>20485</v>
      </c>
      <c r="H73" s="374">
        <f t="shared" ref="H73:I73" si="65">+H68+H72</f>
        <v>19890</v>
      </c>
      <c r="I73" s="374">
        <f t="shared" si="65"/>
        <v>595</v>
      </c>
      <c r="J73" s="364" t="str">
        <f>IFERROR(G73/#REF!,"-")</f>
        <v>-</v>
      </c>
      <c r="K73" s="375">
        <f>+K68+K72</f>
        <v>20485</v>
      </c>
      <c r="L73" s="374">
        <f>+L68+L72</f>
        <v>19890</v>
      </c>
      <c r="M73" s="376">
        <f t="shared" ref="M73" si="66">+M68+M72</f>
        <v>595</v>
      </c>
      <c r="N73" s="363">
        <f t="shared" si="58"/>
        <v>9.453161052145824E-3</v>
      </c>
      <c r="O73" s="364">
        <f t="shared" si="6"/>
        <v>2.9045643153526972E-2</v>
      </c>
    </row>
    <row r="74" spans="1:15" ht="23.4" x14ac:dyDescent="0.3">
      <c r="A74" s="277" t="s">
        <v>109</v>
      </c>
      <c r="B74" s="929" t="s">
        <v>30</v>
      </c>
      <c r="C74" s="309" t="s">
        <v>396</v>
      </c>
      <c r="D74" s="303" t="s">
        <v>193</v>
      </c>
      <c r="E74" s="273">
        <v>0</v>
      </c>
      <c r="F74" s="274"/>
      <c r="G74" s="338">
        <f t="shared" ref="G74:G76" si="67">+H74+I74</f>
        <v>0</v>
      </c>
      <c r="H74" s="275">
        <v>0</v>
      </c>
      <c r="I74" s="275">
        <v>0</v>
      </c>
      <c r="J74" s="357" t="str">
        <f>IFERROR(G74/#REF!,"-")</f>
        <v>-</v>
      </c>
      <c r="K74" s="338">
        <f t="shared" ref="K74:K76" si="68">+L74+M74</f>
        <v>0</v>
      </c>
      <c r="L74" s="275">
        <f t="shared" ref="L74:L76" si="69">H74</f>
        <v>0</v>
      </c>
      <c r="M74" s="276">
        <f t="shared" ref="M74:M76" si="70">I74</f>
        <v>0</v>
      </c>
      <c r="N74" s="342" t="str">
        <f t="shared" si="58"/>
        <v>-</v>
      </c>
      <c r="O74" s="352" t="str">
        <f t="shared" si="6"/>
        <v>-</v>
      </c>
    </row>
    <row r="75" spans="1:15" ht="23.4" x14ac:dyDescent="0.3">
      <c r="A75" s="277" t="s">
        <v>109</v>
      </c>
      <c r="B75" s="929"/>
      <c r="C75" s="309" t="s">
        <v>395</v>
      </c>
      <c r="D75" s="309" t="s">
        <v>324</v>
      </c>
      <c r="E75" s="279">
        <v>0</v>
      </c>
      <c r="F75" s="280"/>
      <c r="G75" s="339">
        <f t="shared" si="67"/>
        <v>0</v>
      </c>
      <c r="H75" s="281">
        <v>0</v>
      </c>
      <c r="I75" s="281">
        <v>0</v>
      </c>
      <c r="J75" s="358" t="str">
        <f>IFERROR(G75/#REF!,"-")</f>
        <v>-</v>
      </c>
      <c r="K75" s="339">
        <f t="shared" si="68"/>
        <v>0</v>
      </c>
      <c r="L75" s="281">
        <f t="shared" si="69"/>
        <v>0</v>
      </c>
      <c r="M75" s="251">
        <f t="shared" si="70"/>
        <v>0</v>
      </c>
      <c r="N75" s="343" t="str">
        <f t="shared" si="58"/>
        <v>-</v>
      </c>
      <c r="O75" s="264" t="str">
        <f t="shared" si="6"/>
        <v>-</v>
      </c>
    </row>
    <row r="76" spans="1:15" ht="24" thickBot="1" x14ac:dyDescent="0.35">
      <c r="A76" s="277" t="s">
        <v>109</v>
      </c>
      <c r="B76" s="929"/>
      <c r="C76" s="306" t="s">
        <v>327</v>
      </c>
      <c r="D76" s="306"/>
      <c r="E76" s="283">
        <v>0</v>
      </c>
      <c r="F76" s="284"/>
      <c r="G76" s="340">
        <f t="shared" si="67"/>
        <v>0</v>
      </c>
      <c r="H76" s="285">
        <v>0</v>
      </c>
      <c r="I76" s="285">
        <v>0</v>
      </c>
      <c r="J76" s="359" t="str">
        <f>IFERROR(G76/#REF!,"-")</f>
        <v>-</v>
      </c>
      <c r="K76" s="340">
        <f t="shared" si="68"/>
        <v>0</v>
      </c>
      <c r="L76" s="285">
        <f t="shared" si="69"/>
        <v>0</v>
      </c>
      <c r="M76" s="286">
        <f t="shared" si="70"/>
        <v>0</v>
      </c>
      <c r="N76" s="344" t="str">
        <f t="shared" si="58"/>
        <v>-</v>
      </c>
      <c r="O76" s="353" t="str">
        <f t="shared" si="6"/>
        <v>-</v>
      </c>
    </row>
    <row r="77" spans="1:15" ht="24" thickBot="1" x14ac:dyDescent="0.35">
      <c r="A77" s="277" t="s">
        <v>109</v>
      </c>
      <c r="B77" s="929"/>
      <c r="C77" s="307"/>
      <c r="D77" s="308" t="s">
        <v>53</v>
      </c>
      <c r="E77" s="288">
        <v>0</v>
      </c>
      <c r="F77" s="289"/>
      <c r="G77" s="326">
        <f>SUM(G74:G76)</f>
        <v>0</v>
      </c>
      <c r="H77" s="327">
        <f t="shared" ref="H77:I77" si="71">SUM(H74:H76)</f>
        <v>0</v>
      </c>
      <c r="I77" s="327">
        <f t="shared" si="71"/>
        <v>0</v>
      </c>
      <c r="J77" s="351" t="str">
        <f>IFERROR(G77/#REF!,"-")</f>
        <v>-</v>
      </c>
      <c r="K77" s="326">
        <f t="shared" ref="K77" si="72">SUM(K74:K76)</f>
        <v>0</v>
      </c>
      <c r="L77" s="327">
        <f>SUM(L74:L76)</f>
        <v>0</v>
      </c>
      <c r="M77" s="328">
        <f t="shared" ref="M77" si="73">SUM(M74:M76)</f>
        <v>0</v>
      </c>
      <c r="N77" s="345" t="str">
        <f t="shared" si="58"/>
        <v>-</v>
      </c>
      <c r="O77" s="351" t="str">
        <f t="shared" si="6"/>
        <v>-</v>
      </c>
    </row>
    <row r="78" spans="1:15" ht="23.4" x14ac:dyDescent="0.3">
      <c r="A78" s="277" t="s">
        <v>109</v>
      </c>
      <c r="B78" s="929"/>
      <c r="C78" s="303" t="s">
        <v>352</v>
      </c>
      <c r="D78" s="303"/>
      <c r="E78" s="273">
        <v>0</v>
      </c>
      <c r="F78" s="274"/>
      <c r="G78" s="338">
        <f t="shared" ref="G78:G80" si="74">+H78+I78</f>
        <v>0</v>
      </c>
      <c r="H78" s="275">
        <v>0</v>
      </c>
      <c r="I78" s="275">
        <v>0</v>
      </c>
      <c r="J78" s="357" t="str">
        <f>IFERROR(G78/#REF!,"-")</f>
        <v>-</v>
      </c>
      <c r="K78" s="338">
        <f t="shared" ref="K78:K80" si="75">+L78+M78</f>
        <v>0</v>
      </c>
      <c r="L78" s="275">
        <f t="shared" ref="L78:L80" si="76">H78</f>
        <v>0</v>
      </c>
      <c r="M78" s="276">
        <f t="shared" ref="M78:M80" si="77">I78</f>
        <v>0</v>
      </c>
      <c r="N78" s="342" t="str">
        <f t="shared" si="58"/>
        <v>-</v>
      </c>
      <c r="O78" s="352" t="str">
        <f t="shared" si="6"/>
        <v>-</v>
      </c>
    </row>
    <row r="79" spans="1:15" ht="23.4" x14ac:dyDescent="0.3">
      <c r="A79" s="277" t="s">
        <v>109</v>
      </c>
      <c r="B79" s="929"/>
      <c r="C79" s="309" t="s">
        <v>397</v>
      </c>
      <c r="D79" s="309" t="s">
        <v>259</v>
      </c>
      <c r="E79" s="279">
        <v>0</v>
      </c>
      <c r="F79" s="280"/>
      <c r="G79" s="339">
        <f t="shared" si="74"/>
        <v>85349</v>
      </c>
      <c r="H79" s="281">
        <v>84240</v>
      </c>
      <c r="I79" s="281">
        <v>1109</v>
      </c>
      <c r="J79" s="358" t="str">
        <f>IFERROR(G79/#REF!,"-")</f>
        <v>-</v>
      </c>
      <c r="K79" s="339">
        <f t="shared" si="75"/>
        <v>85349</v>
      </c>
      <c r="L79" s="281">
        <f t="shared" si="76"/>
        <v>84240</v>
      </c>
      <c r="M79" s="251">
        <f t="shared" si="77"/>
        <v>1109</v>
      </c>
      <c r="N79" s="343" t="str">
        <f t="shared" si="58"/>
        <v>-</v>
      </c>
      <c r="O79" s="264">
        <f t="shared" si="6"/>
        <v>1.2993708186387655E-2</v>
      </c>
    </row>
    <row r="80" spans="1:15" ht="24" thickBot="1" x14ac:dyDescent="0.35">
      <c r="A80" s="277" t="s">
        <v>109</v>
      </c>
      <c r="B80" s="929"/>
      <c r="C80" s="306" t="s">
        <v>146</v>
      </c>
      <c r="D80" s="306"/>
      <c r="E80" s="283">
        <v>0</v>
      </c>
      <c r="F80" s="284"/>
      <c r="G80" s="340">
        <f t="shared" si="74"/>
        <v>0</v>
      </c>
      <c r="H80" s="285">
        <v>0</v>
      </c>
      <c r="I80" s="285">
        <v>0</v>
      </c>
      <c r="J80" s="359" t="str">
        <f>IFERROR(G80/#REF!,"-")</f>
        <v>-</v>
      </c>
      <c r="K80" s="340">
        <f t="shared" si="75"/>
        <v>0</v>
      </c>
      <c r="L80" s="285">
        <f t="shared" si="76"/>
        <v>0</v>
      </c>
      <c r="M80" s="286">
        <f t="shared" si="77"/>
        <v>0</v>
      </c>
      <c r="N80" s="344" t="str">
        <f t="shared" si="58"/>
        <v>-</v>
      </c>
      <c r="O80" s="353" t="str">
        <f t="shared" si="6"/>
        <v>-</v>
      </c>
    </row>
    <row r="81" spans="1:15" ht="24" thickBot="1" x14ac:dyDescent="0.35">
      <c r="A81" s="277" t="s">
        <v>109</v>
      </c>
      <c r="B81" s="929"/>
      <c r="C81" s="310"/>
      <c r="D81" s="311" t="s">
        <v>54</v>
      </c>
      <c r="E81" s="312">
        <v>0</v>
      </c>
      <c r="F81" s="313"/>
      <c r="G81" s="372">
        <f>SUM(G78:G80)</f>
        <v>85349</v>
      </c>
      <c r="H81" s="371">
        <f t="shared" ref="H81:I81" si="78">SUM(H78:H80)</f>
        <v>84240</v>
      </c>
      <c r="I81" s="371">
        <f t="shared" si="78"/>
        <v>1109</v>
      </c>
      <c r="J81" s="362" t="str">
        <f>IFERROR(G81/#REF!,"-")</f>
        <v>-</v>
      </c>
      <c r="K81" s="372">
        <f t="shared" ref="K81:M81" si="79">SUM(K78:K80)</f>
        <v>85349</v>
      </c>
      <c r="L81" s="371">
        <f t="shared" si="79"/>
        <v>84240</v>
      </c>
      <c r="M81" s="373">
        <f t="shared" si="79"/>
        <v>1109</v>
      </c>
      <c r="N81" s="361" t="str">
        <f t="shared" si="58"/>
        <v>-</v>
      </c>
      <c r="O81" s="362">
        <f t="shared" si="6"/>
        <v>1.2993708186387655E-2</v>
      </c>
    </row>
    <row r="82" spans="1:15" ht="24" thickBot="1" x14ac:dyDescent="0.35">
      <c r="A82" s="277" t="s">
        <v>109</v>
      </c>
      <c r="B82" s="932" t="s">
        <v>172</v>
      </c>
      <c r="C82" s="933"/>
      <c r="D82" s="934"/>
      <c r="E82" s="314">
        <v>649600</v>
      </c>
      <c r="F82" s="315">
        <v>50000</v>
      </c>
      <c r="G82" s="375">
        <f>+G77+G81</f>
        <v>85349</v>
      </c>
      <c r="H82" s="374">
        <f t="shared" ref="H82:I82" si="80">+H77+H81</f>
        <v>84240</v>
      </c>
      <c r="I82" s="374">
        <f t="shared" si="80"/>
        <v>1109</v>
      </c>
      <c r="J82" s="364" t="str">
        <f>IFERROR(G82/#REF!,"-")</f>
        <v>-</v>
      </c>
      <c r="K82" s="375">
        <f t="shared" ref="K82:M82" si="81">+K77+K81</f>
        <v>85349</v>
      </c>
      <c r="L82" s="374">
        <f t="shared" si="81"/>
        <v>84240</v>
      </c>
      <c r="M82" s="376">
        <f t="shared" si="81"/>
        <v>1109</v>
      </c>
      <c r="N82" s="363">
        <f t="shared" si="58"/>
        <v>0.13138700738916256</v>
      </c>
      <c r="O82" s="364">
        <f t="shared" ref="O82:O84" si="82">IFERROR(M82/K82,"-")</f>
        <v>1.2993708186387655E-2</v>
      </c>
    </row>
    <row r="83" spans="1:15" ht="24" thickBot="1" x14ac:dyDescent="0.35">
      <c r="A83" s="277" t="s">
        <v>109</v>
      </c>
      <c r="B83" s="616" t="s">
        <v>32</v>
      </c>
      <c r="C83" s="651"/>
      <c r="D83" s="316" t="s">
        <v>32</v>
      </c>
      <c r="E83" s="293">
        <v>0</v>
      </c>
      <c r="F83" s="294">
        <v>110000</v>
      </c>
      <c r="G83" s="341">
        <f t="shared" ref="G83" si="83">+H83+I83</f>
        <v>0</v>
      </c>
      <c r="H83" s="295">
        <v>0</v>
      </c>
      <c r="I83" s="295">
        <v>0</v>
      </c>
      <c r="J83" s="360" t="str">
        <f>IFERROR(G83/#REF!,"-")</f>
        <v>-</v>
      </c>
      <c r="K83" s="341">
        <f>+L83+M83</f>
        <v>0</v>
      </c>
      <c r="L83" s="295">
        <f>H83</f>
        <v>0</v>
      </c>
      <c r="M83" s="296">
        <f>I83</f>
        <v>0</v>
      </c>
      <c r="N83" s="346" t="str">
        <f t="shared" si="58"/>
        <v>-</v>
      </c>
      <c r="O83" s="354" t="str">
        <f t="shared" si="82"/>
        <v>-</v>
      </c>
    </row>
    <row r="84" spans="1:15" ht="24" thickBot="1" x14ac:dyDescent="0.35">
      <c r="A84" s="277" t="s">
        <v>109</v>
      </c>
      <c r="B84" s="926" t="s">
        <v>21</v>
      </c>
      <c r="C84" s="927"/>
      <c r="D84" s="928"/>
      <c r="E84" s="332">
        <f>+E73+E82+E83</f>
        <v>2816600</v>
      </c>
      <c r="F84" s="333">
        <f t="shared" ref="F84" si="84">+F73+F82+F83</f>
        <v>240000</v>
      </c>
      <c r="G84" s="332">
        <f>+G73+G82+G83</f>
        <v>105834</v>
      </c>
      <c r="H84" s="330">
        <f t="shared" ref="H84:I84" si="85">+H73+H82+H83</f>
        <v>104130</v>
      </c>
      <c r="I84" s="330">
        <f t="shared" si="85"/>
        <v>1704</v>
      </c>
      <c r="J84" s="355" t="str">
        <f>IFERROR(G84/#REF!,"-")</f>
        <v>-</v>
      </c>
      <c r="K84" s="332">
        <f>+K73+K82+K83</f>
        <v>105834</v>
      </c>
      <c r="L84" s="330">
        <f>+L73+L82+L83</f>
        <v>104130</v>
      </c>
      <c r="M84" s="331">
        <f t="shared" ref="M84" si="86">+M73+M82+M83</f>
        <v>1704</v>
      </c>
      <c r="N84" s="347">
        <f t="shared" si="58"/>
        <v>3.757509053468721E-2</v>
      </c>
      <c r="O84" s="355">
        <f t="shared" si="82"/>
        <v>1.6100685979930834E-2</v>
      </c>
    </row>
    <row r="85" spans="1:15" ht="24" thickBot="1" x14ac:dyDescent="0.35">
      <c r="A85" s="277" t="s">
        <v>109</v>
      </c>
      <c r="B85" s="900" t="s">
        <v>180</v>
      </c>
      <c r="C85" s="901"/>
      <c r="D85" s="902"/>
      <c r="E85" s="336">
        <f>+E84</f>
        <v>2816600</v>
      </c>
      <c r="F85" s="337">
        <f t="shared" ref="F85:I85" si="87">+F84</f>
        <v>240000</v>
      </c>
      <c r="G85" s="336">
        <f t="shared" si="87"/>
        <v>105834</v>
      </c>
      <c r="H85" s="334">
        <f t="shared" si="87"/>
        <v>104130</v>
      </c>
      <c r="I85" s="334">
        <f t="shared" si="87"/>
        <v>1704</v>
      </c>
      <c r="J85" s="356" t="str">
        <f>+J84</f>
        <v>-</v>
      </c>
      <c r="K85" s="336">
        <f>+K84</f>
        <v>105834</v>
      </c>
      <c r="L85" s="334">
        <f t="shared" ref="L85" si="88">+L84</f>
        <v>104130</v>
      </c>
      <c r="M85" s="335">
        <f>+M84</f>
        <v>1704</v>
      </c>
      <c r="N85" s="348">
        <f t="shared" ref="N85:O85" si="89">+N84</f>
        <v>3.757509053468721E-2</v>
      </c>
      <c r="O85" s="356">
        <f t="shared" si="89"/>
        <v>1.6100685979930834E-2</v>
      </c>
    </row>
    <row r="86" spans="1:15" ht="23.4" x14ac:dyDescent="0.3">
      <c r="A86" s="271" t="s">
        <v>110</v>
      </c>
      <c r="B86" s="903" t="s">
        <v>33</v>
      </c>
      <c r="C86" s="317" t="s">
        <v>121</v>
      </c>
      <c r="D86" s="317"/>
      <c r="E86" s="273">
        <v>0</v>
      </c>
      <c r="F86" s="274"/>
      <c r="G86" s="338">
        <f t="shared" ref="G86:G88" si="90">+H86+I86</f>
        <v>0</v>
      </c>
      <c r="H86" s="275">
        <v>0</v>
      </c>
      <c r="I86" s="275">
        <v>0</v>
      </c>
      <c r="J86" s="357" t="str">
        <f>IFERROR(G86/#REF!,"-")</f>
        <v>-</v>
      </c>
      <c r="K86" s="338">
        <f t="shared" ref="K86:K88" si="91">+L86+M86</f>
        <v>0</v>
      </c>
      <c r="L86" s="275">
        <f t="shared" ref="L86:L88" si="92">H86</f>
        <v>0</v>
      </c>
      <c r="M86" s="276">
        <f t="shared" ref="M86:M88" si="93">I86</f>
        <v>0</v>
      </c>
      <c r="N86" s="342" t="str">
        <f t="shared" ref="N86:N111" si="94">IFERROR(K86/E86,"-")</f>
        <v>-</v>
      </c>
      <c r="O86" s="352" t="str">
        <f t="shared" ref="O86:O111" si="95">IFERROR(M86/K86,"-")</f>
        <v>-</v>
      </c>
    </row>
    <row r="87" spans="1:15" ht="23.4" x14ac:dyDescent="0.3">
      <c r="A87" s="277" t="s">
        <v>110</v>
      </c>
      <c r="B87" s="904"/>
      <c r="C87" s="318" t="s">
        <v>274</v>
      </c>
      <c r="D87" s="318"/>
      <c r="E87" s="279">
        <v>0</v>
      </c>
      <c r="F87" s="280"/>
      <c r="G87" s="339">
        <f t="shared" si="90"/>
        <v>0</v>
      </c>
      <c r="H87" s="281">
        <v>0</v>
      </c>
      <c r="I87" s="281">
        <v>0</v>
      </c>
      <c r="J87" s="358" t="str">
        <f>IFERROR(G87/#REF!,"-")</f>
        <v>-</v>
      </c>
      <c r="K87" s="339">
        <f t="shared" si="91"/>
        <v>0</v>
      </c>
      <c r="L87" s="281">
        <f t="shared" si="92"/>
        <v>0</v>
      </c>
      <c r="M87" s="251">
        <f t="shared" si="93"/>
        <v>0</v>
      </c>
      <c r="N87" s="343" t="str">
        <f t="shared" si="94"/>
        <v>-</v>
      </c>
      <c r="O87" s="264" t="str">
        <f t="shared" si="95"/>
        <v>-</v>
      </c>
    </row>
    <row r="88" spans="1:15" ht="24" thickBot="1" x14ac:dyDescent="0.35">
      <c r="A88" s="277" t="s">
        <v>110</v>
      </c>
      <c r="B88" s="905"/>
      <c r="C88" s="319" t="s">
        <v>34</v>
      </c>
      <c r="D88" s="319"/>
      <c r="E88" s="283">
        <v>0</v>
      </c>
      <c r="F88" s="284"/>
      <c r="G88" s="340">
        <f t="shared" si="90"/>
        <v>0</v>
      </c>
      <c r="H88" s="285">
        <v>0</v>
      </c>
      <c r="I88" s="285">
        <v>0</v>
      </c>
      <c r="J88" s="359" t="str">
        <f>IFERROR(G88/#REF!,"-")</f>
        <v>-</v>
      </c>
      <c r="K88" s="340">
        <f t="shared" si="91"/>
        <v>0</v>
      </c>
      <c r="L88" s="285">
        <f t="shared" si="92"/>
        <v>0</v>
      </c>
      <c r="M88" s="286">
        <f t="shared" si="93"/>
        <v>0</v>
      </c>
      <c r="N88" s="344" t="str">
        <f t="shared" si="94"/>
        <v>-</v>
      </c>
      <c r="O88" s="353" t="str">
        <f t="shared" si="95"/>
        <v>-</v>
      </c>
    </row>
    <row r="89" spans="1:15" ht="24" thickBot="1" x14ac:dyDescent="0.35">
      <c r="A89" s="277" t="s">
        <v>110</v>
      </c>
      <c r="B89" s="906" t="s">
        <v>35</v>
      </c>
      <c r="C89" s="907"/>
      <c r="D89" s="908"/>
      <c r="E89" s="288">
        <v>83700</v>
      </c>
      <c r="F89" s="289"/>
      <c r="G89" s="326">
        <f>SUM(G86:G88)</f>
        <v>0</v>
      </c>
      <c r="H89" s="327">
        <f t="shared" ref="H89:I89" si="96">SUM(H86:H88)</f>
        <v>0</v>
      </c>
      <c r="I89" s="327">
        <f t="shared" si="96"/>
        <v>0</v>
      </c>
      <c r="J89" s="351" t="str">
        <f>IFERROR(G89/#REF!,"-")</f>
        <v>-</v>
      </c>
      <c r="K89" s="326">
        <f t="shared" ref="K89:M89" si="97">SUM(K86:K88)</f>
        <v>0</v>
      </c>
      <c r="L89" s="327">
        <f t="shared" si="97"/>
        <v>0</v>
      </c>
      <c r="M89" s="328">
        <f t="shared" si="97"/>
        <v>0</v>
      </c>
      <c r="N89" s="345">
        <f t="shared" si="94"/>
        <v>0</v>
      </c>
      <c r="O89" s="351" t="str">
        <f t="shared" si="95"/>
        <v>-</v>
      </c>
    </row>
    <row r="90" spans="1:15" ht="23.4" x14ac:dyDescent="0.3">
      <c r="A90" s="277" t="s">
        <v>110</v>
      </c>
      <c r="B90" s="903" t="s">
        <v>36</v>
      </c>
      <c r="C90" s="317" t="s">
        <v>121</v>
      </c>
      <c r="D90" s="317"/>
      <c r="E90" s="273">
        <v>0</v>
      </c>
      <c r="F90" s="274"/>
      <c r="G90" s="338">
        <f t="shared" ref="G90:G93" si="98">+H90+I90</f>
        <v>0</v>
      </c>
      <c r="H90" s="275">
        <v>0</v>
      </c>
      <c r="I90" s="275">
        <v>0</v>
      </c>
      <c r="J90" s="357" t="str">
        <f>IFERROR(G90/#REF!,"-")</f>
        <v>-</v>
      </c>
      <c r="K90" s="338">
        <f t="shared" ref="K90:K93" si="99">+L90+M90</f>
        <v>0</v>
      </c>
      <c r="L90" s="275">
        <f t="shared" ref="L90:L93" si="100">H90</f>
        <v>0</v>
      </c>
      <c r="M90" s="276">
        <f t="shared" ref="M90:M93" si="101">I90</f>
        <v>0</v>
      </c>
      <c r="N90" s="342" t="str">
        <f t="shared" si="94"/>
        <v>-</v>
      </c>
      <c r="O90" s="352" t="str">
        <f t="shared" si="95"/>
        <v>-</v>
      </c>
    </row>
    <row r="91" spans="1:15" ht="23.4" x14ac:dyDescent="0.3">
      <c r="A91" s="277" t="s">
        <v>110</v>
      </c>
      <c r="B91" s="904"/>
      <c r="C91" s="318" t="s">
        <v>274</v>
      </c>
      <c r="D91" s="318"/>
      <c r="E91" s="279">
        <v>0</v>
      </c>
      <c r="F91" s="280"/>
      <c r="G91" s="339">
        <f t="shared" si="98"/>
        <v>0</v>
      </c>
      <c r="H91" s="281">
        <v>0</v>
      </c>
      <c r="I91" s="281">
        <v>0</v>
      </c>
      <c r="J91" s="358" t="str">
        <f>IFERROR(G91/#REF!,"-")</f>
        <v>-</v>
      </c>
      <c r="K91" s="339">
        <f t="shared" si="99"/>
        <v>0</v>
      </c>
      <c r="L91" s="281">
        <f t="shared" si="100"/>
        <v>0</v>
      </c>
      <c r="M91" s="251">
        <f t="shared" si="101"/>
        <v>0</v>
      </c>
      <c r="N91" s="343" t="str">
        <f t="shared" si="94"/>
        <v>-</v>
      </c>
      <c r="O91" s="264" t="str">
        <f t="shared" si="95"/>
        <v>-</v>
      </c>
    </row>
    <row r="92" spans="1:15" ht="23.4" x14ac:dyDescent="0.3">
      <c r="A92" s="277" t="s">
        <v>110</v>
      </c>
      <c r="B92" s="904"/>
      <c r="C92" s="318" t="s">
        <v>201</v>
      </c>
      <c r="D92" s="318"/>
      <c r="E92" s="279">
        <v>0</v>
      </c>
      <c r="F92" s="280"/>
      <c r="G92" s="339">
        <f t="shared" si="98"/>
        <v>0</v>
      </c>
      <c r="H92" s="281">
        <v>0</v>
      </c>
      <c r="I92" s="281">
        <v>0</v>
      </c>
      <c r="J92" s="358" t="str">
        <f>IFERROR(G92/#REF!,"-")</f>
        <v>-</v>
      </c>
      <c r="K92" s="339">
        <f t="shared" si="99"/>
        <v>0</v>
      </c>
      <c r="L92" s="281">
        <f t="shared" si="100"/>
        <v>0</v>
      </c>
      <c r="M92" s="251">
        <f t="shared" si="101"/>
        <v>0</v>
      </c>
      <c r="N92" s="343" t="str">
        <f t="shared" si="94"/>
        <v>-</v>
      </c>
      <c r="O92" s="264" t="str">
        <f t="shared" si="95"/>
        <v>-</v>
      </c>
    </row>
    <row r="93" spans="1:15" ht="24" thickBot="1" x14ac:dyDescent="0.35">
      <c r="A93" s="277" t="s">
        <v>110</v>
      </c>
      <c r="B93" s="905"/>
      <c r="C93" s="319" t="s">
        <v>37</v>
      </c>
      <c r="D93" s="319"/>
      <c r="E93" s="283">
        <v>0</v>
      </c>
      <c r="F93" s="284"/>
      <c r="G93" s="340">
        <f t="shared" si="98"/>
        <v>0</v>
      </c>
      <c r="H93" s="285">
        <v>0</v>
      </c>
      <c r="I93" s="285">
        <v>0</v>
      </c>
      <c r="J93" s="359" t="str">
        <f>IFERROR(G93/#REF!,"-")</f>
        <v>-</v>
      </c>
      <c r="K93" s="340">
        <f t="shared" si="99"/>
        <v>0</v>
      </c>
      <c r="L93" s="285">
        <f t="shared" si="100"/>
        <v>0</v>
      </c>
      <c r="M93" s="286">
        <f t="shared" si="101"/>
        <v>0</v>
      </c>
      <c r="N93" s="344" t="str">
        <f t="shared" si="94"/>
        <v>-</v>
      </c>
      <c r="O93" s="353" t="str">
        <f t="shared" si="95"/>
        <v>-</v>
      </c>
    </row>
    <row r="94" spans="1:15" ht="24" thickBot="1" x14ac:dyDescent="0.35">
      <c r="A94" s="277" t="s">
        <v>110</v>
      </c>
      <c r="B94" s="906" t="s">
        <v>38</v>
      </c>
      <c r="C94" s="907"/>
      <c r="D94" s="908"/>
      <c r="E94" s="288">
        <v>10300</v>
      </c>
      <c r="F94" s="289">
        <v>6500</v>
      </c>
      <c r="G94" s="326">
        <f>SUM(G90:G93)</f>
        <v>0</v>
      </c>
      <c r="H94" s="327">
        <f t="shared" ref="H94:I94" si="102">SUM(H90:H93)</f>
        <v>0</v>
      </c>
      <c r="I94" s="327">
        <f t="shared" si="102"/>
        <v>0</v>
      </c>
      <c r="J94" s="351" t="str">
        <f>IFERROR(G94/#REF!,"-")</f>
        <v>-</v>
      </c>
      <c r="K94" s="326">
        <f t="shared" ref="K94:M94" si="103">SUM(K90:K93)</f>
        <v>0</v>
      </c>
      <c r="L94" s="327">
        <f t="shared" si="103"/>
        <v>0</v>
      </c>
      <c r="M94" s="328">
        <f t="shared" si="103"/>
        <v>0</v>
      </c>
      <c r="N94" s="345">
        <f t="shared" si="94"/>
        <v>0</v>
      </c>
      <c r="O94" s="351" t="str">
        <f t="shared" si="95"/>
        <v>-</v>
      </c>
    </row>
    <row r="95" spans="1:15" ht="23.4" x14ac:dyDescent="0.3">
      <c r="A95" s="277" t="s">
        <v>110</v>
      </c>
      <c r="B95" s="903" t="s">
        <v>39</v>
      </c>
      <c r="C95" s="320" t="s">
        <v>124</v>
      </c>
      <c r="D95" s="320"/>
      <c r="E95" s="273">
        <v>0</v>
      </c>
      <c r="F95" s="274"/>
      <c r="G95" s="338">
        <f t="shared" ref="G95:G96" si="104">+H95+I95</f>
        <v>0</v>
      </c>
      <c r="H95" s="275">
        <v>0</v>
      </c>
      <c r="I95" s="275">
        <v>0</v>
      </c>
      <c r="J95" s="357" t="str">
        <f>IFERROR(G95/#REF!,"-")</f>
        <v>-</v>
      </c>
      <c r="K95" s="338">
        <f t="shared" ref="K95:K96" si="105">+L95+M95</f>
        <v>0</v>
      </c>
      <c r="L95" s="275">
        <f t="shared" ref="L95:L96" si="106">H95</f>
        <v>0</v>
      </c>
      <c r="M95" s="276">
        <f t="shared" ref="M95:M96" si="107">I95</f>
        <v>0</v>
      </c>
      <c r="N95" s="342" t="str">
        <f t="shared" si="94"/>
        <v>-</v>
      </c>
      <c r="O95" s="352" t="str">
        <f t="shared" si="95"/>
        <v>-</v>
      </c>
    </row>
    <row r="96" spans="1:15" ht="24" thickBot="1" x14ac:dyDescent="0.35">
      <c r="A96" s="277" t="s">
        <v>110</v>
      </c>
      <c r="B96" s="905"/>
      <c r="C96" s="290" t="s">
        <v>140</v>
      </c>
      <c r="D96" s="290"/>
      <c r="E96" s="283">
        <v>0</v>
      </c>
      <c r="F96" s="284"/>
      <c r="G96" s="340">
        <f t="shared" si="104"/>
        <v>0</v>
      </c>
      <c r="H96" s="285">
        <v>0</v>
      </c>
      <c r="I96" s="285">
        <v>0</v>
      </c>
      <c r="J96" s="359" t="str">
        <f>IFERROR(G96/#REF!,"-")</f>
        <v>-</v>
      </c>
      <c r="K96" s="340">
        <f t="shared" si="105"/>
        <v>0</v>
      </c>
      <c r="L96" s="285">
        <f t="shared" si="106"/>
        <v>0</v>
      </c>
      <c r="M96" s="286">
        <f t="shared" si="107"/>
        <v>0</v>
      </c>
      <c r="N96" s="344" t="str">
        <f t="shared" si="94"/>
        <v>-</v>
      </c>
      <c r="O96" s="353" t="str">
        <f t="shared" si="95"/>
        <v>-</v>
      </c>
    </row>
    <row r="97" spans="1:15" ht="24" thickBot="1" x14ac:dyDescent="0.35">
      <c r="A97" s="658" t="s">
        <v>110</v>
      </c>
      <c r="B97" s="906" t="s">
        <v>40</v>
      </c>
      <c r="C97" s="907"/>
      <c r="D97" s="908"/>
      <c r="E97" s="288">
        <v>30000</v>
      </c>
      <c r="F97" s="289">
        <v>2800</v>
      </c>
      <c r="G97" s="326">
        <f>SUM(G95:G96)</f>
        <v>0</v>
      </c>
      <c r="H97" s="327">
        <f t="shared" ref="H97:I97" si="108">SUM(H95:H96)</f>
        <v>0</v>
      </c>
      <c r="I97" s="327">
        <f t="shared" si="108"/>
        <v>0</v>
      </c>
      <c r="J97" s="351" t="str">
        <f>IFERROR(G97/#REF!,"-")</f>
        <v>-</v>
      </c>
      <c r="K97" s="326">
        <f t="shared" ref="K97:M97" si="109">SUM(K95:K96)</f>
        <v>0</v>
      </c>
      <c r="L97" s="327">
        <f t="shared" si="109"/>
        <v>0</v>
      </c>
      <c r="M97" s="328">
        <f t="shared" si="109"/>
        <v>0</v>
      </c>
      <c r="N97" s="345">
        <f t="shared" si="94"/>
        <v>0</v>
      </c>
      <c r="O97" s="351" t="str">
        <f t="shared" si="95"/>
        <v>-</v>
      </c>
    </row>
    <row r="98" spans="1:15" ht="23.4" x14ac:dyDescent="0.3">
      <c r="A98" s="277" t="s">
        <v>110</v>
      </c>
      <c r="B98" s="903" t="s">
        <v>41</v>
      </c>
      <c r="C98" s="272" t="s">
        <v>346</v>
      </c>
      <c r="D98" s="272"/>
      <c r="E98" s="273">
        <v>0</v>
      </c>
      <c r="F98" s="321"/>
      <c r="G98" s="338">
        <f t="shared" ref="G98:G102" si="110">+H98+I98</f>
        <v>16000</v>
      </c>
      <c r="H98" s="275">
        <v>15840</v>
      </c>
      <c r="I98" s="275">
        <v>160</v>
      </c>
      <c r="J98" s="377" t="str">
        <f>IFERROR(G98/#REF!,"-")</f>
        <v>-</v>
      </c>
      <c r="K98" s="338">
        <f t="shared" ref="K98:K102" si="111">+L98+M98</f>
        <v>16000</v>
      </c>
      <c r="L98" s="275">
        <f t="shared" ref="L98:L102" si="112">H98</f>
        <v>15840</v>
      </c>
      <c r="M98" s="276">
        <f t="shared" ref="M98:M102" si="113">I98</f>
        <v>160</v>
      </c>
      <c r="N98" s="365" t="str">
        <f t="shared" si="94"/>
        <v>-</v>
      </c>
      <c r="O98" s="366">
        <f t="shared" si="95"/>
        <v>0.01</v>
      </c>
    </row>
    <row r="99" spans="1:15" ht="23.4" x14ac:dyDescent="0.3">
      <c r="A99" s="277" t="s">
        <v>110</v>
      </c>
      <c r="B99" s="904"/>
      <c r="C99" s="272" t="s">
        <v>347</v>
      </c>
      <c r="D99" s="278"/>
      <c r="E99" s="279">
        <v>0</v>
      </c>
      <c r="F99" s="322"/>
      <c r="G99" s="339">
        <f t="shared" si="110"/>
        <v>0</v>
      </c>
      <c r="H99" s="281">
        <v>0</v>
      </c>
      <c r="I99" s="281">
        <v>0</v>
      </c>
      <c r="J99" s="378" t="str">
        <f>IFERROR(G99/#REF!,"-")</f>
        <v>-</v>
      </c>
      <c r="K99" s="339">
        <f t="shared" si="111"/>
        <v>0</v>
      </c>
      <c r="L99" s="281">
        <f t="shared" si="112"/>
        <v>0</v>
      </c>
      <c r="M99" s="251">
        <f t="shared" si="113"/>
        <v>0</v>
      </c>
      <c r="N99" s="367" t="str">
        <f t="shared" si="94"/>
        <v>-</v>
      </c>
      <c r="O99" s="368" t="str">
        <f t="shared" si="95"/>
        <v>-</v>
      </c>
    </row>
    <row r="100" spans="1:15" ht="23.4" x14ac:dyDescent="0.3">
      <c r="A100" s="277" t="s">
        <v>110</v>
      </c>
      <c r="B100" s="904"/>
      <c r="C100" s="278" t="s">
        <v>202</v>
      </c>
      <c r="D100" s="278"/>
      <c r="E100" s="279">
        <v>0</v>
      </c>
      <c r="F100" s="322"/>
      <c r="G100" s="339">
        <f t="shared" si="110"/>
        <v>0</v>
      </c>
      <c r="H100" s="281">
        <v>0</v>
      </c>
      <c r="I100" s="281">
        <v>0</v>
      </c>
      <c r="J100" s="378" t="str">
        <f>IFERROR(G100/#REF!,"-")</f>
        <v>-</v>
      </c>
      <c r="K100" s="339">
        <f t="shared" si="111"/>
        <v>0</v>
      </c>
      <c r="L100" s="281">
        <f t="shared" si="112"/>
        <v>0</v>
      </c>
      <c r="M100" s="251">
        <f t="shared" si="113"/>
        <v>0</v>
      </c>
      <c r="N100" s="367" t="str">
        <f t="shared" si="94"/>
        <v>-</v>
      </c>
      <c r="O100" s="368" t="str">
        <f t="shared" si="95"/>
        <v>-</v>
      </c>
    </row>
    <row r="101" spans="1:15" ht="23.4" x14ac:dyDescent="0.3">
      <c r="A101" s="277" t="s">
        <v>110</v>
      </c>
      <c r="B101" s="904"/>
      <c r="C101" s="278" t="s">
        <v>166</v>
      </c>
      <c r="D101" s="278"/>
      <c r="E101" s="279">
        <v>0</v>
      </c>
      <c r="F101" s="322"/>
      <c r="G101" s="339">
        <f t="shared" si="110"/>
        <v>0</v>
      </c>
      <c r="H101" s="281">
        <v>0</v>
      </c>
      <c r="I101" s="281">
        <v>0</v>
      </c>
      <c r="J101" s="378" t="str">
        <f>IFERROR(G101/#REF!,"-")</f>
        <v>-</v>
      </c>
      <c r="K101" s="339">
        <f t="shared" si="111"/>
        <v>0</v>
      </c>
      <c r="L101" s="281">
        <f t="shared" si="112"/>
        <v>0</v>
      </c>
      <c r="M101" s="251">
        <f t="shared" si="113"/>
        <v>0</v>
      </c>
      <c r="N101" s="367" t="str">
        <f t="shared" si="94"/>
        <v>-</v>
      </c>
      <c r="O101" s="368" t="str">
        <f t="shared" si="95"/>
        <v>-</v>
      </c>
    </row>
    <row r="102" spans="1:15" ht="24" thickBot="1" x14ac:dyDescent="0.35">
      <c r="A102" s="277" t="s">
        <v>110</v>
      </c>
      <c r="B102" s="905"/>
      <c r="C102" s="282" t="s">
        <v>167</v>
      </c>
      <c r="D102" s="282"/>
      <c r="E102" s="283">
        <v>0</v>
      </c>
      <c r="F102" s="323"/>
      <c r="G102" s="340">
        <f t="shared" si="110"/>
        <v>0</v>
      </c>
      <c r="H102" s="285">
        <v>0</v>
      </c>
      <c r="I102" s="285">
        <v>0</v>
      </c>
      <c r="J102" s="379" t="str">
        <f>IFERROR(G102/#REF!,"-")</f>
        <v>-</v>
      </c>
      <c r="K102" s="340">
        <f t="shared" si="111"/>
        <v>0</v>
      </c>
      <c r="L102" s="285">
        <f t="shared" si="112"/>
        <v>0</v>
      </c>
      <c r="M102" s="286">
        <f t="shared" si="113"/>
        <v>0</v>
      </c>
      <c r="N102" s="369" t="str">
        <f t="shared" si="94"/>
        <v>-</v>
      </c>
      <c r="O102" s="370" t="str">
        <f t="shared" si="95"/>
        <v>-</v>
      </c>
    </row>
    <row r="103" spans="1:15" ht="24" thickBot="1" x14ac:dyDescent="0.35">
      <c r="A103" s="277" t="s">
        <v>110</v>
      </c>
      <c r="B103" s="906" t="s">
        <v>42</v>
      </c>
      <c r="C103" s="907"/>
      <c r="D103" s="908"/>
      <c r="E103" s="326">
        <v>610600</v>
      </c>
      <c r="F103" s="289">
        <v>25000</v>
      </c>
      <c r="G103" s="326">
        <f>SUM(G99:G102)</f>
        <v>0</v>
      </c>
      <c r="H103" s="327">
        <f t="shared" ref="H103:I103" si="114">SUM(H99:H102)</f>
        <v>0</v>
      </c>
      <c r="I103" s="327">
        <f t="shared" si="114"/>
        <v>0</v>
      </c>
      <c r="J103" s="351" t="str">
        <f>IFERROR(G103/#REF!,"-")</f>
        <v>-</v>
      </c>
      <c r="K103" s="326">
        <f>SUM(K98:K102)</f>
        <v>16000</v>
      </c>
      <c r="L103" s="327">
        <f>SUM(L98:L102)</f>
        <v>15840</v>
      </c>
      <c r="M103" s="328">
        <f>SUM(M98:M102)</f>
        <v>160</v>
      </c>
      <c r="N103" s="345">
        <f t="shared" si="94"/>
        <v>2.6203734032099576E-2</v>
      </c>
      <c r="O103" s="351">
        <f t="shared" si="95"/>
        <v>0.01</v>
      </c>
    </row>
    <row r="104" spans="1:15" ht="23.4" x14ac:dyDescent="0.3">
      <c r="A104" s="277" t="s">
        <v>110</v>
      </c>
      <c r="B104" s="903" t="s">
        <v>43</v>
      </c>
      <c r="C104" s="272" t="s">
        <v>204</v>
      </c>
      <c r="D104" s="272"/>
      <c r="E104" s="273">
        <v>0</v>
      </c>
      <c r="F104" s="274"/>
      <c r="G104" s="338">
        <f t="shared" ref="G104:G106" si="115">+H104+I104</f>
        <v>0</v>
      </c>
      <c r="H104" s="275">
        <v>0</v>
      </c>
      <c r="I104" s="275">
        <v>0</v>
      </c>
      <c r="J104" s="357" t="str">
        <f>IFERROR(G104/#REF!,"-")</f>
        <v>-</v>
      </c>
      <c r="K104" s="338">
        <f t="shared" ref="K104:K106" si="116">+L104+M104</f>
        <v>0</v>
      </c>
      <c r="L104" s="275">
        <f t="shared" ref="L104:L106" si="117">H104</f>
        <v>0</v>
      </c>
      <c r="M104" s="276">
        <f t="shared" ref="M104:M106" si="118">I104</f>
        <v>0</v>
      </c>
      <c r="N104" s="342" t="str">
        <f t="shared" si="94"/>
        <v>-</v>
      </c>
      <c r="O104" s="352" t="str">
        <f t="shared" si="95"/>
        <v>-</v>
      </c>
    </row>
    <row r="105" spans="1:15" ht="23.4" x14ac:dyDescent="0.3">
      <c r="A105" s="277" t="s">
        <v>110</v>
      </c>
      <c r="B105" s="904"/>
      <c r="C105" s="278" t="s">
        <v>168</v>
      </c>
      <c r="D105" s="278"/>
      <c r="E105" s="279">
        <v>0</v>
      </c>
      <c r="F105" s="280"/>
      <c r="G105" s="339">
        <f t="shared" si="115"/>
        <v>0</v>
      </c>
      <c r="H105" s="281">
        <v>0</v>
      </c>
      <c r="I105" s="281">
        <v>0</v>
      </c>
      <c r="J105" s="378" t="str">
        <f>IFERROR(G105/#REF!,"-")</f>
        <v>-</v>
      </c>
      <c r="K105" s="339">
        <f t="shared" si="116"/>
        <v>0</v>
      </c>
      <c r="L105" s="281">
        <f t="shared" si="117"/>
        <v>0</v>
      </c>
      <c r="M105" s="251">
        <f t="shared" si="118"/>
        <v>0</v>
      </c>
      <c r="N105" s="367" t="str">
        <f t="shared" si="94"/>
        <v>-</v>
      </c>
      <c r="O105" s="368" t="str">
        <f t="shared" si="95"/>
        <v>-</v>
      </c>
    </row>
    <row r="106" spans="1:15" ht="24" thickBot="1" x14ac:dyDescent="0.35">
      <c r="A106" s="277" t="s">
        <v>110</v>
      </c>
      <c r="B106" s="905"/>
      <c r="C106" s="282" t="s">
        <v>204</v>
      </c>
      <c r="D106" s="282"/>
      <c r="E106" s="283">
        <v>0</v>
      </c>
      <c r="F106" s="284"/>
      <c r="G106" s="340">
        <f t="shared" si="115"/>
        <v>0</v>
      </c>
      <c r="H106" s="285">
        <v>0</v>
      </c>
      <c r="I106" s="285">
        <v>0</v>
      </c>
      <c r="J106" s="379" t="str">
        <f>IFERROR(G106/#REF!,"-")</f>
        <v>-</v>
      </c>
      <c r="K106" s="340">
        <f t="shared" si="116"/>
        <v>0</v>
      </c>
      <c r="L106" s="285">
        <f t="shared" si="117"/>
        <v>0</v>
      </c>
      <c r="M106" s="286">
        <f t="shared" si="118"/>
        <v>0</v>
      </c>
      <c r="N106" s="369" t="str">
        <f t="shared" si="94"/>
        <v>-</v>
      </c>
      <c r="O106" s="370" t="str">
        <f t="shared" si="95"/>
        <v>-</v>
      </c>
    </row>
    <row r="107" spans="1:15" ht="24" thickBot="1" x14ac:dyDescent="0.35">
      <c r="A107" s="277" t="s">
        <v>110</v>
      </c>
      <c r="B107" s="909" t="s">
        <v>44</v>
      </c>
      <c r="C107" s="910"/>
      <c r="D107" s="911"/>
      <c r="E107" s="326">
        <v>0</v>
      </c>
      <c r="F107" s="289"/>
      <c r="G107" s="326">
        <f>SUM(G104:G106)</f>
        <v>0</v>
      </c>
      <c r="H107" s="327">
        <f t="shared" ref="H107:I107" si="119">SUM(H104:H106)</f>
        <v>0</v>
      </c>
      <c r="I107" s="327">
        <f t="shared" si="119"/>
        <v>0</v>
      </c>
      <c r="J107" s="351" t="str">
        <f>IFERROR(G107/#REF!,"-")</f>
        <v>-</v>
      </c>
      <c r="K107" s="326">
        <f t="shared" ref="K107:M107" si="120">SUM(K104:K106)</f>
        <v>0</v>
      </c>
      <c r="L107" s="327">
        <f t="shared" si="120"/>
        <v>0</v>
      </c>
      <c r="M107" s="328">
        <f t="shared" si="120"/>
        <v>0</v>
      </c>
      <c r="N107" s="345" t="str">
        <f t="shared" si="94"/>
        <v>-</v>
      </c>
      <c r="O107" s="351" t="str">
        <f t="shared" si="95"/>
        <v>-</v>
      </c>
    </row>
    <row r="108" spans="1:15" ht="23.4" x14ac:dyDescent="0.3">
      <c r="A108" s="277" t="s">
        <v>110</v>
      </c>
      <c r="B108" s="903" t="s">
        <v>45</v>
      </c>
      <c r="C108" s="272" t="s">
        <v>169</v>
      </c>
      <c r="D108" s="272"/>
      <c r="E108" s="273">
        <v>0</v>
      </c>
      <c r="F108" s="274"/>
      <c r="G108" s="338">
        <f t="shared" ref="G108:G109" si="121">+H108+I108</f>
        <v>0</v>
      </c>
      <c r="H108" s="275">
        <v>0</v>
      </c>
      <c r="I108" s="275">
        <v>0</v>
      </c>
      <c r="J108" s="377" t="str">
        <f>IFERROR(G108/#REF!,"-")</f>
        <v>-</v>
      </c>
      <c r="K108" s="338">
        <f t="shared" ref="K108:K109" si="122">+L108+M108</f>
        <v>0</v>
      </c>
      <c r="L108" s="275">
        <f t="shared" ref="L108:L109" si="123">H108</f>
        <v>0</v>
      </c>
      <c r="M108" s="276">
        <f t="shared" ref="M108:M109" si="124">I108</f>
        <v>0</v>
      </c>
      <c r="N108" s="365" t="str">
        <f t="shared" si="94"/>
        <v>-</v>
      </c>
      <c r="O108" s="366" t="str">
        <f t="shared" si="95"/>
        <v>-</v>
      </c>
    </row>
    <row r="109" spans="1:15" ht="24" thickBot="1" x14ac:dyDescent="0.35">
      <c r="A109" s="277" t="s">
        <v>110</v>
      </c>
      <c r="B109" s="905"/>
      <c r="C109" s="282" t="s">
        <v>170</v>
      </c>
      <c r="D109" s="282"/>
      <c r="E109" s="283">
        <v>0</v>
      </c>
      <c r="F109" s="284"/>
      <c r="G109" s="340">
        <f t="shared" si="121"/>
        <v>0</v>
      </c>
      <c r="H109" s="285">
        <v>0</v>
      </c>
      <c r="I109" s="285">
        <v>0</v>
      </c>
      <c r="J109" s="379" t="str">
        <f>IFERROR(G109/#REF!,"-")</f>
        <v>-</v>
      </c>
      <c r="K109" s="340">
        <f t="shared" si="122"/>
        <v>0</v>
      </c>
      <c r="L109" s="285">
        <f t="shared" si="123"/>
        <v>0</v>
      </c>
      <c r="M109" s="286">
        <f t="shared" si="124"/>
        <v>0</v>
      </c>
      <c r="N109" s="369" t="str">
        <f t="shared" si="94"/>
        <v>-</v>
      </c>
      <c r="O109" s="370" t="str">
        <f t="shared" si="95"/>
        <v>-</v>
      </c>
    </row>
    <row r="110" spans="1:15" ht="24" thickBot="1" x14ac:dyDescent="0.35">
      <c r="A110" s="277" t="s">
        <v>110</v>
      </c>
      <c r="B110" s="909" t="s">
        <v>46</v>
      </c>
      <c r="C110" s="910"/>
      <c r="D110" s="911"/>
      <c r="E110" s="288">
        <v>11100</v>
      </c>
      <c r="F110" s="289">
        <v>25000</v>
      </c>
      <c r="G110" s="326">
        <f>SUM(G108:G109)</f>
        <v>0</v>
      </c>
      <c r="H110" s="327">
        <f t="shared" ref="H110:I110" si="125">SUM(H108:H109)</f>
        <v>0</v>
      </c>
      <c r="I110" s="327">
        <f t="shared" si="125"/>
        <v>0</v>
      </c>
      <c r="J110" s="351" t="str">
        <f>IFERROR(G110/#REF!,"-")</f>
        <v>-</v>
      </c>
      <c r="K110" s="326">
        <f t="shared" ref="K110:M110" si="126">SUM(K108:K109)</f>
        <v>0</v>
      </c>
      <c r="L110" s="327">
        <f t="shared" si="126"/>
        <v>0</v>
      </c>
      <c r="M110" s="328">
        <f t="shared" si="126"/>
        <v>0</v>
      </c>
      <c r="N110" s="345">
        <f t="shared" si="94"/>
        <v>0</v>
      </c>
      <c r="O110" s="351" t="str">
        <f t="shared" si="95"/>
        <v>-</v>
      </c>
    </row>
    <row r="111" spans="1:15" ht="24" thickBot="1" x14ac:dyDescent="0.35">
      <c r="A111" s="277" t="s">
        <v>110</v>
      </c>
      <c r="B111" s="912" t="s">
        <v>25</v>
      </c>
      <c r="C111" s="913"/>
      <c r="D111" s="914"/>
      <c r="E111" s="332">
        <f t="shared" ref="E111:F111" si="127">+E89+E94+E97+E103+E107+E110</f>
        <v>745700</v>
      </c>
      <c r="F111" s="333">
        <f t="shared" si="127"/>
        <v>59300</v>
      </c>
      <c r="G111" s="332">
        <f>+G89+G94+G97+G103+G107+G110</f>
        <v>0</v>
      </c>
      <c r="H111" s="330">
        <f t="shared" ref="H111:I111" si="128">+H89+H94+H97+H103+H107+H110</f>
        <v>0</v>
      </c>
      <c r="I111" s="330">
        <f t="shared" si="128"/>
        <v>0</v>
      </c>
      <c r="J111" s="355" t="str">
        <f>IFERROR(G111/#REF!,"-")</f>
        <v>-</v>
      </c>
      <c r="K111" s="332">
        <f>+K89+K94+K97+K103+K107+K110</f>
        <v>16000</v>
      </c>
      <c r="L111" s="330">
        <f t="shared" ref="L111:M111" si="129">+L89+L94+L97+L103+L107+L110</f>
        <v>15840</v>
      </c>
      <c r="M111" s="331">
        <f t="shared" si="129"/>
        <v>160</v>
      </c>
      <c r="N111" s="347">
        <f t="shared" si="94"/>
        <v>2.1456349738500739E-2</v>
      </c>
      <c r="O111" s="355">
        <f t="shared" si="95"/>
        <v>0.01</v>
      </c>
    </row>
    <row r="112" spans="1:15" ht="24" thickBot="1" x14ac:dyDescent="0.35">
      <c r="A112" s="324" t="s">
        <v>110</v>
      </c>
      <c r="B112" s="901" t="s">
        <v>182</v>
      </c>
      <c r="C112" s="901"/>
      <c r="D112" s="902"/>
      <c r="E112" s="336">
        <f>+E111</f>
        <v>745700</v>
      </c>
      <c r="F112" s="337">
        <f t="shared" ref="F112:O112" si="130">+F111</f>
        <v>59300</v>
      </c>
      <c r="G112" s="336">
        <f t="shared" si="130"/>
        <v>0</v>
      </c>
      <c r="H112" s="334">
        <f t="shared" si="130"/>
        <v>0</v>
      </c>
      <c r="I112" s="334">
        <f t="shared" si="130"/>
        <v>0</v>
      </c>
      <c r="J112" s="356" t="str">
        <f t="shared" si="130"/>
        <v>-</v>
      </c>
      <c r="K112" s="336">
        <f t="shared" si="130"/>
        <v>16000</v>
      </c>
      <c r="L112" s="334">
        <f t="shared" si="130"/>
        <v>15840</v>
      </c>
      <c r="M112" s="335">
        <f t="shared" si="130"/>
        <v>160</v>
      </c>
      <c r="N112" s="348">
        <f t="shared" si="130"/>
        <v>2.1456349738500739E-2</v>
      </c>
      <c r="O112" s="356">
        <f t="shared" si="130"/>
        <v>0.01</v>
      </c>
    </row>
    <row r="113" spans="1:15" ht="24.6" thickBot="1" x14ac:dyDescent="0.35">
      <c r="A113" s="325"/>
      <c r="B113" s="915" t="s">
        <v>183</v>
      </c>
      <c r="C113" s="916"/>
      <c r="D113" s="917"/>
      <c r="E113" s="380">
        <f>+E58+E85+E112</f>
        <v>9494400</v>
      </c>
      <c r="F113" s="380">
        <f>+F58+F85+F112</f>
        <v>748300</v>
      </c>
      <c r="G113" s="380">
        <f>+G58+G85+G112</f>
        <v>231842</v>
      </c>
      <c r="H113" s="380">
        <f>+H58+H85+H112</f>
        <v>229286</v>
      </c>
      <c r="I113" s="380">
        <f>+I58+I85+I112</f>
        <v>2556</v>
      </c>
      <c r="J113" s="381" t="str">
        <f>IFERROR(G113/#REF!,"-")</f>
        <v>-</v>
      </c>
      <c r="K113" s="380">
        <f>+K58+K85+K112</f>
        <v>247842</v>
      </c>
      <c r="L113" s="380">
        <f>+L58+L85+L112</f>
        <v>245126</v>
      </c>
      <c r="M113" s="380">
        <f>+M58+M85+M112</f>
        <v>2716</v>
      </c>
      <c r="N113" s="381">
        <f>IFERROR(K113/E113,"-")</f>
        <v>2.6104019211324572E-2</v>
      </c>
      <c r="O113" s="381">
        <f>IFERROR(M113/K113,"-")</f>
        <v>1.0958594588487826E-2</v>
      </c>
    </row>
    <row r="114" spans="1:15" ht="23.4" x14ac:dyDescent="0.3">
      <c r="A114" s="935" t="s">
        <v>1</v>
      </c>
      <c r="B114" s="938" t="s">
        <v>2</v>
      </c>
      <c r="C114" s="941" t="s">
        <v>3</v>
      </c>
      <c r="D114" s="941" t="s">
        <v>93</v>
      </c>
      <c r="E114" s="944" t="s">
        <v>4</v>
      </c>
      <c r="F114" s="945"/>
      <c r="G114" s="945"/>
      <c r="H114" s="945"/>
      <c r="I114" s="945"/>
      <c r="J114" s="945"/>
      <c r="K114" s="945"/>
      <c r="L114" s="945"/>
      <c r="M114" s="945"/>
      <c r="N114" s="945"/>
      <c r="O114" s="946"/>
    </row>
    <row r="115" spans="1:15" ht="23.4" x14ac:dyDescent="0.3">
      <c r="A115" s="936"/>
      <c r="B115" s="939"/>
      <c r="C115" s="942"/>
      <c r="D115" s="942"/>
      <c r="E115" s="947" t="s">
        <v>7</v>
      </c>
      <c r="F115" s="949" t="s">
        <v>116</v>
      </c>
      <c r="G115" s="951">
        <v>44503</v>
      </c>
      <c r="H115" s="952"/>
      <c r="I115" s="952"/>
      <c r="J115" s="953"/>
      <c r="K115" s="954" t="s">
        <v>8</v>
      </c>
      <c r="L115" s="955"/>
      <c r="M115" s="956"/>
      <c r="N115" s="957" t="s">
        <v>174</v>
      </c>
      <c r="O115" s="959" t="s">
        <v>173</v>
      </c>
    </row>
    <row r="116" spans="1:15" ht="41.4" thickBot="1" x14ac:dyDescent="0.35">
      <c r="A116" s="937"/>
      <c r="B116" s="940"/>
      <c r="C116" s="943"/>
      <c r="D116" s="943"/>
      <c r="E116" s="948"/>
      <c r="F116" s="950"/>
      <c r="G116" s="462" t="s">
        <v>13</v>
      </c>
      <c r="H116" s="463" t="s">
        <v>14</v>
      </c>
      <c r="I116" s="463" t="s">
        <v>15</v>
      </c>
      <c r="J116" s="464" t="s">
        <v>175</v>
      </c>
      <c r="K116" s="462" t="s">
        <v>13</v>
      </c>
      <c r="L116" s="463" t="s">
        <v>14</v>
      </c>
      <c r="M116" s="465" t="s">
        <v>15</v>
      </c>
      <c r="N116" s="958"/>
      <c r="O116" s="960"/>
    </row>
    <row r="117" spans="1:15" ht="23.4" x14ac:dyDescent="0.3">
      <c r="A117" s="271" t="s">
        <v>111</v>
      </c>
      <c r="B117" s="922" t="s">
        <v>16</v>
      </c>
      <c r="C117" s="272" t="s">
        <v>186</v>
      </c>
      <c r="D117" s="272" t="s">
        <v>184</v>
      </c>
      <c r="E117" s="273">
        <v>0</v>
      </c>
      <c r="F117" s="274"/>
      <c r="G117" s="338">
        <f>+H117+I117</f>
        <v>0</v>
      </c>
      <c r="H117" s="275">
        <v>0</v>
      </c>
      <c r="I117" s="275">
        <v>0</v>
      </c>
      <c r="J117" s="357" t="str">
        <f>IFERROR(G117/#REF!,"-")</f>
        <v>-</v>
      </c>
      <c r="K117" s="468">
        <f>+L117+M117</f>
        <v>0</v>
      </c>
      <c r="L117" s="469">
        <f>+H117+L14</f>
        <v>0</v>
      </c>
      <c r="M117" s="469">
        <f>+I117+M14</f>
        <v>0</v>
      </c>
      <c r="N117" s="342" t="str">
        <f>IFERROR(K117/E117,"-")</f>
        <v>-</v>
      </c>
      <c r="O117" s="349" t="str">
        <f t="shared" ref="O117:O118" si="131">IFERROR(M117/K117,"-")</f>
        <v>-</v>
      </c>
    </row>
    <row r="118" spans="1:15" ht="23.4" x14ac:dyDescent="0.3">
      <c r="A118" s="277" t="s">
        <v>111</v>
      </c>
      <c r="B118" s="923"/>
      <c r="C118" s="278" t="s">
        <v>190</v>
      </c>
      <c r="D118" s="278" t="s">
        <v>101</v>
      </c>
      <c r="E118" s="279">
        <v>0</v>
      </c>
      <c r="F118" s="280"/>
      <c r="G118" s="339">
        <f t="shared" ref="G118:G120" si="132">+H118+I118</f>
        <v>0</v>
      </c>
      <c r="H118" s="281">
        <v>0</v>
      </c>
      <c r="I118" s="281">
        <v>0</v>
      </c>
      <c r="J118" s="358" t="str">
        <f>IFERROR(G118/#REF!,"-")</f>
        <v>-</v>
      </c>
      <c r="K118" s="339">
        <f t="shared" ref="K118:K120" si="133">+L118+M118</f>
        <v>0</v>
      </c>
      <c r="L118" s="281">
        <f t="shared" ref="L118:M118" si="134">+H118+L15</f>
        <v>0</v>
      </c>
      <c r="M118" s="442">
        <f t="shared" si="134"/>
        <v>0</v>
      </c>
      <c r="N118" s="343" t="str">
        <f t="shared" ref="N118:N120" si="135">IFERROR(K118/E118,"-")</f>
        <v>-</v>
      </c>
      <c r="O118" s="268" t="str">
        <f t="shared" si="131"/>
        <v>-</v>
      </c>
    </row>
    <row r="119" spans="1:15" ht="23.4" x14ac:dyDescent="0.3">
      <c r="A119" s="277" t="s">
        <v>111</v>
      </c>
      <c r="B119" s="923"/>
      <c r="C119" s="278" t="s">
        <v>187</v>
      </c>
      <c r="D119" s="278" t="s">
        <v>185</v>
      </c>
      <c r="E119" s="279">
        <v>0</v>
      </c>
      <c r="F119" s="280"/>
      <c r="G119" s="339">
        <f t="shared" si="132"/>
        <v>0</v>
      </c>
      <c r="H119" s="281">
        <v>0</v>
      </c>
      <c r="I119" s="281">
        <v>0</v>
      </c>
      <c r="J119" s="358" t="str">
        <f>IFERROR(G119/#REF!,"-")</f>
        <v>-</v>
      </c>
      <c r="K119" s="339">
        <f t="shared" si="133"/>
        <v>0</v>
      </c>
      <c r="L119" s="281">
        <f t="shared" ref="L119:M119" si="136">+H119+L16</f>
        <v>0</v>
      </c>
      <c r="M119" s="442">
        <f t="shared" si="136"/>
        <v>0</v>
      </c>
      <c r="N119" s="343" t="str">
        <f t="shared" si="135"/>
        <v>-</v>
      </c>
      <c r="O119" s="268" t="str">
        <f>IFERROR(M119/K119,"-")</f>
        <v>-</v>
      </c>
    </row>
    <row r="120" spans="1:15" ht="24" thickBot="1" x14ac:dyDescent="0.35">
      <c r="A120" s="277" t="s">
        <v>111</v>
      </c>
      <c r="B120" s="924"/>
      <c r="C120" s="282" t="s">
        <v>255</v>
      </c>
      <c r="D120" s="282" t="s">
        <v>256</v>
      </c>
      <c r="E120" s="283">
        <v>0</v>
      </c>
      <c r="F120" s="284"/>
      <c r="G120" s="340">
        <f t="shared" si="132"/>
        <v>19636</v>
      </c>
      <c r="H120" s="285">
        <v>19456</v>
      </c>
      <c r="I120" s="285">
        <v>180</v>
      </c>
      <c r="J120" s="359" t="str">
        <f>IFERROR(G120/#REF!,"-")</f>
        <v>-</v>
      </c>
      <c r="K120" s="471">
        <f t="shared" si="133"/>
        <v>35925</v>
      </c>
      <c r="L120" s="472">
        <f t="shared" ref="L120:M120" si="137">+H120+L17</f>
        <v>35328</v>
      </c>
      <c r="M120" s="473">
        <f t="shared" si="137"/>
        <v>597</v>
      </c>
      <c r="N120" s="344" t="str">
        <f t="shared" si="135"/>
        <v>-</v>
      </c>
      <c r="O120" s="350">
        <f t="shared" ref="O120:O184" si="138">IFERROR(M120/K120,"-")</f>
        <v>1.6617954070981211E-2</v>
      </c>
    </row>
    <row r="121" spans="1:15" ht="24" thickBot="1" x14ac:dyDescent="0.35">
      <c r="A121" s="277" t="s">
        <v>111</v>
      </c>
      <c r="B121" s="906" t="s">
        <v>47</v>
      </c>
      <c r="C121" s="907"/>
      <c r="D121" s="908"/>
      <c r="E121" s="326">
        <v>144600</v>
      </c>
      <c r="F121" s="289">
        <v>15000</v>
      </c>
      <c r="G121" s="326">
        <f>SUM(G117:G120)</f>
        <v>19636</v>
      </c>
      <c r="H121" s="327">
        <f t="shared" ref="H121:I121" si="139">SUM(H117:H120)</f>
        <v>19456</v>
      </c>
      <c r="I121" s="327">
        <f t="shared" si="139"/>
        <v>180</v>
      </c>
      <c r="J121" s="351" t="str">
        <f>IFERROR(G121/#REF!,"-")</f>
        <v>-</v>
      </c>
      <c r="K121" s="326">
        <f t="shared" ref="K121:M121" si="140">SUM(K117:K120)</f>
        <v>35925</v>
      </c>
      <c r="L121" s="327">
        <f t="shared" si="140"/>
        <v>35328</v>
      </c>
      <c r="M121" s="328">
        <f t="shared" si="140"/>
        <v>597</v>
      </c>
      <c r="N121" s="345">
        <f>IFERROR(K121/E121,"-")</f>
        <v>0.24844398340248963</v>
      </c>
      <c r="O121" s="351">
        <f t="shared" si="138"/>
        <v>1.6617954070981211E-2</v>
      </c>
    </row>
    <row r="122" spans="1:15" ht="23.4" x14ac:dyDescent="0.3">
      <c r="A122" s="277" t="s">
        <v>111</v>
      </c>
      <c r="B122" s="922" t="s">
        <v>17</v>
      </c>
      <c r="C122" s="272" t="s">
        <v>331</v>
      </c>
      <c r="D122" s="272"/>
      <c r="E122" s="273">
        <v>0</v>
      </c>
      <c r="F122" s="274"/>
      <c r="G122" s="338">
        <f t="shared" ref="G122:G128" si="141">+H122+I122</f>
        <v>0</v>
      </c>
      <c r="H122" s="275">
        <v>0</v>
      </c>
      <c r="I122" s="275">
        <v>0</v>
      </c>
      <c r="J122" s="357" t="str">
        <f>IFERROR(G122/#REF!,"-")</f>
        <v>-</v>
      </c>
      <c r="K122" s="468">
        <f t="shared" ref="K122:K128" si="142">+L122+M122</f>
        <v>0</v>
      </c>
      <c r="L122" s="469">
        <f t="shared" ref="L122:M122" si="143">+H122+L19</f>
        <v>0</v>
      </c>
      <c r="M122" s="470">
        <f t="shared" si="143"/>
        <v>0</v>
      </c>
      <c r="N122" s="342" t="str">
        <f t="shared" ref="N122:N163" si="144">IFERROR(K122/E122,"-")</f>
        <v>-</v>
      </c>
      <c r="O122" s="352" t="str">
        <f t="shared" si="138"/>
        <v>-</v>
      </c>
    </row>
    <row r="123" spans="1:15" ht="23.4" x14ac:dyDescent="0.3">
      <c r="A123" s="277" t="s">
        <v>111</v>
      </c>
      <c r="B123" s="923"/>
      <c r="C123" s="278" t="s">
        <v>421</v>
      </c>
      <c r="D123" s="278" t="s">
        <v>257</v>
      </c>
      <c r="E123" s="279">
        <v>0</v>
      </c>
      <c r="F123" s="280"/>
      <c r="G123" s="339">
        <f t="shared" si="141"/>
        <v>80217</v>
      </c>
      <c r="H123" s="281">
        <v>79560</v>
      </c>
      <c r="I123" s="281">
        <v>657</v>
      </c>
      <c r="J123" s="358" t="str">
        <f>IFERROR(G123/#REF!,"-")</f>
        <v>-</v>
      </c>
      <c r="K123" s="339">
        <f t="shared" si="142"/>
        <v>80217</v>
      </c>
      <c r="L123" s="281">
        <f t="shared" ref="L123:M123" si="145">+H123+L20</f>
        <v>79560</v>
      </c>
      <c r="M123" s="442">
        <f t="shared" si="145"/>
        <v>657</v>
      </c>
      <c r="N123" s="343" t="str">
        <f t="shared" si="144"/>
        <v>-</v>
      </c>
      <c r="O123" s="264">
        <f t="shared" si="138"/>
        <v>8.1902838550431956E-3</v>
      </c>
    </row>
    <row r="124" spans="1:15" ht="23.4" x14ac:dyDescent="0.3">
      <c r="A124" s="277" t="s">
        <v>111</v>
      </c>
      <c r="B124" s="923"/>
      <c r="C124" s="278" t="s">
        <v>290</v>
      </c>
      <c r="D124" s="278" t="s">
        <v>205</v>
      </c>
      <c r="E124" s="279">
        <v>0</v>
      </c>
      <c r="F124" s="280"/>
      <c r="G124" s="339">
        <f t="shared" si="141"/>
        <v>0</v>
      </c>
      <c r="H124" s="281">
        <v>0</v>
      </c>
      <c r="I124" s="281">
        <v>0</v>
      </c>
      <c r="J124" s="358" t="str">
        <f>IFERROR(G124/#REF!,"-")</f>
        <v>-</v>
      </c>
      <c r="K124" s="339">
        <f t="shared" si="142"/>
        <v>0</v>
      </c>
      <c r="L124" s="281">
        <f t="shared" ref="L124:M124" si="146">+H124+L21</f>
        <v>0</v>
      </c>
      <c r="M124" s="442">
        <f t="shared" si="146"/>
        <v>0</v>
      </c>
      <c r="N124" s="343" t="str">
        <f t="shared" si="144"/>
        <v>-</v>
      </c>
      <c r="O124" s="264" t="str">
        <f t="shared" si="138"/>
        <v>-</v>
      </c>
    </row>
    <row r="125" spans="1:15" ht="23.4" x14ac:dyDescent="0.3">
      <c r="A125" s="277" t="s">
        <v>111</v>
      </c>
      <c r="B125" s="923"/>
      <c r="C125" s="278" t="s">
        <v>330</v>
      </c>
      <c r="D125" s="278" t="s">
        <v>206</v>
      </c>
      <c r="E125" s="279">
        <v>0</v>
      </c>
      <c r="F125" s="280"/>
      <c r="G125" s="339">
        <f t="shared" si="141"/>
        <v>1836</v>
      </c>
      <c r="H125" s="281">
        <v>1836</v>
      </c>
      <c r="I125" s="281">
        <v>0</v>
      </c>
      <c r="J125" s="358" t="str">
        <f>IFERROR(G125/#REF!,"-")</f>
        <v>-</v>
      </c>
      <c r="K125" s="339">
        <f t="shared" si="142"/>
        <v>1836</v>
      </c>
      <c r="L125" s="281">
        <f t="shared" ref="L125:M125" si="147">+H125+L22</f>
        <v>1836</v>
      </c>
      <c r="M125" s="442">
        <f t="shared" si="147"/>
        <v>0</v>
      </c>
      <c r="N125" s="343" t="str">
        <f t="shared" si="144"/>
        <v>-</v>
      </c>
      <c r="O125" s="264">
        <f t="shared" si="138"/>
        <v>0</v>
      </c>
    </row>
    <row r="126" spans="1:15" ht="23.4" x14ac:dyDescent="0.3">
      <c r="A126" s="277" t="s">
        <v>111</v>
      </c>
      <c r="B126" s="923"/>
      <c r="C126" s="278" t="s">
        <v>377</v>
      </c>
      <c r="D126" s="278" t="s">
        <v>371</v>
      </c>
      <c r="E126" s="279">
        <v>0</v>
      </c>
      <c r="F126" s="280"/>
      <c r="G126" s="339">
        <f t="shared" si="141"/>
        <v>6120</v>
      </c>
      <c r="H126" s="281">
        <v>6120</v>
      </c>
      <c r="I126" s="281">
        <v>0</v>
      </c>
      <c r="J126" s="358" t="str">
        <f>IFERROR(G126/#REF!,"-")</f>
        <v>-</v>
      </c>
      <c r="K126" s="339">
        <f t="shared" si="142"/>
        <v>6120</v>
      </c>
      <c r="L126" s="281">
        <f t="shared" ref="L126:M126" si="148">+H126+L23</f>
        <v>6120</v>
      </c>
      <c r="M126" s="442">
        <f t="shared" si="148"/>
        <v>0</v>
      </c>
      <c r="N126" s="343" t="str">
        <f t="shared" si="144"/>
        <v>-</v>
      </c>
      <c r="O126" s="264">
        <f t="shared" si="138"/>
        <v>0</v>
      </c>
    </row>
    <row r="127" spans="1:15" ht="23.4" x14ac:dyDescent="0.3">
      <c r="A127" s="277" t="s">
        <v>111</v>
      </c>
      <c r="B127" s="923"/>
      <c r="C127" s="278" t="s">
        <v>208</v>
      </c>
      <c r="D127" s="278" t="s">
        <v>207</v>
      </c>
      <c r="E127" s="279">
        <v>0</v>
      </c>
      <c r="F127" s="280"/>
      <c r="G127" s="339">
        <f t="shared" si="141"/>
        <v>0</v>
      </c>
      <c r="H127" s="281">
        <v>0</v>
      </c>
      <c r="I127" s="281">
        <v>0</v>
      </c>
      <c r="J127" s="358" t="str">
        <f>IFERROR(G127/#REF!,"-")</f>
        <v>-</v>
      </c>
      <c r="K127" s="339">
        <f t="shared" si="142"/>
        <v>0</v>
      </c>
      <c r="L127" s="281">
        <f t="shared" ref="L127:M127" si="149">+H127+L24</f>
        <v>0</v>
      </c>
      <c r="M127" s="442">
        <f t="shared" si="149"/>
        <v>0</v>
      </c>
      <c r="N127" s="343" t="str">
        <f t="shared" si="144"/>
        <v>-</v>
      </c>
      <c r="O127" s="264" t="str">
        <f t="shared" si="138"/>
        <v>-</v>
      </c>
    </row>
    <row r="128" spans="1:15" ht="24" thickBot="1" x14ac:dyDescent="0.35">
      <c r="A128" s="277" t="s">
        <v>111</v>
      </c>
      <c r="B128" s="924"/>
      <c r="C128" s="282" t="s">
        <v>416</v>
      </c>
      <c r="D128" s="282" t="s">
        <v>257</v>
      </c>
      <c r="E128" s="283">
        <v>0</v>
      </c>
      <c r="F128" s="284"/>
      <c r="G128" s="340">
        <f t="shared" si="141"/>
        <v>0</v>
      </c>
      <c r="H128" s="285">
        <v>0</v>
      </c>
      <c r="I128" s="285">
        <v>0</v>
      </c>
      <c r="J128" s="359" t="str">
        <f>IFERROR(G128/#REF!,"-")</f>
        <v>-</v>
      </c>
      <c r="K128" s="471">
        <f t="shared" si="142"/>
        <v>73650</v>
      </c>
      <c r="L128" s="472">
        <f t="shared" ref="L128:M128" si="150">+H128+L25</f>
        <v>73440</v>
      </c>
      <c r="M128" s="473">
        <f t="shared" si="150"/>
        <v>210</v>
      </c>
      <c r="N128" s="344" t="str">
        <f t="shared" si="144"/>
        <v>-</v>
      </c>
      <c r="O128" s="353">
        <f t="shared" si="138"/>
        <v>2.8513238289205704E-3</v>
      </c>
    </row>
    <row r="129" spans="1:15" ht="24" thickBot="1" x14ac:dyDescent="0.35">
      <c r="A129" s="277" t="s">
        <v>111</v>
      </c>
      <c r="B129" s="906" t="s">
        <v>48</v>
      </c>
      <c r="C129" s="907"/>
      <c r="D129" s="908"/>
      <c r="E129" s="326">
        <v>3480000</v>
      </c>
      <c r="F129" s="289">
        <v>100000</v>
      </c>
      <c r="G129" s="326">
        <f>SUM(G122:G128)</f>
        <v>88173</v>
      </c>
      <c r="H129" s="327">
        <f t="shared" ref="H129:I129" si="151">SUM(H122:H128)</f>
        <v>87516</v>
      </c>
      <c r="I129" s="327">
        <f t="shared" si="151"/>
        <v>657</v>
      </c>
      <c r="J129" s="351" t="str">
        <f>IFERROR(G129/#REF!,"-")</f>
        <v>-</v>
      </c>
      <c r="K129" s="326">
        <f t="shared" ref="K129:M129" si="152">SUM(K122:K128)</f>
        <v>161823</v>
      </c>
      <c r="L129" s="327">
        <f t="shared" si="152"/>
        <v>160956</v>
      </c>
      <c r="M129" s="328">
        <f t="shared" si="152"/>
        <v>867</v>
      </c>
      <c r="N129" s="345">
        <f t="shared" si="144"/>
        <v>4.6500862068965518E-2</v>
      </c>
      <c r="O129" s="351">
        <f t="shared" si="138"/>
        <v>5.3577056413488811E-3</v>
      </c>
    </row>
    <row r="130" spans="1:15" ht="23.4" x14ac:dyDescent="0.3">
      <c r="A130" s="277" t="s">
        <v>111</v>
      </c>
      <c r="B130" s="922" t="s">
        <v>18</v>
      </c>
      <c r="C130" s="272" t="s">
        <v>359</v>
      </c>
      <c r="D130" s="272" t="s">
        <v>99</v>
      </c>
      <c r="E130" s="273">
        <v>0</v>
      </c>
      <c r="F130" s="274"/>
      <c r="G130" s="338">
        <f t="shared" ref="G130:G136" si="153">+H130+I130</f>
        <v>0</v>
      </c>
      <c r="H130" s="275">
        <v>0</v>
      </c>
      <c r="I130" s="275">
        <v>0</v>
      </c>
      <c r="J130" s="357" t="str">
        <f>IFERROR(G130/#REF!,"-")</f>
        <v>-</v>
      </c>
      <c r="K130" s="338">
        <f t="shared" ref="K130:K136" si="154">+L130+M130</f>
        <v>0</v>
      </c>
      <c r="L130" s="275">
        <f t="shared" ref="L130:M130" si="155">+H130+L27</f>
        <v>0</v>
      </c>
      <c r="M130" s="276">
        <f t="shared" si="155"/>
        <v>0</v>
      </c>
      <c r="N130" s="342" t="str">
        <f t="shared" si="144"/>
        <v>-</v>
      </c>
      <c r="O130" s="352" t="str">
        <f t="shared" si="138"/>
        <v>-</v>
      </c>
    </row>
    <row r="131" spans="1:15" ht="23.4" x14ac:dyDescent="0.3">
      <c r="A131" s="277" t="s">
        <v>111</v>
      </c>
      <c r="B131" s="923"/>
      <c r="C131" s="278" t="s">
        <v>258</v>
      </c>
      <c r="D131" s="278" t="s">
        <v>259</v>
      </c>
      <c r="E131" s="279">
        <v>0</v>
      </c>
      <c r="F131" s="280"/>
      <c r="G131" s="339">
        <f t="shared" si="153"/>
        <v>0</v>
      </c>
      <c r="H131" s="281">
        <v>0</v>
      </c>
      <c r="I131" s="281">
        <v>0</v>
      </c>
      <c r="J131" s="358" t="str">
        <f>IFERROR(G131/#REF!,"-")</f>
        <v>-</v>
      </c>
      <c r="K131" s="339">
        <f t="shared" si="154"/>
        <v>0</v>
      </c>
      <c r="L131" s="281">
        <f t="shared" ref="L131:M131" si="156">+H131+L28</f>
        <v>0</v>
      </c>
      <c r="M131" s="251">
        <f t="shared" si="156"/>
        <v>0</v>
      </c>
      <c r="N131" s="343" t="str">
        <f t="shared" si="144"/>
        <v>-</v>
      </c>
      <c r="O131" s="264" t="str">
        <f t="shared" si="138"/>
        <v>-</v>
      </c>
    </row>
    <row r="132" spans="1:15" ht="23.4" x14ac:dyDescent="0.3">
      <c r="A132" s="277" t="s">
        <v>111</v>
      </c>
      <c r="B132" s="923"/>
      <c r="C132" s="278" t="s">
        <v>123</v>
      </c>
      <c r="D132" s="278"/>
      <c r="E132" s="279">
        <v>0</v>
      </c>
      <c r="F132" s="280"/>
      <c r="G132" s="339">
        <f t="shared" si="153"/>
        <v>0</v>
      </c>
      <c r="H132" s="281">
        <v>0</v>
      </c>
      <c r="I132" s="281">
        <v>0</v>
      </c>
      <c r="J132" s="358" t="str">
        <f>IFERROR(G132/#REF!,"-")</f>
        <v>-</v>
      </c>
      <c r="K132" s="339">
        <f t="shared" si="154"/>
        <v>0</v>
      </c>
      <c r="L132" s="281">
        <f t="shared" ref="L132:M132" si="157">+H132+L29</f>
        <v>0</v>
      </c>
      <c r="M132" s="251">
        <f t="shared" si="157"/>
        <v>0</v>
      </c>
      <c r="N132" s="343" t="str">
        <f t="shared" si="144"/>
        <v>-</v>
      </c>
      <c r="O132" s="264" t="str">
        <f t="shared" si="138"/>
        <v>-</v>
      </c>
    </row>
    <row r="133" spans="1:15" ht="23.4" x14ac:dyDescent="0.3">
      <c r="A133" s="277" t="s">
        <v>111</v>
      </c>
      <c r="B133" s="923"/>
      <c r="C133" s="278" t="s">
        <v>130</v>
      </c>
      <c r="D133" s="278"/>
      <c r="E133" s="279">
        <v>0</v>
      </c>
      <c r="F133" s="280"/>
      <c r="G133" s="339">
        <f t="shared" si="153"/>
        <v>0</v>
      </c>
      <c r="H133" s="281">
        <v>0</v>
      </c>
      <c r="I133" s="281">
        <v>0</v>
      </c>
      <c r="J133" s="358" t="str">
        <f>IFERROR(G133/#REF!,"-")</f>
        <v>-</v>
      </c>
      <c r="K133" s="339">
        <f t="shared" si="154"/>
        <v>0</v>
      </c>
      <c r="L133" s="281">
        <f t="shared" ref="L133:M133" si="158">+H133+L30</f>
        <v>0</v>
      </c>
      <c r="M133" s="251">
        <f t="shared" si="158"/>
        <v>0</v>
      </c>
      <c r="N133" s="343" t="str">
        <f t="shared" si="144"/>
        <v>-</v>
      </c>
      <c r="O133" s="264" t="str">
        <f t="shared" si="138"/>
        <v>-</v>
      </c>
    </row>
    <row r="134" spans="1:15" ht="23.4" x14ac:dyDescent="0.3">
      <c r="A134" s="277" t="s">
        <v>111</v>
      </c>
      <c r="B134" s="923"/>
      <c r="C134" s="278" t="s">
        <v>191</v>
      </c>
      <c r="D134" s="278" t="s">
        <v>192</v>
      </c>
      <c r="E134" s="279">
        <v>0</v>
      </c>
      <c r="F134" s="280"/>
      <c r="G134" s="339">
        <f t="shared" si="153"/>
        <v>0</v>
      </c>
      <c r="H134" s="281">
        <v>0</v>
      </c>
      <c r="I134" s="281">
        <v>0</v>
      </c>
      <c r="J134" s="358" t="str">
        <f>IFERROR(G134/#REF!,"-")</f>
        <v>-</v>
      </c>
      <c r="K134" s="339">
        <f t="shared" si="154"/>
        <v>0</v>
      </c>
      <c r="L134" s="281">
        <f t="shared" ref="L134:M134" si="159">+H134+L31</f>
        <v>0</v>
      </c>
      <c r="M134" s="251">
        <f t="shared" si="159"/>
        <v>0</v>
      </c>
      <c r="N134" s="343" t="str">
        <f t="shared" si="144"/>
        <v>-</v>
      </c>
      <c r="O134" s="264" t="str">
        <f t="shared" si="138"/>
        <v>-</v>
      </c>
    </row>
    <row r="135" spans="1:15" ht="23.4" x14ac:dyDescent="0.3">
      <c r="A135" s="277" t="s">
        <v>111</v>
      </c>
      <c r="B135" s="923"/>
      <c r="C135" s="278" t="s">
        <v>194</v>
      </c>
      <c r="D135" s="278" t="s">
        <v>193</v>
      </c>
      <c r="E135" s="279">
        <v>0</v>
      </c>
      <c r="F135" s="280"/>
      <c r="G135" s="339">
        <f t="shared" si="153"/>
        <v>0</v>
      </c>
      <c r="H135" s="281">
        <v>0</v>
      </c>
      <c r="I135" s="281">
        <v>0</v>
      </c>
      <c r="J135" s="358" t="str">
        <f>IFERROR(G135/#REF!,"-")</f>
        <v>-</v>
      </c>
      <c r="K135" s="339">
        <f t="shared" si="154"/>
        <v>0</v>
      </c>
      <c r="L135" s="281">
        <f t="shared" ref="L135:M135" si="160">+H135+L32</f>
        <v>0</v>
      </c>
      <c r="M135" s="251">
        <f t="shared" si="160"/>
        <v>0</v>
      </c>
      <c r="N135" s="343" t="str">
        <f t="shared" si="144"/>
        <v>-</v>
      </c>
      <c r="O135" s="264" t="str">
        <f t="shared" si="138"/>
        <v>-</v>
      </c>
    </row>
    <row r="136" spans="1:15" ht="24" thickBot="1" x14ac:dyDescent="0.35">
      <c r="A136" s="277" t="s">
        <v>111</v>
      </c>
      <c r="B136" s="924"/>
      <c r="C136" s="290" t="s">
        <v>195</v>
      </c>
      <c r="D136" s="290" t="s">
        <v>115</v>
      </c>
      <c r="E136" s="283">
        <v>0</v>
      </c>
      <c r="F136" s="284"/>
      <c r="G136" s="340">
        <f t="shared" si="153"/>
        <v>0</v>
      </c>
      <c r="H136" s="285">
        <v>0</v>
      </c>
      <c r="I136" s="285">
        <v>0</v>
      </c>
      <c r="J136" s="359" t="str">
        <f>IFERROR(G136/#REF!,"-")</f>
        <v>-</v>
      </c>
      <c r="K136" s="340">
        <f t="shared" si="154"/>
        <v>0</v>
      </c>
      <c r="L136" s="285">
        <f t="shared" ref="L136:M136" si="161">+H136+L33</f>
        <v>0</v>
      </c>
      <c r="M136" s="286">
        <f t="shared" si="161"/>
        <v>0</v>
      </c>
      <c r="N136" s="344" t="str">
        <f t="shared" si="144"/>
        <v>-</v>
      </c>
      <c r="O136" s="353" t="str">
        <f t="shared" si="138"/>
        <v>-</v>
      </c>
    </row>
    <row r="137" spans="1:15" ht="24" thickBot="1" x14ac:dyDescent="0.35">
      <c r="A137" s="277" t="s">
        <v>111</v>
      </c>
      <c r="B137" s="906" t="s">
        <v>29</v>
      </c>
      <c r="C137" s="907"/>
      <c r="D137" s="908"/>
      <c r="E137" s="326">
        <f t="shared" ref="E137" si="162">SUM(E130:E136)</f>
        <v>0</v>
      </c>
      <c r="F137" s="289">
        <v>80000</v>
      </c>
      <c r="G137" s="326">
        <f>SUM(G130:G136)</f>
        <v>0</v>
      </c>
      <c r="H137" s="327">
        <f t="shared" ref="H137:I137" si="163">SUM(H130:H136)</f>
        <v>0</v>
      </c>
      <c r="I137" s="327">
        <f t="shared" si="163"/>
        <v>0</v>
      </c>
      <c r="J137" s="351" t="str">
        <f>IFERROR(G137/#REF!,"-")</f>
        <v>-</v>
      </c>
      <c r="K137" s="326">
        <f t="shared" ref="K137:M137" si="164">SUM(K130:K136)</f>
        <v>0</v>
      </c>
      <c r="L137" s="327">
        <f t="shared" si="164"/>
        <v>0</v>
      </c>
      <c r="M137" s="328">
        <f t="shared" si="164"/>
        <v>0</v>
      </c>
      <c r="N137" s="345" t="str">
        <f t="shared" si="144"/>
        <v>-</v>
      </c>
      <c r="O137" s="351" t="str">
        <f t="shared" si="138"/>
        <v>-</v>
      </c>
    </row>
    <row r="138" spans="1:15" ht="23.4" x14ac:dyDescent="0.3">
      <c r="A138" s="252" t="s">
        <v>111</v>
      </c>
      <c r="B138" s="918" t="s">
        <v>19</v>
      </c>
      <c r="C138" s="678" t="s">
        <v>260</v>
      </c>
      <c r="D138" s="676" t="s">
        <v>192</v>
      </c>
      <c r="E138" s="293">
        <v>2000000</v>
      </c>
      <c r="F138" s="294">
        <v>110000</v>
      </c>
      <c r="G138" s="468">
        <f t="shared" ref="G138:G139" si="165">+H138+I138</f>
        <v>0</v>
      </c>
      <c r="H138" s="674">
        <v>0</v>
      </c>
      <c r="I138" s="674">
        <v>0</v>
      </c>
      <c r="J138" s="675" t="str">
        <f>IFERROR(G138/#REF!,"-")</f>
        <v>-</v>
      </c>
      <c r="K138" s="673">
        <f>+L138+M138</f>
        <v>25508</v>
      </c>
      <c r="L138" s="295">
        <f t="shared" ref="L138:M138" si="166">+H138+L35</f>
        <v>25344</v>
      </c>
      <c r="M138" s="295">
        <f t="shared" si="166"/>
        <v>164</v>
      </c>
      <c r="N138" s="346">
        <f t="shared" si="144"/>
        <v>1.2754E-2</v>
      </c>
      <c r="O138" s="354">
        <f t="shared" si="138"/>
        <v>6.4293554963148819E-3</v>
      </c>
    </row>
    <row r="139" spans="1:15" ht="24" thickBot="1" x14ac:dyDescent="0.35">
      <c r="A139" s="252"/>
      <c r="B139" s="920"/>
      <c r="C139" s="679" t="s">
        <v>417</v>
      </c>
      <c r="D139" s="677"/>
      <c r="E139" s="285">
        <v>150000</v>
      </c>
      <c r="F139" s="285">
        <v>110000</v>
      </c>
      <c r="G139" s="607">
        <f t="shared" si="165"/>
        <v>0</v>
      </c>
      <c r="H139" s="285">
        <v>0</v>
      </c>
      <c r="I139" s="285">
        <v>0</v>
      </c>
      <c r="J139" s="359"/>
      <c r="K139" s="607">
        <f>+L139+M139</f>
        <v>0</v>
      </c>
      <c r="L139" s="285">
        <f t="shared" ref="L139:M139" si="167">+H139+L36</f>
        <v>0</v>
      </c>
      <c r="M139" s="285">
        <f t="shared" si="167"/>
        <v>0</v>
      </c>
      <c r="N139" s="680">
        <f t="shared" si="144"/>
        <v>0</v>
      </c>
      <c r="O139" s="680" t="str">
        <f t="shared" si="138"/>
        <v>-</v>
      </c>
    </row>
    <row r="140" spans="1:15" ht="24" thickBot="1" x14ac:dyDescent="0.35">
      <c r="A140" s="277" t="s">
        <v>111</v>
      </c>
      <c r="B140" s="921" t="s">
        <v>49</v>
      </c>
      <c r="C140" s="907"/>
      <c r="D140" s="908"/>
      <c r="E140" s="326">
        <f>SUM(E138:E139)</f>
        <v>2150000</v>
      </c>
      <c r="F140" s="329">
        <f t="shared" ref="F140" si="168">SUM(F138)</f>
        <v>110000</v>
      </c>
      <c r="G140" s="326">
        <f>SUM(G138)</f>
        <v>0</v>
      </c>
      <c r="H140" s="327">
        <f t="shared" ref="H140:I140" si="169">SUM(H138)</f>
        <v>0</v>
      </c>
      <c r="I140" s="327">
        <f t="shared" si="169"/>
        <v>0</v>
      </c>
      <c r="J140" s="351" t="str">
        <f>IFERROR(G140/#REF!,"-")</f>
        <v>-</v>
      </c>
      <c r="K140" s="681">
        <f t="shared" ref="K140:M140" si="170">SUM(K138)</f>
        <v>25508</v>
      </c>
      <c r="L140" s="327">
        <f t="shared" si="170"/>
        <v>25344</v>
      </c>
      <c r="M140" s="328">
        <f t="shared" si="170"/>
        <v>164</v>
      </c>
      <c r="N140" s="345">
        <f t="shared" si="144"/>
        <v>1.1864186046511628E-2</v>
      </c>
      <c r="O140" s="351">
        <f t="shared" si="138"/>
        <v>6.4293554963148819E-3</v>
      </c>
    </row>
    <row r="141" spans="1:15" ht="23.4" x14ac:dyDescent="0.3">
      <c r="A141" s="277" t="s">
        <v>111</v>
      </c>
      <c r="B141" s="922" t="s">
        <v>20</v>
      </c>
      <c r="C141" s="297" t="s">
        <v>370</v>
      </c>
      <c r="D141" s="297" t="s">
        <v>324</v>
      </c>
      <c r="E141" s="273">
        <v>0</v>
      </c>
      <c r="F141" s="274"/>
      <c r="G141" s="338">
        <f t="shared" ref="G141:G143" si="171">+H141+I141</f>
        <v>0</v>
      </c>
      <c r="H141" s="275">
        <v>0</v>
      </c>
      <c r="I141" s="275">
        <v>0</v>
      </c>
      <c r="J141" s="357" t="str">
        <f>IFERROR(G141/#REF!,"-")</f>
        <v>-</v>
      </c>
      <c r="K141" s="338">
        <f t="shared" ref="K141:K143" si="172">+L141+M141</f>
        <v>0</v>
      </c>
      <c r="L141" s="275">
        <f t="shared" ref="L141:M141" si="173">+H141+L38</f>
        <v>0</v>
      </c>
      <c r="M141" s="276">
        <f t="shared" si="173"/>
        <v>0</v>
      </c>
      <c r="N141" s="342" t="str">
        <f t="shared" si="144"/>
        <v>-</v>
      </c>
      <c r="O141" s="352" t="str">
        <f t="shared" si="138"/>
        <v>-</v>
      </c>
    </row>
    <row r="142" spans="1:15" ht="23.4" x14ac:dyDescent="0.3">
      <c r="A142" s="277" t="s">
        <v>111</v>
      </c>
      <c r="B142" s="923"/>
      <c r="C142" s="298" t="s">
        <v>122</v>
      </c>
      <c r="D142" s="298"/>
      <c r="E142" s="279">
        <v>0</v>
      </c>
      <c r="F142" s="280"/>
      <c r="G142" s="339">
        <f t="shared" si="171"/>
        <v>0</v>
      </c>
      <c r="H142" s="281">
        <v>0</v>
      </c>
      <c r="I142" s="281">
        <v>0</v>
      </c>
      <c r="J142" s="358" t="str">
        <f>IFERROR(G142/#REF!,"-")</f>
        <v>-</v>
      </c>
      <c r="K142" s="339">
        <f t="shared" si="172"/>
        <v>0</v>
      </c>
      <c r="L142" s="281">
        <f t="shared" ref="L142:M142" si="174">+H142+L39</f>
        <v>0</v>
      </c>
      <c r="M142" s="251">
        <f t="shared" si="174"/>
        <v>0</v>
      </c>
      <c r="N142" s="343" t="str">
        <f t="shared" si="144"/>
        <v>-</v>
      </c>
      <c r="O142" s="264" t="str">
        <f t="shared" si="138"/>
        <v>-</v>
      </c>
    </row>
    <row r="143" spans="1:15" ht="24" thickBot="1" x14ac:dyDescent="0.35">
      <c r="A143" s="277" t="s">
        <v>111</v>
      </c>
      <c r="B143" s="924"/>
      <c r="C143" s="299" t="s">
        <v>128</v>
      </c>
      <c r="D143" s="299"/>
      <c r="E143" s="283">
        <v>0</v>
      </c>
      <c r="F143" s="284"/>
      <c r="G143" s="340">
        <f t="shared" si="171"/>
        <v>0</v>
      </c>
      <c r="H143" s="285">
        <v>0</v>
      </c>
      <c r="I143" s="285">
        <v>0</v>
      </c>
      <c r="J143" s="359" t="str">
        <f>IFERROR(G143/#REF!,"-")</f>
        <v>-</v>
      </c>
      <c r="K143" s="340">
        <f t="shared" si="172"/>
        <v>0</v>
      </c>
      <c r="L143" s="285">
        <f t="shared" ref="L143:M143" si="175">+H143+L40</f>
        <v>0</v>
      </c>
      <c r="M143" s="286">
        <f t="shared" si="175"/>
        <v>0</v>
      </c>
      <c r="N143" s="344" t="str">
        <f t="shared" si="144"/>
        <v>-</v>
      </c>
      <c r="O143" s="353" t="str">
        <f t="shared" si="138"/>
        <v>-</v>
      </c>
    </row>
    <row r="144" spans="1:15" ht="24" thickBot="1" x14ac:dyDescent="0.35">
      <c r="A144" s="277" t="s">
        <v>111</v>
      </c>
      <c r="B144" s="907" t="s">
        <v>50</v>
      </c>
      <c r="C144" s="907"/>
      <c r="D144" s="925"/>
      <c r="E144" s="326">
        <f t="shared" ref="E144" si="176">SUM(E141:E143)</f>
        <v>0</v>
      </c>
      <c r="F144" s="289">
        <v>50000</v>
      </c>
      <c r="G144" s="326">
        <f>SUM(G141:G143)</f>
        <v>0</v>
      </c>
      <c r="H144" s="327">
        <f t="shared" ref="H144:I144" si="177">SUM(H141:H143)</f>
        <v>0</v>
      </c>
      <c r="I144" s="327">
        <f t="shared" si="177"/>
        <v>0</v>
      </c>
      <c r="J144" s="351" t="str">
        <f>IFERROR(G144/#REF!,"-")</f>
        <v>-</v>
      </c>
      <c r="K144" s="326">
        <f t="shared" ref="K144:M144" si="178">SUM(K141:K143)</f>
        <v>0</v>
      </c>
      <c r="L144" s="327">
        <f t="shared" si="178"/>
        <v>0</v>
      </c>
      <c r="M144" s="328">
        <f t="shared" si="178"/>
        <v>0</v>
      </c>
      <c r="N144" s="345" t="str">
        <f t="shared" si="144"/>
        <v>-</v>
      </c>
      <c r="O144" s="351" t="str">
        <f t="shared" si="138"/>
        <v>-</v>
      </c>
    </row>
    <row r="145" spans="1:15" ht="24" thickBot="1" x14ac:dyDescent="0.35">
      <c r="A145" s="277" t="s">
        <v>111</v>
      </c>
      <c r="B145" s="926" t="s">
        <v>21</v>
      </c>
      <c r="C145" s="927"/>
      <c r="D145" s="928"/>
      <c r="E145" s="332">
        <f>+E121+E129+E137+E140+E144</f>
        <v>5774600</v>
      </c>
      <c r="F145" s="333">
        <f>+F121+F129+F137+F140+F144</f>
        <v>355000</v>
      </c>
      <c r="G145" s="332">
        <f>+G121+G129+G137+G140+G144</f>
        <v>107809</v>
      </c>
      <c r="H145" s="330">
        <f>+H121+H129+H137+H140+H144</f>
        <v>106972</v>
      </c>
      <c r="I145" s="330">
        <f>+I121+I129+I137+I140+I144</f>
        <v>837</v>
      </c>
      <c r="J145" s="355" t="str">
        <f>IFERROR(G145/#REF!,"-")</f>
        <v>-</v>
      </c>
      <c r="K145" s="332">
        <f>+K121+K129+K137+K140+K144</f>
        <v>223256</v>
      </c>
      <c r="L145" s="330">
        <f>+L121+L129+L137+L140+L144</f>
        <v>221628</v>
      </c>
      <c r="M145" s="331">
        <f>+M121+M129+M137+M140+M144</f>
        <v>1628</v>
      </c>
      <c r="N145" s="347">
        <f t="shared" si="144"/>
        <v>3.8661725487479655E-2</v>
      </c>
      <c r="O145" s="355">
        <f t="shared" si="138"/>
        <v>7.2920772566022864E-3</v>
      </c>
    </row>
    <row r="146" spans="1:15" ht="23.4" x14ac:dyDescent="0.3">
      <c r="A146" s="277" t="s">
        <v>111</v>
      </c>
      <c r="B146" s="922" t="s">
        <v>22</v>
      </c>
      <c r="C146" s="272" t="s">
        <v>133</v>
      </c>
      <c r="D146" s="272"/>
      <c r="E146" s="273">
        <v>0</v>
      </c>
      <c r="F146" s="274"/>
      <c r="G146" s="338">
        <f t="shared" ref="G146:G149" si="179">+H146+I146</f>
        <v>0</v>
      </c>
      <c r="H146" s="275">
        <v>0</v>
      </c>
      <c r="I146" s="275">
        <v>0</v>
      </c>
      <c r="J146" s="357" t="str">
        <f>IFERROR(G146/#REF!,"-")</f>
        <v>-</v>
      </c>
      <c r="K146" s="338">
        <f t="shared" ref="K146:K149" si="180">+L146+M146</f>
        <v>0</v>
      </c>
      <c r="L146" s="275">
        <f t="shared" ref="L146:M146" si="181">+H146+L43</f>
        <v>0</v>
      </c>
      <c r="M146" s="276">
        <f t="shared" si="181"/>
        <v>0</v>
      </c>
      <c r="N146" s="342" t="str">
        <f t="shared" si="144"/>
        <v>-</v>
      </c>
      <c r="O146" s="352" t="str">
        <f t="shared" si="138"/>
        <v>-</v>
      </c>
    </row>
    <row r="147" spans="1:15" ht="23.4" x14ac:dyDescent="0.3">
      <c r="A147" s="277" t="s">
        <v>111</v>
      </c>
      <c r="B147" s="923"/>
      <c r="C147" s="301" t="s">
        <v>291</v>
      </c>
      <c r="D147" s="301" t="s">
        <v>196</v>
      </c>
      <c r="E147" s="279">
        <v>0</v>
      </c>
      <c r="F147" s="280"/>
      <c r="G147" s="339">
        <f t="shared" si="179"/>
        <v>0</v>
      </c>
      <c r="H147" s="281">
        <v>0</v>
      </c>
      <c r="I147" s="281">
        <v>0</v>
      </c>
      <c r="J147" s="358" t="str">
        <f>IFERROR(G147/#REF!,"-")</f>
        <v>-</v>
      </c>
      <c r="K147" s="339">
        <f t="shared" si="180"/>
        <v>0</v>
      </c>
      <c r="L147" s="281">
        <f t="shared" ref="L147:M147" si="182">+H147+L44</f>
        <v>0</v>
      </c>
      <c r="M147" s="251">
        <f t="shared" si="182"/>
        <v>0</v>
      </c>
      <c r="N147" s="343" t="str">
        <f t="shared" si="144"/>
        <v>-</v>
      </c>
      <c r="O147" s="264" t="str">
        <f t="shared" si="138"/>
        <v>-</v>
      </c>
    </row>
    <row r="148" spans="1:15" ht="23.4" x14ac:dyDescent="0.3">
      <c r="A148" s="277" t="s">
        <v>111</v>
      </c>
      <c r="B148" s="923"/>
      <c r="C148" s="301" t="s">
        <v>198</v>
      </c>
      <c r="D148" s="301" t="s">
        <v>100</v>
      </c>
      <c r="E148" s="279">
        <v>0</v>
      </c>
      <c r="F148" s="280"/>
      <c r="G148" s="339">
        <f t="shared" si="179"/>
        <v>0</v>
      </c>
      <c r="H148" s="281">
        <v>0</v>
      </c>
      <c r="I148" s="281">
        <v>0</v>
      </c>
      <c r="J148" s="358" t="str">
        <f>IFERROR(G148/#REF!,"-")</f>
        <v>-</v>
      </c>
      <c r="K148" s="339">
        <f t="shared" si="180"/>
        <v>0</v>
      </c>
      <c r="L148" s="281">
        <f t="shared" ref="L148:M148" si="183">+H148+L45</f>
        <v>0</v>
      </c>
      <c r="M148" s="251">
        <f t="shared" si="183"/>
        <v>0</v>
      </c>
      <c r="N148" s="343" t="str">
        <f t="shared" si="144"/>
        <v>-</v>
      </c>
      <c r="O148" s="264" t="str">
        <f t="shared" si="138"/>
        <v>-</v>
      </c>
    </row>
    <row r="149" spans="1:15" ht="24" thickBot="1" x14ac:dyDescent="0.35">
      <c r="A149" s="277" t="s">
        <v>111</v>
      </c>
      <c r="B149" s="924"/>
      <c r="C149" s="282" t="s">
        <v>197</v>
      </c>
      <c r="D149" s="282" t="s">
        <v>100</v>
      </c>
      <c r="E149" s="283">
        <v>0</v>
      </c>
      <c r="F149" s="284"/>
      <c r="G149" s="340">
        <f t="shared" si="179"/>
        <v>0</v>
      </c>
      <c r="H149" s="285">
        <v>0</v>
      </c>
      <c r="I149" s="285">
        <v>0</v>
      </c>
      <c r="J149" s="359" t="str">
        <f>IFERROR(G149/#REF!,"-")</f>
        <v>-</v>
      </c>
      <c r="K149" s="340">
        <f t="shared" si="180"/>
        <v>0</v>
      </c>
      <c r="L149" s="285">
        <f t="shared" ref="L149:M149" si="184">+H149+L46</f>
        <v>0</v>
      </c>
      <c r="M149" s="286">
        <f t="shared" si="184"/>
        <v>0</v>
      </c>
      <c r="N149" s="344" t="str">
        <f t="shared" si="144"/>
        <v>-</v>
      </c>
      <c r="O149" s="353" t="str">
        <f t="shared" si="138"/>
        <v>-</v>
      </c>
    </row>
    <row r="150" spans="1:15" ht="24" thickBot="1" x14ac:dyDescent="0.35">
      <c r="A150" s="277" t="s">
        <v>111</v>
      </c>
      <c r="B150" s="906" t="s">
        <v>51</v>
      </c>
      <c r="C150" s="907"/>
      <c r="D150" s="908"/>
      <c r="E150" s="288">
        <v>0</v>
      </c>
      <c r="F150" s="289">
        <v>80000</v>
      </c>
      <c r="G150" s="326">
        <f>SUM(G146:G149)</f>
        <v>0</v>
      </c>
      <c r="H150" s="327">
        <f t="shared" ref="H150:I150" si="185">SUM(H146:H149)</f>
        <v>0</v>
      </c>
      <c r="I150" s="327">
        <f t="shared" si="185"/>
        <v>0</v>
      </c>
      <c r="J150" s="351" t="str">
        <f>IFERROR(G150/#REF!,"-")</f>
        <v>-</v>
      </c>
      <c r="K150" s="326">
        <f t="shared" ref="K150:M150" si="186">SUM(K146:K149)</f>
        <v>0</v>
      </c>
      <c r="L150" s="327">
        <f t="shared" si="186"/>
        <v>0</v>
      </c>
      <c r="M150" s="328">
        <f t="shared" si="186"/>
        <v>0</v>
      </c>
      <c r="N150" s="345" t="str">
        <f t="shared" si="144"/>
        <v>-</v>
      </c>
      <c r="O150" s="351" t="str">
        <f t="shared" si="138"/>
        <v>-</v>
      </c>
    </row>
    <row r="151" spans="1:15" ht="23.4" x14ac:dyDescent="0.3">
      <c r="A151" s="277" t="s">
        <v>111</v>
      </c>
      <c r="B151" s="922" t="s">
        <v>23</v>
      </c>
      <c r="C151" s="302" t="s">
        <v>348</v>
      </c>
      <c r="D151" s="302" t="s">
        <v>263</v>
      </c>
      <c r="E151" s="273">
        <v>0</v>
      </c>
      <c r="F151" s="274"/>
      <c r="G151" s="338">
        <f t="shared" ref="G151:G158" si="187">+H151+I151</f>
        <v>0</v>
      </c>
      <c r="H151" s="275">
        <v>0</v>
      </c>
      <c r="I151" s="275">
        <v>0</v>
      </c>
      <c r="J151" s="357" t="str">
        <f>IFERROR(G151/#REF!,"-")</f>
        <v>-</v>
      </c>
      <c r="K151" s="338">
        <f t="shared" ref="K151:K158" si="188">+L151+M151</f>
        <v>0</v>
      </c>
      <c r="L151" s="275">
        <f t="shared" ref="L151:M151" si="189">+H151+L48</f>
        <v>0</v>
      </c>
      <c r="M151" s="276">
        <f t="shared" si="189"/>
        <v>0</v>
      </c>
      <c r="N151" s="342" t="str">
        <f t="shared" si="144"/>
        <v>-</v>
      </c>
      <c r="O151" s="352" t="str">
        <f t="shared" si="138"/>
        <v>-</v>
      </c>
    </row>
    <row r="152" spans="1:15" ht="23.4" x14ac:dyDescent="0.3">
      <c r="A152" s="277" t="s">
        <v>111</v>
      </c>
      <c r="B152" s="923"/>
      <c r="C152" s="278" t="s">
        <v>24</v>
      </c>
      <c r="D152" s="278" t="s">
        <v>263</v>
      </c>
      <c r="E152" s="279">
        <v>0</v>
      </c>
      <c r="F152" s="280"/>
      <c r="G152" s="339">
        <f t="shared" si="187"/>
        <v>6201</v>
      </c>
      <c r="H152" s="281">
        <v>6125</v>
      </c>
      <c r="I152" s="281">
        <v>76</v>
      </c>
      <c r="J152" s="358" t="str">
        <f>IFERROR(G152/#REF!,"-")</f>
        <v>-</v>
      </c>
      <c r="K152" s="339">
        <f t="shared" si="188"/>
        <v>16762</v>
      </c>
      <c r="L152" s="281">
        <f t="shared" ref="L152:M152" si="190">+H152+L49</f>
        <v>16625</v>
      </c>
      <c r="M152" s="251">
        <f t="shared" si="190"/>
        <v>137</v>
      </c>
      <c r="N152" s="343" t="str">
        <f t="shared" si="144"/>
        <v>-</v>
      </c>
      <c r="O152" s="264">
        <f t="shared" si="138"/>
        <v>8.1732490156305928E-3</v>
      </c>
    </row>
    <row r="153" spans="1:15" ht="23.4" x14ac:dyDescent="0.3">
      <c r="A153" s="277" t="s">
        <v>111</v>
      </c>
      <c r="B153" s="923"/>
      <c r="C153" s="278" t="s">
        <v>261</v>
      </c>
      <c r="D153" s="278" t="s">
        <v>263</v>
      </c>
      <c r="E153" s="279">
        <v>0</v>
      </c>
      <c r="F153" s="280"/>
      <c r="G153" s="339">
        <f t="shared" si="187"/>
        <v>0</v>
      </c>
      <c r="H153" s="281">
        <v>0</v>
      </c>
      <c r="I153" s="281">
        <v>0</v>
      </c>
      <c r="J153" s="358" t="str">
        <f>IFERROR(G153/#REF!,"-")</f>
        <v>-</v>
      </c>
      <c r="K153" s="339">
        <f t="shared" si="188"/>
        <v>0</v>
      </c>
      <c r="L153" s="281">
        <f t="shared" ref="L153:M153" si="191">+H153+L50</f>
        <v>0</v>
      </c>
      <c r="M153" s="251">
        <f t="shared" si="191"/>
        <v>0</v>
      </c>
      <c r="N153" s="343" t="str">
        <f t="shared" si="144"/>
        <v>-</v>
      </c>
      <c r="O153" s="264" t="str">
        <f t="shared" si="138"/>
        <v>-</v>
      </c>
    </row>
    <row r="154" spans="1:15" ht="23.4" x14ac:dyDescent="0.3">
      <c r="A154" s="277" t="s">
        <v>111</v>
      </c>
      <c r="B154" s="923"/>
      <c r="C154" s="278" t="s">
        <v>262</v>
      </c>
      <c r="D154" s="278" t="s">
        <v>263</v>
      </c>
      <c r="E154" s="279">
        <v>0</v>
      </c>
      <c r="F154" s="280"/>
      <c r="G154" s="339">
        <f t="shared" si="187"/>
        <v>0</v>
      </c>
      <c r="H154" s="281">
        <v>0</v>
      </c>
      <c r="I154" s="281">
        <v>0</v>
      </c>
      <c r="J154" s="358" t="str">
        <f>IFERROR(G154/#REF!,"-")</f>
        <v>-</v>
      </c>
      <c r="K154" s="339">
        <f t="shared" si="188"/>
        <v>0</v>
      </c>
      <c r="L154" s="281">
        <f t="shared" ref="L154:M154" si="192">+H154+L51</f>
        <v>0</v>
      </c>
      <c r="M154" s="251">
        <f t="shared" si="192"/>
        <v>0</v>
      </c>
      <c r="N154" s="343" t="str">
        <f t="shared" si="144"/>
        <v>-</v>
      </c>
      <c r="O154" s="264" t="str">
        <f t="shared" si="138"/>
        <v>-</v>
      </c>
    </row>
    <row r="155" spans="1:15" ht="23.4" x14ac:dyDescent="0.3">
      <c r="A155" s="277" t="s">
        <v>111</v>
      </c>
      <c r="B155" s="923"/>
      <c r="C155" s="301" t="s">
        <v>264</v>
      </c>
      <c r="D155" s="278" t="s">
        <v>263</v>
      </c>
      <c r="E155" s="279">
        <v>0</v>
      </c>
      <c r="F155" s="280"/>
      <c r="G155" s="339">
        <f t="shared" si="187"/>
        <v>0</v>
      </c>
      <c r="H155" s="281">
        <v>0</v>
      </c>
      <c r="I155" s="281">
        <v>0</v>
      </c>
      <c r="J155" s="358" t="str">
        <f>IFERROR(G155/#REF!,"-")</f>
        <v>-</v>
      </c>
      <c r="K155" s="339">
        <f t="shared" si="188"/>
        <v>0</v>
      </c>
      <c r="L155" s="281">
        <f t="shared" ref="L155:M155" si="193">+H155+L52</f>
        <v>0</v>
      </c>
      <c r="M155" s="251">
        <f t="shared" si="193"/>
        <v>0</v>
      </c>
      <c r="N155" s="343" t="str">
        <f t="shared" si="144"/>
        <v>-</v>
      </c>
      <c r="O155" s="264" t="str">
        <f t="shared" si="138"/>
        <v>-</v>
      </c>
    </row>
    <row r="156" spans="1:15" ht="23.4" x14ac:dyDescent="0.3">
      <c r="A156" s="277" t="s">
        <v>111</v>
      </c>
      <c r="B156" s="923"/>
      <c r="C156" s="301" t="s">
        <v>265</v>
      </c>
      <c r="D156" s="278" t="s">
        <v>263</v>
      </c>
      <c r="E156" s="279">
        <v>0</v>
      </c>
      <c r="F156" s="280"/>
      <c r="G156" s="339">
        <f t="shared" si="187"/>
        <v>0</v>
      </c>
      <c r="H156" s="281">
        <v>0</v>
      </c>
      <c r="I156" s="281">
        <v>0</v>
      </c>
      <c r="J156" s="358" t="str">
        <f>IFERROR(G156/#REF!,"-")</f>
        <v>-</v>
      </c>
      <c r="K156" s="339">
        <f t="shared" si="188"/>
        <v>0</v>
      </c>
      <c r="L156" s="281">
        <f t="shared" ref="L156:M156" si="194">+H156+L53</f>
        <v>0</v>
      </c>
      <c r="M156" s="251">
        <f t="shared" si="194"/>
        <v>0</v>
      </c>
      <c r="N156" s="343" t="str">
        <f t="shared" si="144"/>
        <v>-</v>
      </c>
      <c r="O156" s="264" t="str">
        <f t="shared" si="138"/>
        <v>-</v>
      </c>
    </row>
    <row r="157" spans="1:15" ht="23.4" x14ac:dyDescent="0.3">
      <c r="A157" s="277" t="s">
        <v>111</v>
      </c>
      <c r="B157" s="923"/>
      <c r="C157" s="301" t="s">
        <v>266</v>
      </c>
      <c r="D157" s="278" t="s">
        <v>268</v>
      </c>
      <c r="E157" s="279">
        <v>0</v>
      </c>
      <c r="F157" s="280"/>
      <c r="G157" s="339">
        <f t="shared" si="187"/>
        <v>0</v>
      </c>
      <c r="H157" s="281">
        <v>0</v>
      </c>
      <c r="I157" s="281">
        <v>0</v>
      </c>
      <c r="J157" s="358" t="str">
        <f>IFERROR(G157/#REF!,"-")</f>
        <v>-</v>
      </c>
      <c r="K157" s="339">
        <f t="shared" si="188"/>
        <v>0</v>
      </c>
      <c r="L157" s="281">
        <f t="shared" ref="L157:M157" si="195">+H157+L54</f>
        <v>0</v>
      </c>
      <c r="M157" s="251">
        <f t="shared" si="195"/>
        <v>0</v>
      </c>
      <c r="N157" s="343" t="str">
        <f t="shared" si="144"/>
        <v>-</v>
      </c>
      <c r="O157" s="264" t="str">
        <f t="shared" si="138"/>
        <v>-</v>
      </c>
    </row>
    <row r="158" spans="1:15" ht="24" thickBot="1" x14ac:dyDescent="0.35">
      <c r="A158" s="277" t="s">
        <v>111</v>
      </c>
      <c r="B158" s="924"/>
      <c r="C158" s="301" t="s">
        <v>267</v>
      </c>
      <c r="D158" s="278" t="s">
        <v>263</v>
      </c>
      <c r="E158" s="283">
        <v>0</v>
      </c>
      <c r="F158" s="284"/>
      <c r="G158" s="340">
        <f t="shared" si="187"/>
        <v>0</v>
      </c>
      <c r="H158" s="285">
        <v>0</v>
      </c>
      <c r="I158" s="285">
        <v>0</v>
      </c>
      <c r="J158" s="359" t="str">
        <f>IFERROR(G158/#REF!,"-")</f>
        <v>-</v>
      </c>
      <c r="K158" s="340">
        <f t="shared" si="188"/>
        <v>0</v>
      </c>
      <c r="L158" s="285">
        <f t="shared" ref="L158:M158" si="196">+H158+L55</f>
        <v>0</v>
      </c>
      <c r="M158" s="286">
        <f t="shared" si="196"/>
        <v>0</v>
      </c>
      <c r="N158" s="344" t="str">
        <f t="shared" si="144"/>
        <v>-</v>
      </c>
      <c r="O158" s="353" t="str">
        <f t="shared" si="138"/>
        <v>-</v>
      </c>
    </row>
    <row r="159" spans="1:15" ht="24" thickBot="1" x14ac:dyDescent="0.35">
      <c r="A159" s="277" t="s">
        <v>111</v>
      </c>
      <c r="B159" s="906" t="s">
        <v>52</v>
      </c>
      <c r="C159" s="907"/>
      <c r="D159" s="908"/>
      <c r="E159" s="288">
        <v>157500</v>
      </c>
      <c r="F159" s="289">
        <v>14000</v>
      </c>
      <c r="G159" s="326">
        <f>SUM(G151:G158)</f>
        <v>6201</v>
      </c>
      <c r="H159" s="327">
        <f t="shared" ref="H159:I159" si="197">SUM(H151:H158)</f>
        <v>6125</v>
      </c>
      <c r="I159" s="327">
        <f t="shared" si="197"/>
        <v>76</v>
      </c>
      <c r="J159" s="351" t="str">
        <f>IFERROR(G159/#REF!,"-")</f>
        <v>-</v>
      </c>
      <c r="K159" s="326">
        <f t="shared" ref="K159:M159" si="198">SUM(K151:K158)</f>
        <v>16762</v>
      </c>
      <c r="L159" s="327">
        <f t="shared" si="198"/>
        <v>16625</v>
      </c>
      <c r="M159" s="328">
        <f t="shared" si="198"/>
        <v>137</v>
      </c>
      <c r="N159" s="345">
        <f t="shared" si="144"/>
        <v>0.10642539682539683</v>
      </c>
      <c r="O159" s="351">
        <f t="shared" si="138"/>
        <v>8.1732490156305928E-3</v>
      </c>
    </row>
    <row r="160" spans="1:15" ht="24" thickBot="1" x14ac:dyDescent="0.35">
      <c r="A160" s="277" t="s">
        <v>111</v>
      </c>
      <c r="B160" s="926" t="s">
        <v>25</v>
      </c>
      <c r="C160" s="927"/>
      <c r="D160" s="928"/>
      <c r="E160" s="332">
        <f t="shared" ref="E160:F160" si="199">+E150+E159</f>
        <v>157500</v>
      </c>
      <c r="F160" s="333">
        <f t="shared" si="199"/>
        <v>94000</v>
      </c>
      <c r="G160" s="332">
        <f>+G150+G159</f>
        <v>6201</v>
      </c>
      <c r="H160" s="330">
        <f t="shared" ref="H160:I160" si="200">+H150+H159</f>
        <v>6125</v>
      </c>
      <c r="I160" s="330">
        <f t="shared" si="200"/>
        <v>76</v>
      </c>
      <c r="J160" s="355" t="str">
        <f>IFERROR(G160/#REF!,"-")</f>
        <v>-</v>
      </c>
      <c r="K160" s="332">
        <f t="shared" ref="K160" si="201">+K150+K159</f>
        <v>16762</v>
      </c>
      <c r="L160" s="330">
        <f>+L150+L159</f>
        <v>16625</v>
      </c>
      <c r="M160" s="331">
        <f t="shared" ref="M160" si="202">+M150+M159</f>
        <v>137</v>
      </c>
      <c r="N160" s="347">
        <f t="shared" si="144"/>
        <v>0.10642539682539683</v>
      </c>
      <c r="O160" s="355">
        <f t="shared" si="138"/>
        <v>8.1732490156305928E-3</v>
      </c>
    </row>
    <row r="161" spans="1:15" ht="24" thickBot="1" x14ac:dyDescent="0.35">
      <c r="A161" s="277" t="s">
        <v>111</v>
      </c>
      <c r="B161" s="900" t="s">
        <v>181</v>
      </c>
      <c r="C161" s="901"/>
      <c r="D161" s="902"/>
      <c r="E161" s="336">
        <f>+E145+E160</f>
        <v>5932100</v>
      </c>
      <c r="F161" s="337">
        <f t="shared" ref="F161:I161" si="203">+F145+F160</f>
        <v>449000</v>
      </c>
      <c r="G161" s="336">
        <f t="shared" si="203"/>
        <v>114010</v>
      </c>
      <c r="H161" s="334">
        <f t="shared" si="203"/>
        <v>113097</v>
      </c>
      <c r="I161" s="334">
        <f t="shared" si="203"/>
        <v>913</v>
      </c>
      <c r="J161" s="356" t="str">
        <f>IFERROR(G161/#REF!,"-")</f>
        <v>-</v>
      </c>
      <c r="K161" s="336">
        <f t="shared" ref="K161:M161" si="204">+K145+K160</f>
        <v>240018</v>
      </c>
      <c r="L161" s="334">
        <f t="shared" si="204"/>
        <v>238253</v>
      </c>
      <c r="M161" s="335">
        <f t="shared" si="204"/>
        <v>1765</v>
      </c>
      <c r="N161" s="348">
        <f t="shared" si="144"/>
        <v>4.0460882318234692E-2</v>
      </c>
      <c r="O161" s="356">
        <f t="shared" si="138"/>
        <v>7.3536151455307515E-3</v>
      </c>
    </row>
    <row r="162" spans="1:15" ht="23.4" x14ac:dyDescent="0.3">
      <c r="A162" s="271" t="s">
        <v>109</v>
      </c>
      <c r="B162" s="929" t="s">
        <v>26</v>
      </c>
      <c r="C162" s="303" t="s">
        <v>334</v>
      </c>
      <c r="D162" s="303" t="s">
        <v>192</v>
      </c>
      <c r="E162" s="273">
        <v>0</v>
      </c>
      <c r="F162" s="274"/>
      <c r="G162" s="338">
        <f t="shared" ref="G162:G170" si="205">+H162+I162</f>
        <v>64399</v>
      </c>
      <c r="H162" s="275">
        <v>63648</v>
      </c>
      <c r="I162" s="275">
        <v>751</v>
      </c>
      <c r="J162" s="357" t="str">
        <f>IFERROR(G162/#REF!,"-")</f>
        <v>-</v>
      </c>
      <c r="K162" s="338">
        <f t="shared" ref="K162:K170" si="206">+L162+M162</f>
        <v>84884</v>
      </c>
      <c r="L162" s="275">
        <f t="shared" ref="L162:M162" si="207">+H162+L59</f>
        <v>83538</v>
      </c>
      <c r="M162" s="276">
        <f t="shared" si="207"/>
        <v>1346</v>
      </c>
      <c r="N162" s="342" t="str">
        <f t="shared" si="144"/>
        <v>-</v>
      </c>
      <c r="O162" s="352">
        <f t="shared" si="138"/>
        <v>1.5856934168983552E-2</v>
      </c>
    </row>
    <row r="163" spans="1:15" ht="23.4" x14ac:dyDescent="0.3">
      <c r="A163" s="277" t="s">
        <v>109</v>
      </c>
      <c r="B163" s="929"/>
      <c r="C163" s="304" t="s">
        <v>199</v>
      </c>
      <c r="D163" s="304" t="s">
        <v>115</v>
      </c>
      <c r="E163" s="279">
        <v>0</v>
      </c>
      <c r="F163" s="280"/>
      <c r="G163" s="339">
        <f t="shared" si="205"/>
        <v>0</v>
      </c>
      <c r="H163" s="281">
        <v>0</v>
      </c>
      <c r="I163" s="281">
        <v>0</v>
      </c>
      <c r="J163" s="358" t="str">
        <f>IFERROR(G163/#REF!,"-")</f>
        <v>-</v>
      </c>
      <c r="K163" s="339">
        <f t="shared" si="206"/>
        <v>0</v>
      </c>
      <c r="L163" s="281">
        <f t="shared" ref="L163:M163" si="208">+H163+L60</f>
        <v>0</v>
      </c>
      <c r="M163" s="251">
        <f t="shared" si="208"/>
        <v>0</v>
      </c>
      <c r="N163" s="343" t="str">
        <f t="shared" si="144"/>
        <v>-</v>
      </c>
      <c r="O163" s="264" t="str">
        <f t="shared" si="138"/>
        <v>-</v>
      </c>
    </row>
    <row r="164" spans="1:15" ht="23.4" x14ac:dyDescent="0.3">
      <c r="A164" s="277" t="s">
        <v>109</v>
      </c>
      <c r="B164" s="929"/>
      <c r="C164" s="305" t="s">
        <v>27</v>
      </c>
      <c r="D164" s="305" t="s">
        <v>310</v>
      </c>
      <c r="E164" s="283">
        <v>0</v>
      </c>
      <c r="F164" s="284"/>
      <c r="G164" s="339">
        <f t="shared" si="205"/>
        <v>0</v>
      </c>
      <c r="H164" s="285">
        <v>0</v>
      </c>
      <c r="I164" s="285">
        <v>0</v>
      </c>
      <c r="J164" s="359" t="str">
        <f>IFERROR(G164/#REF!,"-")</f>
        <v>-</v>
      </c>
      <c r="K164" s="339">
        <f t="shared" si="206"/>
        <v>0</v>
      </c>
      <c r="L164" s="285">
        <f t="shared" ref="L164:M164" si="209">+H164+L61</f>
        <v>0</v>
      </c>
      <c r="M164" s="286">
        <f t="shared" si="209"/>
        <v>0</v>
      </c>
      <c r="N164" s="287"/>
      <c r="O164" s="264" t="str">
        <f t="shared" si="138"/>
        <v>-</v>
      </c>
    </row>
    <row r="165" spans="1:15" ht="23.4" x14ac:dyDescent="0.3">
      <c r="A165" s="277" t="s">
        <v>109</v>
      </c>
      <c r="B165" s="929"/>
      <c r="C165" s="305" t="s">
        <v>27</v>
      </c>
      <c r="D165" s="305" t="s">
        <v>311</v>
      </c>
      <c r="E165" s="283">
        <v>0</v>
      </c>
      <c r="F165" s="284"/>
      <c r="G165" s="339">
        <f t="shared" si="205"/>
        <v>0</v>
      </c>
      <c r="H165" s="285">
        <v>0</v>
      </c>
      <c r="I165" s="285">
        <v>0</v>
      </c>
      <c r="J165" s="359" t="str">
        <f>IFERROR(G165/#REF!,"-")</f>
        <v>-</v>
      </c>
      <c r="K165" s="339">
        <f t="shared" si="206"/>
        <v>0</v>
      </c>
      <c r="L165" s="285">
        <f t="shared" ref="L165:M165" si="210">+H165+L62</f>
        <v>0</v>
      </c>
      <c r="M165" s="286">
        <f t="shared" si="210"/>
        <v>0</v>
      </c>
      <c r="N165" s="287"/>
      <c r="O165" s="264" t="str">
        <f t="shared" si="138"/>
        <v>-</v>
      </c>
    </row>
    <row r="166" spans="1:15" ht="23.4" x14ac:dyDescent="0.3">
      <c r="A166" s="277" t="s">
        <v>109</v>
      </c>
      <c r="B166" s="929"/>
      <c r="C166" s="305" t="s">
        <v>325</v>
      </c>
      <c r="D166" s="305" t="s">
        <v>324</v>
      </c>
      <c r="E166" s="283">
        <v>0</v>
      </c>
      <c r="F166" s="284"/>
      <c r="G166" s="339">
        <f t="shared" si="205"/>
        <v>0</v>
      </c>
      <c r="H166" s="285">
        <v>0</v>
      </c>
      <c r="I166" s="285">
        <v>0</v>
      </c>
      <c r="J166" s="359" t="str">
        <f>IFERROR(G166/#REF!,"-")</f>
        <v>-</v>
      </c>
      <c r="K166" s="339">
        <f t="shared" si="206"/>
        <v>0</v>
      </c>
      <c r="L166" s="285">
        <f t="shared" ref="L166:M166" si="211">+H166+L63</f>
        <v>0</v>
      </c>
      <c r="M166" s="286">
        <f t="shared" si="211"/>
        <v>0</v>
      </c>
      <c r="N166" s="287"/>
      <c r="O166" s="264" t="str">
        <f t="shared" si="138"/>
        <v>-</v>
      </c>
    </row>
    <row r="167" spans="1:15" ht="23.4" x14ac:dyDescent="0.3">
      <c r="A167" s="277"/>
      <c r="B167" s="929"/>
      <c r="C167" s="305" t="s">
        <v>325</v>
      </c>
      <c r="D167" s="305" t="s">
        <v>192</v>
      </c>
      <c r="E167" s="283">
        <v>0</v>
      </c>
      <c r="F167" s="284"/>
      <c r="G167" s="340">
        <f t="shared" si="205"/>
        <v>0</v>
      </c>
      <c r="H167" s="285">
        <v>0</v>
      </c>
      <c r="I167" s="285">
        <v>0</v>
      </c>
      <c r="J167" s="359" t="str">
        <f>IFERROR(G167/#REF!,"-")</f>
        <v>-</v>
      </c>
      <c r="K167" s="340">
        <f t="shared" si="206"/>
        <v>0</v>
      </c>
      <c r="L167" s="285">
        <f t="shared" ref="L167:M167" si="212">+H167+L64</f>
        <v>0</v>
      </c>
      <c r="M167" s="286">
        <f t="shared" si="212"/>
        <v>0</v>
      </c>
      <c r="N167" s="287"/>
      <c r="O167" s="264" t="str">
        <f t="shared" si="138"/>
        <v>-</v>
      </c>
    </row>
    <row r="168" spans="1:15" ht="23.4" x14ac:dyDescent="0.3">
      <c r="A168" s="277"/>
      <c r="B168" s="929"/>
      <c r="C168" s="305" t="s">
        <v>325</v>
      </c>
      <c r="D168" s="305" t="s">
        <v>101</v>
      </c>
      <c r="E168" s="283">
        <v>0</v>
      </c>
      <c r="F168" s="284"/>
      <c r="G168" s="340">
        <f t="shared" si="205"/>
        <v>0</v>
      </c>
      <c r="H168" s="285">
        <v>0</v>
      </c>
      <c r="I168" s="285">
        <v>0</v>
      </c>
      <c r="J168" s="359" t="str">
        <f>IFERROR(G168/#REF!,"-")</f>
        <v>-</v>
      </c>
      <c r="K168" s="340">
        <f t="shared" si="206"/>
        <v>0</v>
      </c>
      <c r="L168" s="285">
        <f t="shared" ref="L168:M168" si="213">+H168+L65</f>
        <v>0</v>
      </c>
      <c r="M168" s="286">
        <f t="shared" si="213"/>
        <v>0</v>
      </c>
      <c r="N168" s="287"/>
      <c r="O168" s="264" t="str">
        <f t="shared" si="138"/>
        <v>-</v>
      </c>
    </row>
    <row r="169" spans="1:15" ht="23.4" x14ac:dyDescent="0.3">
      <c r="A169" s="277"/>
      <c r="B169" s="929"/>
      <c r="C169" s="305" t="s">
        <v>393</v>
      </c>
      <c r="D169" s="305" t="s">
        <v>394</v>
      </c>
      <c r="E169" s="283">
        <v>0</v>
      </c>
      <c r="F169" s="284"/>
      <c r="G169" s="340">
        <f t="shared" si="205"/>
        <v>0</v>
      </c>
      <c r="H169" s="285">
        <v>0</v>
      </c>
      <c r="I169" s="285">
        <v>0</v>
      </c>
      <c r="J169" s="359" t="str">
        <f>IFERROR(G169/#REF!,"-")</f>
        <v>-</v>
      </c>
      <c r="K169" s="340">
        <f t="shared" si="206"/>
        <v>0</v>
      </c>
      <c r="L169" s="285">
        <f t="shared" ref="L169:M169" si="214">+H169+L66</f>
        <v>0</v>
      </c>
      <c r="M169" s="286">
        <f t="shared" si="214"/>
        <v>0</v>
      </c>
      <c r="N169" s="287"/>
      <c r="O169" s="264" t="str">
        <f t="shared" si="138"/>
        <v>-</v>
      </c>
    </row>
    <row r="170" spans="1:15" ht="24" thickBot="1" x14ac:dyDescent="0.35">
      <c r="A170" s="277" t="s">
        <v>109</v>
      </c>
      <c r="B170" s="929"/>
      <c r="C170" s="306" t="s">
        <v>326</v>
      </c>
      <c r="D170" s="305" t="s">
        <v>324</v>
      </c>
      <c r="E170" s="283">
        <v>0</v>
      </c>
      <c r="F170" s="284"/>
      <c r="G170" s="340">
        <f t="shared" si="205"/>
        <v>7956</v>
      </c>
      <c r="H170" s="285">
        <v>7956</v>
      </c>
      <c r="I170" s="285">
        <v>0</v>
      </c>
      <c r="J170" s="359" t="str">
        <f>IFERROR(G170/#REF!,"-")</f>
        <v>-</v>
      </c>
      <c r="K170" s="340">
        <f t="shared" si="206"/>
        <v>7956</v>
      </c>
      <c r="L170" s="285">
        <f t="shared" ref="L170:M170" si="215">+H170+L67</f>
        <v>7956</v>
      </c>
      <c r="M170" s="286">
        <f t="shared" si="215"/>
        <v>0</v>
      </c>
      <c r="N170" s="344" t="str">
        <f t="shared" ref="N170:N187" si="216">IFERROR(K170/E170,"-")</f>
        <v>-</v>
      </c>
      <c r="O170" s="353">
        <f t="shared" si="138"/>
        <v>0</v>
      </c>
    </row>
    <row r="171" spans="1:15" ht="24" thickBot="1" x14ac:dyDescent="0.35">
      <c r="A171" s="277" t="s">
        <v>109</v>
      </c>
      <c r="B171" s="930"/>
      <c r="C171" s="307"/>
      <c r="D171" s="308" t="s">
        <v>55</v>
      </c>
      <c r="E171" s="288">
        <v>0</v>
      </c>
      <c r="F171" s="289"/>
      <c r="G171" s="326">
        <f>SUM(G162:G170)</f>
        <v>72355</v>
      </c>
      <c r="H171" s="327">
        <f>SUM(H162:H170)</f>
        <v>71604</v>
      </c>
      <c r="I171" s="327">
        <f>SUM(I162:I170)</f>
        <v>751</v>
      </c>
      <c r="J171" s="351" t="str">
        <f>IFERROR(G171/#REF!,"-")</f>
        <v>-</v>
      </c>
      <c r="K171" s="326">
        <f>SUM(K162:K170)</f>
        <v>92840</v>
      </c>
      <c r="L171" s="327">
        <f>SUM(L162:L170)</f>
        <v>91494</v>
      </c>
      <c r="M171" s="328">
        <f>SUM(M162:M170)</f>
        <v>1346</v>
      </c>
      <c r="N171" s="345" t="str">
        <f t="shared" si="216"/>
        <v>-</v>
      </c>
      <c r="O171" s="351">
        <f t="shared" si="138"/>
        <v>1.4498061180525636E-2</v>
      </c>
    </row>
    <row r="172" spans="1:15" ht="23.4" x14ac:dyDescent="0.3">
      <c r="A172" s="277" t="s">
        <v>109</v>
      </c>
      <c r="B172" s="931" t="s">
        <v>28</v>
      </c>
      <c r="C172" s="303" t="s">
        <v>322</v>
      </c>
      <c r="D172" s="303" t="s">
        <v>193</v>
      </c>
      <c r="E172" s="273">
        <v>0</v>
      </c>
      <c r="F172" s="274"/>
      <c r="G172" s="338">
        <f t="shared" ref="G172:G174" si="217">+H172+I172</f>
        <v>0</v>
      </c>
      <c r="H172" s="275">
        <v>0</v>
      </c>
      <c r="I172" s="275">
        <v>0</v>
      </c>
      <c r="J172" s="357" t="str">
        <f>IFERROR(G172/#REF!,"-")</f>
        <v>-</v>
      </c>
      <c r="K172" s="338">
        <f t="shared" ref="K172:K174" si="218">+L172+M172</f>
        <v>0</v>
      </c>
      <c r="L172" s="275">
        <f t="shared" ref="L172:M172" si="219">+H172+L69</f>
        <v>0</v>
      </c>
      <c r="M172" s="276">
        <f t="shared" si="219"/>
        <v>0</v>
      </c>
      <c r="N172" s="342" t="str">
        <f t="shared" si="216"/>
        <v>-</v>
      </c>
      <c r="O172" s="352" t="str">
        <f t="shared" si="138"/>
        <v>-</v>
      </c>
    </row>
    <row r="173" spans="1:15" ht="23.4" x14ac:dyDescent="0.3">
      <c r="A173" s="277" t="s">
        <v>109</v>
      </c>
      <c r="B173" s="929"/>
      <c r="C173" s="305" t="s">
        <v>27</v>
      </c>
      <c r="D173" s="305" t="s">
        <v>311</v>
      </c>
      <c r="E173" s="279">
        <v>0</v>
      </c>
      <c r="F173" s="280"/>
      <c r="G173" s="339">
        <f t="shared" si="217"/>
        <v>0</v>
      </c>
      <c r="H173" s="281">
        <v>0</v>
      </c>
      <c r="I173" s="281">
        <v>0</v>
      </c>
      <c r="J173" s="358" t="str">
        <f>IFERROR(G173/#REF!,"-")</f>
        <v>-</v>
      </c>
      <c r="K173" s="339">
        <f t="shared" si="218"/>
        <v>0</v>
      </c>
      <c r="L173" s="281">
        <f t="shared" ref="L173:M173" si="220">+H173+L70</f>
        <v>0</v>
      </c>
      <c r="M173" s="251">
        <f t="shared" si="220"/>
        <v>0</v>
      </c>
      <c r="N173" s="343" t="str">
        <f t="shared" si="216"/>
        <v>-</v>
      </c>
      <c r="O173" s="264" t="str">
        <f t="shared" si="138"/>
        <v>-</v>
      </c>
    </row>
    <row r="174" spans="1:15" ht="24" thickBot="1" x14ac:dyDescent="0.35">
      <c r="A174" s="277" t="s">
        <v>109</v>
      </c>
      <c r="B174" s="929"/>
      <c r="C174" s="305" t="s">
        <v>27</v>
      </c>
      <c r="D174" s="306" t="s">
        <v>259</v>
      </c>
      <c r="E174" s="283">
        <v>0</v>
      </c>
      <c r="F174" s="284"/>
      <c r="G174" s="340">
        <f t="shared" si="217"/>
        <v>0</v>
      </c>
      <c r="H174" s="285">
        <v>0</v>
      </c>
      <c r="I174" s="285">
        <v>0</v>
      </c>
      <c r="J174" s="359" t="str">
        <f>IFERROR(G174/#REF!,"-")</f>
        <v>-</v>
      </c>
      <c r="K174" s="340">
        <f t="shared" si="218"/>
        <v>0</v>
      </c>
      <c r="L174" s="285">
        <f t="shared" ref="L174:M174" si="221">+H174+L71</f>
        <v>0</v>
      </c>
      <c r="M174" s="286">
        <f t="shared" si="221"/>
        <v>0</v>
      </c>
      <c r="N174" s="344" t="str">
        <f t="shared" si="216"/>
        <v>-</v>
      </c>
      <c r="O174" s="353" t="str">
        <f t="shared" si="138"/>
        <v>-</v>
      </c>
    </row>
    <row r="175" spans="1:15" ht="24" thickBot="1" x14ac:dyDescent="0.35">
      <c r="A175" s="277" t="s">
        <v>109</v>
      </c>
      <c r="B175" s="929"/>
      <c r="C175" s="310"/>
      <c r="D175" s="311" t="s">
        <v>55</v>
      </c>
      <c r="E175" s="312">
        <v>0</v>
      </c>
      <c r="F175" s="313"/>
      <c r="G175" s="372">
        <f>SUM(G172:G174)</f>
        <v>0</v>
      </c>
      <c r="H175" s="371">
        <f t="shared" ref="H175:I175" si="222">SUM(H172:H174)</f>
        <v>0</v>
      </c>
      <c r="I175" s="371">
        <f t="shared" si="222"/>
        <v>0</v>
      </c>
      <c r="J175" s="362" t="str">
        <f>IFERROR(G175/#REF!,"-")</f>
        <v>-</v>
      </c>
      <c r="K175" s="372">
        <f>SUM(K172:K174)</f>
        <v>0</v>
      </c>
      <c r="L175" s="371">
        <f t="shared" ref="L175:M175" si="223">SUM(L172:L174)</f>
        <v>0</v>
      </c>
      <c r="M175" s="373">
        <f t="shared" si="223"/>
        <v>0</v>
      </c>
      <c r="N175" s="361" t="str">
        <f t="shared" si="216"/>
        <v>-</v>
      </c>
      <c r="O175" s="362" t="str">
        <f t="shared" si="138"/>
        <v>-</v>
      </c>
    </row>
    <row r="176" spans="1:15" ht="24" thickBot="1" x14ac:dyDescent="0.35">
      <c r="A176" s="672" t="s">
        <v>109</v>
      </c>
      <c r="B176" s="932" t="s">
        <v>171</v>
      </c>
      <c r="C176" s="933"/>
      <c r="D176" s="934"/>
      <c r="E176" s="314">
        <v>2167000</v>
      </c>
      <c r="F176" s="315">
        <v>80000</v>
      </c>
      <c r="G176" s="375">
        <f>+G171+G175</f>
        <v>72355</v>
      </c>
      <c r="H176" s="374">
        <f t="shared" ref="H176:I176" si="224">+H171+H175</f>
        <v>71604</v>
      </c>
      <c r="I176" s="374">
        <f t="shared" si="224"/>
        <v>751</v>
      </c>
      <c r="J176" s="364" t="str">
        <f>IFERROR(G176/#REF!,"-")</f>
        <v>-</v>
      </c>
      <c r="K176" s="375">
        <f>+K171+K175</f>
        <v>92840</v>
      </c>
      <c r="L176" s="374">
        <f>+L171+L175</f>
        <v>91494</v>
      </c>
      <c r="M176" s="376">
        <f t="shared" ref="M176" si="225">+M171+M175</f>
        <v>1346</v>
      </c>
      <c r="N176" s="363">
        <f t="shared" si="216"/>
        <v>4.2842639593908632E-2</v>
      </c>
      <c r="O176" s="364">
        <f t="shared" si="138"/>
        <v>1.4498061180525636E-2</v>
      </c>
    </row>
    <row r="177" spans="1:15" ht="23.4" x14ac:dyDescent="0.3">
      <c r="A177" s="277" t="s">
        <v>109</v>
      </c>
      <c r="B177" s="929" t="s">
        <v>30</v>
      </c>
      <c r="C177" s="309" t="s">
        <v>396</v>
      </c>
      <c r="D177" s="303" t="s">
        <v>193</v>
      </c>
      <c r="E177" s="273">
        <v>0</v>
      </c>
      <c r="F177" s="274"/>
      <c r="G177" s="338">
        <f t="shared" ref="G177:G179" si="226">+H177+I177</f>
        <v>0</v>
      </c>
      <c r="H177" s="275">
        <v>0</v>
      </c>
      <c r="I177" s="275">
        <v>0</v>
      </c>
      <c r="J177" s="357" t="str">
        <f>IFERROR(G177/#REF!,"-")</f>
        <v>-</v>
      </c>
      <c r="K177" s="338">
        <f t="shared" ref="K177:K179" si="227">+L177+M177</f>
        <v>0</v>
      </c>
      <c r="L177" s="275">
        <f t="shared" ref="L177:M177" si="228">+H177+L74</f>
        <v>0</v>
      </c>
      <c r="M177" s="276">
        <f t="shared" si="228"/>
        <v>0</v>
      </c>
      <c r="N177" s="342" t="str">
        <f t="shared" si="216"/>
        <v>-</v>
      </c>
      <c r="O177" s="352" t="str">
        <f t="shared" si="138"/>
        <v>-</v>
      </c>
    </row>
    <row r="178" spans="1:15" ht="23.4" x14ac:dyDescent="0.3">
      <c r="A178" s="277" t="s">
        <v>109</v>
      </c>
      <c r="B178" s="929"/>
      <c r="C178" s="309" t="s">
        <v>395</v>
      </c>
      <c r="D178" s="309" t="s">
        <v>324</v>
      </c>
      <c r="E178" s="279">
        <v>0</v>
      </c>
      <c r="F178" s="280"/>
      <c r="G178" s="339">
        <f t="shared" si="226"/>
        <v>0</v>
      </c>
      <c r="H178" s="281">
        <v>0</v>
      </c>
      <c r="I178" s="281">
        <v>0</v>
      </c>
      <c r="J178" s="358" t="str">
        <f>IFERROR(G178/#REF!,"-")</f>
        <v>-</v>
      </c>
      <c r="K178" s="339">
        <f t="shared" si="227"/>
        <v>0</v>
      </c>
      <c r="L178" s="281">
        <f t="shared" ref="L178:M178" si="229">+H178+L75</f>
        <v>0</v>
      </c>
      <c r="M178" s="251">
        <f t="shared" si="229"/>
        <v>0</v>
      </c>
      <c r="N178" s="343" t="str">
        <f t="shared" si="216"/>
        <v>-</v>
      </c>
      <c r="O178" s="264" t="str">
        <f t="shared" si="138"/>
        <v>-</v>
      </c>
    </row>
    <row r="179" spans="1:15" ht="24" thickBot="1" x14ac:dyDescent="0.35">
      <c r="A179" s="277" t="s">
        <v>109</v>
      </c>
      <c r="B179" s="929"/>
      <c r="C179" s="306" t="s">
        <v>327</v>
      </c>
      <c r="D179" s="306"/>
      <c r="E179" s="283">
        <v>0</v>
      </c>
      <c r="F179" s="284"/>
      <c r="G179" s="340">
        <f t="shared" si="226"/>
        <v>0</v>
      </c>
      <c r="H179" s="285">
        <v>0</v>
      </c>
      <c r="I179" s="285">
        <v>0</v>
      </c>
      <c r="J179" s="359" t="str">
        <f>IFERROR(G179/#REF!,"-")</f>
        <v>-</v>
      </c>
      <c r="K179" s="340">
        <f t="shared" si="227"/>
        <v>0</v>
      </c>
      <c r="L179" s="285">
        <f t="shared" ref="L179:M179" si="230">+H179+L76</f>
        <v>0</v>
      </c>
      <c r="M179" s="286">
        <f t="shared" si="230"/>
        <v>0</v>
      </c>
      <c r="N179" s="344" t="str">
        <f t="shared" si="216"/>
        <v>-</v>
      </c>
      <c r="O179" s="353" t="str">
        <f t="shared" si="138"/>
        <v>-</v>
      </c>
    </row>
    <row r="180" spans="1:15" ht="24" thickBot="1" x14ac:dyDescent="0.35">
      <c r="A180" s="277" t="s">
        <v>109</v>
      </c>
      <c r="B180" s="929"/>
      <c r="C180" s="307"/>
      <c r="D180" s="308" t="s">
        <v>53</v>
      </c>
      <c r="E180" s="288">
        <v>0</v>
      </c>
      <c r="F180" s="289"/>
      <c r="G180" s="326">
        <f>SUM(G177:G179)</f>
        <v>0</v>
      </c>
      <c r="H180" s="327">
        <f t="shared" ref="H180:I180" si="231">SUM(H177:H179)</f>
        <v>0</v>
      </c>
      <c r="I180" s="327">
        <f t="shared" si="231"/>
        <v>0</v>
      </c>
      <c r="J180" s="351" t="str">
        <f>IFERROR(G180/#REF!,"-")</f>
        <v>-</v>
      </c>
      <c r="K180" s="326">
        <f t="shared" ref="K180" si="232">SUM(K177:K179)</f>
        <v>0</v>
      </c>
      <c r="L180" s="327">
        <f>SUM(L177:L179)</f>
        <v>0</v>
      </c>
      <c r="M180" s="328">
        <f t="shared" ref="M180" si="233">SUM(M177:M179)</f>
        <v>0</v>
      </c>
      <c r="N180" s="345" t="str">
        <f t="shared" si="216"/>
        <v>-</v>
      </c>
      <c r="O180" s="351" t="str">
        <f t="shared" si="138"/>
        <v>-</v>
      </c>
    </row>
    <row r="181" spans="1:15" ht="23.4" x14ac:dyDescent="0.3">
      <c r="A181" s="277" t="s">
        <v>109</v>
      </c>
      <c r="B181" s="929"/>
      <c r="C181" s="303" t="s">
        <v>352</v>
      </c>
      <c r="D181" s="303"/>
      <c r="E181" s="273">
        <v>0</v>
      </c>
      <c r="F181" s="274"/>
      <c r="G181" s="338">
        <f t="shared" ref="G181:G183" si="234">+H181+I181</f>
        <v>0</v>
      </c>
      <c r="H181" s="275">
        <v>0</v>
      </c>
      <c r="I181" s="275">
        <v>0</v>
      </c>
      <c r="J181" s="357" t="str">
        <f>IFERROR(G181/#REF!,"-")</f>
        <v>-</v>
      </c>
      <c r="K181" s="338">
        <f t="shared" ref="K181:K183" si="235">+L181+M181</f>
        <v>0</v>
      </c>
      <c r="L181" s="275">
        <f t="shared" ref="L181:M181" si="236">+H181+L78</f>
        <v>0</v>
      </c>
      <c r="M181" s="276">
        <f t="shared" si="236"/>
        <v>0</v>
      </c>
      <c r="N181" s="342" t="str">
        <f t="shared" si="216"/>
        <v>-</v>
      </c>
      <c r="O181" s="352" t="str">
        <f t="shared" si="138"/>
        <v>-</v>
      </c>
    </row>
    <row r="182" spans="1:15" ht="23.4" x14ac:dyDescent="0.3">
      <c r="A182" s="277" t="s">
        <v>109</v>
      </c>
      <c r="B182" s="929"/>
      <c r="C182" s="309" t="s">
        <v>397</v>
      </c>
      <c r="D182" s="309" t="s">
        <v>259</v>
      </c>
      <c r="E182" s="279">
        <v>0</v>
      </c>
      <c r="F182" s="280"/>
      <c r="G182" s="339">
        <f t="shared" si="234"/>
        <v>72406</v>
      </c>
      <c r="H182" s="281">
        <v>71136</v>
      </c>
      <c r="I182" s="281">
        <v>1270</v>
      </c>
      <c r="J182" s="358" t="str">
        <f>IFERROR(G182/#REF!,"-")</f>
        <v>-</v>
      </c>
      <c r="K182" s="339">
        <f t="shared" si="235"/>
        <v>157755</v>
      </c>
      <c r="L182" s="281">
        <f t="shared" ref="L182:M182" si="237">+H182+L79</f>
        <v>155376</v>
      </c>
      <c r="M182" s="251">
        <f t="shared" si="237"/>
        <v>2379</v>
      </c>
      <c r="N182" s="343" t="str">
        <f t="shared" si="216"/>
        <v>-</v>
      </c>
      <c r="O182" s="264">
        <f t="shared" si="138"/>
        <v>1.508034610630408E-2</v>
      </c>
    </row>
    <row r="183" spans="1:15" ht="24" thickBot="1" x14ac:dyDescent="0.35">
      <c r="A183" s="277" t="s">
        <v>109</v>
      </c>
      <c r="B183" s="929"/>
      <c r="C183" s="306" t="s">
        <v>146</v>
      </c>
      <c r="D183" s="306"/>
      <c r="E183" s="283">
        <v>0</v>
      </c>
      <c r="F183" s="284"/>
      <c r="G183" s="340">
        <f t="shared" si="234"/>
        <v>0</v>
      </c>
      <c r="H183" s="285">
        <v>0</v>
      </c>
      <c r="I183" s="285">
        <v>0</v>
      </c>
      <c r="J183" s="359" t="str">
        <f>IFERROR(G183/#REF!,"-")</f>
        <v>-</v>
      </c>
      <c r="K183" s="340">
        <f t="shared" si="235"/>
        <v>0</v>
      </c>
      <c r="L183" s="285">
        <f t="shared" ref="L183:M183" si="238">+H183+L80</f>
        <v>0</v>
      </c>
      <c r="M183" s="286">
        <f t="shared" si="238"/>
        <v>0</v>
      </c>
      <c r="N183" s="344" t="str">
        <f t="shared" si="216"/>
        <v>-</v>
      </c>
      <c r="O183" s="353" t="str">
        <f t="shared" si="138"/>
        <v>-</v>
      </c>
    </row>
    <row r="184" spans="1:15" ht="24" thickBot="1" x14ac:dyDescent="0.35">
      <c r="A184" s="277" t="s">
        <v>109</v>
      </c>
      <c r="B184" s="929"/>
      <c r="C184" s="310"/>
      <c r="D184" s="311" t="s">
        <v>54</v>
      </c>
      <c r="E184" s="312">
        <v>0</v>
      </c>
      <c r="F184" s="313"/>
      <c r="G184" s="372">
        <f>SUM(G181:G183)</f>
        <v>72406</v>
      </c>
      <c r="H184" s="371">
        <f t="shared" ref="H184:I184" si="239">SUM(H181:H183)</f>
        <v>71136</v>
      </c>
      <c r="I184" s="371">
        <f t="shared" si="239"/>
        <v>1270</v>
      </c>
      <c r="J184" s="362" t="str">
        <f>IFERROR(G184/#REF!,"-")</f>
        <v>-</v>
      </c>
      <c r="K184" s="372">
        <f t="shared" ref="K184:M184" si="240">SUM(K181:K183)</f>
        <v>157755</v>
      </c>
      <c r="L184" s="371">
        <f t="shared" si="240"/>
        <v>155376</v>
      </c>
      <c r="M184" s="373">
        <f t="shared" si="240"/>
        <v>2379</v>
      </c>
      <c r="N184" s="361" t="str">
        <f t="shared" si="216"/>
        <v>-</v>
      </c>
      <c r="O184" s="362">
        <f t="shared" si="138"/>
        <v>1.508034610630408E-2</v>
      </c>
    </row>
    <row r="185" spans="1:15" ht="24" thickBot="1" x14ac:dyDescent="0.35">
      <c r="A185" s="277" t="s">
        <v>109</v>
      </c>
      <c r="B185" s="932" t="s">
        <v>172</v>
      </c>
      <c r="C185" s="933"/>
      <c r="D185" s="934"/>
      <c r="E185" s="314">
        <v>649600</v>
      </c>
      <c r="F185" s="315">
        <v>50000</v>
      </c>
      <c r="G185" s="375">
        <f>+G180+G184</f>
        <v>72406</v>
      </c>
      <c r="H185" s="374">
        <f t="shared" ref="H185:I185" si="241">+H180+H184</f>
        <v>71136</v>
      </c>
      <c r="I185" s="374">
        <f t="shared" si="241"/>
        <v>1270</v>
      </c>
      <c r="J185" s="364" t="str">
        <f>IFERROR(G185/#REF!,"-")</f>
        <v>-</v>
      </c>
      <c r="K185" s="375">
        <f t="shared" ref="K185:M185" si="242">+K180+K184</f>
        <v>157755</v>
      </c>
      <c r="L185" s="374">
        <f t="shared" si="242"/>
        <v>155376</v>
      </c>
      <c r="M185" s="376">
        <f t="shared" si="242"/>
        <v>2379</v>
      </c>
      <c r="N185" s="363">
        <f t="shared" si="216"/>
        <v>0.24284944581280787</v>
      </c>
      <c r="O185" s="364">
        <f t="shared" ref="O185:O187" si="243">IFERROR(M185/K185,"-")</f>
        <v>1.508034610630408E-2</v>
      </c>
    </row>
    <row r="186" spans="1:15" ht="24" thickBot="1" x14ac:dyDescent="0.35">
      <c r="A186" s="277" t="s">
        <v>109</v>
      </c>
      <c r="B186" s="616" t="s">
        <v>32</v>
      </c>
      <c r="C186" s="667"/>
      <c r="D186" s="316" t="s">
        <v>32</v>
      </c>
      <c r="E186" s="293">
        <v>0</v>
      </c>
      <c r="F186" s="294">
        <v>110000</v>
      </c>
      <c r="G186" s="341">
        <f t="shared" ref="G186" si="244">+H186+I186</f>
        <v>0</v>
      </c>
      <c r="H186" s="295">
        <v>0</v>
      </c>
      <c r="I186" s="295">
        <v>0</v>
      </c>
      <c r="J186" s="360" t="str">
        <f>IFERROR(G186/#REF!,"-")</f>
        <v>-</v>
      </c>
      <c r="K186" s="341">
        <f>+L186+M186</f>
        <v>0</v>
      </c>
      <c r="L186" s="295">
        <f>+H186+L83</f>
        <v>0</v>
      </c>
      <c r="M186" s="296">
        <f>+I186+M83</f>
        <v>0</v>
      </c>
      <c r="N186" s="346" t="str">
        <f t="shared" si="216"/>
        <v>-</v>
      </c>
      <c r="O186" s="354" t="str">
        <f t="shared" si="243"/>
        <v>-</v>
      </c>
    </row>
    <row r="187" spans="1:15" ht="24" thickBot="1" x14ac:dyDescent="0.35">
      <c r="A187" s="277" t="s">
        <v>109</v>
      </c>
      <c r="B187" s="926" t="s">
        <v>21</v>
      </c>
      <c r="C187" s="927"/>
      <c r="D187" s="928"/>
      <c r="E187" s="332">
        <f>+E176+E185+E186</f>
        <v>2816600</v>
      </c>
      <c r="F187" s="333">
        <f t="shared" ref="F187" si="245">+F176+F185+F186</f>
        <v>240000</v>
      </c>
      <c r="G187" s="332">
        <f>+G176+G185+G186</f>
        <v>144761</v>
      </c>
      <c r="H187" s="330">
        <f t="shared" ref="H187:I187" si="246">+H176+H185+H186</f>
        <v>142740</v>
      </c>
      <c r="I187" s="330">
        <f t="shared" si="246"/>
        <v>2021</v>
      </c>
      <c r="J187" s="355" t="str">
        <f>IFERROR(G187/#REF!,"-")</f>
        <v>-</v>
      </c>
      <c r="K187" s="332">
        <f>+K176+K185+K186</f>
        <v>250595</v>
      </c>
      <c r="L187" s="330">
        <f>+L176+L185+L186</f>
        <v>246870</v>
      </c>
      <c r="M187" s="331">
        <f t="shared" ref="M187" si="247">+M176+M185+M186</f>
        <v>3725</v>
      </c>
      <c r="N187" s="347">
        <f t="shared" si="216"/>
        <v>8.8970744869701052E-2</v>
      </c>
      <c r="O187" s="355">
        <f t="shared" si="243"/>
        <v>1.4864622199165985E-2</v>
      </c>
    </row>
    <row r="188" spans="1:15" ht="24" thickBot="1" x14ac:dyDescent="0.35">
      <c r="A188" s="277" t="s">
        <v>109</v>
      </c>
      <c r="B188" s="900" t="s">
        <v>180</v>
      </c>
      <c r="C188" s="901"/>
      <c r="D188" s="902"/>
      <c r="E188" s="336">
        <f>+E187</f>
        <v>2816600</v>
      </c>
      <c r="F188" s="337">
        <f t="shared" ref="F188:I188" si="248">+F187</f>
        <v>240000</v>
      </c>
      <c r="G188" s="336">
        <f t="shared" si="248"/>
        <v>144761</v>
      </c>
      <c r="H188" s="334">
        <f t="shared" si="248"/>
        <v>142740</v>
      </c>
      <c r="I188" s="334">
        <f t="shared" si="248"/>
        <v>2021</v>
      </c>
      <c r="J188" s="356" t="str">
        <f>+J187</f>
        <v>-</v>
      </c>
      <c r="K188" s="336">
        <f>+K187</f>
        <v>250595</v>
      </c>
      <c r="L188" s="334">
        <f t="shared" ref="L188" si="249">+L187</f>
        <v>246870</v>
      </c>
      <c r="M188" s="335">
        <f>+M187</f>
        <v>3725</v>
      </c>
      <c r="N188" s="348">
        <f t="shared" ref="N188:O188" si="250">+N187</f>
        <v>8.8970744869701052E-2</v>
      </c>
      <c r="O188" s="356">
        <f t="shared" si="250"/>
        <v>1.4864622199165985E-2</v>
      </c>
    </row>
    <row r="189" spans="1:15" ht="23.4" x14ac:dyDescent="0.3">
      <c r="A189" s="271" t="s">
        <v>110</v>
      </c>
      <c r="B189" s="903" t="s">
        <v>33</v>
      </c>
      <c r="C189" s="317" t="s">
        <v>121</v>
      </c>
      <c r="D189" s="317"/>
      <c r="E189" s="273">
        <v>0</v>
      </c>
      <c r="F189" s="274"/>
      <c r="G189" s="338">
        <f t="shared" ref="G189:G191" si="251">+H189+I189</f>
        <v>0</v>
      </c>
      <c r="H189" s="275">
        <v>0</v>
      </c>
      <c r="I189" s="275">
        <v>0</v>
      </c>
      <c r="J189" s="357" t="str">
        <f>IFERROR(G189/#REF!,"-")</f>
        <v>-</v>
      </c>
      <c r="K189" s="338">
        <f t="shared" ref="K189:K191" si="252">+L189+M189</f>
        <v>0</v>
      </c>
      <c r="L189" s="275">
        <f t="shared" ref="L189:M189" si="253">+H189+L86</f>
        <v>0</v>
      </c>
      <c r="M189" s="276">
        <f t="shared" si="253"/>
        <v>0</v>
      </c>
      <c r="N189" s="342" t="str">
        <f t="shared" ref="N189:N214" si="254">IFERROR(K189/E189,"-")</f>
        <v>-</v>
      </c>
      <c r="O189" s="352" t="str">
        <f t="shared" ref="O189:O214" si="255">IFERROR(M189/K189,"-")</f>
        <v>-</v>
      </c>
    </row>
    <row r="190" spans="1:15" ht="23.4" x14ac:dyDescent="0.3">
      <c r="A190" s="277" t="s">
        <v>110</v>
      </c>
      <c r="B190" s="904"/>
      <c r="C190" s="318" t="s">
        <v>274</v>
      </c>
      <c r="D190" s="318"/>
      <c r="E190" s="279">
        <v>0</v>
      </c>
      <c r="F190" s="280"/>
      <c r="G190" s="339">
        <f t="shared" si="251"/>
        <v>1145</v>
      </c>
      <c r="H190" s="281">
        <v>800</v>
      </c>
      <c r="I190" s="281">
        <v>345</v>
      </c>
      <c r="J190" s="358" t="str">
        <f>IFERROR(G190/#REF!,"-")</f>
        <v>-</v>
      </c>
      <c r="K190" s="339">
        <f t="shared" si="252"/>
        <v>1145</v>
      </c>
      <c r="L190" s="281">
        <f t="shared" ref="L190:M190" si="256">+H190+L87</f>
        <v>800</v>
      </c>
      <c r="M190" s="251">
        <f t="shared" si="256"/>
        <v>345</v>
      </c>
      <c r="N190" s="343" t="str">
        <f t="shared" si="254"/>
        <v>-</v>
      </c>
      <c r="O190" s="264">
        <f t="shared" si="255"/>
        <v>0.30131004366812225</v>
      </c>
    </row>
    <row r="191" spans="1:15" ht="24" thickBot="1" x14ac:dyDescent="0.35">
      <c r="A191" s="277" t="s">
        <v>110</v>
      </c>
      <c r="B191" s="905"/>
      <c r="C191" s="319" t="s">
        <v>34</v>
      </c>
      <c r="D191" s="319"/>
      <c r="E191" s="283">
        <v>0</v>
      </c>
      <c r="F191" s="284"/>
      <c r="G191" s="340">
        <f t="shared" si="251"/>
        <v>0</v>
      </c>
      <c r="H191" s="285">
        <v>0</v>
      </c>
      <c r="I191" s="285">
        <v>0</v>
      </c>
      <c r="J191" s="359" t="str">
        <f>IFERROR(G191/#REF!,"-")</f>
        <v>-</v>
      </c>
      <c r="K191" s="340">
        <f t="shared" si="252"/>
        <v>0</v>
      </c>
      <c r="L191" s="285">
        <f t="shared" ref="L191:M191" si="257">+H191+L88</f>
        <v>0</v>
      </c>
      <c r="M191" s="286">
        <f t="shared" si="257"/>
        <v>0</v>
      </c>
      <c r="N191" s="344" t="str">
        <f t="shared" si="254"/>
        <v>-</v>
      </c>
      <c r="O191" s="353" t="str">
        <f t="shared" si="255"/>
        <v>-</v>
      </c>
    </row>
    <row r="192" spans="1:15" ht="24" thickBot="1" x14ac:dyDescent="0.35">
      <c r="A192" s="277" t="s">
        <v>110</v>
      </c>
      <c r="B192" s="906" t="s">
        <v>35</v>
      </c>
      <c r="C192" s="907"/>
      <c r="D192" s="908"/>
      <c r="E192" s="288">
        <v>83700</v>
      </c>
      <c r="F192" s="289"/>
      <c r="G192" s="326">
        <f>SUM(G189:G191)</f>
        <v>1145</v>
      </c>
      <c r="H192" s="327">
        <f t="shared" ref="H192:I192" si="258">SUM(H189:H191)</f>
        <v>800</v>
      </c>
      <c r="I192" s="327">
        <f t="shared" si="258"/>
        <v>345</v>
      </c>
      <c r="J192" s="351" t="str">
        <f>IFERROR(G192/#REF!,"-")</f>
        <v>-</v>
      </c>
      <c r="K192" s="326">
        <f t="shared" ref="K192:M192" si="259">SUM(K189:K191)</f>
        <v>1145</v>
      </c>
      <c r="L192" s="327">
        <f t="shared" si="259"/>
        <v>800</v>
      </c>
      <c r="M192" s="328">
        <f t="shared" si="259"/>
        <v>345</v>
      </c>
      <c r="N192" s="345">
        <f t="shared" si="254"/>
        <v>1.3679808841099164E-2</v>
      </c>
      <c r="O192" s="351">
        <f t="shared" si="255"/>
        <v>0.30131004366812225</v>
      </c>
    </row>
    <row r="193" spans="1:15" ht="23.4" x14ac:dyDescent="0.3">
      <c r="A193" s="277" t="s">
        <v>110</v>
      </c>
      <c r="B193" s="903" t="s">
        <v>36</v>
      </c>
      <c r="C193" s="317" t="s">
        <v>121</v>
      </c>
      <c r="D193" s="317"/>
      <c r="E193" s="273">
        <v>0</v>
      </c>
      <c r="F193" s="274"/>
      <c r="G193" s="338">
        <f t="shared" ref="G193:G196" si="260">+H193+I193</f>
        <v>0</v>
      </c>
      <c r="H193" s="275">
        <v>0</v>
      </c>
      <c r="I193" s="275">
        <v>0</v>
      </c>
      <c r="J193" s="357" t="str">
        <f>IFERROR(G193/#REF!,"-")</f>
        <v>-</v>
      </c>
      <c r="K193" s="338">
        <f t="shared" ref="K193:K196" si="261">+L193+M193</f>
        <v>0</v>
      </c>
      <c r="L193" s="275">
        <f t="shared" ref="L193:M193" si="262">+H193+L90</f>
        <v>0</v>
      </c>
      <c r="M193" s="276">
        <f t="shared" si="262"/>
        <v>0</v>
      </c>
      <c r="N193" s="342" t="str">
        <f t="shared" si="254"/>
        <v>-</v>
      </c>
      <c r="O193" s="352" t="str">
        <f t="shared" si="255"/>
        <v>-</v>
      </c>
    </row>
    <row r="194" spans="1:15" ht="23.4" x14ac:dyDescent="0.3">
      <c r="A194" s="277" t="s">
        <v>110</v>
      </c>
      <c r="B194" s="904"/>
      <c r="C194" s="318" t="s">
        <v>274</v>
      </c>
      <c r="D194" s="318"/>
      <c r="E194" s="279">
        <v>0</v>
      </c>
      <c r="F194" s="280"/>
      <c r="G194" s="339">
        <f t="shared" si="260"/>
        <v>0</v>
      </c>
      <c r="H194" s="281">
        <v>0</v>
      </c>
      <c r="I194" s="281">
        <v>0</v>
      </c>
      <c r="J194" s="358" t="str">
        <f>IFERROR(G194/#REF!,"-")</f>
        <v>-</v>
      </c>
      <c r="K194" s="339">
        <f t="shared" si="261"/>
        <v>0</v>
      </c>
      <c r="L194" s="281">
        <f t="shared" ref="L194:M194" si="263">+H194+L91</f>
        <v>0</v>
      </c>
      <c r="M194" s="251">
        <f t="shared" si="263"/>
        <v>0</v>
      </c>
      <c r="N194" s="343" t="str">
        <f t="shared" si="254"/>
        <v>-</v>
      </c>
      <c r="O194" s="264" t="str">
        <f t="shared" si="255"/>
        <v>-</v>
      </c>
    </row>
    <row r="195" spans="1:15" ht="23.4" x14ac:dyDescent="0.3">
      <c r="A195" s="277" t="s">
        <v>110</v>
      </c>
      <c r="B195" s="904"/>
      <c r="C195" s="318" t="s">
        <v>201</v>
      </c>
      <c r="D195" s="318"/>
      <c r="E195" s="279">
        <v>0</v>
      </c>
      <c r="F195" s="280"/>
      <c r="G195" s="339">
        <f t="shared" si="260"/>
        <v>0</v>
      </c>
      <c r="H195" s="281">
        <v>0</v>
      </c>
      <c r="I195" s="281">
        <v>0</v>
      </c>
      <c r="J195" s="358" t="str">
        <f>IFERROR(G195/#REF!,"-")</f>
        <v>-</v>
      </c>
      <c r="K195" s="339">
        <f t="shared" si="261"/>
        <v>0</v>
      </c>
      <c r="L195" s="281">
        <f t="shared" ref="L195:M195" si="264">+H195+L92</f>
        <v>0</v>
      </c>
      <c r="M195" s="251">
        <f t="shared" si="264"/>
        <v>0</v>
      </c>
      <c r="N195" s="343" t="str">
        <f t="shared" si="254"/>
        <v>-</v>
      </c>
      <c r="O195" s="264" t="str">
        <f t="shared" si="255"/>
        <v>-</v>
      </c>
    </row>
    <row r="196" spans="1:15" ht="24" thickBot="1" x14ac:dyDescent="0.35">
      <c r="A196" s="277" t="s">
        <v>110</v>
      </c>
      <c r="B196" s="905"/>
      <c r="C196" s="319" t="s">
        <v>37</v>
      </c>
      <c r="D196" s="319"/>
      <c r="E196" s="283">
        <v>0</v>
      </c>
      <c r="F196" s="284"/>
      <c r="G196" s="340">
        <f t="shared" si="260"/>
        <v>0</v>
      </c>
      <c r="H196" s="285">
        <v>0</v>
      </c>
      <c r="I196" s="285">
        <v>0</v>
      </c>
      <c r="J196" s="359" t="str">
        <f>IFERROR(G196/#REF!,"-")</f>
        <v>-</v>
      </c>
      <c r="K196" s="340">
        <f t="shared" si="261"/>
        <v>0</v>
      </c>
      <c r="L196" s="285">
        <f t="shared" ref="L196:M196" si="265">+H196+L93</f>
        <v>0</v>
      </c>
      <c r="M196" s="286">
        <f t="shared" si="265"/>
        <v>0</v>
      </c>
      <c r="N196" s="344" t="str">
        <f t="shared" si="254"/>
        <v>-</v>
      </c>
      <c r="O196" s="353" t="str">
        <f t="shared" si="255"/>
        <v>-</v>
      </c>
    </row>
    <row r="197" spans="1:15" ht="24" thickBot="1" x14ac:dyDescent="0.35">
      <c r="A197" s="277" t="s">
        <v>110</v>
      </c>
      <c r="B197" s="906" t="s">
        <v>38</v>
      </c>
      <c r="C197" s="907"/>
      <c r="D197" s="908"/>
      <c r="E197" s="288">
        <v>10300</v>
      </c>
      <c r="F197" s="289">
        <v>6500</v>
      </c>
      <c r="G197" s="326">
        <f>SUM(G193:G196)</f>
        <v>0</v>
      </c>
      <c r="H197" s="327">
        <f t="shared" ref="H197:I197" si="266">SUM(H193:H196)</f>
        <v>0</v>
      </c>
      <c r="I197" s="327">
        <f t="shared" si="266"/>
        <v>0</v>
      </c>
      <c r="J197" s="351" t="str">
        <f>IFERROR(G197/#REF!,"-")</f>
        <v>-</v>
      </c>
      <c r="K197" s="326">
        <f t="shared" ref="K197:M197" si="267">SUM(K193:K196)</f>
        <v>0</v>
      </c>
      <c r="L197" s="327">
        <f t="shared" si="267"/>
        <v>0</v>
      </c>
      <c r="M197" s="328">
        <f t="shared" si="267"/>
        <v>0</v>
      </c>
      <c r="N197" s="345">
        <f t="shared" si="254"/>
        <v>0</v>
      </c>
      <c r="O197" s="351" t="str">
        <f t="shared" si="255"/>
        <v>-</v>
      </c>
    </row>
    <row r="198" spans="1:15" ht="23.4" x14ac:dyDescent="0.3">
      <c r="A198" s="277" t="s">
        <v>110</v>
      </c>
      <c r="B198" s="903" t="s">
        <v>39</v>
      </c>
      <c r="C198" s="320" t="s">
        <v>124</v>
      </c>
      <c r="D198" s="320"/>
      <c r="E198" s="273">
        <v>0</v>
      </c>
      <c r="F198" s="274"/>
      <c r="G198" s="338">
        <f t="shared" ref="G198:G199" si="268">+H198+I198</f>
        <v>0</v>
      </c>
      <c r="H198" s="275">
        <v>0</v>
      </c>
      <c r="I198" s="275">
        <v>0</v>
      </c>
      <c r="J198" s="357" t="str">
        <f>IFERROR(G198/#REF!,"-")</f>
        <v>-</v>
      </c>
      <c r="K198" s="338">
        <f t="shared" ref="K198:K199" si="269">+L198+M198</f>
        <v>0</v>
      </c>
      <c r="L198" s="275">
        <f t="shared" ref="L198:M198" si="270">+H198+L95</f>
        <v>0</v>
      </c>
      <c r="M198" s="276">
        <f t="shared" si="270"/>
        <v>0</v>
      </c>
      <c r="N198" s="342" t="str">
        <f t="shared" si="254"/>
        <v>-</v>
      </c>
      <c r="O198" s="352" t="str">
        <f t="shared" si="255"/>
        <v>-</v>
      </c>
    </row>
    <row r="199" spans="1:15" ht="24" thickBot="1" x14ac:dyDescent="0.35">
      <c r="A199" s="277" t="s">
        <v>110</v>
      </c>
      <c r="B199" s="905"/>
      <c r="C199" s="290" t="s">
        <v>140</v>
      </c>
      <c r="D199" s="290"/>
      <c r="E199" s="283">
        <v>0</v>
      </c>
      <c r="F199" s="284"/>
      <c r="G199" s="340">
        <f t="shared" si="268"/>
        <v>0</v>
      </c>
      <c r="H199" s="285">
        <v>0</v>
      </c>
      <c r="I199" s="285">
        <v>0</v>
      </c>
      <c r="J199" s="359" t="str">
        <f>IFERROR(G199/#REF!,"-")</f>
        <v>-</v>
      </c>
      <c r="K199" s="340">
        <f t="shared" si="269"/>
        <v>0</v>
      </c>
      <c r="L199" s="285">
        <f t="shared" ref="L199:M199" si="271">+H199+L96</f>
        <v>0</v>
      </c>
      <c r="M199" s="286">
        <f t="shared" si="271"/>
        <v>0</v>
      </c>
      <c r="N199" s="344" t="str">
        <f t="shared" si="254"/>
        <v>-</v>
      </c>
      <c r="O199" s="353" t="str">
        <f t="shared" si="255"/>
        <v>-</v>
      </c>
    </row>
    <row r="200" spans="1:15" ht="24" thickBot="1" x14ac:dyDescent="0.35">
      <c r="A200" s="672" t="s">
        <v>110</v>
      </c>
      <c r="B200" s="906" t="s">
        <v>40</v>
      </c>
      <c r="C200" s="907"/>
      <c r="D200" s="908"/>
      <c r="E200" s="288">
        <v>30000</v>
      </c>
      <c r="F200" s="289">
        <v>2800</v>
      </c>
      <c r="G200" s="326">
        <f>SUM(G198:G199)</f>
        <v>0</v>
      </c>
      <c r="H200" s="327">
        <f t="shared" ref="H200:I200" si="272">SUM(H198:H199)</f>
        <v>0</v>
      </c>
      <c r="I200" s="327">
        <f t="shared" si="272"/>
        <v>0</v>
      </c>
      <c r="J200" s="351" t="str">
        <f>IFERROR(G200/#REF!,"-")</f>
        <v>-</v>
      </c>
      <c r="K200" s="326">
        <f t="shared" ref="K200:M200" si="273">SUM(K198:K199)</f>
        <v>0</v>
      </c>
      <c r="L200" s="327">
        <f t="shared" si="273"/>
        <v>0</v>
      </c>
      <c r="M200" s="328">
        <f t="shared" si="273"/>
        <v>0</v>
      </c>
      <c r="N200" s="345">
        <f t="shared" si="254"/>
        <v>0</v>
      </c>
      <c r="O200" s="351" t="str">
        <f t="shared" si="255"/>
        <v>-</v>
      </c>
    </row>
    <row r="201" spans="1:15" ht="23.4" x14ac:dyDescent="0.3">
      <c r="A201" s="277" t="s">
        <v>110</v>
      </c>
      <c r="B201" s="903" t="s">
        <v>41</v>
      </c>
      <c r="C201" s="272" t="s">
        <v>346</v>
      </c>
      <c r="D201" s="272"/>
      <c r="E201" s="273">
        <v>0</v>
      </c>
      <c r="F201" s="321"/>
      <c r="G201" s="338">
        <f t="shared" ref="G201:G205" si="274">+H201+I201</f>
        <v>19500</v>
      </c>
      <c r="H201" s="275">
        <v>19500</v>
      </c>
      <c r="I201" s="275">
        <v>0</v>
      </c>
      <c r="J201" s="377" t="str">
        <f>IFERROR(G201/#REF!,"-")</f>
        <v>-</v>
      </c>
      <c r="K201" s="338">
        <f t="shared" ref="K201:K205" si="275">+L201+M201</f>
        <v>35500</v>
      </c>
      <c r="L201" s="275">
        <f t="shared" ref="L201:M201" si="276">+H201+L98</f>
        <v>35340</v>
      </c>
      <c r="M201" s="276">
        <f t="shared" si="276"/>
        <v>160</v>
      </c>
      <c r="N201" s="365" t="str">
        <f t="shared" si="254"/>
        <v>-</v>
      </c>
      <c r="O201" s="366">
        <f t="shared" si="255"/>
        <v>4.507042253521127E-3</v>
      </c>
    </row>
    <row r="202" spans="1:15" ht="23.4" x14ac:dyDescent="0.3">
      <c r="A202" s="277" t="s">
        <v>110</v>
      </c>
      <c r="B202" s="904"/>
      <c r="C202" s="272" t="s">
        <v>347</v>
      </c>
      <c r="D202" s="278"/>
      <c r="E202" s="279">
        <v>0</v>
      </c>
      <c r="F202" s="322"/>
      <c r="G202" s="339">
        <f t="shared" si="274"/>
        <v>0</v>
      </c>
      <c r="H202" s="281">
        <v>0</v>
      </c>
      <c r="I202" s="281">
        <v>0</v>
      </c>
      <c r="J202" s="378" t="str">
        <f>IFERROR(G202/#REF!,"-")</f>
        <v>-</v>
      </c>
      <c r="K202" s="339">
        <f t="shared" si="275"/>
        <v>0</v>
      </c>
      <c r="L202" s="281">
        <f t="shared" ref="L202:M202" si="277">+H202+L99</f>
        <v>0</v>
      </c>
      <c r="M202" s="251">
        <f t="shared" si="277"/>
        <v>0</v>
      </c>
      <c r="N202" s="367" t="str">
        <f t="shared" si="254"/>
        <v>-</v>
      </c>
      <c r="O202" s="368" t="str">
        <f t="shared" si="255"/>
        <v>-</v>
      </c>
    </row>
    <row r="203" spans="1:15" ht="23.4" x14ac:dyDescent="0.3">
      <c r="A203" s="277" t="s">
        <v>110</v>
      </c>
      <c r="B203" s="904"/>
      <c r="C203" s="278" t="s">
        <v>202</v>
      </c>
      <c r="D203" s="278"/>
      <c r="E203" s="279">
        <v>0</v>
      </c>
      <c r="F203" s="322"/>
      <c r="G203" s="339">
        <f t="shared" si="274"/>
        <v>0</v>
      </c>
      <c r="H203" s="281">
        <v>0</v>
      </c>
      <c r="I203" s="281">
        <v>0</v>
      </c>
      <c r="J203" s="378" t="str">
        <f>IFERROR(G203/#REF!,"-")</f>
        <v>-</v>
      </c>
      <c r="K203" s="339">
        <f t="shared" si="275"/>
        <v>0</v>
      </c>
      <c r="L203" s="281">
        <f t="shared" ref="L203:M203" si="278">+H203+L100</f>
        <v>0</v>
      </c>
      <c r="M203" s="251">
        <f t="shared" si="278"/>
        <v>0</v>
      </c>
      <c r="N203" s="367" t="str">
        <f t="shared" si="254"/>
        <v>-</v>
      </c>
      <c r="O203" s="368" t="str">
        <f t="shared" si="255"/>
        <v>-</v>
      </c>
    </row>
    <row r="204" spans="1:15" ht="23.4" x14ac:dyDescent="0.3">
      <c r="A204" s="277" t="s">
        <v>110</v>
      </c>
      <c r="B204" s="904"/>
      <c r="C204" s="278" t="s">
        <v>166</v>
      </c>
      <c r="D204" s="278"/>
      <c r="E204" s="279">
        <v>0</v>
      </c>
      <c r="F204" s="322"/>
      <c r="G204" s="339">
        <f t="shared" si="274"/>
        <v>0</v>
      </c>
      <c r="H204" s="281">
        <v>0</v>
      </c>
      <c r="I204" s="281">
        <v>0</v>
      </c>
      <c r="J204" s="378" t="str">
        <f>IFERROR(G204/#REF!,"-")</f>
        <v>-</v>
      </c>
      <c r="K204" s="339">
        <f t="shared" si="275"/>
        <v>0</v>
      </c>
      <c r="L204" s="281">
        <f t="shared" ref="L204:M204" si="279">+H204+L101</f>
        <v>0</v>
      </c>
      <c r="M204" s="251">
        <f t="shared" si="279"/>
        <v>0</v>
      </c>
      <c r="N204" s="367" t="str">
        <f t="shared" si="254"/>
        <v>-</v>
      </c>
      <c r="O204" s="368" t="str">
        <f t="shared" si="255"/>
        <v>-</v>
      </c>
    </row>
    <row r="205" spans="1:15" ht="24" thickBot="1" x14ac:dyDescent="0.35">
      <c r="A205" s="277" t="s">
        <v>110</v>
      </c>
      <c r="B205" s="905"/>
      <c r="C205" s="282" t="s">
        <v>167</v>
      </c>
      <c r="D205" s="282"/>
      <c r="E205" s="283">
        <v>0</v>
      </c>
      <c r="F205" s="323"/>
      <c r="G205" s="340">
        <f t="shared" si="274"/>
        <v>0</v>
      </c>
      <c r="H205" s="285">
        <v>0</v>
      </c>
      <c r="I205" s="285">
        <v>0</v>
      </c>
      <c r="J205" s="379" t="str">
        <f>IFERROR(G205/#REF!,"-")</f>
        <v>-</v>
      </c>
      <c r="K205" s="340">
        <f t="shared" si="275"/>
        <v>0</v>
      </c>
      <c r="L205" s="285">
        <f t="shared" ref="L205:M205" si="280">+H205+L102</f>
        <v>0</v>
      </c>
      <c r="M205" s="286">
        <f t="shared" si="280"/>
        <v>0</v>
      </c>
      <c r="N205" s="369" t="str">
        <f t="shared" si="254"/>
        <v>-</v>
      </c>
      <c r="O205" s="370" t="str">
        <f t="shared" si="255"/>
        <v>-</v>
      </c>
    </row>
    <row r="206" spans="1:15" ht="24" thickBot="1" x14ac:dyDescent="0.35">
      <c r="A206" s="277" t="s">
        <v>110</v>
      </c>
      <c r="B206" s="906" t="s">
        <v>42</v>
      </c>
      <c r="C206" s="907"/>
      <c r="D206" s="908"/>
      <c r="E206" s="326">
        <v>610600</v>
      </c>
      <c r="F206" s="289">
        <v>25000</v>
      </c>
      <c r="G206" s="326">
        <f>SUM(G202:G205)</f>
        <v>0</v>
      </c>
      <c r="H206" s="327">
        <f t="shared" ref="H206:I206" si="281">SUM(H202:H205)</f>
        <v>0</v>
      </c>
      <c r="I206" s="327">
        <f t="shared" si="281"/>
        <v>0</v>
      </c>
      <c r="J206" s="351" t="str">
        <f>IFERROR(G206/#REF!,"-")</f>
        <v>-</v>
      </c>
      <c r="K206" s="326">
        <f>SUM(K201:K205)</f>
        <v>35500</v>
      </c>
      <c r="L206" s="327">
        <f>SUM(L201:L205)</f>
        <v>35340</v>
      </c>
      <c r="M206" s="328">
        <f>SUM(M201:M205)</f>
        <v>160</v>
      </c>
      <c r="N206" s="345">
        <f t="shared" si="254"/>
        <v>5.8139534883720929E-2</v>
      </c>
      <c r="O206" s="351">
        <f t="shared" si="255"/>
        <v>4.507042253521127E-3</v>
      </c>
    </row>
    <row r="207" spans="1:15" ht="23.4" x14ac:dyDescent="0.3">
      <c r="A207" s="277" t="s">
        <v>110</v>
      </c>
      <c r="B207" s="903" t="s">
        <v>43</v>
      </c>
      <c r="C207" s="272" t="s">
        <v>204</v>
      </c>
      <c r="D207" s="272"/>
      <c r="E207" s="273">
        <v>0</v>
      </c>
      <c r="F207" s="274"/>
      <c r="G207" s="338">
        <f t="shared" ref="G207:G209" si="282">+H207+I207</f>
        <v>0</v>
      </c>
      <c r="H207" s="275">
        <v>0</v>
      </c>
      <c r="I207" s="275">
        <v>0</v>
      </c>
      <c r="J207" s="357" t="str">
        <f>IFERROR(G207/#REF!,"-")</f>
        <v>-</v>
      </c>
      <c r="K207" s="338">
        <f t="shared" ref="K207:K209" si="283">+L207+M207</f>
        <v>0</v>
      </c>
      <c r="L207" s="275">
        <f t="shared" ref="L207:M207" si="284">+H207+L104</f>
        <v>0</v>
      </c>
      <c r="M207" s="276">
        <f t="shared" si="284"/>
        <v>0</v>
      </c>
      <c r="N207" s="342" t="str">
        <f t="shared" si="254"/>
        <v>-</v>
      </c>
      <c r="O207" s="352" t="str">
        <f t="shared" si="255"/>
        <v>-</v>
      </c>
    </row>
    <row r="208" spans="1:15" ht="23.4" x14ac:dyDescent="0.3">
      <c r="A208" s="277" t="s">
        <v>110</v>
      </c>
      <c r="B208" s="904"/>
      <c r="C208" s="278" t="s">
        <v>168</v>
      </c>
      <c r="D208" s="278"/>
      <c r="E208" s="279">
        <v>0</v>
      </c>
      <c r="F208" s="280"/>
      <c r="G208" s="339">
        <f t="shared" si="282"/>
        <v>0</v>
      </c>
      <c r="H208" s="281">
        <v>0</v>
      </c>
      <c r="I208" s="281">
        <v>0</v>
      </c>
      <c r="J208" s="378" t="str">
        <f>IFERROR(G208/#REF!,"-")</f>
        <v>-</v>
      </c>
      <c r="K208" s="339">
        <f t="shared" si="283"/>
        <v>0</v>
      </c>
      <c r="L208" s="281">
        <f t="shared" ref="L208:M208" si="285">+H208+L105</f>
        <v>0</v>
      </c>
      <c r="M208" s="251">
        <f t="shared" si="285"/>
        <v>0</v>
      </c>
      <c r="N208" s="367" t="str">
        <f t="shared" si="254"/>
        <v>-</v>
      </c>
      <c r="O208" s="368" t="str">
        <f t="shared" si="255"/>
        <v>-</v>
      </c>
    </row>
    <row r="209" spans="1:15" ht="24" thickBot="1" x14ac:dyDescent="0.35">
      <c r="A209" s="277" t="s">
        <v>110</v>
      </c>
      <c r="B209" s="905"/>
      <c r="C209" s="282" t="s">
        <v>204</v>
      </c>
      <c r="D209" s="282"/>
      <c r="E209" s="283">
        <v>0</v>
      </c>
      <c r="F209" s="284"/>
      <c r="G209" s="340">
        <f t="shared" si="282"/>
        <v>0</v>
      </c>
      <c r="H209" s="285">
        <v>0</v>
      </c>
      <c r="I209" s="285">
        <v>0</v>
      </c>
      <c r="J209" s="379" t="str">
        <f>IFERROR(G209/#REF!,"-")</f>
        <v>-</v>
      </c>
      <c r="K209" s="340">
        <f t="shared" si="283"/>
        <v>0</v>
      </c>
      <c r="L209" s="285">
        <f t="shared" ref="L209:M209" si="286">+H209+L106</f>
        <v>0</v>
      </c>
      <c r="M209" s="286">
        <f t="shared" si="286"/>
        <v>0</v>
      </c>
      <c r="N209" s="369" t="str">
        <f t="shared" si="254"/>
        <v>-</v>
      </c>
      <c r="O209" s="370" t="str">
        <f t="shared" si="255"/>
        <v>-</v>
      </c>
    </row>
    <row r="210" spans="1:15" ht="24" thickBot="1" x14ac:dyDescent="0.35">
      <c r="A210" s="277" t="s">
        <v>110</v>
      </c>
      <c r="B210" s="909" t="s">
        <v>44</v>
      </c>
      <c r="C210" s="910"/>
      <c r="D210" s="911"/>
      <c r="E210" s="326">
        <v>0</v>
      </c>
      <c r="F210" s="289"/>
      <c r="G210" s="326">
        <f>SUM(G207:G209)</f>
        <v>0</v>
      </c>
      <c r="H210" s="327">
        <f t="shared" ref="H210:I210" si="287">SUM(H207:H209)</f>
        <v>0</v>
      </c>
      <c r="I210" s="327">
        <f t="shared" si="287"/>
        <v>0</v>
      </c>
      <c r="J210" s="351" t="str">
        <f>IFERROR(G210/#REF!,"-")</f>
        <v>-</v>
      </c>
      <c r="K210" s="326">
        <f t="shared" ref="K210:M210" si="288">SUM(K207:K209)</f>
        <v>0</v>
      </c>
      <c r="L210" s="327">
        <f t="shared" si="288"/>
        <v>0</v>
      </c>
      <c r="M210" s="328">
        <f t="shared" si="288"/>
        <v>0</v>
      </c>
      <c r="N210" s="345" t="str">
        <f t="shared" si="254"/>
        <v>-</v>
      </c>
      <c r="O210" s="351" t="str">
        <f t="shared" si="255"/>
        <v>-</v>
      </c>
    </row>
    <row r="211" spans="1:15" ht="23.4" x14ac:dyDescent="0.3">
      <c r="A211" s="277" t="s">
        <v>110</v>
      </c>
      <c r="B211" s="903" t="s">
        <v>45</v>
      </c>
      <c r="C211" s="272" t="s">
        <v>169</v>
      </c>
      <c r="D211" s="272"/>
      <c r="E211" s="273">
        <v>0</v>
      </c>
      <c r="F211" s="274"/>
      <c r="G211" s="338">
        <f t="shared" ref="G211:G212" si="289">+H211+I211</f>
        <v>0</v>
      </c>
      <c r="H211" s="275">
        <v>0</v>
      </c>
      <c r="I211" s="275">
        <v>0</v>
      </c>
      <c r="J211" s="377" t="str">
        <f>IFERROR(G211/#REF!,"-")</f>
        <v>-</v>
      </c>
      <c r="K211" s="338">
        <f t="shared" ref="K211:K212" si="290">+L211+M211</f>
        <v>0</v>
      </c>
      <c r="L211" s="275">
        <f t="shared" ref="L211:M211" si="291">+H211+L108</f>
        <v>0</v>
      </c>
      <c r="M211" s="276">
        <f t="shared" si="291"/>
        <v>0</v>
      </c>
      <c r="N211" s="365" t="str">
        <f t="shared" si="254"/>
        <v>-</v>
      </c>
      <c r="O211" s="366" t="str">
        <f t="shared" si="255"/>
        <v>-</v>
      </c>
    </row>
    <row r="212" spans="1:15" ht="24" thickBot="1" x14ac:dyDescent="0.35">
      <c r="A212" s="277" t="s">
        <v>110</v>
      </c>
      <c r="B212" s="905"/>
      <c r="C212" s="282" t="s">
        <v>170</v>
      </c>
      <c r="D212" s="282"/>
      <c r="E212" s="283">
        <v>0</v>
      </c>
      <c r="F212" s="284"/>
      <c r="G212" s="340">
        <f t="shared" si="289"/>
        <v>0</v>
      </c>
      <c r="H212" s="285">
        <v>0</v>
      </c>
      <c r="I212" s="285">
        <v>0</v>
      </c>
      <c r="J212" s="379" t="str">
        <f>IFERROR(G212/#REF!,"-")</f>
        <v>-</v>
      </c>
      <c r="K212" s="340">
        <f t="shared" si="290"/>
        <v>0</v>
      </c>
      <c r="L212" s="285">
        <f t="shared" ref="L212:M212" si="292">+H212+L109</f>
        <v>0</v>
      </c>
      <c r="M212" s="286">
        <f t="shared" si="292"/>
        <v>0</v>
      </c>
      <c r="N212" s="369" t="str">
        <f t="shared" si="254"/>
        <v>-</v>
      </c>
      <c r="O212" s="370" t="str">
        <f t="shared" si="255"/>
        <v>-</v>
      </c>
    </row>
    <row r="213" spans="1:15" ht="24" thickBot="1" x14ac:dyDescent="0.35">
      <c r="A213" s="277" t="s">
        <v>110</v>
      </c>
      <c r="B213" s="909" t="s">
        <v>46</v>
      </c>
      <c r="C213" s="910"/>
      <c r="D213" s="911"/>
      <c r="E213" s="288">
        <v>11100</v>
      </c>
      <c r="F213" s="289">
        <v>25000</v>
      </c>
      <c r="G213" s="326">
        <f>SUM(G211:G212)</f>
        <v>0</v>
      </c>
      <c r="H213" s="327">
        <f t="shared" ref="H213:I213" si="293">SUM(H211:H212)</f>
        <v>0</v>
      </c>
      <c r="I213" s="327">
        <f t="shared" si="293"/>
        <v>0</v>
      </c>
      <c r="J213" s="351" t="str">
        <f>IFERROR(G213/#REF!,"-")</f>
        <v>-</v>
      </c>
      <c r="K213" s="326">
        <f t="shared" ref="K213:M213" si="294">SUM(K211:K212)</f>
        <v>0</v>
      </c>
      <c r="L213" s="327">
        <f t="shared" si="294"/>
        <v>0</v>
      </c>
      <c r="M213" s="328">
        <f t="shared" si="294"/>
        <v>0</v>
      </c>
      <c r="N213" s="345">
        <f t="shared" si="254"/>
        <v>0</v>
      </c>
      <c r="O213" s="351" t="str">
        <f t="shared" si="255"/>
        <v>-</v>
      </c>
    </row>
    <row r="214" spans="1:15" ht="24" thickBot="1" x14ac:dyDescent="0.35">
      <c r="A214" s="277" t="s">
        <v>110</v>
      </c>
      <c r="B214" s="912" t="s">
        <v>25</v>
      </c>
      <c r="C214" s="913"/>
      <c r="D214" s="914"/>
      <c r="E214" s="332">
        <f t="shared" ref="E214:F214" si="295">+E192+E197+E200+E206+E210+E213</f>
        <v>745700</v>
      </c>
      <c r="F214" s="333">
        <f t="shared" si="295"/>
        <v>59300</v>
      </c>
      <c r="G214" s="332">
        <f>+G192+G197+G200+G206+G210+G213</f>
        <v>1145</v>
      </c>
      <c r="H214" s="330">
        <f t="shared" ref="H214:I214" si="296">+H192+H197+H200+H206+H210+H213</f>
        <v>800</v>
      </c>
      <c r="I214" s="330">
        <f t="shared" si="296"/>
        <v>345</v>
      </c>
      <c r="J214" s="355" t="str">
        <f>IFERROR(G214/#REF!,"-")</f>
        <v>-</v>
      </c>
      <c r="K214" s="332">
        <f>+K192+K197+K200+K206+K210+K213</f>
        <v>36645</v>
      </c>
      <c r="L214" s="330">
        <f t="shared" ref="L214:M214" si="297">+L192+L197+L200+L206+L210+L213</f>
        <v>36140</v>
      </c>
      <c r="M214" s="331">
        <f t="shared" si="297"/>
        <v>505</v>
      </c>
      <c r="N214" s="347">
        <f t="shared" si="254"/>
        <v>4.9141746010459973E-2</v>
      </c>
      <c r="O214" s="355">
        <f t="shared" si="255"/>
        <v>1.3780870514394869E-2</v>
      </c>
    </row>
    <row r="215" spans="1:15" ht="24" thickBot="1" x14ac:dyDescent="0.35">
      <c r="A215" s="324" t="s">
        <v>110</v>
      </c>
      <c r="B215" s="901" t="s">
        <v>182</v>
      </c>
      <c r="C215" s="901"/>
      <c r="D215" s="902"/>
      <c r="E215" s="336">
        <f>+E214</f>
        <v>745700</v>
      </c>
      <c r="F215" s="337">
        <f t="shared" ref="F215:O215" si="298">+F214</f>
        <v>59300</v>
      </c>
      <c r="G215" s="336">
        <f t="shared" si="298"/>
        <v>1145</v>
      </c>
      <c r="H215" s="334">
        <f t="shared" si="298"/>
        <v>800</v>
      </c>
      <c r="I215" s="334">
        <f t="shared" si="298"/>
        <v>345</v>
      </c>
      <c r="J215" s="356" t="str">
        <f t="shared" si="298"/>
        <v>-</v>
      </c>
      <c r="K215" s="336">
        <f t="shared" si="298"/>
        <v>36645</v>
      </c>
      <c r="L215" s="334">
        <f t="shared" si="298"/>
        <v>36140</v>
      </c>
      <c r="M215" s="335">
        <f t="shared" si="298"/>
        <v>505</v>
      </c>
      <c r="N215" s="348">
        <f t="shared" si="298"/>
        <v>4.9141746010459973E-2</v>
      </c>
      <c r="O215" s="356">
        <f t="shared" si="298"/>
        <v>1.3780870514394869E-2</v>
      </c>
    </row>
    <row r="216" spans="1:15" ht="24.6" thickBot="1" x14ac:dyDescent="0.35">
      <c r="A216" s="325"/>
      <c r="B216" s="915" t="s">
        <v>183</v>
      </c>
      <c r="C216" s="916"/>
      <c r="D216" s="917"/>
      <c r="E216" s="380">
        <f>+E161+E188+E215</f>
        <v>9494400</v>
      </c>
      <c r="F216" s="380">
        <f>+F161+F188+F215</f>
        <v>748300</v>
      </c>
      <c r="G216" s="380">
        <f>+G161+G188+G215</f>
        <v>259916</v>
      </c>
      <c r="H216" s="380">
        <f>+H161+H188+H215</f>
        <v>256637</v>
      </c>
      <c r="I216" s="380">
        <f>+I161+I188+I215</f>
        <v>3279</v>
      </c>
      <c r="J216" s="381" t="str">
        <f>IFERROR(G216/#REF!,"-")</f>
        <v>-</v>
      </c>
      <c r="K216" s="380">
        <f>+K161+K188+K215</f>
        <v>527258</v>
      </c>
      <c r="L216" s="380">
        <f>+L161+L188+L215</f>
        <v>521263</v>
      </c>
      <c r="M216" s="380">
        <f>+M161+M188+M215</f>
        <v>5995</v>
      </c>
      <c r="N216" s="381">
        <f>IFERROR(K216/E216,"-")</f>
        <v>5.5533577687900237E-2</v>
      </c>
      <c r="O216" s="381">
        <f>IFERROR(M216/K216,"-")</f>
        <v>1.1370145166123606E-2</v>
      </c>
    </row>
    <row r="217" spans="1:15" ht="23.4" x14ac:dyDescent="0.3">
      <c r="A217" s="935" t="s">
        <v>1</v>
      </c>
      <c r="B217" s="938" t="s">
        <v>2</v>
      </c>
      <c r="C217" s="941" t="s">
        <v>3</v>
      </c>
      <c r="D217" s="941" t="s">
        <v>93</v>
      </c>
      <c r="E217" s="944" t="s">
        <v>4</v>
      </c>
      <c r="F217" s="945"/>
      <c r="G217" s="945"/>
      <c r="H217" s="945"/>
      <c r="I217" s="945"/>
      <c r="J217" s="945"/>
      <c r="K217" s="945"/>
      <c r="L217" s="945"/>
      <c r="M217" s="945"/>
      <c r="N217" s="945"/>
      <c r="O217" s="946"/>
    </row>
    <row r="218" spans="1:15" ht="23.4" x14ac:dyDescent="0.3">
      <c r="A218" s="936"/>
      <c r="B218" s="939"/>
      <c r="C218" s="942"/>
      <c r="D218" s="942"/>
      <c r="E218" s="947" t="s">
        <v>7</v>
      </c>
      <c r="F218" s="949" t="s">
        <v>116</v>
      </c>
      <c r="G218" s="951">
        <v>44504</v>
      </c>
      <c r="H218" s="952"/>
      <c r="I218" s="952"/>
      <c r="J218" s="953"/>
      <c r="K218" s="954" t="s">
        <v>8</v>
      </c>
      <c r="L218" s="955"/>
      <c r="M218" s="956"/>
      <c r="N218" s="957" t="s">
        <v>174</v>
      </c>
      <c r="O218" s="959" t="s">
        <v>173</v>
      </c>
    </row>
    <row r="219" spans="1:15" ht="41.4" thickBot="1" x14ac:dyDescent="0.35">
      <c r="A219" s="937"/>
      <c r="B219" s="940"/>
      <c r="C219" s="943"/>
      <c r="D219" s="943"/>
      <c r="E219" s="948"/>
      <c r="F219" s="950"/>
      <c r="G219" s="462" t="s">
        <v>13</v>
      </c>
      <c r="H219" s="463" t="s">
        <v>14</v>
      </c>
      <c r="I219" s="463" t="s">
        <v>15</v>
      </c>
      <c r="J219" s="464" t="s">
        <v>175</v>
      </c>
      <c r="K219" s="462" t="s">
        <v>13</v>
      </c>
      <c r="L219" s="463" t="s">
        <v>14</v>
      </c>
      <c r="M219" s="465" t="s">
        <v>15</v>
      </c>
      <c r="N219" s="958"/>
      <c r="O219" s="960"/>
    </row>
    <row r="220" spans="1:15" ht="23.4" x14ac:dyDescent="0.3">
      <c r="A220" s="271" t="s">
        <v>111</v>
      </c>
      <c r="B220" s="922" t="s">
        <v>16</v>
      </c>
      <c r="C220" s="272" t="s">
        <v>186</v>
      </c>
      <c r="D220" s="272" t="s">
        <v>184</v>
      </c>
      <c r="E220" s="273">
        <v>0</v>
      </c>
      <c r="F220" s="274"/>
      <c r="G220" s="338">
        <f>+H220+I220</f>
        <v>0</v>
      </c>
      <c r="H220" s="275">
        <v>0</v>
      </c>
      <c r="I220" s="275">
        <v>0</v>
      </c>
      <c r="J220" s="357" t="str">
        <f>IFERROR(G220/#REF!,"-")</f>
        <v>-</v>
      </c>
      <c r="K220" s="468">
        <f>+L220+M220</f>
        <v>0</v>
      </c>
      <c r="L220" s="469">
        <f>+H220+L117</f>
        <v>0</v>
      </c>
      <c r="M220" s="469">
        <f>+I220+M117</f>
        <v>0</v>
      </c>
      <c r="N220" s="342" t="str">
        <f>IFERROR(K220/E220,"-")</f>
        <v>-</v>
      </c>
      <c r="O220" s="349" t="str">
        <f t="shared" ref="O220:O221" si="299">IFERROR(M220/K220,"-")</f>
        <v>-</v>
      </c>
    </row>
    <row r="221" spans="1:15" ht="23.4" x14ac:dyDescent="0.3">
      <c r="A221" s="277" t="s">
        <v>111</v>
      </c>
      <c r="B221" s="923"/>
      <c r="C221" s="278" t="s">
        <v>190</v>
      </c>
      <c r="D221" s="278" t="s">
        <v>101</v>
      </c>
      <c r="E221" s="279">
        <v>0</v>
      </c>
      <c r="F221" s="280"/>
      <c r="G221" s="339">
        <f t="shared" ref="G221:G223" si="300">+H221+I221</f>
        <v>0</v>
      </c>
      <c r="H221" s="281">
        <v>0</v>
      </c>
      <c r="I221" s="281">
        <v>0</v>
      </c>
      <c r="J221" s="358" t="str">
        <f>IFERROR(G221/#REF!,"-")</f>
        <v>-</v>
      </c>
      <c r="K221" s="339">
        <f t="shared" ref="K221:K223" si="301">+L221+M221</f>
        <v>0</v>
      </c>
      <c r="L221" s="281">
        <f t="shared" ref="L221:L223" si="302">+H221+L118</f>
        <v>0</v>
      </c>
      <c r="M221" s="442">
        <f t="shared" ref="M221:M223" si="303">+I221+M118</f>
        <v>0</v>
      </c>
      <c r="N221" s="343" t="str">
        <f t="shared" ref="N221:N223" si="304">IFERROR(K221/E221,"-")</f>
        <v>-</v>
      </c>
      <c r="O221" s="268" t="str">
        <f t="shared" si="299"/>
        <v>-</v>
      </c>
    </row>
    <row r="222" spans="1:15" ht="23.4" x14ac:dyDescent="0.3">
      <c r="A222" s="277" t="s">
        <v>111</v>
      </c>
      <c r="B222" s="923"/>
      <c r="C222" s="278" t="s">
        <v>187</v>
      </c>
      <c r="D222" s="278" t="s">
        <v>185</v>
      </c>
      <c r="E222" s="279">
        <v>0</v>
      </c>
      <c r="F222" s="280"/>
      <c r="G222" s="339">
        <f t="shared" si="300"/>
        <v>0</v>
      </c>
      <c r="H222" s="281">
        <v>0</v>
      </c>
      <c r="I222" s="281">
        <v>0</v>
      </c>
      <c r="J222" s="358" t="str">
        <f>IFERROR(G222/#REF!,"-")</f>
        <v>-</v>
      </c>
      <c r="K222" s="339">
        <f t="shared" si="301"/>
        <v>0</v>
      </c>
      <c r="L222" s="281">
        <f t="shared" si="302"/>
        <v>0</v>
      </c>
      <c r="M222" s="442">
        <f t="shared" si="303"/>
        <v>0</v>
      </c>
      <c r="N222" s="343" t="str">
        <f t="shared" si="304"/>
        <v>-</v>
      </c>
      <c r="O222" s="268" t="str">
        <f>IFERROR(M222/K222,"-")</f>
        <v>-</v>
      </c>
    </row>
    <row r="223" spans="1:15" ht="24" thickBot="1" x14ac:dyDescent="0.35">
      <c r="A223" s="277" t="s">
        <v>111</v>
      </c>
      <c r="B223" s="924"/>
      <c r="C223" s="282" t="s">
        <v>255</v>
      </c>
      <c r="D223" s="282" t="s">
        <v>256</v>
      </c>
      <c r="E223" s="283">
        <v>0</v>
      </c>
      <c r="F223" s="284"/>
      <c r="G223" s="340">
        <f t="shared" si="300"/>
        <v>9388</v>
      </c>
      <c r="H223" s="285">
        <v>9216</v>
      </c>
      <c r="I223" s="285">
        <v>172</v>
      </c>
      <c r="J223" s="359" t="str">
        <f>IFERROR(G223/#REF!,"-")</f>
        <v>-</v>
      </c>
      <c r="K223" s="471">
        <f t="shared" si="301"/>
        <v>45313</v>
      </c>
      <c r="L223" s="472">
        <f t="shared" si="302"/>
        <v>44544</v>
      </c>
      <c r="M223" s="473">
        <f t="shared" si="303"/>
        <v>769</v>
      </c>
      <c r="N223" s="344" t="str">
        <f t="shared" si="304"/>
        <v>-</v>
      </c>
      <c r="O223" s="350">
        <f t="shared" ref="O223:O287" si="305">IFERROR(M223/K223,"-")</f>
        <v>1.6970847218237592E-2</v>
      </c>
    </row>
    <row r="224" spans="1:15" ht="24" thickBot="1" x14ac:dyDescent="0.35">
      <c r="A224" s="277" t="s">
        <v>111</v>
      </c>
      <c r="B224" s="906" t="s">
        <v>47</v>
      </c>
      <c r="C224" s="907"/>
      <c r="D224" s="908"/>
      <c r="E224" s="326">
        <v>144600</v>
      </c>
      <c r="F224" s="289">
        <v>15000</v>
      </c>
      <c r="G224" s="326">
        <f>SUM(G220:G223)</f>
        <v>9388</v>
      </c>
      <c r="H224" s="327">
        <f t="shared" ref="H224:I224" si="306">SUM(H220:H223)</f>
        <v>9216</v>
      </c>
      <c r="I224" s="327">
        <f t="shared" si="306"/>
        <v>172</v>
      </c>
      <c r="J224" s="351" t="str">
        <f>IFERROR(G224/#REF!,"-")</f>
        <v>-</v>
      </c>
      <c r="K224" s="326">
        <f t="shared" ref="K224:M224" si="307">SUM(K220:K223)</f>
        <v>45313</v>
      </c>
      <c r="L224" s="327">
        <f t="shared" si="307"/>
        <v>44544</v>
      </c>
      <c r="M224" s="328">
        <f t="shared" si="307"/>
        <v>769</v>
      </c>
      <c r="N224" s="345">
        <f>IFERROR(K224/E224,"-")</f>
        <v>0.31336791147994469</v>
      </c>
      <c r="O224" s="351">
        <f t="shared" si="305"/>
        <v>1.6970847218237592E-2</v>
      </c>
    </row>
    <row r="225" spans="1:15" ht="23.4" x14ac:dyDescent="0.3">
      <c r="A225" s="277" t="s">
        <v>111</v>
      </c>
      <c r="B225" s="922" t="s">
        <v>17</v>
      </c>
      <c r="C225" s="272" t="s">
        <v>331</v>
      </c>
      <c r="D225" s="272"/>
      <c r="E225" s="273">
        <v>0</v>
      </c>
      <c r="F225" s="274"/>
      <c r="G225" s="338">
        <f t="shared" ref="G225:G231" si="308">+H225+I225</f>
        <v>0</v>
      </c>
      <c r="H225" s="275">
        <v>0</v>
      </c>
      <c r="I225" s="275">
        <v>0</v>
      </c>
      <c r="J225" s="357" t="str">
        <f>IFERROR(G225/#REF!,"-")</f>
        <v>-</v>
      </c>
      <c r="K225" s="468">
        <f t="shared" ref="K225:K231" si="309">+L225+M225</f>
        <v>0</v>
      </c>
      <c r="L225" s="469">
        <f t="shared" ref="L225:L231" si="310">+H225+L122</f>
        <v>0</v>
      </c>
      <c r="M225" s="470">
        <f t="shared" ref="M225:M231" si="311">+I225+M122</f>
        <v>0</v>
      </c>
      <c r="N225" s="342" t="str">
        <f t="shared" ref="N225:N266" si="312">IFERROR(K225/E225,"-")</f>
        <v>-</v>
      </c>
      <c r="O225" s="352" t="str">
        <f t="shared" si="305"/>
        <v>-</v>
      </c>
    </row>
    <row r="226" spans="1:15" ht="23.4" x14ac:dyDescent="0.3">
      <c r="A226" s="277" t="s">
        <v>111</v>
      </c>
      <c r="B226" s="923"/>
      <c r="C226" s="278" t="s">
        <v>421</v>
      </c>
      <c r="D226" s="278" t="s">
        <v>257</v>
      </c>
      <c r="E226" s="279">
        <v>0</v>
      </c>
      <c r="F226" s="280"/>
      <c r="G226" s="339">
        <f t="shared" si="308"/>
        <v>92060</v>
      </c>
      <c r="H226" s="281">
        <v>91800</v>
      </c>
      <c r="I226" s="281">
        <v>260</v>
      </c>
      <c r="J226" s="358" t="str">
        <f>IFERROR(G226/#REF!,"-")</f>
        <v>-</v>
      </c>
      <c r="K226" s="339">
        <f t="shared" si="309"/>
        <v>172277</v>
      </c>
      <c r="L226" s="281">
        <f t="shared" si="310"/>
        <v>171360</v>
      </c>
      <c r="M226" s="442">
        <f t="shared" si="311"/>
        <v>917</v>
      </c>
      <c r="N226" s="343" t="str">
        <f t="shared" si="312"/>
        <v>-</v>
      </c>
      <c r="O226" s="264">
        <f t="shared" si="305"/>
        <v>5.3228231278696515E-3</v>
      </c>
    </row>
    <row r="227" spans="1:15" ht="23.4" x14ac:dyDescent="0.3">
      <c r="A227" s="277" t="s">
        <v>111</v>
      </c>
      <c r="B227" s="923"/>
      <c r="C227" s="278" t="s">
        <v>290</v>
      </c>
      <c r="D227" s="278" t="s">
        <v>205</v>
      </c>
      <c r="E227" s="279">
        <v>0</v>
      </c>
      <c r="F227" s="280"/>
      <c r="G227" s="339">
        <f t="shared" si="308"/>
        <v>0</v>
      </c>
      <c r="H227" s="281">
        <v>0</v>
      </c>
      <c r="I227" s="281">
        <v>0</v>
      </c>
      <c r="J227" s="358" t="str">
        <f>IFERROR(G227/#REF!,"-")</f>
        <v>-</v>
      </c>
      <c r="K227" s="339">
        <f t="shared" si="309"/>
        <v>0</v>
      </c>
      <c r="L227" s="281">
        <f t="shared" si="310"/>
        <v>0</v>
      </c>
      <c r="M227" s="442">
        <f t="shared" si="311"/>
        <v>0</v>
      </c>
      <c r="N227" s="343" t="str">
        <f t="shared" si="312"/>
        <v>-</v>
      </c>
      <c r="O227" s="264" t="str">
        <f t="shared" si="305"/>
        <v>-</v>
      </c>
    </row>
    <row r="228" spans="1:15" ht="23.4" x14ac:dyDescent="0.3">
      <c r="A228" s="277" t="s">
        <v>111</v>
      </c>
      <c r="B228" s="923"/>
      <c r="C228" s="278" t="s">
        <v>330</v>
      </c>
      <c r="D228" s="278" t="s">
        <v>206</v>
      </c>
      <c r="E228" s="279">
        <v>0</v>
      </c>
      <c r="F228" s="280"/>
      <c r="G228" s="339">
        <f t="shared" si="308"/>
        <v>0</v>
      </c>
      <c r="H228" s="281">
        <v>0</v>
      </c>
      <c r="I228" s="281">
        <v>0</v>
      </c>
      <c r="J228" s="358" t="str">
        <f>IFERROR(G228/#REF!,"-")</f>
        <v>-</v>
      </c>
      <c r="K228" s="339">
        <f t="shared" si="309"/>
        <v>1836</v>
      </c>
      <c r="L228" s="281">
        <f t="shared" si="310"/>
        <v>1836</v>
      </c>
      <c r="M228" s="442">
        <f t="shared" si="311"/>
        <v>0</v>
      </c>
      <c r="N228" s="343" t="str">
        <f t="shared" si="312"/>
        <v>-</v>
      </c>
      <c r="O228" s="264">
        <f t="shared" si="305"/>
        <v>0</v>
      </c>
    </row>
    <row r="229" spans="1:15" ht="23.4" x14ac:dyDescent="0.3">
      <c r="A229" s="277" t="s">
        <v>111</v>
      </c>
      <c r="B229" s="923"/>
      <c r="C229" s="278" t="s">
        <v>377</v>
      </c>
      <c r="D229" s="278" t="s">
        <v>371</v>
      </c>
      <c r="E229" s="279">
        <v>0</v>
      </c>
      <c r="F229" s="280"/>
      <c r="G229" s="339">
        <f t="shared" si="308"/>
        <v>0</v>
      </c>
      <c r="H229" s="281">
        <v>0</v>
      </c>
      <c r="I229" s="281">
        <v>0</v>
      </c>
      <c r="J229" s="358" t="str">
        <f>IFERROR(G229/#REF!,"-")</f>
        <v>-</v>
      </c>
      <c r="K229" s="339">
        <f t="shared" si="309"/>
        <v>6120</v>
      </c>
      <c r="L229" s="281">
        <f t="shared" si="310"/>
        <v>6120</v>
      </c>
      <c r="M229" s="442">
        <f t="shared" si="311"/>
        <v>0</v>
      </c>
      <c r="N229" s="343" t="str">
        <f t="shared" si="312"/>
        <v>-</v>
      </c>
      <c r="O229" s="264">
        <f t="shared" si="305"/>
        <v>0</v>
      </c>
    </row>
    <row r="230" spans="1:15" ht="23.4" x14ac:dyDescent="0.3">
      <c r="A230" s="277" t="s">
        <v>111</v>
      </c>
      <c r="B230" s="923"/>
      <c r="C230" s="278" t="s">
        <v>208</v>
      </c>
      <c r="D230" s="278" t="s">
        <v>207</v>
      </c>
      <c r="E230" s="279">
        <v>0</v>
      </c>
      <c r="F230" s="280"/>
      <c r="G230" s="339">
        <f t="shared" si="308"/>
        <v>0</v>
      </c>
      <c r="H230" s="281">
        <v>0</v>
      </c>
      <c r="I230" s="281">
        <v>0</v>
      </c>
      <c r="J230" s="358" t="str">
        <f>IFERROR(G230/#REF!,"-")</f>
        <v>-</v>
      </c>
      <c r="K230" s="339">
        <f t="shared" si="309"/>
        <v>0</v>
      </c>
      <c r="L230" s="281">
        <f t="shared" si="310"/>
        <v>0</v>
      </c>
      <c r="M230" s="442">
        <f t="shared" si="311"/>
        <v>0</v>
      </c>
      <c r="N230" s="343" t="str">
        <f t="shared" si="312"/>
        <v>-</v>
      </c>
      <c r="O230" s="264" t="str">
        <f t="shared" si="305"/>
        <v>-</v>
      </c>
    </row>
    <row r="231" spans="1:15" ht="24" thickBot="1" x14ac:dyDescent="0.35">
      <c r="A231" s="277" t="s">
        <v>111</v>
      </c>
      <c r="B231" s="924"/>
      <c r="C231" s="282" t="s">
        <v>416</v>
      </c>
      <c r="D231" s="282" t="s">
        <v>257</v>
      </c>
      <c r="E231" s="283">
        <v>0</v>
      </c>
      <c r="F231" s="284"/>
      <c r="G231" s="340">
        <f t="shared" si="308"/>
        <v>0</v>
      </c>
      <c r="H231" s="285">
        <v>0</v>
      </c>
      <c r="I231" s="285">
        <v>0</v>
      </c>
      <c r="J231" s="359" t="str">
        <f>IFERROR(G231/#REF!,"-")</f>
        <v>-</v>
      </c>
      <c r="K231" s="471">
        <f t="shared" si="309"/>
        <v>73650</v>
      </c>
      <c r="L231" s="472">
        <f t="shared" si="310"/>
        <v>73440</v>
      </c>
      <c r="M231" s="473">
        <f t="shared" si="311"/>
        <v>210</v>
      </c>
      <c r="N231" s="344" t="str">
        <f t="shared" si="312"/>
        <v>-</v>
      </c>
      <c r="O231" s="353">
        <f t="shared" si="305"/>
        <v>2.8513238289205704E-3</v>
      </c>
    </row>
    <row r="232" spans="1:15" ht="24" thickBot="1" x14ac:dyDescent="0.35">
      <c r="A232" s="277" t="s">
        <v>111</v>
      </c>
      <c r="B232" s="906" t="s">
        <v>48</v>
      </c>
      <c r="C232" s="907"/>
      <c r="D232" s="908"/>
      <c r="E232" s="326">
        <v>3480000</v>
      </c>
      <c r="F232" s="289">
        <v>100000</v>
      </c>
      <c r="G232" s="326">
        <f>SUM(G225:G231)</f>
        <v>92060</v>
      </c>
      <c r="H232" s="327">
        <f t="shared" ref="H232:I232" si="313">SUM(H225:H231)</f>
        <v>91800</v>
      </c>
      <c r="I232" s="327">
        <f t="shared" si="313"/>
        <v>260</v>
      </c>
      <c r="J232" s="351" t="str">
        <f>IFERROR(G232/#REF!,"-")</f>
        <v>-</v>
      </c>
      <c r="K232" s="326">
        <f t="shared" ref="K232:M232" si="314">SUM(K225:K231)</f>
        <v>253883</v>
      </c>
      <c r="L232" s="327">
        <f t="shared" si="314"/>
        <v>252756</v>
      </c>
      <c r="M232" s="328">
        <f t="shared" si="314"/>
        <v>1127</v>
      </c>
      <c r="N232" s="345">
        <f t="shared" si="312"/>
        <v>7.2954885057471261E-2</v>
      </c>
      <c r="O232" s="351">
        <f t="shared" si="305"/>
        <v>4.4390526344812373E-3</v>
      </c>
    </row>
    <row r="233" spans="1:15" ht="23.4" x14ac:dyDescent="0.3">
      <c r="A233" s="277" t="s">
        <v>111</v>
      </c>
      <c r="B233" s="922" t="s">
        <v>18</v>
      </c>
      <c r="C233" s="272" t="s">
        <v>359</v>
      </c>
      <c r="D233" s="272" t="s">
        <v>99</v>
      </c>
      <c r="E233" s="273">
        <v>0</v>
      </c>
      <c r="F233" s="274"/>
      <c r="G233" s="338">
        <f t="shared" ref="G233:G239" si="315">+H233+I233</f>
        <v>0</v>
      </c>
      <c r="H233" s="275">
        <v>0</v>
      </c>
      <c r="I233" s="275">
        <v>0</v>
      </c>
      <c r="J233" s="357" t="str">
        <f>IFERROR(G233/#REF!,"-")</f>
        <v>-</v>
      </c>
      <c r="K233" s="338">
        <f t="shared" ref="K233:K239" si="316">+L233+M233</f>
        <v>0</v>
      </c>
      <c r="L233" s="275">
        <f t="shared" ref="L233:L239" si="317">+H233+L130</f>
        <v>0</v>
      </c>
      <c r="M233" s="276">
        <f t="shared" ref="M233:M239" si="318">+I233+M130</f>
        <v>0</v>
      </c>
      <c r="N233" s="342" t="str">
        <f t="shared" si="312"/>
        <v>-</v>
      </c>
      <c r="O233" s="352" t="str">
        <f t="shared" si="305"/>
        <v>-</v>
      </c>
    </row>
    <row r="234" spans="1:15" ht="23.4" x14ac:dyDescent="0.3">
      <c r="A234" s="277" t="s">
        <v>111</v>
      </c>
      <c r="B234" s="923"/>
      <c r="C234" s="278" t="s">
        <v>258</v>
      </c>
      <c r="D234" s="278" t="s">
        <v>259</v>
      </c>
      <c r="E234" s="279">
        <v>0</v>
      </c>
      <c r="F234" s="280"/>
      <c r="G234" s="339">
        <f t="shared" si="315"/>
        <v>0</v>
      </c>
      <c r="H234" s="281">
        <v>0</v>
      </c>
      <c r="I234" s="281">
        <v>0</v>
      </c>
      <c r="J234" s="358" t="str">
        <f>IFERROR(G234/#REF!,"-")</f>
        <v>-</v>
      </c>
      <c r="K234" s="339">
        <f t="shared" si="316"/>
        <v>0</v>
      </c>
      <c r="L234" s="281">
        <f t="shared" si="317"/>
        <v>0</v>
      </c>
      <c r="M234" s="251">
        <f t="shared" si="318"/>
        <v>0</v>
      </c>
      <c r="N234" s="343" t="str">
        <f t="shared" si="312"/>
        <v>-</v>
      </c>
      <c r="O234" s="264" t="str">
        <f t="shared" si="305"/>
        <v>-</v>
      </c>
    </row>
    <row r="235" spans="1:15" ht="23.4" x14ac:dyDescent="0.3">
      <c r="A235" s="277" t="s">
        <v>111</v>
      </c>
      <c r="B235" s="923"/>
      <c r="C235" s="278" t="s">
        <v>123</v>
      </c>
      <c r="D235" s="278"/>
      <c r="E235" s="279">
        <v>0</v>
      </c>
      <c r="F235" s="280"/>
      <c r="G235" s="339">
        <f t="shared" si="315"/>
        <v>0</v>
      </c>
      <c r="H235" s="281">
        <v>0</v>
      </c>
      <c r="I235" s="281">
        <v>0</v>
      </c>
      <c r="J235" s="358" t="str">
        <f>IFERROR(G235/#REF!,"-")</f>
        <v>-</v>
      </c>
      <c r="K235" s="339">
        <f t="shared" si="316"/>
        <v>0</v>
      </c>
      <c r="L235" s="281">
        <f t="shared" si="317"/>
        <v>0</v>
      </c>
      <c r="M235" s="251">
        <f t="shared" si="318"/>
        <v>0</v>
      </c>
      <c r="N235" s="343" t="str">
        <f t="shared" si="312"/>
        <v>-</v>
      </c>
      <c r="O235" s="264" t="str">
        <f t="shared" si="305"/>
        <v>-</v>
      </c>
    </row>
    <row r="236" spans="1:15" ht="23.4" x14ac:dyDescent="0.3">
      <c r="A236" s="277" t="s">
        <v>111</v>
      </c>
      <c r="B236" s="923"/>
      <c r="C236" s="278" t="s">
        <v>130</v>
      </c>
      <c r="D236" s="278"/>
      <c r="E236" s="279">
        <v>0</v>
      </c>
      <c r="F236" s="280"/>
      <c r="G236" s="339">
        <f t="shared" si="315"/>
        <v>0</v>
      </c>
      <c r="H236" s="281">
        <v>0</v>
      </c>
      <c r="I236" s="281">
        <v>0</v>
      </c>
      <c r="J236" s="358" t="str">
        <f>IFERROR(G236/#REF!,"-")</f>
        <v>-</v>
      </c>
      <c r="K236" s="339">
        <f t="shared" si="316"/>
        <v>0</v>
      </c>
      <c r="L236" s="281">
        <f t="shared" si="317"/>
        <v>0</v>
      </c>
      <c r="M236" s="251">
        <f t="shared" si="318"/>
        <v>0</v>
      </c>
      <c r="N236" s="343" t="str">
        <f t="shared" si="312"/>
        <v>-</v>
      </c>
      <c r="O236" s="264" t="str">
        <f t="shared" si="305"/>
        <v>-</v>
      </c>
    </row>
    <row r="237" spans="1:15" ht="23.4" x14ac:dyDescent="0.3">
      <c r="A237" s="277" t="s">
        <v>111</v>
      </c>
      <c r="B237" s="923"/>
      <c r="C237" s="278" t="s">
        <v>191</v>
      </c>
      <c r="D237" s="278" t="s">
        <v>192</v>
      </c>
      <c r="E237" s="279">
        <v>0</v>
      </c>
      <c r="F237" s="280"/>
      <c r="G237" s="339">
        <f t="shared" si="315"/>
        <v>0</v>
      </c>
      <c r="H237" s="281">
        <v>0</v>
      </c>
      <c r="I237" s="281">
        <v>0</v>
      </c>
      <c r="J237" s="358" t="str">
        <f>IFERROR(G237/#REF!,"-")</f>
        <v>-</v>
      </c>
      <c r="K237" s="339">
        <f t="shared" si="316"/>
        <v>0</v>
      </c>
      <c r="L237" s="281">
        <f t="shared" si="317"/>
        <v>0</v>
      </c>
      <c r="M237" s="251">
        <f t="shared" si="318"/>
        <v>0</v>
      </c>
      <c r="N237" s="343" t="str">
        <f t="shared" si="312"/>
        <v>-</v>
      </c>
      <c r="O237" s="264" t="str">
        <f t="shared" si="305"/>
        <v>-</v>
      </c>
    </row>
    <row r="238" spans="1:15" ht="23.4" x14ac:dyDescent="0.3">
      <c r="A238" s="277" t="s">
        <v>111</v>
      </c>
      <c r="B238" s="923"/>
      <c r="C238" s="278" t="s">
        <v>194</v>
      </c>
      <c r="D238" s="278" t="s">
        <v>193</v>
      </c>
      <c r="E238" s="279">
        <v>0</v>
      </c>
      <c r="F238" s="280"/>
      <c r="G238" s="339">
        <f t="shared" si="315"/>
        <v>0</v>
      </c>
      <c r="H238" s="281">
        <v>0</v>
      </c>
      <c r="I238" s="281">
        <v>0</v>
      </c>
      <c r="J238" s="358" t="str">
        <f>IFERROR(G238/#REF!,"-")</f>
        <v>-</v>
      </c>
      <c r="K238" s="339">
        <f t="shared" si="316"/>
        <v>0</v>
      </c>
      <c r="L238" s="281">
        <f t="shared" si="317"/>
        <v>0</v>
      </c>
      <c r="M238" s="251">
        <f t="shared" si="318"/>
        <v>0</v>
      </c>
      <c r="N238" s="343" t="str">
        <f t="shared" si="312"/>
        <v>-</v>
      </c>
      <c r="O238" s="264" t="str">
        <f t="shared" si="305"/>
        <v>-</v>
      </c>
    </row>
    <row r="239" spans="1:15" ht="24" thickBot="1" x14ac:dyDescent="0.35">
      <c r="A239" s="277" t="s">
        <v>111</v>
      </c>
      <c r="B239" s="924"/>
      <c r="C239" s="290" t="s">
        <v>195</v>
      </c>
      <c r="D239" s="290" t="s">
        <v>115</v>
      </c>
      <c r="E239" s="283">
        <v>0</v>
      </c>
      <c r="F239" s="284"/>
      <c r="G239" s="340">
        <f t="shared" si="315"/>
        <v>0</v>
      </c>
      <c r="H239" s="285">
        <v>0</v>
      </c>
      <c r="I239" s="285">
        <v>0</v>
      </c>
      <c r="J239" s="359" t="str">
        <f>IFERROR(G239/#REF!,"-")</f>
        <v>-</v>
      </c>
      <c r="K239" s="340">
        <f t="shared" si="316"/>
        <v>0</v>
      </c>
      <c r="L239" s="285">
        <f t="shared" si="317"/>
        <v>0</v>
      </c>
      <c r="M239" s="286">
        <f t="shared" si="318"/>
        <v>0</v>
      </c>
      <c r="N239" s="344" t="str">
        <f t="shared" si="312"/>
        <v>-</v>
      </c>
      <c r="O239" s="353" t="str">
        <f t="shared" si="305"/>
        <v>-</v>
      </c>
    </row>
    <row r="240" spans="1:15" ht="24" thickBot="1" x14ac:dyDescent="0.35">
      <c r="A240" s="277" t="s">
        <v>111</v>
      </c>
      <c r="B240" s="906" t="s">
        <v>29</v>
      </c>
      <c r="C240" s="907"/>
      <c r="D240" s="908"/>
      <c r="E240" s="326">
        <f t="shared" ref="E240" si="319">SUM(E233:E239)</f>
        <v>0</v>
      </c>
      <c r="F240" s="289">
        <v>80000</v>
      </c>
      <c r="G240" s="326">
        <f>SUM(G233:G239)</f>
        <v>0</v>
      </c>
      <c r="H240" s="327">
        <f t="shared" ref="H240:I240" si="320">SUM(H233:H239)</f>
        <v>0</v>
      </c>
      <c r="I240" s="327">
        <f t="shared" si="320"/>
        <v>0</v>
      </c>
      <c r="J240" s="351" t="str">
        <f>IFERROR(G240/#REF!,"-")</f>
        <v>-</v>
      </c>
      <c r="K240" s="326">
        <f t="shared" ref="K240:M240" si="321">SUM(K233:K239)</f>
        <v>0</v>
      </c>
      <c r="L240" s="327">
        <f t="shared" si="321"/>
        <v>0</v>
      </c>
      <c r="M240" s="328">
        <f t="shared" si="321"/>
        <v>0</v>
      </c>
      <c r="N240" s="345" t="str">
        <f t="shared" si="312"/>
        <v>-</v>
      </c>
      <c r="O240" s="351" t="str">
        <f t="shared" si="305"/>
        <v>-</v>
      </c>
    </row>
    <row r="241" spans="1:15" ht="23.4" x14ac:dyDescent="0.3">
      <c r="A241" s="252" t="s">
        <v>111</v>
      </c>
      <c r="B241" s="918" t="s">
        <v>19</v>
      </c>
      <c r="C241" s="678" t="s">
        <v>260</v>
      </c>
      <c r="D241" s="676" t="s">
        <v>192</v>
      </c>
      <c r="E241" s="293">
        <v>2000000</v>
      </c>
      <c r="F241" s="294">
        <v>110000</v>
      </c>
      <c r="G241" s="468">
        <f t="shared" ref="G241:G242" si="322">+H241+I241</f>
        <v>50846</v>
      </c>
      <c r="H241" s="674">
        <v>50688</v>
      </c>
      <c r="I241" s="674">
        <v>158</v>
      </c>
      <c r="J241" s="675" t="str">
        <f>IFERROR(G241/#REF!,"-")</f>
        <v>-</v>
      </c>
      <c r="K241" s="673">
        <f>+L241+M241</f>
        <v>76354</v>
      </c>
      <c r="L241" s="295">
        <f t="shared" ref="L241:L242" si="323">+H241+L138</f>
        <v>76032</v>
      </c>
      <c r="M241" s="295">
        <f t="shared" ref="M241:M242" si="324">+I241+M138</f>
        <v>322</v>
      </c>
      <c r="N241" s="346">
        <f t="shared" si="312"/>
        <v>3.8177000000000003E-2</v>
      </c>
      <c r="O241" s="354">
        <f t="shared" si="305"/>
        <v>4.2171988369960976E-3</v>
      </c>
    </row>
    <row r="242" spans="1:15" ht="24" thickBot="1" x14ac:dyDescent="0.35">
      <c r="A242" s="252"/>
      <c r="B242" s="920"/>
      <c r="C242" s="679" t="s">
        <v>417</v>
      </c>
      <c r="D242" s="677"/>
      <c r="E242" s="285">
        <v>150000</v>
      </c>
      <c r="F242" s="285">
        <v>110000</v>
      </c>
      <c r="G242" s="607">
        <f t="shared" si="322"/>
        <v>0</v>
      </c>
      <c r="H242" s="285">
        <v>0</v>
      </c>
      <c r="I242" s="285">
        <v>0</v>
      </c>
      <c r="J242" s="359"/>
      <c r="K242" s="607">
        <f>+L242+M242</f>
        <v>0</v>
      </c>
      <c r="L242" s="285">
        <f t="shared" si="323"/>
        <v>0</v>
      </c>
      <c r="M242" s="285">
        <f t="shared" si="324"/>
        <v>0</v>
      </c>
      <c r="N242" s="680">
        <f t="shared" si="312"/>
        <v>0</v>
      </c>
      <c r="O242" s="680" t="str">
        <f t="shared" si="305"/>
        <v>-</v>
      </c>
    </row>
    <row r="243" spans="1:15" ht="24" thickBot="1" x14ac:dyDescent="0.35">
      <c r="A243" s="277" t="s">
        <v>111</v>
      </c>
      <c r="B243" s="921" t="s">
        <v>49</v>
      </c>
      <c r="C243" s="907"/>
      <c r="D243" s="908"/>
      <c r="E243" s="326">
        <f>SUM(E241:E242)</f>
        <v>2150000</v>
      </c>
      <c r="F243" s="329">
        <f t="shared" ref="F243" si="325">SUM(F241)</f>
        <v>110000</v>
      </c>
      <c r="G243" s="326">
        <f>SUM(G241)</f>
        <v>50846</v>
      </c>
      <c r="H243" s="327">
        <f t="shared" ref="H243:I243" si="326">SUM(H241)</f>
        <v>50688</v>
      </c>
      <c r="I243" s="327">
        <f t="shared" si="326"/>
        <v>158</v>
      </c>
      <c r="J243" s="351" t="str">
        <f>IFERROR(G243/#REF!,"-")</f>
        <v>-</v>
      </c>
      <c r="K243" s="681">
        <f t="shared" ref="K243:M243" si="327">SUM(K241)</f>
        <v>76354</v>
      </c>
      <c r="L243" s="327">
        <f t="shared" si="327"/>
        <v>76032</v>
      </c>
      <c r="M243" s="328">
        <f t="shared" si="327"/>
        <v>322</v>
      </c>
      <c r="N243" s="345">
        <f t="shared" si="312"/>
        <v>3.5513488372093026E-2</v>
      </c>
      <c r="O243" s="351">
        <f t="shared" si="305"/>
        <v>4.2171988369960976E-3</v>
      </c>
    </row>
    <row r="244" spans="1:15" ht="23.4" x14ac:dyDescent="0.3">
      <c r="A244" s="277" t="s">
        <v>111</v>
      </c>
      <c r="B244" s="922" t="s">
        <v>20</v>
      </c>
      <c r="C244" s="297" t="s">
        <v>370</v>
      </c>
      <c r="D244" s="297" t="s">
        <v>324</v>
      </c>
      <c r="E244" s="273">
        <v>0</v>
      </c>
      <c r="F244" s="274"/>
      <c r="G244" s="338">
        <f t="shared" ref="G244:G246" si="328">+H244+I244</f>
        <v>0</v>
      </c>
      <c r="H244" s="275">
        <v>0</v>
      </c>
      <c r="I244" s="275">
        <v>0</v>
      </c>
      <c r="J244" s="357" t="str">
        <f>IFERROR(G244/#REF!,"-")</f>
        <v>-</v>
      </c>
      <c r="K244" s="338">
        <f t="shared" ref="K244:K246" si="329">+L244+M244</f>
        <v>0</v>
      </c>
      <c r="L244" s="275">
        <f t="shared" ref="L244:L246" si="330">+H244+L141</f>
        <v>0</v>
      </c>
      <c r="M244" s="276">
        <f t="shared" ref="M244:M246" si="331">+I244+M141</f>
        <v>0</v>
      </c>
      <c r="N244" s="342" t="str">
        <f t="shared" si="312"/>
        <v>-</v>
      </c>
      <c r="O244" s="352" t="str">
        <f t="shared" si="305"/>
        <v>-</v>
      </c>
    </row>
    <row r="245" spans="1:15" ht="23.4" x14ac:dyDescent="0.3">
      <c r="A245" s="277" t="s">
        <v>111</v>
      </c>
      <c r="B245" s="923"/>
      <c r="C245" s="298" t="s">
        <v>122</v>
      </c>
      <c r="D245" s="298"/>
      <c r="E245" s="279">
        <v>0</v>
      </c>
      <c r="F245" s="280"/>
      <c r="G245" s="339">
        <f t="shared" si="328"/>
        <v>0</v>
      </c>
      <c r="H245" s="281">
        <v>0</v>
      </c>
      <c r="I245" s="281">
        <v>0</v>
      </c>
      <c r="J245" s="358" t="str">
        <f>IFERROR(G245/#REF!,"-")</f>
        <v>-</v>
      </c>
      <c r="K245" s="339">
        <f t="shared" si="329"/>
        <v>0</v>
      </c>
      <c r="L245" s="281">
        <f t="shared" si="330"/>
        <v>0</v>
      </c>
      <c r="M245" s="251">
        <f t="shared" si="331"/>
        <v>0</v>
      </c>
      <c r="N245" s="343" t="str">
        <f t="shared" si="312"/>
        <v>-</v>
      </c>
      <c r="O245" s="264" t="str">
        <f t="shared" si="305"/>
        <v>-</v>
      </c>
    </row>
    <row r="246" spans="1:15" ht="24" thickBot="1" x14ac:dyDescent="0.35">
      <c r="A246" s="277" t="s">
        <v>111</v>
      </c>
      <c r="B246" s="924"/>
      <c r="C246" s="299" t="s">
        <v>128</v>
      </c>
      <c r="D246" s="299"/>
      <c r="E246" s="283">
        <v>0</v>
      </c>
      <c r="F246" s="284"/>
      <c r="G246" s="340">
        <f t="shared" si="328"/>
        <v>0</v>
      </c>
      <c r="H246" s="285">
        <v>0</v>
      </c>
      <c r="I246" s="285">
        <v>0</v>
      </c>
      <c r="J246" s="359" t="str">
        <f>IFERROR(G246/#REF!,"-")</f>
        <v>-</v>
      </c>
      <c r="K246" s="340">
        <f t="shared" si="329"/>
        <v>0</v>
      </c>
      <c r="L246" s="285">
        <f t="shared" si="330"/>
        <v>0</v>
      </c>
      <c r="M246" s="286">
        <f t="shared" si="331"/>
        <v>0</v>
      </c>
      <c r="N246" s="344" t="str">
        <f t="shared" si="312"/>
        <v>-</v>
      </c>
      <c r="O246" s="353" t="str">
        <f t="shared" si="305"/>
        <v>-</v>
      </c>
    </row>
    <row r="247" spans="1:15" ht="24" thickBot="1" x14ac:dyDescent="0.35">
      <c r="A247" s="277" t="s">
        <v>111</v>
      </c>
      <c r="B247" s="907" t="s">
        <v>50</v>
      </c>
      <c r="C247" s="907"/>
      <c r="D247" s="925"/>
      <c r="E247" s="326">
        <f t="shared" ref="E247" si="332">SUM(E244:E246)</f>
        <v>0</v>
      </c>
      <c r="F247" s="289">
        <v>50000</v>
      </c>
      <c r="G247" s="326">
        <f>SUM(G244:G246)</f>
        <v>0</v>
      </c>
      <c r="H247" s="327">
        <f t="shared" ref="H247:I247" si="333">SUM(H244:H246)</f>
        <v>0</v>
      </c>
      <c r="I247" s="327">
        <f t="shared" si="333"/>
        <v>0</v>
      </c>
      <c r="J247" s="351" t="str">
        <f>IFERROR(G247/#REF!,"-")</f>
        <v>-</v>
      </c>
      <c r="K247" s="326">
        <f t="shared" ref="K247:M247" si="334">SUM(K244:K246)</f>
        <v>0</v>
      </c>
      <c r="L247" s="327">
        <f t="shared" si="334"/>
        <v>0</v>
      </c>
      <c r="M247" s="328">
        <f t="shared" si="334"/>
        <v>0</v>
      </c>
      <c r="N247" s="345" t="str">
        <f t="shared" si="312"/>
        <v>-</v>
      </c>
      <c r="O247" s="351" t="str">
        <f t="shared" si="305"/>
        <v>-</v>
      </c>
    </row>
    <row r="248" spans="1:15" ht="24" thickBot="1" x14ac:dyDescent="0.35">
      <c r="A248" s="277" t="s">
        <v>111</v>
      </c>
      <c r="B248" s="926" t="s">
        <v>21</v>
      </c>
      <c r="C248" s="927"/>
      <c r="D248" s="928"/>
      <c r="E248" s="332">
        <f>+E224+E232+E240+E243+E247</f>
        <v>5774600</v>
      </c>
      <c r="F248" s="333">
        <f>+F224+F232+F240+F243+F247</f>
        <v>355000</v>
      </c>
      <c r="G248" s="332">
        <f>+G224+G232+G240+G243+G247</f>
        <v>152294</v>
      </c>
      <c r="H248" s="330">
        <f>+H224+H232+H240+H243+H247</f>
        <v>151704</v>
      </c>
      <c r="I248" s="330">
        <f>+I224+I232+I240+I243+I247</f>
        <v>590</v>
      </c>
      <c r="J248" s="355" t="str">
        <f>IFERROR(G248/#REF!,"-")</f>
        <v>-</v>
      </c>
      <c r="K248" s="332">
        <f>+K224+K232+K240+K243+K247</f>
        <v>375550</v>
      </c>
      <c r="L248" s="330">
        <f>+L224+L232+L240+L243+L247</f>
        <v>373332</v>
      </c>
      <c r="M248" s="331">
        <f>+M224+M232+M240+M243+M247</f>
        <v>2218</v>
      </c>
      <c r="N248" s="347">
        <f t="shared" si="312"/>
        <v>6.5034807605721612E-2</v>
      </c>
      <c r="O248" s="355">
        <f t="shared" si="305"/>
        <v>5.9060045266941816E-3</v>
      </c>
    </row>
    <row r="249" spans="1:15" ht="23.4" x14ac:dyDescent="0.3">
      <c r="A249" s="277" t="s">
        <v>111</v>
      </c>
      <c r="B249" s="922" t="s">
        <v>22</v>
      </c>
      <c r="C249" s="272" t="s">
        <v>133</v>
      </c>
      <c r="D249" s="272"/>
      <c r="E249" s="273">
        <v>0</v>
      </c>
      <c r="F249" s="274"/>
      <c r="G249" s="338">
        <f t="shared" ref="G249:G252" si="335">+H249+I249</f>
        <v>0</v>
      </c>
      <c r="H249" s="275">
        <v>0</v>
      </c>
      <c r="I249" s="275">
        <v>0</v>
      </c>
      <c r="J249" s="357" t="str">
        <f>IFERROR(G249/#REF!,"-")</f>
        <v>-</v>
      </c>
      <c r="K249" s="338">
        <f t="shared" ref="K249:K252" si="336">+L249+M249</f>
        <v>0</v>
      </c>
      <c r="L249" s="275">
        <f t="shared" ref="L249:L252" si="337">+H249+L146</f>
        <v>0</v>
      </c>
      <c r="M249" s="276">
        <f t="shared" ref="M249:M252" si="338">+I249+M146</f>
        <v>0</v>
      </c>
      <c r="N249" s="342" t="str">
        <f t="shared" si="312"/>
        <v>-</v>
      </c>
      <c r="O249" s="352" t="str">
        <f t="shared" si="305"/>
        <v>-</v>
      </c>
    </row>
    <row r="250" spans="1:15" ht="23.4" x14ac:dyDescent="0.3">
      <c r="A250" s="277" t="s">
        <v>111</v>
      </c>
      <c r="B250" s="923"/>
      <c r="C250" s="301" t="s">
        <v>291</v>
      </c>
      <c r="D250" s="301" t="s">
        <v>196</v>
      </c>
      <c r="E250" s="279">
        <v>0</v>
      </c>
      <c r="F250" s="280"/>
      <c r="G250" s="339">
        <f t="shared" si="335"/>
        <v>0</v>
      </c>
      <c r="H250" s="281">
        <v>0</v>
      </c>
      <c r="I250" s="281">
        <v>0</v>
      </c>
      <c r="J250" s="358" t="str">
        <f>IFERROR(G250/#REF!,"-")</f>
        <v>-</v>
      </c>
      <c r="K250" s="339">
        <f t="shared" si="336"/>
        <v>0</v>
      </c>
      <c r="L250" s="281">
        <f t="shared" si="337"/>
        <v>0</v>
      </c>
      <c r="M250" s="251">
        <f t="shared" si="338"/>
        <v>0</v>
      </c>
      <c r="N250" s="343" t="str">
        <f t="shared" si="312"/>
        <v>-</v>
      </c>
      <c r="O250" s="264" t="str">
        <f t="shared" si="305"/>
        <v>-</v>
      </c>
    </row>
    <row r="251" spans="1:15" ht="23.4" x14ac:dyDescent="0.3">
      <c r="A251" s="277" t="s">
        <v>111</v>
      </c>
      <c r="B251" s="923"/>
      <c r="C251" s="301" t="s">
        <v>198</v>
      </c>
      <c r="D251" s="301" t="s">
        <v>100</v>
      </c>
      <c r="E251" s="279">
        <v>0</v>
      </c>
      <c r="F251" s="280"/>
      <c r="G251" s="339">
        <f t="shared" si="335"/>
        <v>0</v>
      </c>
      <c r="H251" s="281">
        <v>0</v>
      </c>
      <c r="I251" s="281">
        <v>0</v>
      </c>
      <c r="J251" s="358" t="str">
        <f>IFERROR(G251/#REF!,"-")</f>
        <v>-</v>
      </c>
      <c r="K251" s="339">
        <f t="shared" si="336"/>
        <v>0</v>
      </c>
      <c r="L251" s="281">
        <f t="shared" si="337"/>
        <v>0</v>
      </c>
      <c r="M251" s="251">
        <f t="shared" si="338"/>
        <v>0</v>
      </c>
      <c r="N251" s="343" t="str">
        <f t="shared" si="312"/>
        <v>-</v>
      </c>
      <c r="O251" s="264" t="str">
        <f t="shared" si="305"/>
        <v>-</v>
      </c>
    </row>
    <row r="252" spans="1:15" ht="24" thickBot="1" x14ac:dyDescent="0.35">
      <c r="A252" s="277" t="s">
        <v>111</v>
      </c>
      <c r="B252" s="924"/>
      <c r="C252" s="282" t="s">
        <v>197</v>
      </c>
      <c r="D252" s="282" t="s">
        <v>100</v>
      </c>
      <c r="E252" s="283">
        <v>0</v>
      </c>
      <c r="F252" s="284"/>
      <c r="G252" s="340">
        <f t="shared" si="335"/>
        <v>0</v>
      </c>
      <c r="H252" s="285">
        <v>0</v>
      </c>
      <c r="I252" s="285">
        <v>0</v>
      </c>
      <c r="J252" s="359" t="str">
        <f>IFERROR(G252/#REF!,"-")</f>
        <v>-</v>
      </c>
      <c r="K252" s="340">
        <f t="shared" si="336"/>
        <v>0</v>
      </c>
      <c r="L252" s="285">
        <f t="shared" si="337"/>
        <v>0</v>
      </c>
      <c r="M252" s="286">
        <f t="shared" si="338"/>
        <v>0</v>
      </c>
      <c r="N252" s="344" t="str">
        <f t="shared" si="312"/>
        <v>-</v>
      </c>
      <c r="O252" s="353" t="str">
        <f t="shared" si="305"/>
        <v>-</v>
      </c>
    </row>
    <row r="253" spans="1:15" ht="24" thickBot="1" x14ac:dyDescent="0.35">
      <c r="A253" s="277" t="s">
        <v>111</v>
      </c>
      <c r="B253" s="906" t="s">
        <v>51</v>
      </c>
      <c r="C253" s="907"/>
      <c r="D253" s="908"/>
      <c r="E253" s="288">
        <v>0</v>
      </c>
      <c r="F253" s="289">
        <v>80000</v>
      </c>
      <c r="G253" s="326">
        <f>SUM(G249:G252)</f>
        <v>0</v>
      </c>
      <c r="H253" s="327">
        <f t="shared" ref="H253:I253" si="339">SUM(H249:H252)</f>
        <v>0</v>
      </c>
      <c r="I253" s="327">
        <f t="shared" si="339"/>
        <v>0</v>
      </c>
      <c r="J253" s="351" t="str">
        <f>IFERROR(G253/#REF!,"-")</f>
        <v>-</v>
      </c>
      <c r="K253" s="326">
        <f t="shared" ref="K253:M253" si="340">SUM(K249:K252)</f>
        <v>0</v>
      </c>
      <c r="L253" s="327">
        <f t="shared" si="340"/>
        <v>0</v>
      </c>
      <c r="M253" s="328">
        <f t="shared" si="340"/>
        <v>0</v>
      </c>
      <c r="N253" s="345" t="str">
        <f t="shared" si="312"/>
        <v>-</v>
      </c>
      <c r="O253" s="351" t="str">
        <f t="shared" si="305"/>
        <v>-</v>
      </c>
    </row>
    <row r="254" spans="1:15" ht="23.4" x14ac:dyDescent="0.3">
      <c r="A254" s="277" t="s">
        <v>111</v>
      </c>
      <c r="B254" s="922" t="s">
        <v>23</v>
      </c>
      <c r="C254" s="302" t="s">
        <v>348</v>
      </c>
      <c r="D254" s="302" t="s">
        <v>263</v>
      </c>
      <c r="E254" s="273">
        <v>0</v>
      </c>
      <c r="F254" s="274"/>
      <c r="G254" s="338">
        <f t="shared" ref="G254:G261" si="341">+H254+I254</f>
        <v>0</v>
      </c>
      <c r="H254" s="275">
        <v>0</v>
      </c>
      <c r="I254" s="275">
        <v>0</v>
      </c>
      <c r="J254" s="357" t="str">
        <f>IFERROR(G254/#REF!,"-")</f>
        <v>-</v>
      </c>
      <c r="K254" s="338">
        <f t="shared" ref="K254:K261" si="342">+L254+M254</f>
        <v>0</v>
      </c>
      <c r="L254" s="275">
        <f t="shared" ref="L254:L261" si="343">+H254+L151</f>
        <v>0</v>
      </c>
      <c r="M254" s="276">
        <f t="shared" ref="M254:M261" si="344">+I254+M151</f>
        <v>0</v>
      </c>
      <c r="N254" s="342" t="str">
        <f t="shared" si="312"/>
        <v>-</v>
      </c>
      <c r="O254" s="352" t="str">
        <f t="shared" si="305"/>
        <v>-</v>
      </c>
    </row>
    <row r="255" spans="1:15" ht="23.4" x14ac:dyDescent="0.3">
      <c r="A255" s="277" t="s">
        <v>111</v>
      </c>
      <c r="B255" s="923"/>
      <c r="C255" s="278" t="s">
        <v>24</v>
      </c>
      <c r="D255" s="278" t="s">
        <v>263</v>
      </c>
      <c r="E255" s="279">
        <v>0</v>
      </c>
      <c r="F255" s="280"/>
      <c r="G255" s="339">
        <f t="shared" si="341"/>
        <v>12328</v>
      </c>
      <c r="H255" s="281">
        <v>12250</v>
      </c>
      <c r="I255" s="281">
        <v>78</v>
      </c>
      <c r="J255" s="358" t="str">
        <f>IFERROR(G255/#REF!,"-")</f>
        <v>-</v>
      </c>
      <c r="K255" s="339">
        <f t="shared" si="342"/>
        <v>29090</v>
      </c>
      <c r="L255" s="281">
        <f t="shared" si="343"/>
        <v>28875</v>
      </c>
      <c r="M255" s="251">
        <f t="shared" si="344"/>
        <v>215</v>
      </c>
      <c r="N255" s="343" t="str">
        <f t="shared" si="312"/>
        <v>-</v>
      </c>
      <c r="O255" s="264">
        <f t="shared" si="305"/>
        <v>7.390855964248883E-3</v>
      </c>
    </row>
    <row r="256" spans="1:15" ht="23.4" x14ac:dyDescent="0.3">
      <c r="A256" s="277" t="s">
        <v>111</v>
      </c>
      <c r="B256" s="923"/>
      <c r="C256" s="278" t="s">
        <v>261</v>
      </c>
      <c r="D256" s="278" t="s">
        <v>263</v>
      </c>
      <c r="E256" s="279">
        <v>0</v>
      </c>
      <c r="F256" s="280"/>
      <c r="G256" s="339">
        <f t="shared" si="341"/>
        <v>0</v>
      </c>
      <c r="H256" s="281">
        <v>0</v>
      </c>
      <c r="I256" s="281">
        <v>0</v>
      </c>
      <c r="J256" s="358" t="str">
        <f>IFERROR(G256/#REF!,"-")</f>
        <v>-</v>
      </c>
      <c r="K256" s="339">
        <f t="shared" si="342"/>
        <v>0</v>
      </c>
      <c r="L256" s="281">
        <f t="shared" si="343"/>
        <v>0</v>
      </c>
      <c r="M256" s="251">
        <f t="shared" si="344"/>
        <v>0</v>
      </c>
      <c r="N256" s="343" t="str">
        <f t="shared" si="312"/>
        <v>-</v>
      </c>
      <c r="O256" s="264" t="str">
        <f t="shared" si="305"/>
        <v>-</v>
      </c>
    </row>
    <row r="257" spans="1:15" ht="23.4" x14ac:dyDescent="0.3">
      <c r="A257" s="277" t="s">
        <v>111</v>
      </c>
      <c r="B257" s="923"/>
      <c r="C257" s="278" t="s">
        <v>262</v>
      </c>
      <c r="D257" s="278" t="s">
        <v>263</v>
      </c>
      <c r="E257" s="279">
        <v>0</v>
      </c>
      <c r="F257" s="280"/>
      <c r="G257" s="339">
        <f t="shared" si="341"/>
        <v>0</v>
      </c>
      <c r="H257" s="281">
        <v>0</v>
      </c>
      <c r="I257" s="281">
        <v>0</v>
      </c>
      <c r="J257" s="358" t="str">
        <f>IFERROR(G257/#REF!,"-")</f>
        <v>-</v>
      </c>
      <c r="K257" s="339">
        <f t="shared" si="342"/>
        <v>0</v>
      </c>
      <c r="L257" s="281">
        <f t="shared" si="343"/>
        <v>0</v>
      </c>
      <c r="M257" s="251">
        <f t="shared" si="344"/>
        <v>0</v>
      </c>
      <c r="N257" s="343" t="str">
        <f t="shared" si="312"/>
        <v>-</v>
      </c>
      <c r="O257" s="264" t="str">
        <f t="shared" si="305"/>
        <v>-</v>
      </c>
    </row>
    <row r="258" spans="1:15" ht="23.4" x14ac:dyDescent="0.3">
      <c r="A258" s="277" t="s">
        <v>111</v>
      </c>
      <c r="B258" s="923"/>
      <c r="C258" s="301" t="s">
        <v>264</v>
      </c>
      <c r="D258" s="278" t="s">
        <v>263</v>
      </c>
      <c r="E258" s="279">
        <v>0</v>
      </c>
      <c r="F258" s="280"/>
      <c r="G258" s="339">
        <f t="shared" si="341"/>
        <v>0</v>
      </c>
      <c r="H258" s="281">
        <v>0</v>
      </c>
      <c r="I258" s="281">
        <v>0</v>
      </c>
      <c r="J258" s="358" t="str">
        <f>IFERROR(G258/#REF!,"-")</f>
        <v>-</v>
      </c>
      <c r="K258" s="339">
        <f t="shared" si="342"/>
        <v>0</v>
      </c>
      <c r="L258" s="281">
        <f t="shared" si="343"/>
        <v>0</v>
      </c>
      <c r="M258" s="251">
        <f t="shared" si="344"/>
        <v>0</v>
      </c>
      <c r="N258" s="343" t="str">
        <f t="shared" si="312"/>
        <v>-</v>
      </c>
      <c r="O258" s="264" t="str">
        <f t="shared" si="305"/>
        <v>-</v>
      </c>
    </row>
    <row r="259" spans="1:15" ht="23.4" x14ac:dyDescent="0.3">
      <c r="A259" s="277" t="s">
        <v>111</v>
      </c>
      <c r="B259" s="923"/>
      <c r="C259" s="301" t="s">
        <v>265</v>
      </c>
      <c r="D259" s="278" t="s">
        <v>263</v>
      </c>
      <c r="E259" s="279">
        <v>0</v>
      </c>
      <c r="F259" s="280"/>
      <c r="G259" s="339">
        <f t="shared" si="341"/>
        <v>0</v>
      </c>
      <c r="H259" s="281">
        <v>0</v>
      </c>
      <c r="I259" s="281">
        <v>0</v>
      </c>
      <c r="J259" s="358" t="str">
        <f>IFERROR(G259/#REF!,"-")</f>
        <v>-</v>
      </c>
      <c r="K259" s="339">
        <f t="shared" si="342"/>
        <v>0</v>
      </c>
      <c r="L259" s="281">
        <f t="shared" si="343"/>
        <v>0</v>
      </c>
      <c r="M259" s="251">
        <f t="shared" si="344"/>
        <v>0</v>
      </c>
      <c r="N259" s="343" t="str">
        <f t="shared" si="312"/>
        <v>-</v>
      </c>
      <c r="O259" s="264" t="str">
        <f t="shared" si="305"/>
        <v>-</v>
      </c>
    </row>
    <row r="260" spans="1:15" ht="23.4" x14ac:dyDescent="0.3">
      <c r="A260" s="277" t="s">
        <v>111</v>
      </c>
      <c r="B260" s="923"/>
      <c r="C260" s="301" t="s">
        <v>266</v>
      </c>
      <c r="D260" s="278" t="s">
        <v>268</v>
      </c>
      <c r="E260" s="279">
        <v>0</v>
      </c>
      <c r="F260" s="280"/>
      <c r="G260" s="339">
        <f t="shared" si="341"/>
        <v>0</v>
      </c>
      <c r="H260" s="281">
        <v>0</v>
      </c>
      <c r="I260" s="281">
        <v>0</v>
      </c>
      <c r="J260" s="358" t="str">
        <f>IFERROR(G260/#REF!,"-")</f>
        <v>-</v>
      </c>
      <c r="K260" s="339">
        <f t="shared" si="342"/>
        <v>0</v>
      </c>
      <c r="L260" s="281">
        <f t="shared" si="343"/>
        <v>0</v>
      </c>
      <c r="M260" s="251">
        <f t="shared" si="344"/>
        <v>0</v>
      </c>
      <c r="N260" s="343" t="str">
        <f t="shared" si="312"/>
        <v>-</v>
      </c>
      <c r="O260" s="264" t="str">
        <f t="shared" si="305"/>
        <v>-</v>
      </c>
    </row>
    <row r="261" spans="1:15" ht="24" thickBot="1" x14ac:dyDescent="0.35">
      <c r="A261" s="277" t="s">
        <v>111</v>
      </c>
      <c r="B261" s="924"/>
      <c r="C261" s="301" t="s">
        <v>267</v>
      </c>
      <c r="D261" s="278" t="s">
        <v>263</v>
      </c>
      <c r="E261" s="283">
        <v>0</v>
      </c>
      <c r="F261" s="284"/>
      <c r="G261" s="340">
        <f t="shared" si="341"/>
        <v>0</v>
      </c>
      <c r="H261" s="285">
        <v>0</v>
      </c>
      <c r="I261" s="285">
        <v>0</v>
      </c>
      <c r="J261" s="359" t="str">
        <f>IFERROR(G261/#REF!,"-")</f>
        <v>-</v>
      </c>
      <c r="K261" s="340">
        <f t="shared" si="342"/>
        <v>0</v>
      </c>
      <c r="L261" s="285">
        <f t="shared" si="343"/>
        <v>0</v>
      </c>
      <c r="M261" s="286">
        <f t="shared" si="344"/>
        <v>0</v>
      </c>
      <c r="N261" s="344" t="str">
        <f t="shared" si="312"/>
        <v>-</v>
      </c>
      <c r="O261" s="353" t="str">
        <f t="shared" si="305"/>
        <v>-</v>
      </c>
    </row>
    <row r="262" spans="1:15" ht="24" thickBot="1" x14ac:dyDescent="0.35">
      <c r="A262" s="277" t="s">
        <v>111</v>
      </c>
      <c r="B262" s="906" t="s">
        <v>52</v>
      </c>
      <c r="C262" s="907"/>
      <c r="D262" s="908"/>
      <c r="E262" s="288">
        <v>157500</v>
      </c>
      <c r="F262" s="289">
        <v>14000</v>
      </c>
      <c r="G262" s="326">
        <f>SUM(G254:G261)</f>
        <v>12328</v>
      </c>
      <c r="H262" s="327">
        <f t="shared" ref="H262:I262" si="345">SUM(H254:H261)</f>
        <v>12250</v>
      </c>
      <c r="I262" s="327">
        <f t="shared" si="345"/>
        <v>78</v>
      </c>
      <c r="J262" s="351" t="str">
        <f>IFERROR(G262/#REF!,"-")</f>
        <v>-</v>
      </c>
      <c r="K262" s="326">
        <f t="shared" ref="K262:M262" si="346">SUM(K254:K261)</f>
        <v>29090</v>
      </c>
      <c r="L262" s="327">
        <f t="shared" si="346"/>
        <v>28875</v>
      </c>
      <c r="M262" s="328">
        <f t="shared" si="346"/>
        <v>215</v>
      </c>
      <c r="N262" s="345">
        <f t="shared" si="312"/>
        <v>0.1846984126984127</v>
      </c>
      <c r="O262" s="351">
        <f t="shared" si="305"/>
        <v>7.390855964248883E-3</v>
      </c>
    </row>
    <row r="263" spans="1:15" ht="24" thickBot="1" x14ac:dyDescent="0.35">
      <c r="A263" s="277" t="s">
        <v>111</v>
      </c>
      <c r="B263" s="926" t="s">
        <v>25</v>
      </c>
      <c r="C263" s="927"/>
      <c r="D263" s="928"/>
      <c r="E263" s="332">
        <f t="shared" ref="E263:F263" si="347">+E253+E262</f>
        <v>157500</v>
      </c>
      <c r="F263" s="333">
        <f t="shared" si="347"/>
        <v>94000</v>
      </c>
      <c r="G263" s="332">
        <f>+G253+G262</f>
        <v>12328</v>
      </c>
      <c r="H263" s="330">
        <f t="shared" ref="H263:I263" si="348">+H253+H262</f>
        <v>12250</v>
      </c>
      <c r="I263" s="330">
        <f t="shared" si="348"/>
        <v>78</v>
      </c>
      <c r="J263" s="355" t="str">
        <f>IFERROR(G263/#REF!,"-")</f>
        <v>-</v>
      </c>
      <c r="K263" s="332">
        <f t="shared" ref="K263" si="349">+K253+K262</f>
        <v>29090</v>
      </c>
      <c r="L263" s="330">
        <f>+L253+L262</f>
        <v>28875</v>
      </c>
      <c r="M263" s="331">
        <f t="shared" ref="M263" si="350">+M253+M262</f>
        <v>215</v>
      </c>
      <c r="N263" s="347">
        <f t="shared" si="312"/>
        <v>0.1846984126984127</v>
      </c>
      <c r="O263" s="355">
        <f t="shared" si="305"/>
        <v>7.390855964248883E-3</v>
      </c>
    </row>
    <row r="264" spans="1:15" ht="24" thickBot="1" x14ac:dyDescent="0.35">
      <c r="A264" s="277" t="s">
        <v>111</v>
      </c>
      <c r="B264" s="900" t="s">
        <v>181</v>
      </c>
      <c r="C264" s="901"/>
      <c r="D264" s="902"/>
      <c r="E264" s="336">
        <f>+E248+E263</f>
        <v>5932100</v>
      </c>
      <c r="F264" s="337">
        <f t="shared" ref="F264:I264" si="351">+F248+F263</f>
        <v>449000</v>
      </c>
      <c r="G264" s="336">
        <f t="shared" si="351"/>
        <v>164622</v>
      </c>
      <c r="H264" s="334">
        <f t="shared" si="351"/>
        <v>163954</v>
      </c>
      <c r="I264" s="334">
        <f t="shared" si="351"/>
        <v>668</v>
      </c>
      <c r="J264" s="356" t="str">
        <f>IFERROR(G264/#REF!,"-")</f>
        <v>-</v>
      </c>
      <c r="K264" s="336">
        <f t="shared" ref="K264:M264" si="352">+K248+K263</f>
        <v>404640</v>
      </c>
      <c r="L264" s="334">
        <f t="shared" si="352"/>
        <v>402207</v>
      </c>
      <c r="M264" s="335">
        <f t="shared" si="352"/>
        <v>2433</v>
      </c>
      <c r="N264" s="348">
        <f t="shared" si="312"/>
        <v>6.8211931693666655E-2</v>
      </c>
      <c r="O264" s="356">
        <f t="shared" si="305"/>
        <v>6.0127520759193356E-3</v>
      </c>
    </row>
    <row r="265" spans="1:15" ht="23.4" x14ac:dyDescent="0.3">
      <c r="A265" s="271" t="s">
        <v>109</v>
      </c>
      <c r="B265" s="929" t="s">
        <v>26</v>
      </c>
      <c r="C265" s="303" t="s">
        <v>334</v>
      </c>
      <c r="D265" s="303" t="s">
        <v>192</v>
      </c>
      <c r="E265" s="273">
        <v>0</v>
      </c>
      <c r="F265" s="274"/>
      <c r="G265" s="338">
        <f t="shared" ref="G265:G273" si="353">+H265+I265</f>
        <v>128729</v>
      </c>
      <c r="H265" s="275">
        <v>127296</v>
      </c>
      <c r="I265" s="275">
        <v>1433</v>
      </c>
      <c r="J265" s="357" t="str">
        <f>IFERROR(G265/#REF!,"-")</f>
        <v>-</v>
      </c>
      <c r="K265" s="338">
        <f t="shared" ref="K265:K273" si="354">+L265+M265</f>
        <v>213613</v>
      </c>
      <c r="L265" s="275">
        <f t="shared" ref="L265:L273" si="355">+H265+L162</f>
        <v>210834</v>
      </c>
      <c r="M265" s="276">
        <f t="shared" ref="M265:M273" si="356">+I265+M162</f>
        <v>2779</v>
      </c>
      <c r="N265" s="342" t="str">
        <f t="shared" si="312"/>
        <v>-</v>
      </c>
      <c r="O265" s="352">
        <f t="shared" si="305"/>
        <v>1.3009507848305112E-2</v>
      </c>
    </row>
    <row r="266" spans="1:15" ht="23.4" x14ac:dyDescent="0.3">
      <c r="A266" s="277" t="s">
        <v>109</v>
      </c>
      <c r="B266" s="929"/>
      <c r="C266" s="304" t="s">
        <v>199</v>
      </c>
      <c r="D266" s="304" t="s">
        <v>115</v>
      </c>
      <c r="E266" s="279">
        <v>0</v>
      </c>
      <c r="F266" s="280"/>
      <c r="G266" s="339">
        <f t="shared" si="353"/>
        <v>0</v>
      </c>
      <c r="H266" s="281">
        <v>0</v>
      </c>
      <c r="I266" s="281">
        <v>0</v>
      </c>
      <c r="J266" s="358" t="str">
        <f>IFERROR(G266/#REF!,"-")</f>
        <v>-</v>
      </c>
      <c r="K266" s="339">
        <f t="shared" si="354"/>
        <v>0</v>
      </c>
      <c r="L266" s="281">
        <f t="shared" si="355"/>
        <v>0</v>
      </c>
      <c r="M266" s="251">
        <f t="shared" si="356"/>
        <v>0</v>
      </c>
      <c r="N266" s="343" t="str">
        <f t="shared" si="312"/>
        <v>-</v>
      </c>
      <c r="O266" s="264" t="str">
        <f t="shared" si="305"/>
        <v>-</v>
      </c>
    </row>
    <row r="267" spans="1:15" ht="23.4" x14ac:dyDescent="0.3">
      <c r="A267" s="277" t="s">
        <v>109</v>
      </c>
      <c r="B267" s="929"/>
      <c r="C267" s="305" t="s">
        <v>27</v>
      </c>
      <c r="D267" s="305" t="s">
        <v>310</v>
      </c>
      <c r="E267" s="283">
        <v>0</v>
      </c>
      <c r="F267" s="284"/>
      <c r="G267" s="339">
        <f t="shared" si="353"/>
        <v>0</v>
      </c>
      <c r="H267" s="285">
        <v>0</v>
      </c>
      <c r="I267" s="285">
        <v>0</v>
      </c>
      <c r="J267" s="359" t="str">
        <f>IFERROR(G267/#REF!,"-")</f>
        <v>-</v>
      </c>
      <c r="K267" s="339">
        <f t="shared" si="354"/>
        <v>0</v>
      </c>
      <c r="L267" s="285">
        <f t="shared" si="355"/>
        <v>0</v>
      </c>
      <c r="M267" s="286">
        <f t="shared" si="356"/>
        <v>0</v>
      </c>
      <c r="N267" s="287"/>
      <c r="O267" s="264" t="str">
        <f t="shared" si="305"/>
        <v>-</v>
      </c>
    </row>
    <row r="268" spans="1:15" ht="23.4" x14ac:dyDescent="0.3">
      <c r="A268" s="277" t="s">
        <v>109</v>
      </c>
      <c r="B268" s="929"/>
      <c r="C268" s="305" t="s">
        <v>27</v>
      </c>
      <c r="D268" s="305" t="s">
        <v>311</v>
      </c>
      <c r="E268" s="283">
        <v>0</v>
      </c>
      <c r="F268" s="284"/>
      <c r="G268" s="339">
        <f t="shared" si="353"/>
        <v>0</v>
      </c>
      <c r="H268" s="285">
        <v>0</v>
      </c>
      <c r="I268" s="285">
        <v>0</v>
      </c>
      <c r="J268" s="359" t="str">
        <f>IFERROR(G268/#REF!,"-")</f>
        <v>-</v>
      </c>
      <c r="K268" s="339">
        <f t="shared" si="354"/>
        <v>0</v>
      </c>
      <c r="L268" s="285">
        <f t="shared" si="355"/>
        <v>0</v>
      </c>
      <c r="M268" s="286">
        <f t="shared" si="356"/>
        <v>0</v>
      </c>
      <c r="N268" s="287"/>
      <c r="O268" s="264" t="str">
        <f t="shared" si="305"/>
        <v>-</v>
      </c>
    </row>
    <row r="269" spans="1:15" ht="23.4" x14ac:dyDescent="0.3">
      <c r="A269" s="277" t="s">
        <v>109</v>
      </c>
      <c r="B269" s="929"/>
      <c r="C269" s="305" t="s">
        <v>325</v>
      </c>
      <c r="D269" s="305" t="s">
        <v>324</v>
      </c>
      <c r="E269" s="283">
        <v>0</v>
      </c>
      <c r="F269" s="284"/>
      <c r="G269" s="339">
        <f t="shared" si="353"/>
        <v>0</v>
      </c>
      <c r="H269" s="285">
        <v>0</v>
      </c>
      <c r="I269" s="285">
        <v>0</v>
      </c>
      <c r="J269" s="359" t="str">
        <f>IFERROR(G269/#REF!,"-")</f>
        <v>-</v>
      </c>
      <c r="K269" s="339">
        <f t="shared" si="354"/>
        <v>0</v>
      </c>
      <c r="L269" s="285">
        <f t="shared" si="355"/>
        <v>0</v>
      </c>
      <c r="M269" s="286">
        <f t="shared" si="356"/>
        <v>0</v>
      </c>
      <c r="N269" s="287"/>
      <c r="O269" s="264" t="str">
        <f t="shared" si="305"/>
        <v>-</v>
      </c>
    </row>
    <row r="270" spans="1:15" ht="23.4" x14ac:dyDescent="0.3">
      <c r="A270" s="277"/>
      <c r="B270" s="929"/>
      <c r="C270" s="305" t="s">
        <v>325</v>
      </c>
      <c r="D270" s="305" t="s">
        <v>192</v>
      </c>
      <c r="E270" s="283">
        <v>0</v>
      </c>
      <c r="F270" s="284"/>
      <c r="G270" s="340">
        <f t="shared" si="353"/>
        <v>0</v>
      </c>
      <c r="H270" s="285">
        <v>0</v>
      </c>
      <c r="I270" s="285">
        <v>0</v>
      </c>
      <c r="J270" s="359" t="str">
        <f>IFERROR(G270/#REF!,"-")</f>
        <v>-</v>
      </c>
      <c r="K270" s="340">
        <f t="shared" si="354"/>
        <v>0</v>
      </c>
      <c r="L270" s="285">
        <f t="shared" si="355"/>
        <v>0</v>
      </c>
      <c r="M270" s="286">
        <f t="shared" si="356"/>
        <v>0</v>
      </c>
      <c r="N270" s="287"/>
      <c r="O270" s="264" t="str">
        <f t="shared" si="305"/>
        <v>-</v>
      </c>
    </row>
    <row r="271" spans="1:15" ht="23.4" x14ac:dyDescent="0.3">
      <c r="A271" s="277"/>
      <c r="B271" s="929"/>
      <c r="C271" s="305" t="s">
        <v>325</v>
      </c>
      <c r="D271" s="305" t="s">
        <v>101</v>
      </c>
      <c r="E271" s="283">
        <v>0</v>
      </c>
      <c r="F271" s="284"/>
      <c r="G271" s="340">
        <f t="shared" si="353"/>
        <v>0</v>
      </c>
      <c r="H271" s="285">
        <v>0</v>
      </c>
      <c r="I271" s="285">
        <v>0</v>
      </c>
      <c r="J271" s="359" t="str">
        <f>IFERROR(G271/#REF!,"-")</f>
        <v>-</v>
      </c>
      <c r="K271" s="340">
        <f t="shared" si="354"/>
        <v>0</v>
      </c>
      <c r="L271" s="285">
        <f t="shared" si="355"/>
        <v>0</v>
      </c>
      <c r="M271" s="286">
        <f t="shared" si="356"/>
        <v>0</v>
      </c>
      <c r="N271" s="287"/>
      <c r="O271" s="264" t="str">
        <f t="shared" si="305"/>
        <v>-</v>
      </c>
    </row>
    <row r="272" spans="1:15" ht="23.4" x14ac:dyDescent="0.3">
      <c r="A272" s="277"/>
      <c r="B272" s="929"/>
      <c r="C272" s="305" t="s">
        <v>393</v>
      </c>
      <c r="D272" s="305" t="s">
        <v>394</v>
      </c>
      <c r="E272" s="283">
        <v>0</v>
      </c>
      <c r="F272" s="284"/>
      <c r="G272" s="340">
        <f t="shared" si="353"/>
        <v>0</v>
      </c>
      <c r="H272" s="285">
        <v>0</v>
      </c>
      <c r="I272" s="285">
        <v>0</v>
      </c>
      <c r="J272" s="359" t="str">
        <f>IFERROR(G272/#REF!,"-")</f>
        <v>-</v>
      </c>
      <c r="K272" s="340">
        <f t="shared" si="354"/>
        <v>0</v>
      </c>
      <c r="L272" s="285">
        <f t="shared" si="355"/>
        <v>0</v>
      </c>
      <c r="M272" s="286">
        <f t="shared" si="356"/>
        <v>0</v>
      </c>
      <c r="N272" s="287"/>
      <c r="O272" s="264" t="str">
        <f t="shared" si="305"/>
        <v>-</v>
      </c>
    </row>
    <row r="273" spans="1:15" ht="24" thickBot="1" x14ac:dyDescent="0.35">
      <c r="A273" s="277" t="s">
        <v>109</v>
      </c>
      <c r="B273" s="929"/>
      <c r="C273" s="306" t="s">
        <v>326</v>
      </c>
      <c r="D273" s="305" t="s">
        <v>324</v>
      </c>
      <c r="E273" s="283">
        <v>0</v>
      </c>
      <c r="F273" s="284"/>
      <c r="G273" s="340">
        <f t="shared" si="353"/>
        <v>0</v>
      </c>
      <c r="H273" s="285">
        <v>0</v>
      </c>
      <c r="I273" s="285">
        <v>0</v>
      </c>
      <c r="J273" s="359" t="str">
        <f>IFERROR(G273/#REF!,"-")</f>
        <v>-</v>
      </c>
      <c r="K273" s="340">
        <f t="shared" si="354"/>
        <v>7956</v>
      </c>
      <c r="L273" s="285">
        <f t="shared" si="355"/>
        <v>7956</v>
      </c>
      <c r="M273" s="286">
        <f t="shared" si="356"/>
        <v>0</v>
      </c>
      <c r="N273" s="344" t="str">
        <f t="shared" ref="N273:N290" si="357">IFERROR(K273/E273,"-")</f>
        <v>-</v>
      </c>
      <c r="O273" s="353">
        <f t="shared" si="305"/>
        <v>0</v>
      </c>
    </row>
    <row r="274" spans="1:15" ht="24" thickBot="1" x14ac:dyDescent="0.35">
      <c r="A274" s="277" t="s">
        <v>109</v>
      </c>
      <c r="B274" s="930"/>
      <c r="C274" s="307"/>
      <c r="D274" s="308" t="s">
        <v>55</v>
      </c>
      <c r="E274" s="288">
        <v>0</v>
      </c>
      <c r="F274" s="289"/>
      <c r="G274" s="326">
        <f>SUM(G265:G273)</f>
        <v>128729</v>
      </c>
      <c r="H274" s="327">
        <f>SUM(H265:H273)</f>
        <v>127296</v>
      </c>
      <c r="I274" s="327">
        <f>SUM(I265:I273)</f>
        <v>1433</v>
      </c>
      <c r="J274" s="351" t="str">
        <f>IFERROR(G274/#REF!,"-")</f>
        <v>-</v>
      </c>
      <c r="K274" s="326">
        <f>SUM(K265:K273)</f>
        <v>221569</v>
      </c>
      <c r="L274" s="327">
        <f>SUM(L265:L273)</f>
        <v>218790</v>
      </c>
      <c r="M274" s="328">
        <f>SUM(M265:M273)</f>
        <v>2779</v>
      </c>
      <c r="N274" s="345" t="str">
        <f t="shared" si="357"/>
        <v>-</v>
      </c>
      <c r="O274" s="351">
        <f t="shared" si="305"/>
        <v>1.2542368291593138E-2</v>
      </c>
    </row>
    <row r="275" spans="1:15" ht="23.4" x14ac:dyDescent="0.3">
      <c r="A275" s="277" t="s">
        <v>109</v>
      </c>
      <c r="B275" s="931" t="s">
        <v>28</v>
      </c>
      <c r="C275" s="303" t="s">
        <v>322</v>
      </c>
      <c r="D275" s="303" t="s">
        <v>193</v>
      </c>
      <c r="E275" s="273">
        <v>0</v>
      </c>
      <c r="F275" s="274"/>
      <c r="G275" s="338">
        <f t="shared" ref="G275:G277" si="358">+H275+I275</f>
        <v>0</v>
      </c>
      <c r="H275" s="275">
        <v>0</v>
      </c>
      <c r="I275" s="275">
        <v>0</v>
      </c>
      <c r="J275" s="357" t="str">
        <f>IFERROR(G275/#REF!,"-")</f>
        <v>-</v>
      </c>
      <c r="K275" s="338">
        <f t="shared" ref="K275:K277" si="359">+L275+M275</f>
        <v>0</v>
      </c>
      <c r="L275" s="275">
        <f t="shared" ref="L275:L277" si="360">+H275+L172</f>
        <v>0</v>
      </c>
      <c r="M275" s="276">
        <f t="shared" ref="M275:M277" si="361">+I275+M172</f>
        <v>0</v>
      </c>
      <c r="N275" s="342" t="str">
        <f t="shared" si="357"/>
        <v>-</v>
      </c>
      <c r="O275" s="352" t="str">
        <f t="shared" si="305"/>
        <v>-</v>
      </c>
    </row>
    <row r="276" spans="1:15" ht="23.4" x14ac:dyDescent="0.3">
      <c r="A276" s="277" t="s">
        <v>109</v>
      </c>
      <c r="B276" s="929"/>
      <c r="C276" s="305" t="s">
        <v>27</v>
      </c>
      <c r="D276" s="305" t="s">
        <v>311</v>
      </c>
      <c r="E276" s="279">
        <v>0</v>
      </c>
      <c r="F276" s="280"/>
      <c r="G276" s="339">
        <f t="shared" si="358"/>
        <v>0</v>
      </c>
      <c r="H276" s="281">
        <v>0</v>
      </c>
      <c r="I276" s="281">
        <v>0</v>
      </c>
      <c r="J276" s="358" t="str">
        <f>IFERROR(G276/#REF!,"-")</f>
        <v>-</v>
      </c>
      <c r="K276" s="339">
        <f t="shared" si="359"/>
        <v>0</v>
      </c>
      <c r="L276" s="281">
        <f t="shared" si="360"/>
        <v>0</v>
      </c>
      <c r="M276" s="251">
        <f t="shared" si="361"/>
        <v>0</v>
      </c>
      <c r="N276" s="343" t="str">
        <f t="shared" si="357"/>
        <v>-</v>
      </c>
      <c r="O276" s="264" t="str">
        <f t="shared" si="305"/>
        <v>-</v>
      </c>
    </row>
    <row r="277" spans="1:15" ht="24" thickBot="1" x14ac:dyDescent="0.35">
      <c r="A277" s="277" t="s">
        <v>109</v>
      </c>
      <c r="B277" s="929"/>
      <c r="C277" s="305" t="s">
        <v>27</v>
      </c>
      <c r="D277" s="306" t="s">
        <v>259</v>
      </c>
      <c r="E277" s="283">
        <v>0</v>
      </c>
      <c r="F277" s="284"/>
      <c r="G277" s="340">
        <f t="shared" si="358"/>
        <v>0</v>
      </c>
      <c r="H277" s="285">
        <v>0</v>
      </c>
      <c r="I277" s="285">
        <v>0</v>
      </c>
      <c r="J277" s="359" t="str">
        <f>IFERROR(G277/#REF!,"-")</f>
        <v>-</v>
      </c>
      <c r="K277" s="340">
        <f t="shared" si="359"/>
        <v>0</v>
      </c>
      <c r="L277" s="285">
        <f t="shared" si="360"/>
        <v>0</v>
      </c>
      <c r="M277" s="286">
        <f t="shared" si="361"/>
        <v>0</v>
      </c>
      <c r="N277" s="344" t="str">
        <f t="shared" si="357"/>
        <v>-</v>
      </c>
      <c r="O277" s="353" t="str">
        <f t="shared" si="305"/>
        <v>-</v>
      </c>
    </row>
    <row r="278" spans="1:15" ht="24" thickBot="1" x14ac:dyDescent="0.35">
      <c r="A278" s="277" t="s">
        <v>109</v>
      </c>
      <c r="B278" s="929"/>
      <c r="C278" s="310"/>
      <c r="D278" s="311" t="s">
        <v>55</v>
      </c>
      <c r="E278" s="312">
        <v>0</v>
      </c>
      <c r="F278" s="313"/>
      <c r="G278" s="372">
        <f>SUM(G275:G277)</f>
        <v>0</v>
      </c>
      <c r="H278" s="371">
        <f t="shared" ref="H278:I278" si="362">SUM(H275:H277)</f>
        <v>0</v>
      </c>
      <c r="I278" s="371">
        <f t="shared" si="362"/>
        <v>0</v>
      </c>
      <c r="J278" s="362" t="str">
        <f>IFERROR(G278/#REF!,"-")</f>
        <v>-</v>
      </c>
      <c r="K278" s="372">
        <f>SUM(K275:K277)</f>
        <v>0</v>
      </c>
      <c r="L278" s="371">
        <f t="shared" ref="L278:M278" si="363">SUM(L275:L277)</f>
        <v>0</v>
      </c>
      <c r="M278" s="373">
        <f t="shared" si="363"/>
        <v>0</v>
      </c>
      <c r="N278" s="361" t="str">
        <f t="shared" si="357"/>
        <v>-</v>
      </c>
      <c r="O278" s="362" t="str">
        <f t="shared" si="305"/>
        <v>-</v>
      </c>
    </row>
    <row r="279" spans="1:15" ht="24" thickBot="1" x14ac:dyDescent="0.35">
      <c r="A279" s="685" t="s">
        <v>109</v>
      </c>
      <c r="B279" s="932" t="s">
        <v>171</v>
      </c>
      <c r="C279" s="933"/>
      <c r="D279" s="934"/>
      <c r="E279" s="314">
        <v>2167000</v>
      </c>
      <c r="F279" s="315">
        <v>80000</v>
      </c>
      <c r="G279" s="375">
        <f>+G274+G278</f>
        <v>128729</v>
      </c>
      <c r="H279" s="374">
        <f t="shared" ref="H279:I279" si="364">+H274+H278</f>
        <v>127296</v>
      </c>
      <c r="I279" s="374">
        <f t="shared" si="364"/>
        <v>1433</v>
      </c>
      <c r="J279" s="364" t="str">
        <f>IFERROR(G279/#REF!,"-")</f>
        <v>-</v>
      </c>
      <c r="K279" s="375">
        <f>+K274+K278</f>
        <v>221569</v>
      </c>
      <c r="L279" s="374">
        <f>+L274+L278</f>
        <v>218790</v>
      </c>
      <c r="M279" s="376">
        <f t="shared" ref="M279" si="365">+M274+M278</f>
        <v>2779</v>
      </c>
      <c r="N279" s="363">
        <f t="shared" si="357"/>
        <v>0.10224688509460084</v>
      </c>
      <c r="O279" s="364">
        <f t="shared" si="305"/>
        <v>1.2542368291593138E-2</v>
      </c>
    </row>
    <row r="280" spans="1:15" ht="23.4" x14ac:dyDescent="0.3">
      <c r="A280" s="277" t="s">
        <v>109</v>
      </c>
      <c r="B280" s="929" t="s">
        <v>30</v>
      </c>
      <c r="C280" s="309" t="s">
        <v>396</v>
      </c>
      <c r="D280" s="303" t="s">
        <v>193</v>
      </c>
      <c r="E280" s="273">
        <v>0</v>
      </c>
      <c r="F280" s="274"/>
      <c r="G280" s="338">
        <f t="shared" ref="G280:G282" si="366">+H280+I280</f>
        <v>0</v>
      </c>
      <c r="H280" s="275">
        <v>0</v>
      </c>
      <c r="I280" s="275">
        <v>0</v>
      </c>
      <c r="J280" s="357" t="str">
        <f>IFERROR(G280/#REF!,"-")</f>
        <v>-</v>
      </c>
      <c r="K280" s="338">
        <f t="shared" ref="K280:K282" si="367">+L280+M280</f>
        <v>0</v>
      </c>
      <c r="L280" s="275">
        <f t="shared" ref="L280:L282" si="368">+H280+L177</f>
        <v>0</v>
      </c>
      <c r="M280" s="276">
        <f t="shared" ref="M280:M282" si="369">+I280+M177</f>
        <v>0</v>
      </c>
      <c r="N280" s="342" t="str">
        <f t="shared" si="357"/>
        <v>-</v>
      </c>
      <c r="O280" s="352" t="str">
        <f t="shared" si="305"/>
        <v>-</v>
      </c>
    </row>
    <row r="281" spans="1:15" ht="23.4" x14ac:dyDescent="0.3">
      <c r="A281" s="277" t="s">
        <v>109</v>
      </c>
      <c r="B281" s="929"/>
      <c r="C281" s="309" t="s">
        <v>395</v>
      </c>
      <c r="D281" s="309" t="s">
        <v>324</v>
      </c>
      <c r="E281" s="279">
        <v>0</v>
      </c>
      <c r="F281" s="280"/>
      <c r="G281" s="339">
        <f t="shared" si="366"/>
        <v>0</v>
      </c>
      <c r="H281" s="281">
        <v>0</v>
      </c>
      <c r="I281" s="281">
        <v>0</v>
      </c>
      <c r="J281" s="358" t="str">
        <f>IFERROR(G281/#REF!,"-")</f>
        <v>-</v>
      </c>
      <c r="K281" s="339">
        <f t="shared" si="367"/>
        <v>0</v>
      </c>
      <c r="L281" s="281">
        <f t="shared" si="368"/>
        <v>0</v>
      </c>
      <c r="M281" s="251">
        <f t="shared" si="369"/>
        <v>0</v>
      </c>
      <c r="N281" s="343" t="str">
        <f t="shared" si="357"/>
        <v>-</v>
      </c>
      <c r="O281" s="264" t="str">
        <f t="shared" si="305"/>
        <v>-</v>
      </c>
    </row>
    <row r="282" spans="1:15" ht="24" thickBot="1" x14ac:dyDescent="0.35">
      <c r="A282" s="277" t="s">
        <v>109</v>
      </c>
      <c r="B282" s="929"/>
      <c r="C282" s="306" t="s">
        <v>327</v>
      </c>
      <c r="D282" s="306"/>
      <c r="E282" s="283">
        <v>0</v>
      </c>
      <c r="F282" s="284"/>
      <c r="G282" s="340">
        <f t="shared" si="366"/>
        <v>0</v>
      </c>
      <c r="H282" s="285">
        <v>0</v>
      </c>
      <c r="I282" s="285">
        <v>0</v>
      </c>
      <c r="J282" s="359" t="str">
        <f>IFERROR(G282/#REF!,"-")</f>
        <v>-</v>
      </c>
      <c r="K282" s="340">
        <f t="shared" si="367"/>
        <v>0</v>
      </c>
      <c r="L282" s="285">
        <f t="shared" si="368"/>
        <v>0</v>
      </c>
      <c r="M282" s="286">
        <f t="shared" si="369"/>
        <v>0</v>
      </c>
      <c r="N282" s="344" t="str">
        <f t="shared" si="357"/>
        <v>-</v>
      </c>
      <c r="O282" s="353" t="str">
        <f t="shared" si="305"/>
        <v>-</v>
      </c>
    </row>
    <row r="283" spans="1:15" ht="24" thickBot="1" x14ac:dyDescent="0.35">
      <c r="A283" s="277" t="s">
        <v>109</v>
      </c>
      <c r="B283" s="929"/>
      <c r="C283" s="307"/>
      <c r="D283" s="308" t="s">
        <v>53</v>
      </c>
      <c r="E283" s="288">
        <v>0</v>
      </c>
      <c r="F283" s="289"/>
      <c r="G283" s="326">
        <f>SUM(G280:G282)</f>
        <v>0</v>
      </c>
      <c r="H283" s="327">
        <f t="shared" ref="H283:I283" si="370">SUM(H280:H282)</f>
        <v>0</v>
      </c>
      <c r="I283" s="327">
        <f t="shared" si="370"/>
        <v>0</v>
      </c>
      <c r="J283" s="351" t="str">
        <f>IFERROR(G283/#REF!,"-")</f>
        <v>-</v>
      </c>
      <c r="K283" s="326">
        <f t="shared" ref="K283" si="371">SUM(K280:K282)</f>
        <v>0</v>
      </c>
      <c r="L283" s="327">
        <f>SUM(L280:L282)</f>
        <v>0</v>
      </c>
      <c r="M283" s="328">
        <f t="shared" ref="M283" si="372">SUM(M280:M282)</f>
        <v>0</v>
      </c>
      <c r="N283" s="345" t="str">
        <f t="shared" si="357"/>
        <v>-</v>
      </c>
      <c r="O283" s="351" t="str">
        <f t="shared" si="305"/>
        <v>-</v>
      </c>
    </row>
    <row r="284" spans="1:15" ht="23.4" x14ac:dyDescent="0.3">
      <c r="A284" s="277" t="s">
        <v>109</v>
      </c>
      <c r="B284" s="929"/>
      <c r="C284" s="303" t="s">
        <v>352</v>
      </c>
      <c r="D284" s="303"/>
      <c r="E284" s="273">
        <v>0</v>
      </c>
      <c r="F284" s="274"/>
      <c r="G284" s="338">
        <f t="shared" ref="G284:G286" si="373">+H284+I284</f>
        <v>0</v>
      </c>
      <c r="H284" s="275">
        <v>0</v>
      </c>
      <c r="I284" s="275">
        <v>0</v>
      </c>
      <c r="J284" s="357" t="str">
        <f>IFERROR(G284/#REF!,"-")</f>
        <v>-</v>
      </c>
      <c r="K284" s="338">
        <f t="shared" ref="K284:K286" si="374">+L284+M284</f>
        <v>0</v>
      </c>
      <c r="L284" s="275">
        <f t="shared" ref="L284:L286" si="375">+H284+L181</f>
        <v>0</v>
      </c>
      <c r="M284" s="276">
        <f t="shared" ref="M284:M286" si="376">+I284+M181</f>
        <v>0</v>
      </c>
      <c r="N284" s="342" t="str">
        <f t="shared" si="357"/>
        <v>-</v>
      </c>
      <c r="O284" s="352" t="str">
        <f t="shared" si="305"/>
        <v>-</v>
      </c>
    </row>
    <row r="285" spans="1:15" ht="23.4" x14ac:dyDescent="0.3">
      <c r="A285" s="277" t="s">
        <v>109</v>
      </c>
      <c r="B285" s="929"/>
      <c r="C285" s="309" t="s">
        <v>397</v>
      </c>
      <c r="D285" s="309" t="s">
        <v>259</v>
      </c>
      <c r="E285" s="279">
        <v>0</v>
      </c>
      <c r="F285" s="280"/>
      <c r="G285" s="339">
        <f t="shared" si="373"/>
        <v>34535</v>
      </c>
      <c r="H285" s="281">
        <v>33696</v>
      </c>
      <c r="I285" s="281">
        <v>839</v>
      </c>
      <c r="J285" s="358" t="str">
        <f>IFERROR(G285/#REF!,"-")</f>
        <v>-</v>
      </c>
      <c r="K285" s="339">
        <f t="shared" si="374"/>
        <v>192290</v>
      </c>
      <c r="L285" s="281">
        <f t="shared" si="375"/>
        <v>189072</v>
      </c>
      <c r="M285" s="251">
        <f t="shared" si="376"/>
        <v>3218</v>
      </c>
      <c r="N285" s="343" t="str">
        <f t="shared" si="357"/>
        <v>-</v>
      </c>
      <c r="O285" s="264">
        <f t="shared" si="305"/>
        <v>1.6735139632846223E-2</v>
      </c>
    </row>
    <row r="286" spans="1:15" ht="24" thickBot="1" x14ac:dyDescent="0.35">
      <c r="A286" s="277" t="s">
        <v>109</v>
      </c>
      <c r="B286" s="929"/>
      <c r="C286" s="306" t="s">
        <v>146</v>
      </c>
      <c r="D286" s="306"/>
      <c r="E286" s="283">
        <v>0</v>
      </c>
      <c r="F286" s="284"/>
      <c r="G286" s="340">
        <f t="shared" si="373"/>
        <v>0</v>
      </c>
      <c r="H286" s="285">
        <v>0</v>
      </c>
      <c r="I286" s="285">
        <v>0</v>
      </c>
      <c r="J286" s="359" t="str">
        <f>IFERROR(G286/#REF!,"-")</f>
        <v>-</v>
      </c>
      <c r="K286" s="340">
        <f t="shared" si="374"/>
        <v>0</v>
      </c>
      <c r="L286" s="285">
        <f t="shared" si="375"/>
        <v>0</v>
      </c>
      <c r="M286" s="286">
        <f t="shared" si="376"/>
        <v>0</v>
      </c>
      <c r="N286" s="344" t="str">
        <f t="shared" si="357"/>
        <v>-</v>
      </c>
      <c r="O286" s="353" t="str">
        <f t="shared" si="305"/>
        <v>-</v>
      </c>
    </row>
    <row r="287" spans="1:15" ht="24" thickBot="1" x14ac:dyDescent="0.35">
      <c r="A287" s="277" t="s">
        <v>109</v>
      </c>
      <c r="B287" s="929"/>
      <c r="C287" s="310"/>
      <c r="D287" s="311" t="s">
        <v>54</v>
      </c>
      <c r="E287" s="312">
        <v>0</v>
      </c>
      <c r="F287" s="313"/>
      <c r="G287" s="372">
        <f>SUM(G284:G286)</f>
        <v>34535</v>
      </c>
      <c r="H287" s="371">
        <f t="shared" ref="H287:I287" si="377">SUM(H284:H286)</f>
        <v>33696</v>
      </c>
      <c r="I287" s="371">
        <f t="shared" si="377"/>
        <v>839</v>
      </c>
      <c r="J287" s="362" t="str">
        <f>IFERROR(G287/#REF!,"-")</f>
        <v>-</v>
      </c>
      <c r="K287" s="372">
        <f t="shared" ref="K287:M287" si="378">SUM(K284:K286)</f>
        <v>192290</v>
      </c>
      <c r="L287" s="371">
        <f t="shared" si="378"/>
        <v>189072</v>
      </c>
      <c r="M287" s="373">
        <f t="shared" si="378"/>
        <v>3218</v>
      </c>
      <c r="N287" s="361" t="str">
        <f t="shared" si="357"/>
        <v>-</v>
      </c>
      <c r="O287" s="362">
        <f t="shared" si="305"/>
        <v>1.6735139632846223E-2</v>
      </c>
    </row>
    <row r="288" spans="1:15" ht="24" thickBot="1" x14ac:dyDescent="0.35">
      <c r="A288" s="277" t="s">
        <v>109</v>
      </c>
      <c r="B288" s="932" t="s">
        <v>172</v>
      </c>
      <c r="C288" s="933"/>
      <c r="D288" s="934"/>
      <c r="E288" s="314">
        <v>649600</v>
      </c>
      <c r="F288" s="315">
        <v>50000</v>
      </c>
      <c r="G288" s="375">
        <f>+G283+G287</f>
        <v>34535</v>
      </c>
      <c r="H288" s="374">
        <f t="shared" ref="H288:I288" si="379">+H283+H287</f>
        <v>33696</v>
      </c>
      <c r="I288" s="374">
        <f t="shared" si="379"/>
        <v>839</v>
      </c>
      <c r="J288" s="364" t="str">
        <f>IFERROR(G288/#REF!,"-")</f>
        <v>-</v>
      </c>
      <c r="K288" s="375">
        <f t="shared" ref="K288:M288" si="380">+K283+K287</f>
        <v>192290</v>
      </c>
      <c r="L288" s="374">
        <f t="shared" si="380"/>
        <v>189072</v>
      </c>
      <c r="M288" s="376">
        <f t="shared" si="380"/>
        <v>3218</v>
      </c>
      <c r="N288" s="363">
        <f t="shared" si="357"/>
        <v>0.29601293103448278</v>
      </c>
      <c r="O288" s="364">
        <f t="shared" ref="O288:O290" si="381">IFERROR(M288/K288,"-")</f>
        <v>1.6735139632846223E-2</v>
      </c>
    </row>
    <row r="289" spans="1:15" ht="24" thickBot="1" x14ac:dyDescent="0.35">
      <c r="A289" s="277" t="s">
        <v>109</v>
      </c>
      <c r="B289" s="616" t="s">
        <v>32</v>
      </c>
      <c r="C289" s="682"/>
      <c r="D289" s="316" t="s">
        <v>32</v>
      </c>
      <c r="E289" s="293">
        <v>0</v>
      </c>
      <c r="F289" s="294">
        <v>110000</v>
      </c>
      <c r="G289" s="341">
        <f t="shared" ref="G289" si="382">+H289+I289</f>
        <v>0</v>
      </c>
      <c r="H289" s="295">
        <v>0</v>
      </c>
      <c r="I289" s="295">
        <v>0</v>
      </c>
      <c r="J289" s="360" t="str">
        <f>IFERROR(G289/#REF!,"-")</f>
        <v>-</v>
      </c>
      <c r="K289" s="341">
        <f>+L289+M289</f>
        <v>0</v>
      </c>
      <c r="L289" s="295">
        <f>+H289+L186</f>
        <v>0</v>
      </c>
      <c r="M289" s="296">
        <f>+I289+M186</f>
        <v>0</v>
      </c>
      <c r="N289" s="346" t="str">
        <f t="shared" si="357"/>
        <v>-</v>
      </c>
      <c r="O289" s="354" t="str">
        <f t="shared" si="381"/>
        <v>-</v>
      </c>
    </row>
    <row r="290" spans="1:15" ht="24" thickBot="1" x14ac:dyDescent="0.35">
      <c r="A290" s="277" t="s">
        <v>109</v>
      </c>
      <c r="B290" s="926" t="s">
        <v>21</v>
      </c>
      <c r="C290" s="927"/>
      <c r="D290" s="928"/>
      <c r="E290" s="332">
        <f>+E279+E288+E289</f>
        <v>2816600</v>
      </c>
      <c r="F290" s="333">
        <f t="shared" ref="F290" si="383">+F279+F288+F289</f>
        <v>240000</v>
      </c>
      <c r="G290" s="332">
        <f>+G279+G288+G289</f>
        <v>163264</v>
      </c>
      <c r="H290" s="330">
        <f t="shared" ref="H290:I290" si="384">+H279+H288+H289</f>
        <v>160992</v>
      </c>
      <c r="I290" s="330">
        <f t="shared" si="384"/>
        <v>2272</v>
      </c>
      <c r="J290" s="355" t="str">
        <f>IFERROR(G290/#REF!,"-")</f>
        <v>-</v>
      </c>
      <c r="K290" s="332">
        <f>+K279+K288+K289</f>
        <v>413859</v>
      </c>
      <c r="L290" s="330">
        <f>+L279+L288+L289</f>
        <v>407862</v>
      </c>
      <c r="M290" s="331">
        <f t="shared" ref="M290" si="385">+M279+M288+M289</f>
        <v>5997</v>
      </c>
      <c r="N290" s="347">
        <f t="shared" si="357"/>
        <v>0.14693566711638145</v>
      </c>
      <c r="O290" s="355">
        <f t="shared" si="381"/>
        <v>1.449044239704827E-2</v>
      </c>
    </row>
    <row r="291" spans="1:15" ht="24" thickBot="1" x14ac:dyDescent="0.35">
      <c r="A291" s="277" t="s">
        <v>109</v>
      </c>
      <c r="B291" s="900" t="s">
        <v>180</v>
      </c>
      <c r="C291" s="901"/>
      <c r="D291" s="902"/>
      <c r="E291" s="336">
        <f>+E290</f>
        <v>2816600</v>
      </c>
      <c r="F291" s="337">
        <f t="shared" ref="F291:I291" si="386">+F290</f>
        <v>240000</v>
      </c>
      <c r="G291" s="336">
        <f t="shared" si="386"/>
        <v>163264</v>
      </c>
      <c r="H291" s="334">
        <f t="shared" si="386"/>
        <v>160992</v>
      </c>
      <c r="I291" s="334">
        <f t="shared" si="386"/>
        <v>2272</v>
      </c>
      <c r="J291" s="356" t="str">
        <f>+J290</f>
        <v>-</v>
      </c>
      <c r="K291" s="336">
        <f>+K290</f>
        <v>413859</v>
      </c>
      <c r="L291" s="334">
        <f t="shared" ref="L291" si="387">+L290</f>
        <v>407862</v>
      </c>
      <c r="M291" s="335">
        <f>+M290</f>
        <v>5997</v>
      </c>
      <c r="N291" s="348">
        <f t="shared" ref="N291:O291" si="388">+N290</f>
        <v>0.14693566711638145</v>
      </c>
      <c r="O291" s="356">
        <f t="shared" si="388"/>
        <v>1.449044239704827E-2</v>
      </c>
    </row>
    <row r="292" spans="1:15" ht="23.4" x14ac:dyDescent="0.3">
      <c r="A292" s="271" t="s">
        <v>110</v>
      </c>
      <c r="B292" s="903" t="s">
        <v>33</v>
      </c>
      <c r="C292" s="317" t="s">
        <v>121</v>
      </c>
      <c r="D292" s="317"/>
      <c r="E292" s="273">
        <v>0</v>
      </c>
      <c r="F292" s="274"/>
      <c r="G292" s="338">
        <f t="shared" ref="G292:G294" si="389">+H292+I292</f>
        <v>0</v>
      </c>
      <c r="H292" s="275">
        <v>0</v>
      </c>
      <c r="I292" s="275">
        <v>0</v>
      </c>
      <c r="J292" s="357" t="str">
        <f>IFERROR(G292/#REF!,"-")</f>
        <v>-</v>
      </c>
      <c r="K292" s="338">
        <f t="shared" ref="K292:K294" si="390">+L292+M292</f>
        <v>0</v>
      </c>
      <c r="L292" s="275">
        <f t="shared" ref="L292:L294" si="391">+H292+L189</f>
        <v>0</v>
      </c>
      <c r="M292" s="276">
        <f t="shared" ref="M292:M294" si="392">+I292+M189</f>
        <v>0</v>
      </c>
      <c r="N292" s="342" t="str">
        <f t="shared" ref="N292:N317" si="393">IFERROR(K292/E292,"-")</f>
        <v>-</v>
      </c>
      <c r="O292" s="352" t="str">
        <f t="shared" ref="O292:O317" si="394">IFERROR(M292/K292,"-")</f>
        <v>-</v>
      </c>
    </row>
    <row r="293" spans="1:15" ht="23.4" x14ac:dyDescent="0.3">
      <c r="A293" s="277" t="s">
        <v>110</v>
      </c>
      <c r="B293" s="904"/>
      <c r="C293" s="318" t="s">
        <v>274</v>
      </c>
      <c r="D293" s="318"/>
      <c r="E293" s="279">
        <v>0</v>
      </c>
      <c r="F293" s="280"/>
      <c r="G293" s="339">
        <f t="shared" si="389"/>
        <v>322</v>
      </c>
      <c r="H293" s="281">
        <v>260</v>
      </c>
      <c r="I293" s="281">
        <v>62</v>
      </c>
      <c r="J293" s="358" t="str">
        <f>IFERROR(G293/#REF!,"-")</f>
        <v>-</v>
      </c>
      <c r="K293" s="339">
        <f t="shared" si="390"/>
        <v>1467</v>
      </c>
      <c r="L293" s="281">
        <f t="shared" si="391"/>
        <v>1060</v>
      </c>
      <c r="M293" s="251">
        <f t="shared" si="392"/>
        <v>407</v>
      </c>
      <c r="N293" s="343" t="str">
        <f t="shared" si="393"/>
        <v>-</v>
      </c>
      <c r="O293" s="264">
        <f t="shared" si="394"/>
        <v>0.27743694614860259</v>
      </c>
    </row>
    <row r="294" spans="1:15" ht="24" thickBot="1" x14ac:dyDescent="0.35">
      <c r="A294" s="277" t="s">
        <v>110</v>
      </c>
      <c r="B294" s="905"/>
      <c r="C294" s="319" t="s">
        <v>34</v>
      </c>
      <c r="D294" s="319"/>
      <c r="E294" s="283">
        <v>0</v>
      </c>
      <c r="F294" s="284"/>
      <c r="G294" s="340">
        <f t="shared" si="389"/>
        <v>0</v>
      </c>
      <c r="H294" s="285">
        <v>0</v>
      </c>
      <c r="I294" s="285">
        <v>0</v>
      </c>
      <c r="J294" s="359" t="str">
        <f>IFERROR(G294/#REF!,"-")</f>
        <v>-</v>
      </c>
      <c r="K294" s="340">
        <f t="shared" si="390"/>
        <v>0</v>
      </c>
      <c r="L294" s="285">
        <f t="shared" si="391"/>
        <v>0</v>
      </c>
      <c r="M294" s="286">
        <f t="shared" si="392"/>
        <v>0</v>
      </c>
      <c r="N294" s="344" t="str">
        <f t="shared" si="393"/>
        <v>-</v>
      </c>
      <c r="O294" s="353" t="str">
        <f t="shared" si="394"/>
        <v>-</v>
      </c>
    </row>
    <row r="295" spans="1:15" ht="24" thickBot="1" x14ac:dyDescent="0.35">
      <c r="A295" s="277" t="s">
        <v>110</v>
      </c>
      <c r="B295" s="906" t="s">
        <v>35</v>
      </c>
      <c r="C295" s="907"/>
      <c r="D295" s="908"/>
      <c r="E295" s="288">
        <v>83700</v>
      </c>
      <c r="F295" s="289"/>
      <c r="G295" s="326">
        <f>SUM(G292:G294)</f>
        <v>322</v>
      </c>
      <c r="H295" s="327">
        <f t="shared" ref="H295:I295" si="395">SUM(H292:H294)</f>
        <v>260</v>
      </c>
      <c r="I295" s="327">
        <f t="shared" si="395"/>
        <v>62</v>
      </c>
      <c r="J295" s="351" t="str">
        <f>IFERROR(G295/#REF!,"-")</f>
        <v>-</v>
      </c>
      <c r="K295" s="326">
        <f t="shared" ref="K295:M295" si="396">SUM(K292:K294)</f>
        <v>1467</v>
      </c>
      <c r="L295" s="327">
        <f t="shared" si="396"/>
        <v>1060</v>
      </c>
      <c r="M295" s="328">
        <f t="shared" si="396"/>
        <v>407</v>
      </c>
      <c r="N295" s="345">
        <f t="shared" si="393"/>
        <v>1.7526881720430109E-2</v>
      </c>
      <c r="O295" s="351">
        <f t="shared" si="394"/>
        <v>0.27743694614860259</v>
      </c>
    </row>
    <row r="296" spans="1:15" ht="23.4" x14ac:dyDescent="0.3">
      <c r="A296" s="277" t="s">
        <v>110</v>
      </c>
      <c r="B296" s="903" t="s">
        <v>36</v>
      </c>
      <c r="C296" s="317" t="s">
        <v>121</v>
      </c>
      <c r="D296" s="317"/>
      <c r="E296" s="273">
        <v>0</v>
      </c>
      <c r="F296" s="274"/>
      <c r="G296" s="338">
        <f t="shared" ref="G296:G299" si="397">+H296+I296</f>
        <v>0</v>
      </c>
      <c r="H296" s="275">
        <v>0</v>
      </c>
      <c r="I296" s="275">
        <v>0</v>
      </c>
      <c r="J296" s="357" t="str">
        <f>IFERROR(G296/#REF!,"-")</f>
        <v>-</v>
      </c>
      <c r="K296" s="338">
        <f t="shared" ref="K296:K299" si="398">+L296+M296</f>
        <v>0</v>
      </c>
      <c r="L296" s="275">
        <f t="shared" ref="L296:L299" si="399">+H296+L193</f>
        <v>0</v>
      </c>
      <c r="M296" s="276">
        <f t="shared" ref="M296:M299" si="400">+I296+M193</f>
        <v>0</v>
      </c>
      <c r="N296" s="342" t="str">
        <f t="shared" si="393"/>
        <v>-</v>
      </c>
      <c r="O296" s="352" t="str">
        <f t="shared" si="394"/>
        <v>-</v>
      </c>
    </row>
    <row r="297" spans="1:15" ht="23.4" x14ac:dyDescent="0.3">
      <c r="A297" s="277" t="s">
        <v>110</v>
      </c>
      <c r="B297" s="904"/>
      <c r="C297" s="318" t="s">
        <v>274</v>
      </c>
      <c r="D297" s="318"/>
      <c r="E297" s="279">
        <v>0</v>
      </c>
      <c r="F297" s="280"/>
      <c r="G297" s="339">
        <f t="shared" si="397"/>
        <v>0</v>
      </c>
      <c r="H297" s="281">
        <v>0</v>
      </c>
      <c r="I297" s="281">
        <v>0</v>
      </c>
      <c r="J297" s="358" t="str">
        <f>IFERROR(G297/#REF!,"-")</f>
        <v>-</v>
      </c>
      <c r="K297" s="339">
        <f t="shared" si="398"/>
        <v>0</v>
      </c>
      <c r="L297" s="281">
        <f t="shared" si="399"/>
        <v>0</v>
      </c>
      <c r="M297" s="251">
        <f t="shared" si="400"/>
        <v>0</v>
      </c>
      <c r="N297" s="343" t="str">
        <f t="shared" si="393"/>
        <v>-</v>
      </c>
      <c r="O297" s="264" t="str">
        <f t="shared" si="394"/>
        <v>-</v>
      </c>
    </row>
    <row r="298" spans="1:15" ht="23.4" x14ac:dyDescent="0.3">
      <c r="A298" s="277" t="s">
        <v>110</v>
      </c>
      <c r="B298" s="904"/>
      <c r="C298" s="318" t="s">
        <v>201</v>
      </c>
      <c r="D298" s="318"/>
      <c r="E298" s="279">
        <v>0</v>
      </c>
      <c r="F298" s="280"/>
      <c r="G298" s="339">
        <f t="shared" si="397"/>
        <v>0</v>
      </c>
      <c r="H298" s="281">
        <v>0</v>
      </c>
      <c r="I298" s="281">
        <v>0</v>
      </c>
      <c r="J298" s="358" t="str">
        <f>IFERROR(G298/#REF!,"-")</f>
        <v>-</v>
      </c>
      <c r="K298" s="339">
        <f t="shared" si="398"/>
        <v>0</v>
      </c>
      <c r="L298" s="281">
        <f t="shared" si="399"/>
        <v>0</v>
      </c>
      <c r="M298" s="251">
        <f t="shared" si="400"/>
        <v>0</v>
      </c>
      <c r="N298" s="343" t="str">
        <f t="shared" si="393"/>
        <v>-</v>
      </c>
      <c r="O298" s="264" t="str">
        <f t="shared" si="394"/>
        <v>-</v>
      </c>
    </row>
    <row r="299" spans="1:15" ht="24" thickBot="1" x14ac:dyDescent="0.35">
      <c r="A299" s="277" t="s">
        <v>110</v>
      </c>
      <c r="B299" s="905"/>
      <c r="C299" s="319" t="s">
        <v>37</v>
      </c>
      <c r="D299" s="319"/>
      <c r="E299" s="283">
        <v>0</v>
      </c>
      <c r="F299" s="284"/>
      <c r="G299" s="340">
        <f t="shared" si="397"/>
        <v>0</v>
      </c>
      <c r="H299" s="285">
        <v>0</v>
      </c>
      <c r="I299" s="285">
        <v>0</v>
      </c>
      <c r="J299" s="359" t="str">
        <f>IFERROR(G299/#REF!,"-")</f>
        <v>-</v>
      </c>
      <c r="K299" s="340">
        <f t="shared" si="398"/>
        <v>0</v>
      </c>
      <c r="L299" s="285">
        <f t="shared" si="399"/>
        <v>0</v>
      </c>
      <c r="M299" s="286">
        <f t="shared" si="400"/>
        <v>0</v>
      </c>
      <c r="N299" s="344" t="str">
        <f t="shared" si="393"/>
        <v>-</v>
      </c>
      <c r="O299" s="353" t="str">
        <f t="shared" si="394"/>
        <v>-</v>
      </c>
    </row>
    <row r="300" spans="1:15" ht="24" thickBot="1" x14ac:dyDescent="0.35">
      <c r="A300" s="277" t="s">
        <v>110</v>
      </c>
      <c r="B300" s="906" t="s">
        <v>38</v>
      </c>
      <c r="C300" s="907"/>
      <c r="D300" s="908"/>
      <c r="E300" s="288">
        <v>10300</v>
      </c>
      <c r="F300" s="289">
        <v>6500</v>
      </c>
      <c r="G300" s="326">
        <f>SUM(G296:G299)</f>
        <v>0</v>
      </c>
      <c r="H300" s="327">
        <f t="shared" ref="H300:I300" si="401">SUM(H296:H299)</f>
        <v>0</v>
      </c>
      <c r="I300" s="327">
        <f t="shared" si="401"/>
        <v>0</v>
      </c>
      <c r="J300" s="351" t="str">
        <f>IFERROR(G300/#REF!,"-")</f>
        <v>-</v>
      </c>
      <c r="K300" s="326">
        <f t="shared" ref="K300:M300" si="402">SUM(K296:K299)</f>
        <v>0</v>
      </c>
      <c r="L300" s="327">
        <f t="shared" si="402"/>
        <v>0</v>
      </c>
      <c r="M300" s="328">
        <f t="shared" si="402"/>
        <v>0</v>
      </c>
      <c r="N300" s="345">
        <f t="shared" si="393"/>
        <v>0</v>
      </c>
      <c r="O300" s="351" t="str">
        <f t="shared" si="394"/>
        <v>-</v>
      </c>
    </row>
    <row r="301" spans="1:15" ht="23.4" x14ac:dyDescent="0.3">
      <c r="A301" s="277" t="s">
        <v>110</v>
      </c>
      <c r="B301" s="903" t="s">
        <v>39</v>
      </c>
      <c r="C301" s="320" t="s">
        <v>124</v>
      </c>
      <c r="D301" s="320"/>
      <c r="E301" s="273">
        <v>0</v>
      </c>
      <c r="F301" s="274"/>
      <c r="G301" s="338">
        <f t="shared" ref="G301:G302" si="403">+H301+I301</f>
        <v>0</v>
      </c>
      <c r="H301" s="275">
        <v>0</v>
      </c>
      <c r="I301" s="275">
        <v>0</v>
      </c>
      <c r="J301" s="357" t="str">
        <f>IFERROR(G301/#REF!,"-")</f>
        <v>-</v>
      </c>
      <c r="K301" s="338">
        <f t="shared" ref="K301:K302" si="404">+L301+M301</f>
        <v>0</v>
      </c>
      <c r="L301" s="275">
        <f t="shared" ref="L301:L302" si="405">+H301+L198</f>
        <v>0</v>
      </c>
      <c r="M301" s="276">
        <f t="shared" ref="M301:M302" si="406">+I301+M198</f>
        <v>0</v>
      </c>
      <c r="N301" s="342" t="str">
        <f t="shared" si="393"/>
        <v>-</v>
      </c>
      <c r="O301" s="352" t="str">
        <f t="shared" si="394"/>
        <v>-</v>
      </c>
    </row>
    <row r="302" spans="1:15" ht="24" thickBot="1" x14ac:dyDescent="0.35">
      <c r="A302" s="277" t="s">
        <v>110</v>
      </c>
      <c r="B302" s="905"/>
      <c r="C302" s="290" t="s">
        <v>140</v>
      </c>
      <c r="D302" s="290"/>
      <c r="E302" s="283">
        <v>0</v>
      </c>
      <c r="F302" s="284"/>
      <c r="G302" s="340">
        <f t="shared" si="403"/>
        <v>0</v>
      </c>
      <c r="H302" s="285">
        <v>0</v>
      </c>
      <c r="I302" s="285">
        <v>0</v>
      </c>
      <c r="J302" s="359" t="str">
        <f>IFERROR(G302/#REF!,"-")</f>
        <v>-</v>
      </c>
      <c r="K302" s="340">
        <f t="shared" si="404"/>
        <v>0</v>
      </c>
      <c r="L302" s="285">
        <f t="shared" si="405"/>
        <v>0</v>
      </c>
      <c r="M302" s="286">
        <f t="shared" si="406"/>
        <v>0</v>
      </c>
      <c r="N302" s="344" t="str">
        <f t="shared" si="393"/>
        <v>-</v>
      </c>
      <c r="O302" s="353" t="str">
        <f t="shared" si="394"/>
        <v>-</v>
      </c>
    </row>
    <row r="303" spans="1:15" ht="24" thickBot="1" x14ac:dyDescent="0.35">
      <c r="A303" s="685" t="s">
        <v>110</v>
      </c>
      <c r="B303" s="906" t="s">
        <v>40</v>
      </c>
      <c r="C303" s="907"/>
      <c r="D303" s="908"/>
      <c r="E303" s="288">
        <v>30000</v>
      </c>
      <c r="F303" s="289">
        <v>2800</v>
      </c>
      <c r="G303" s="326">
        <f>SUM(G301:G302)</f>
        <v>0</v>
      </c>
      <c r="H303" s="327">
        <f t="shared" ref="H303:I303" si="407">SUM(H301:H302)</f>
        <v>0</v>
      </c>
      <c r="I303" s="327">
        <f t="shared" si="407"/>
        <v>0</v>
      </c>
      <c r="J303" s="351" t="str">
        <f>IFERROR(G303/#REF!,"-")</f>
        <v>-</v>
      </c>
      <c r="K303" s="326">
        <f t="shared" ref="K303:M303" si="408">SUM(K301:K302)</f>
        <v>0</v>
      </c>
      <c r="L303" s="327">
        <f t="shared" si="408"/>
        <v>0</v>
      </c>
      <c r="M303" s="328">
        <f t="shared" si="408"/>
        <v>0</v>
      </c>
      <c r="N303" s="345">
        <f t="shared" si="393"/>
        <v>0</v>
      </c>
      <c r="O303" s="351" t="str">
        <f t="shared" si="394"/>
        <v>-</v>
      </c>
    </row>
    <row r="304" spans="1:15" ht="23.4" x14ac:dyDescent="0.3">
      <c r="A304" s="277" t="s">
        <v>110</v>
      </c>
      <c r="B304" s="903" t="s">
        <v>41</v>
      </c>
      <c r="C304" s="272" t="s">
        <v>346</v>
      </c>
      <c r="D304" s="272"/>
      <c r="E304" s="273">
        <v>0</v>
      </c>
      <c r="F304" s="321"/>
      <c r="G304" s="338">
        <f t="shared" ref="G304:G308" si="409">+H304+I304</f>
        <v>0</v>
      </c>
      <c r="H304" s="275">
        <v>0</v>
      </c>
      <c r="I304" s="275">
        <v>0</v>
      </c>
      <c r="J304" s="377" t="str">
        <f>IFERROR(G304/#REF!,"-")</f>
        <v>-</v>
      </c>
      <c r="K304" s="338">
        <f t="shared" ref="K304:K308" si="410">+L304+M304</f>
        <v>35500</v>
      </c>
      <c r="L304" s="275">
        <f t="shared" ref="L304:L308" si="411">+H304+L201</f>
        <v>35340</v>
      </c>
      <c r="M304" s="276">
        <f t="shared" ref="M304:M308" si="412">+I304+M201</f>
        <v>160</v>
      </c>
      <c r="N304" s="365" t="str">
        <f t="shared" si="393"/>
        <v>-</v>
      </c>
      <c r="O304" s="366">
        <f t="shared" si="394"/>
        <v>4.507042253521127E-3</v>
      </c>
    </row>
    <row r="305" spans="1:15" ht="23.4" x14ac:dyDescent="0.3">
      <c r="A305" s="277" t="s">
        <v>110</v>
      </c>
      <c r="B305" s="904"/>
      <c r="C305" s="272" t="s">
        <v>347</v>
      </c>
      <c r="D305" s="278"/>
      <c r="E305" s="279">
        <v>0</v>
      </c>
      <c r="F305" s="322"/>
      <c r="G305" s="339">
        <f t="shared" si="409"/>
        <v>0</v>
      </c>
      <c r="H305" s="281">
        <v>0</v>
      </c>
      <c r="I305" s="281">
        <v>0</v>
      </c>
      <c r="J305" s="378" t="str">
        <f>IFERROR(G305/#REF!,"-")</f>
        <v>-</v>
      </c>
      <c r="K305" s="339">
        <f t="shared" si="410"/>
        <v>0</v>
      </c>
      <c r="L305" s="281">
        <f t="shared" si="411"/>
        <v>0</v>
      </c>
      <c r="M305" s="251">
        <f t="shared" si="412"/>
        <v>0</v>
      </c>
      <c r="N305" s="367" t="str">
        <f t="shared" si="393"/>
        <v>-</v>
      </c>
      <c r="O305" s="368" t="str">
        <f t="shared" si="394"/>
        <v>-</v>
      </c>
    </row>
    <row r="306" spans="1:15" ht="23.4" x14ac:dyDescent="0.3">
      <c r="A306" s="277" t="s">
        <v>110</v>
      </c>
      <c r="B306" s="904"/>
      <c r="C306" s="278" t="s">
        <v>423</v>
      </c>
      <c r="D306" s="278"/>
      <c r="E306" s="279">
        <v>0</v>
      </c>
      <c r="F306" s="322"/>
      <c r="G306" s="339">
        <f t="shared" si="409"/>
        <v>17455</v>
      </c>
      <c r="H306" s="281">
        <v>17280</v>
      </c>
      <c r="I306" s="281">
        <v>175</v>
      </c>
      <c r="J306" s="378" t="str">
        <f>IFERROR(G306/#REF!,"-")</f>
        <v>-</v>
      </c>
      <c r="K306" s="339">
        <f t="shared" si="410"/>
        <v>17455</v>
      </c>
      <c r="L306" s="281">
        <f t="shared" si="411"/>
        <v>17280</v>
      </c>
      <c r="M306" s="251">
        <f t="shared" si="412"/>
        <v>175</v>
      </c>
      <c r="N306" s="367" t="str">
        <f t="shared" si="393"/>
        <v>-</v>
      </c>
      <c r="O306" s="368">
        <f t="shared" si="394"/>
        <v>1.0025780578630765E-2</v>
      </c>
    </row>
    <row r="307" spans="1:15" ht="23.4" x14ac:dyDescent="0.3">
      <c r="A307" s="277" t="s">
        <v>110</v>
      </c>
      <c r="B307" s="904"/>
      <c r="C307" s="278" t="s">
        <v>166</v>
      </c>
      <c r="D307" s="278"/>
      <c r="E307" s="279">
        <v>0</v>
      </c>
      <c r="F307" s="322"/>
      <c r="G307" s="339">
        <f t="shared" si="409"/>
        <v>0</v>
      </c>
      <c r="H307" s="281">
        <v>0</v>
      </c>
      <c r="I307" s="281">
        <v>0</v>
      </c>
      <c r="J307" s="378" t="str">
        <f>IFERROR(G307/#REF!,"-")</f>
        <v>-</v>
      </c>
      <c r="K307" s="339">
        <f t="shared" si="410"/>
        <v>0</v>
      </c>
      <c r="L307" s="281">
        <f t="shared" si="411"/>
        <v>0</v>
      </c>
      <c r="M307" s="251">
        <f t="shared" si="412"/>
        <v>0</v>
      </c>
      <c r="N307" s="367" t="str">
        <f t="shared" si="393"/>
        <v>-</v>
      </c>
      <c r="O307" s="368" t="str">
        <f t="shared" si="394"/>
        <v>-</v>
      </c>
    </row>
    <row r="308" spans="1:15" ht="24" thickBot="1" x14ac:dyDescent="0.35">
      <c r="A308" s="277" t="s">
        <v>110</v>
      </c>
      <c r="B308" s="905"/>
      <c r="C308" s="282" t="s">
        <v>167</v>
      </c>
      <c r="D308" s="282"/>
      <c r="E308" s="283">
        <v>0</v>
      </c>
      <c r="F308" s="323"/>
      <c r="G308" s="340">
        <f t="shared" si="409"/>
        <v>0</v>
      </c>
      <c r="H308" s="285">
        <v>0</v>
      </c>
      <c r="I308" s="285">
        <v>0</v>
      </c>
      <c r="J308" s="379" t="str">
        <f>IFERROR(G308/#REF!,"-")</f>
        <v>-</v>
      </c>
      <c r="K308" s="340">
        <f t="shared" si="410"/>
        <v>0</v>
      </c>
      <c r="L308" s="285">
        <f t="shared" si="411"/>
        <v>0</v>
      </c>
      <c r="M308" s="286">
        <f t="shared" si="412"/>
        <v>0</v>
      </c>
      <c r="N308" s="369" t="str">
        <f t="shared" si="393"/>
        <v>-</v>
      </c>
      <c r="O308" s="370" t="str">
        <f t="shared" si="394"/>
        <v>-</v>
      </c>
    </row>
    <row r="309" spans="1:15" ht="24" thickBot="1" x14ac:dyDescent="0.35">
      <c r="A309" s="277" t="s">
        <v>110</v>
      </c>
      <c r="B309" s="906" t="s">
        <v>42</v>
      </c>
      <c r="C309" s="907"/>
      <c r="D309" s="908"/>
      <c r="E309" s="326">
        <v>610600</v>
      </c>
      <c r="F309" s="289">
        <v>25000</v>
      </c>
      <c r="G309" s="326">
        <f>SUM(G305:G308)</f>
        <v>17455</v>
      </c>
      <c r="H309" s="327">
        <f t="shared" ref="H309:I309" si="413">SUM(H305:H308)</f>
        <v>17280</v>
      </c>
      <c r="I309" s="327">
        <f t="shared" si="413"/>
        <v>175</v>
      </c>
      <c r="J309" s="351" t="str">
        <f>IFERROR(G309/#REF!,"-")</f>
        <v>-</v>
      </c>
      <c r="K309" s="326">
        <f>SUM(K304:K308)</f>
        <v>52955</v>
      </c>
      <c r="L309" s="327">
        <f>SUM(L304:L308)</f>
        <v>52620</v>
      </c>
      <c r="M309" s="328">
        <f>SUM(M304:M308)</f>
        <v>335</v>
      </c>
      <c r="N309" s="345">
        <f t="shared" si="393"/>
        <v>8.6726170979364553E-2</v>
      </c>
      <c r="O309" s="351">
        <f t="shared" si="394"/>
        <v>6.326125956000378E-3</v>
      </c>
    </row>
    <row r="310" spans="1:15" ht="23.4" x14ac:dyDescent="0.3">
      <c r="A310" s="277" t="s">
        <v>110</v>
      </c>
      <c r="B310" s="903" t="s">
        <v>43</v>
      </c>
      <c r="C310" s="272" t="s">
        <v>204</v>
      </c>
      <c r="D310" s="272"/>
      <c r="E310" s="273">
        <v>0</v>
      </c>
      <c r="F310" s="274"/>
      <c r="G310" s="338">
        <f t="shared" ref="G310:G312" si="414">+H310+I310</f>
        <v>0</v>
      </c>
      <c r="H310" s="275">
        <v>0</v>
      </c>
      <c r="I310" s="275">
        <v>0</v>
      </c>
      <c r="J310" s="357" t="str">
        <f>IFERROR(G310/#REF!,"-")</f>
        <v>-</v>
      </c>
      <c r="K310" s="338">
        <f t="shared" ref="K310:K312" si="415">+L310+M310</f>
        <v>0</v>
      </c>
      <c r="L310" s="275">
        <f t="shared" ref="L310:L312" si="416">+H310+L207</f>
        <v>0</v>
      </c>
      <c r="M310" s="276">
        <f t="shared" ref="M310:M312" si="417">+I310+M207</f>
        <v>0</v>
      </c>
      <c r="N310" s="342" t="str">
        <f t="shared" si="393"/>
        <v>-</v>
      </c>
      <c r="O310" s="352" t="str">
        <f t="shared" si="394"/>
        <v>-</v>
      </c>
    </row>
    <row r="311" spans="1:15" ht="23.4" x14ac:dyDescent="0.3">
      <c r="A311" s="277" t="s">
        <v>110</v>
      </c>
      <c r="B311" s="904"/>
      <c r="C311" s="278" t="s">
        <v>168</v>
      </c>
      <c r="D311" s="278"/>
      <c r="E311" s="279">
        <v>0</v>
      </c>
      <c r="F311" s="280"/>
      <c r="G311" s="339">
        <f t="shared" si="414"/>
        <v>0</v>
      </c>
      <c r="H311" s="281">
        <v>0</v>
      </c>
      <c r="I311" s="281">
        <v>0</v>
      </c>
      <c r="J311" s="378" t="str">
        <f>IFERROR(G311/#REF!,"-")</f>
        <v>-</v>
      </c>
      <c r="K311" s="339">
        <f t="shared" si="415"/>
        <v>0</v>
      </c>
      <c r="L311" s="281">
        <f t="shared" si="416"/>
        <v>0</v>
      </c>
      <c r="M311" s="251">
        <f t="shared" si="417"/>
        <v>0</v>
      </c>
      <c r="N311" s="367" t="str">
        <f t="shared" si="393"/>
        <v>-</v>
      </c>
      <c r="O311" s="368" t="str">
        <f t="shared" si="394"/>
        <v>-</v>
      </c>
    </row>
    <row r="312" spans="1:15" ht="24" thickBot="1" x14ac:dyDescent="0.35">
      <c r="A312" s="277" t="s">
        <v>110</v>
      </c>
      <c r="B312" s="905"/>
      <c r="C312" s="282" t="s">
        <v>204</v>
      </c>
      <c r="D312" s="282"/>
      <c r="E312" s="283">
        <v>0</v>
      </c>
      <c r="F312" s="284"/>
      <c r="G312" s="340">
        <f t="shared" si="414"/>
        <v>0</v>
      </c>
      <c r="H312" s="285">
        <v>0</v>
      </c>
      <c r="I312" s="285">
        <v>0</v>
      </c>
      <c r="J312" s="379" t="str">
        <f>IFERROR(G312/#REF!,"-")</f>
        <v>-</v>
      </c>
      <c r="K312" s="340">
        <f t="shared" si="415"/>
        <v>0</v>
      </c>
      <c r="L312" s="285">
        <f t="shared" si="416"/>
        <v>0</v>
      </c>
      <c r="M312" s="286">
        <f t="shared" si="417"/>
        <v>0</v>
      </c>
      <c r="N312" s="369" t="str">
        <f t="shared" si="393"/>
        <v>-</v>
      </c>
      <c r="O312" s="370" t="str">
        <f t="shared" si="394"/>
        <v>-</v>
      </c>
    </row>
    <row r="313" spans="1:15" ht="24" thickBot="1" x14ac:dyDescent="0.35">
      <c r="A313" s="277" t="s">
        <v>110</v>
      </c>
      <c r="B313" s="909" t="s">
        <v>44</v>
      </c>
      <c r="C313" s="910"/>
      <c r="D313" s="911"/>
      <c r="E313" s="326">
        <v>0</v>
      </c>
      <c r="F313" s="289"/>
      <c r="G313" s="326">
        <f>SUM(G310:G312)</f>
        <v>0</v>
      </c>
      <c r="H313" s="327">
        <f t="shared" ref="H313:I313" si="418">SUM(H310:H312)</f>
        <v>0</v>
      </c>
      <c r="I313" s="327">
        <f t="shared" si="418"/>
        <v>0</v>
      </c>
      <c r="J313" s="351" t="str">
        <f>IFERROR(G313/#REF!,"-")</f>
        <v>-</v>
      </c>
      <c r="K313" s="326">
        <f t="shared" ref="K313:M313" si="419">SUM(K310:K312)</f>
        <v>0</v>
      </c>
      <c r="L313" s="327">
        <f t="shared" si="419"/>
        <v>0</v>
      </c>
      <c r="M313" s="328">
        <f t="shared" si="419"/>
        <v>0</v>
      </c>
      <c r="N313" s="345" t="str">
        <f t="shared" si="393"/>
        <v>-</v>
      </c>
      <c r="O313" s="351" t="str">
        <f t="shared" si="394"/>
        <v>-</v>
      </c>
    </row>
    <row r="314" spans="1:15" ht="23.4" x14ac:dyDescent="0.3">
      <c r="A314" s="277" t="s">
        <v>110</v>
      </c>
      <c r="B314" s="903" t="s">
        <v>45</v>
      </c>
      <c r="C314" s="272" t="s">
        <v>169</v>
      </c>
      <c r="D314" s="272"/>
      <c r="E314" s="273">
        <v>0</v>
      </c>
      <c r="F314" s="274"/>
      <c r="G314" s="338">
        <f t="shared" ref="G314:G315" si="420">+H314+I314</f>
        <v>0</v>
      </c>
      <c r="H314" s="275">
        <v>0</v>
      </c>
      <c r="I314" s="275">
        <v>0</v>
      </c>
      <c r="J314" s="377" t="str">
        <f>IFERROR(G314/#REF!,"-")</f>
        <v>-</v>
      </c>
      <c r="K314" s="338">
        <f t="shared" ref="K314:K315" si="421">+L314+M314</f>
        <v>0</v>
      </c>
      <c r="L314" s="275">
        <f t="shared" ref="L314:L315" si="422">+H314+L211</f>
        <v>0</v>
      </c>
      <c r="M314" s="276">
        <f t="shared" ref="M314:M315" si="423">+I314+M211</f>
        <v>0</v>
      </c>
      <c r="N314" s="365" t="str">
        <f t="shared" si="393"/>
        <v>-</v>
      </c>
      <c r="O314" s="366" t="str">
        <f t="shared" si="394"/>
        <v>-</v>
      </c>
    </row>
    <row r="315" spans="1:15" ht="24" thickBot="1" x14ac:dyDescent="0.35">
      <c r="A315" s="277" t="s">
        <v>110</v>
      </c>
      <c r="B315" s="905"/>
      <c r="C315" s="282" t="s">
        <v>170</v>
      </c>
      <c r="D315" s="282"/>
      <c r="E315" s="283">
        <v>0</v>
      </c>
      <c r="F315" s="284"/>
      <c r="G315" s="340">
        <f t="shared" si="420"/>
        <v>0</v>
      </c>
      <c r="H315" s="285">
        <v>0</v>
      </c>
      <c r="I315" s="285">
        <v>0</v>
      </c>
      <c r="J315" s="379" t="str">
        <f>IFERROR(G315/#REF!,"-")</f>
        <v>-</v>
      </c>
      <c r="K315" s="340">
        <f t="shared" si="421"/>
        <v>0</v>
      </c>
      <c r="L315" s="285">
        <f t="shared" si="422"/>
        <v>0</v>
      </c>
      <c r="M315" s="286">
        <f t="shared" si="423"/>
        <v>0</v>
      </c>
      <c r="N315" s="369" t="str">
        <f t="shared" si="393"/>
        <v>-</v>
      </c>
      <c r="O315" s="370" t="str">
        <f t="shared" si="394"/>
        <v>-</v>
      </c>
    </row>
    <row r="316" spans="1:15" ht="24" thickBot="1" x14ac:dyDescent="0.35">
      <c r="A316" s="277" t="s">
        <v>110</v>
      </c>
      <c r="B316" s="909" t="s">
        <v>46</v>
      </c>
      <c r="C316" s="910"/>
      <c r="D316" s="911"/>
      <c r="E316" s="288">
        <v>11100</v>
      </c>
      <c r="F316" s="289">
        <v>25000</v>
      </c>
      <c r="G316" s="326">
        <f>SUM(G314:G315)</f>
        <v>0</v>
      </c>
      <c r="H316" s="327">
        <f t="shared" ref="H316:I316" si="424">SUM(H314:H315)</f>
        <v>0</v>
      </c>
      <c r="I316" s="327">
        <f t="shared" si="424"/>
        <v>0</v>
      </c>
      <c r="J316" s="351" t="str">
        <f>IFERROR(G316/#REF!,"-")</f>
        <v>-</v>
      </c>
      <c r="K316" s="326">
        <f t="shared" ref="K316:M316" si="425">SUM(K314:K315)</f>
        <v>0</v>
      </c>
      <c r="L316" s="327">
        <f t="shared" si="425"/>
        <v>0</v>
      </c>
      <c r="M316" s="328">
        <f t="shared" si="425"/>
        <v>0</v>
      </c>
      <c r="N316" s="345">
        <f t="shared" si="393"/>
        <v>0</v>
      </c>
      <c r="O316" s="351" t="str">
        <f t="shared" si="394"/>
        <v>-</v>
      </c>
    </row>
    <row r="317" spans="1:15" ht="24" thickBot="1" x14ac:dyDescent="0.35">
      <c r="A317" s="277" t="s">
        <v>110</v>
      </c>
      <c r="B317" s="912" t="s">
        <v>25</v>
      </c>
      <c r="C317" s="913"/>
      <c r="D317" s="914"/>
      <c r="E317" s="332">
        <f t="shared" ref="E317:F317" si="426">+E295+E300+E303+E309+E313+E316</f>
        <v>745700</v>
      </c>
      <c r="F317" s="333">
        <f t="shared" si="426"/>
        <v>59300</v>
      </c>
      <c r="G317" s="332">
        <f>+G295+G300+G303+G309+G313+G316</f>
        <v>17777</v>
      </c>
      <c r="H317" s="330">
        <f t="shared" ref="H317:I317" si="427">+H295+H300+H303+H309+H313+H316</f>
        <v>17540</v>
      </c>
      <c r="I317" s="330">
        <f t="shared" si="427"/>
        <v>237</v>
      </c>
      <c r="J317" s="355" t="str">
        <f>IFERROR(G317/#REF!,"-")</f>
        <v>-</v>
      </c>
      <c r="K317" s="332">
        <f>+K295+K300+K303+K309+K313+K316</f>
        <v>54422</v>
      </c>
      <c r="L317" s="330">
        <f t="shared" ref="L317:M317" si="428">+L295+L300+L303+L309+L313+L316</f>
        <v>53680</v>
      </c>
      <c r="M317" s="331">
        <f t="shared" si="428"/>
        <v>742</v>
      </c>
      <c r="N317" s="347">
        <f t="shared" si="393"/>
        <v>7.2981091591792946E-2</v>
      </c>
      <c r="O317" s="355">
        <f t="shared" si="394"/>
        <v>1.3634192054683768E-2</v>
      </c>
    </row>
    <row r="318" spans="1:15" ht="24" thickBot="1" x14ac:dyDescent="0.35">
      <c r="A318" s="324" t="s">
        <v>110</v>
      </c>
      <c r="B318" s="901" t="s">
        <v>182</v>
      </c>
      <c r="C318" s="901"/>
      <c r="D318" s="902"/>
      <c r="E318" s="336">
        <f>+E317</f>
        <v>745700</v>
      </c>
      <c r="F318" s="337">
        <f t="shared" ref="F318:O318" si="429">+F317</f>
        <v>59300</v>
      </c>
      <c r="G318" s="336">
        <f t="shared" si="429"/>
        <v>17777</v>
      </c>
      <c r="H318" s="334">
        <f t="shared" si="429"/>
        <v>17540</v>
      </c>
      <c r="I318" s="334">
        <f t="shared" si="429"/>
        <v>237</v>
      </c>
      <c r="J318" s="356" t="str">
        <f t="shared" si="429"/>
        <v>-</v>
      </c>
      <c r="K318" s="336">
        <f t="shared" si="429"/>
        <v>54422</v>
      </c>
      <c r="L318" s="334">
        <f t="shared" si="429"/>
        <v>53680</v>
      </c>
      <c r="M318" s="335">
        <f t="shared" si="429"/>
        <v>742</v>
      </c>
      <c r="N318" s="348">
        <f t="shared" si="429"/>
        <v>7.2981091591792946E-2</v>
      </c>
      <c r="O318" s="356">
        <f t="shared" si="429"/>
        <v>1.3634192054683768E-2</v>
      </c>
    </row>
    <row r="319" spans="1:15" ht="24.6" thickBot="1" x14ac:dyDescent="0.35">
      <c r="A319" s="325"/>
      <c r="B319" s="915" t="s">
        <v>183</v>
      </c>
      <c r="C319" s="916"/>
      <c r="D319" s="917"/>
      <c r="E319" s="380">
        <f>+E264+E291+E318</f>
        <v>9494400</v>
      </c>
      <c r="F319" s="380">
        <f>+F264+F291+F318</f>
        <v>748300</v>
      </c>
      <c r="G319" s="380">
        <f>+G264+G291+G318</f>
        <v>345663</v>
      </c>
      <c r="H319" s="380">
        <f>+H264+H291+H318</f>
        <v>342486</v>
      </c>
      <c r="I319" s="380">
        <f>+I264+I291+I318</f>
        <v>3177</v>
      </c>
      <c r="J319" s="381" t="str">
        <f>IFERROR(G319/#REF!,"-")</f>
        <v>-</v>
      </c>
      <c r="K319" s="380">
        <f>+K264+K291+K318</f>
        <v>872921</v>
      </c>
      <c r="L319" s="380">
        <f>+L264+L291+L318</f>
        <v>863749</v>
      </c>
      <c r="M319" s="380">
        <f>+M264+M291+M318</f>
        <v>9172</v>
      </c>
      <c r="N319" s="381">
        <f>IFERROR(K319/E319,"-")</f>
        <v>9.1940617627232893E-2</v>
      </c>
      <c r="O319" s="381">
        <f>IFERROR(M319/K319,"-")</f>
        <v>1.0507250942525154E-2</v>
      </c>
    </row>
    <row r="320" spans="1:15" ht="23.4" x14ac:dyDescent="0.3">
      <c r="A320" s="935" t="s">
        <v>1</v>
      </c>
      <c r="B320" s="938" t="s">
        <v>2</v>
      </c>
      <c r="C320" s="941" t="s">
        <v>3</v>
      </c>
      <c r="D320" s="941" t="s">
        <v>93</v>
      </c>
      <c r="E320" s="944" t="s">
        <v>4</v>
      </c>
      <c r="F320" s="945"/>
      <c r="G320" s="945"/>
      <c r="H320" s="945"/>
      <c r="I320" s="945"/>
      <c r="J320" s="945"/>
      <c r="K320" s="945"/>
      <c r="L320" s="945"/>
      <c r="M320" s="945"/>
      <c r="N320" s="945"/>
      <c r="O320" s="946"/>
    </row>
    <row r="321" spans="1:15" ht="23.4" x14ac:dyDescent="0.3">
      <c r="A321" s="936"/>
      <c r="B321" s="939"/>
      <c r="C321" s="942"/>
      <c r="D321" s="942"/>
      <c r="E321" s="947" t="s">
        <v>7</v>
      </c>
      <c r="F321" s="949" t="s">
        <v>116</v>
      </c>
      <c r="G321" s="951" t="s">
        <v>425</v>
      </c>
      <c r="H321" s="952"/>
      <c r="I321" s="952"/>
      <c r="J321" s="953"/>
      <c r="K321" s="954" t="s">
        <v>8</v>
      </c>
      <c r="L321" s="955"/>
      <c r="M321" s="956"/>
      <c r="N321" s="957" t="s">
        <v>174</v>
      </c>
      <c r="O321" s="959" t="s">
        <v>173</v>
      </c>
    </row>
    <row r="322" spans="1:15" ht="41.4" thickBot="1" x14ac:dyDescent="0.35">
      <c r="A322" s="937"/>
      <c r="B322" s="940"/>
      <c r="C322" s="943"/>
      <c r="D322" s="943"/>
      <c r="E322" s="948"/>
      <c r="F322" s="950"/>
      <c r="G322" s="462" t="s">
        <v>13</v>
      </c>
      <c r="H322" s="463" t="s">
        <v>14</v>
      </c>
      <c r="I322" s="463" t="s">
        <v>15</v>
      </c>
      <c r="J322" s="464" t="s">
        <v>175</v>
      </c>
      <c r="K322" s="462" t="s">
        <v>13</v>
      </c>
      <c r="L322" s="463" t="s">
        <v>14</v>
      </c>
      <c r="M322" s="465" t="s">
        <v>15</v>
      </c>
      <c r="N322" s="958"/>
      <c r="O322" s="960"/>
    </row>
    <row r="323" spans="1:15" ht="23.4" x14ac:dyDescent="0.3">
      <c r="A323" s="271" t="s">
        <v>111</v>
      </c>
      <c r="B323" s="922" t="s">
        <v>16</v>
      </c>
      <c r="C323" s="272" t="s">
        <v>186</v>
      </c>
      <c r="D323" s="272" t="s">
        <v>184</v>
      </c>
      <c r="E323" s="273">
        <v>0</v>
      </c>
      <c r="F323" s="274"/>
      <c r="G323" s="338">
        <f>+H323+I323</f>
        <v>0</v>
      </c>
      <c r="H323" s="275">
        <v>0</v>
      </c>
      <c r="I323" s="275">
        <v>0</v>
      </c>
      <c r="J323" s="357" t="str">
        <f>IFERROR(G323/#REF!,"-")</f>
        <v>-</v>
      </c>
      <c r="K323" s="468">
        <f>+L323+M323</f>
        <v>0</v>
      </c>
      <c r="L323" s="469">
        <f>+H323+L220</f>
        <v>0</v>
      </c>
      <c r="M323" s="469">
        <f>+I323+M220</f>
        <v>0</v>
      </c>
      <c r="N323" s="342" t="str">
        <f>IFERROR(K323/E323,"-")</f>
        <v>-</v>
      </c>
      <c r="O323" s="349" t="str">
        <f t="shared" ref="O323:O324" si="430">IFERROR(M323/K323,"-")</f>
        <v>-</v>
      </c>
    </row>
    <row r="324" spans="1:15" ht="23.4" x14ac:dyDescent="0.3">
      <c r="A324" s="277" t="s">
        <v>111</v>
      </c>
      <c r="B324" s="923"/>
      <c r="C324" s="278" t="s">
        <v>190</v>
      </c>
      <c r="D324" s="278" t="s">
        <v>101</v>
      </c>
      <c r="E324" s="279">
        <v>0</v>
      </c>
      <c r="F324" s="280"/>
      <c r="G324" s="339">
        <f t="shared" ref="G324:G326" si="431">+H324+I324</f>
        <v>0</v>
      </c>
      <c r="H324" s="281">
        <v>0</v>
      </c>
      <c r="I324" s="281">
        <v>0</v>
      </c>
      <c r="J324" s="358" t="str">
        <f>IFERROR(G324/#REF!,"-")</f>
        <v>-</v>
      </c>
      <c r="K324" s="339">
        <f t="shared" ref="K324:K326" si="432">+L324+M324</f>
        <v>0</v>
      </c>
      <c r="L324" s="281">
        <f t="shared" ref="L324:L326" si="433">+H324+L221</f>
        <v>0</v>
      </c>
      <c r="M324" s="442">
        <f t="shared" ref="M324:M326" si="434">+I324+M221</f>
        <v>0</v>
      </c>
      <c r="N324" s="343" t="str">
        <f t="shared" ref="N324:N326" si="435">IFERROR(K324/E324,"-")</f>
        <v>-</v>
      </c>
      <c r="O324" s="268" t="str">
        <f t="shared" si="430"/>
        <v>-</v>
      </c>
    </row>
    <row r="325" spans="1:15" ht="23.4" x14ac:dyDescent="0.3">
      <c r="A325" s="277" t="s">
        <v>111</v>
      </c>
      <c r="B325" s="923"/>
      <c r="C325" s="278" t="s">
        <v>187</v>
      </c>
      <c r="D325" s="278" t="s">
        <v>185</v>
      </c>
      <c r="E325" s="279">
        <v>0</v>
      </c>
      <c r="F325" s="280"/>
      <c r="G325" s="339">
        <f t="shared" si="431"/>
        <v>0</v>
      </c>
      <c r="H325" s="281">
        <v>0</v>
      </c>
      <c r="I325" s="281">
        <v>0</v>
      </c>
      <c r="J325" s="358" t="str">
        <f>IFERROR(G325/#REF!,"-")</f>
        <v>-</v>
      </c>
      <c r="K325" s="339">
        <f t="shared" si="432"/>
        <v>0</v>
      </c>
      <c r="L325" s="281">
        <f t="shared" si="433"/>
        <v>0</v>
      </c>
      <c r="M325" s="442">
        <f t="shared" si="434"/>
        <v>0</v>
      </c>
      <c r="N325" s="343" t="str">
        <f t="shared" si="435"/>
        <v>-</v>
      </c>
      <c r="O325" s="268" t="str">
        <f>IFERROR(M325/K325,"-")</f>
        <v>-</v>
      </c>
    </row>
    <row r="326" spans="1:15" ht="24" thickBot="1" x14ac:dyDescent="0.35">
      <c r="A326" s="277" t="s">
        <v>111</v>
      </c>
      <c r="B326" s="924"/>
      <c r="C326" s="282" t="s">
        <v>255</v>
      </c>
      <c r="D326" s="282" t="s">
        <v>256</v>
      </c>
      <c r="E326" s="283">
        <v>0</v>
      </c>
      <c r="F326" s="284"/>
      <c r="G326" s="340">
        <f t="shared" si="431"/>
        <v>0</v>
      </c>
      <c r="H326" s="285">
        <v>0</v>
      </c>
      <c r="I326" s="285">
        <v>0</v>
      </c>
      <c r="J326" s="359" t="str">
        <f>IFERROR(G326/#REF!,"-")</f>
        <v>-</v>
      </c>
      <c r="K326" s="471">
        <f t="shared" si="432"/>
        <v>45313</v>
      </c>
      <c r="L326" s="472">
        <f t="shared" si="433"/>
        <v>44544</v>
      </c>
      <c r="M326" s="473">
        <f t="shared" si="434"/>
        <v>769</v>
      </c>
      <c r="N326" s="344" t="str">
        <f t="shared" si="435"/>
        <v>-</v>
      </c>
      <c r="O326" s="350">
        <f t="shared" ref="O326:O390" si="436">IFERROR(M326/K326,"-")</f>
        <v>1.6970847218237592E-2</v>
      </c>
    </row>
    <row r="327" spans="1:15" ht="24" thickBot="1" x14ac:dyDescent="0.35">
      <c r="A327" s="277" t="s">
        <v>111</v>
      </c>
      <c r="B327" s="906" t="s">
        <v>47</v>
      </c>
      <c r="C327" s="907"/>
      <c r="D327" s="908"/>
      <c r="E327" s="326">
        <v>144600</v>
      </c>
      <c r="F327" s="289">
        <v>15000</v>
      </c>
      <c r="G327" s="326">
        <f>SUM(G323:G326)</f>
        <v>0</v>
      </c>
      <c r="H327" s="327">
        <f t="shared" ref="H327:I327" si="437">SUM(H323:H326)</f>
        <v>0</v>
      </c>
      <c r="I327" s="327">
        <f t="shared" si="437"/>
        <v>0</v>
      </c>
      <c r="J327" s="351" t="str">
        <f>IFERROR(G327/#REF!,"-")</f>
        <v>-</v>
      </c>
      <c r="K327" s="326">
        <f t="shared" ref="K327:M327" si="438">SUM(K323:K326)</f>
        <v>45313</v>
      </c>
      <c r="L327" s="327">
        <f t="shared" si="438"/>
        <v>44544</v>
      </c>
      <c r="M327" s="328">
        <f t="shared" si="438"/>
        <v>769</v>
      </c>
      <c r="N327" s="345">
        <f>IFERROR(K327/E327,"-")</f>
        <v>0.31336791147994469</v>
      </c>
      <c r="O327" s="351">
        <f t="shared" si="436"/>
        <v>1.6970847218237592E-2</v>
      </c>
    </row>
    <row r="328" spans="1:15" ht="23.4" x14ac:dyDescent="0.3">
      <c r="A328" s="277" t="s">
        <v>111</v>
      </c>
      <c r="B328" s="922" t="s">
        <v>17</v>
      </c>
      <c r="C328" s="272" t="s">
        <v>331</v>
      </c>
      <c r="D328" s="272"/>
      <c r="E328" s="273">
        <v>0</v>
      </c>
      <c r="F328" s="274"/>
      <c r="G328" s="338">
        <f t="shared" ref="G328:G334" si="439">+H328+I328</f>
        <v>0</v>
      </c>
      <c r="H328" s="275">
        <v>0</v>
      </c>
      <c r="I328" s="275">
        <v>0</v>
      </c>
      <c r="J328" s="357" t="str">
        <f>IFERROR(G328/#REF!,"-")</f>
        <v>-</v>
      </c>
      <c r="K328" s="468">
        <f t="shared" ref="K328:K334" si="440">+L328+M328</f>
        <v>0</v>
      </c>
      <c r="L328" s="469">
        <f t="shared" ref="L328:L334" si="441">+H328+L225</f>
        <v>0</v>
      </c>
      <c r="M328" s="470">
        <f t="shared" ref="M328:M334" si="442">+I328+M225</f>
        <v>0</v>
      </c>
      <c r="N328" s="342" t="str">
        <f t="shared" ref="N328:N369" si="443">IFERROR(K328/E328,"-")</f>
        <v>-</v>
      </c>
      <c r="O328" s="352" t="str">
        <f t="shared" si="436"/>
        <v>-</v>
      </c>
    </row>
    <row r="329" spans="1:15" ht="23.4" x14ac:dyDescent="0.3">
      <c r="A329" s="277" t="s">
        <v>111</v>
      </c>
      <c r="B329" s="923"/>
      <c r="C329" s="278" t="s">
        <v>421</v>
      </c>
      <c r="D329" s="278" t="s">
        <v>257</v>
      </c>
      <c r="E329" s="279">
        <v>0</v>
      </c>
      <c r="F329" s="280"/>
      <c r="G329" s="339">
        <f t="shared" si="439"/>
        <v>73609</v>
      </c>
      <c r="H329" s="281">
        <v>73440</v>
      </c>
      <c r="I329" s="281">
        <v>169</v>
      </c>
      <c r="J329" s="358" t="str">
        <f>IFERROR(G329/#REF!,"-")</f>
        <v>-</v>
      </c>
      <c r="K329" s="339">
        <f t="shared" si="440"/>
        <v>245886</v>
      </c>
      <c r="L329" s="281">
        <f t="shared" si="441"/>
        <v>244800</v>
      </c>
      <c r="M329" s="442">
        <f t="shared" si="442"/>
        <v>1086</v>
      </c>
      <c r="N329" s="343" t="str">
        <f t="shared" si="443"/>
        <v>-</v>
      </c>
      <c r="O329" s="264">
        <f t="shared" si="436"/>
        <v>4.4166809009052975E-3</v>
      </c>
    </row>
    <row r="330" spans="1:15" ht="23.4" x14ac:dyDescent="0.3">
      <c r="A330" s="277" t="s">
        <v>111</v>
      </c>
      <c r="B330" s="923"/>
      <c r="C330" s="278" t="s">
        <v>290</v>
      </c>
      <c r="D330" s="278" t="s">
        <v>205</v>
      </c>
      <c r="E330" s="279">
        <v>0</v>
      </c>
      <c r="F330" s="280"/>
      <c r="G330" s="339">
        <f t="shared" si="439"/>
        <v>0</v>
      </c>
      <c r="H330" s="281">
        <v>0</v>
      </c>
      <c r="I330" s="281">
        <v>0</v>
      </c>
      <c r="J330" s="358" t="str">
        <f>IFERROR(G330/#REF!,"-")</f>
        <v>-</v>
      </c>
      <c r="K330" s="339">
        <f t="shared" si="440"/>
        <v>0</v>
      </c>
      <c r="L330" s="281">
        <f t="shared" si="441"/>
        <v>0</v>
      </c>
      <c r="M330" s="442">
        <f t="shared" si="442"/>
        <v>0</v>
      </c>
      <c r="N330" s="343" t="str">
        <f t="shared" si="443"/>
        <v>-</v>
      </c>
      <c r="O330" s="264" t="str">
        <f t="shared" si="436"/>
        <v>-</v>
      </c>
    </row>
    <row r="331" spans="1:15" ht="23.4" x14ac:dyDescent="0.3">
      <c r="A331" s="277" t="s">
        <v>111</v>
      </c>
      <c r="B331" s="923"/>
      <c r="C331" s="278" t="s">
        <v>330</v>
      </c>
      <c r="D331" s="278" t="s">
        <v>206</v>
      </c>
      <c r="E331" s="279">
        <v>0</v>
      </c>
      <c r="F331" s="280"/>
      <c r="G331" s="339">
        <f t="shared" si="439"/>
        <v>0</v>
      </c>
      <c r="H331" s="281">
        <v>0</v>
      </c>
      <c r="I331" s="281">
        <v>0</v>
      </c>
      <c r="J331" s="358" t="str">
        <f>IFERROR(G331/#REF!,"-")</f>
        <v>-</v>
      </c>
      <c r="K331" s="339">
        <f t="shared" si="440"/>
        <v>1836</v>
      </c>
      <c r="L331" s="281">
        <f t="shared" si="441"/>
        <v>1836</v>
      </c>
      <c r="M331" s="442">
        <f t="shared" si="442"/>
        <v>0</v>
      </c>
      <c r="N331" s="343" t="str">
        <f t="shared" si="443"/>
        <v>-</v>
      </c>
      <c r="O331" s="264">
        <f t="shared" si="436"/>
        <v>0</v>
      </c>
    </row>
    <row r="332" spans="1:15" ht="23.4" x14ac:dyDescent="0.3">
      <c r="A332" s="277" t="s">
        <v>111</v>
      </c>
      <c r="B332" s="923"/>
      <c r="C332" s="278" t="s">
        <v>377</v>
      </c>
      <c r="D332" s="278" t="s">
        <v>371</v>
      </c>
      <c r="E332" s="279">
        <v>0</v>
      </c>
      <c r="F332" s="280"/>
      <c r="G332" s="339">
        <f t="shared" si="439"/>
        <v>0</v>
      </c>
      <c r="H332" s="281">
        <v>0</v>
      </c>
      <c r="I332" s="281">
        <v>0</v>
      </c>
      <c r="J332" s="358" t="str">
        <f>IFERROR(G332/#REF!,"-")</f>
        <v>-</v>
      </c>
      <c r="K332" s="339">
        <f t="shared" si="440"/>
        <v>6120</v>
      </c>
      <c r="L332" s="281">
        <f t="shared" si="441"/>
        <v>6120</v>
      </c>
      <c r="M332" s="442">
        <f t="shared" si="442"/>
        <v>0</v>
      </c>
      <c r="N332" s="343" t="str">
        <f t="shared" si="443"/>
        <v>-</v>
      </c>
      <c r="O332" s="264">
        <f t="shared" si="436"/>
        <v>0</v>
      </c>
    </row>
    <row r="333" spans="1:15" ht="23.4" x14ac:dyDescent="0.3">
      <c r="A333" s="277" t="s">
        <v>111</v>
      </c>
      <c r="B333" s="923"/>
      <c r="C333" s="278" t="s">
        <v>208</v>
      </c>
      <c r="D333" s="278" t="s">
        <v>207</v>
      </c>
      <c r="E333" s="279">
        <v>0</v>
      </c>
      <c r="F333" s="280"/>
      <c r="G333" s="339">
        <f t="shared" si="439"/>
        <v>0</v>
      </c>
      <c r="H333" s="281">
        <v>0</v>
      </c>
      <c r="I333" s="281">
        <v>0</v>
      </c>
      <c r="J333" s="358" t="str">
        <f>IFERROR(G333/#REF!,"-")</f>
        <v>-</v>
      </c>
      <c r="K333" s="339">
        <f t="shared" si="440"/>
        <v>0</v>
      </c>
      <c r="L333" s="281">
        <f t="shared" si="441"/>
        <v>0</v>
      </c>
      <c r="M333" s="442">
        <f t="shared" si="442"/>
        <v>0</v>
      </c>
      <c r="N333" s="343" t="str">
        <f t="shared" si="443"/>
        <v>-</v>
      </c>
      <c r="O333" s="264" t="str">
        <f t="shared" si="436"/>
        <v>-</v>
      </c>
    </row>
    <row r="334" spans="1:15" ht="24" thickBot="1" x14ac:dyDescent="0.35">
      <c r="A334" s="277" t="s">
        <v>111</v>
      </c>
      <c r="B334" s="924"/>
      <c r="C334" s="282" t="s">
        <v>416</v>
      </c>
      <c r="D334" s="282" t="s">
        <v>257</v>
      </c>
      <c r="E334" s="283">
        <v>0</v>
      </c>
      <c r="F334" s="284"/>
      <c r="G334" s="340">
        <f t="shared" si="439"/>
        <v>0</v>
      </c>
      <c r="H334" s="285">
        <v>0</v>
      </c>
      <c r="I334" s="285">
        <v>0</v>
      </c>
      <c r="J334" s="359" t="str">
        <f>IFERROR(G334/#REF!,"-")</f>
        <v>-</v>
      </c>
      <c r="K334" s="471">
        <f t="shared" si="440"/>
        <v>73650</v>
      </c>
      <c r="L334" s="472">
        <f t="shared" si="441"/>
        <v>73440</v>
      </c>
      <c r="M334" s="473">
        <f t="shared" si="442"/>
        <v>210</v>
      </c>
      <c r="N334" s="344" t="str">
        <f t="shared" si="443"/>
        <v>-</v>
      </c>
      <c r="O334" s="353">
        <f t="shared" si="436"/>
        <v>2.8513238289205704E-3</v>
      </c>
    </row>
    <row r="335" spans="1:15" ht="24" thickBot="1" x14ac:dyDescent="0.35">
      <c r="A335" s="277" t="s">
        <v>111</v>
      </c>
      <c r="B335" s="906" t="s">
        <v>48</v>
      </c>
      <c r="C335" s="907"/>
      <c r="D335" s="908"/>
      <c r="E335" s="326">
        <v>3480000</v>
      </c>
      <c r="F335" s="289">
        <v>100000</v>
      </c>
      <c r="G335" s="326">
        <f>SUM(G328:G334)</f>
        <v>73609</v>
      </c>
      <c r="H335" s="327">
        <f t="shared" ref="H335:I335" si="444">SUM(H328:H334)</f>
        <v>73440</v>
      </c>
      <c r="I335" s="327">
        <f t="shared" si="444"/>
        <v>169</v>
      </c>
      <c r="J335" s="351" t="str">
        <f>IFERROR(G335/#REF!,"-")</f>
        <v>-</v>
      </c>
      <c r="K335" s="326">
        <f t="shared" ref="K335:M335" si="445">SUM(K328:K334)</f>
        <v>327492</v>
      </c>
      <c r="L335" s="327">
        <f t="shared" si="445"/>
        <v>326196</v>
      </c>
      <c r="M335" s="328">
        <f t="shared" si="445"/>
        <v>1296</v>
      </c>
      <c r="N335" s="345">
        <f t="shared" si="443"/>
        <v>9.4106896551724134E-2</v>
      </c>
      <c r="O335" s="351">
        <f t="shared" si="436"/>
        <v>3.9573485764537756E-3</v>
      </c>
    </row>
    <row r="336" spans="1:15" ht="23.4" x14ac:dyDescent="0.3">
      <c r="A336" s="277" t="s">
        <v>111</v>
      </c>
      <c r="B336" s="922" t="s">
        <v>18</v>
      </c>
      <c r="C336" s="272" t="s">
        <v>359</v>
      </c>
      <c r="D336" s="272" t="s">
        <v>99</v>
      </c>
      <c r="E336" s="273">
        <v>0</v>
      </c>
      <c r="F336" s="274"/>
      <c r="G336" s="338">
        <f t="shared" ref="G336:G342" si="446">+H336+I336</f>
        <v>0</v>
      </c>
      <c r="H336" s="275">
        <v>0</v>
      </c>
      <c r="I336" s="275">
        <v>0</v>
      </c>
      <c r="J336" s="357" t="str">
        <f>IFERROR(G336/#REF!,"-")</f>
        <v>-</v>
      </c>
      <c r="K336" s="338">
        <f t="shared" ref="K336:K342" si="447">+L336+M336</f>
        <v>0</v>
      </c>
      <c r="L336" s="275">
        <f t="shared" ref="L336:L342" si="448">+H336+L233</f>
        <v>0</v>
      </c>
      <c r="M336" s="276">
        <f t="shared" ref="M336:M342" si="449">+I336+M233</f>
        <v>0</v>
      </c>
      <c r="N336" s="342" t="str">
        <f t="shared" si="443"/>
        <v>-</v>
      </c>
      <c r="O336" s="352" t="str">
        <f t="shared" si="436"/>
        <v>-</v>
      </c>
    </row>
    <row r="337" spans="1:15" ht="23.4" x14ac:dyDescent="0.3">
      <c r="A337" s="277" t="s">
        <v>111</v>
      </c>
      <c r="B337" s="923"/>
      <c r="C337" s="278" t="s">
        <v>258</v>
      </c>
      <c r="D337" s="278" t="s">
        <v>259</v>
      </c>
      <c r="E337" s="279">
        <v>0</v>
      </c>
      <c r="F337" s="280"/>
      <c r="G337" s="339">
        <f t="shared" si="446"/>
        <v>0</v>
      </c>
      <c r="H337" s="281">
        <v>0</v>
      </c>
      <c r="I337" s="281">
        <v>0</v>
      </c>
      <c r="J337" s="358" t="str">
        <f>IFERROR(G337/#REF!,"-")</f>
        <v>-</v>
      </c>
      <c r="K337" s="339">
        <f t="shared" si="447"/>
        <v>0</v>
      </c>
      <c r="L337" s="281">
        <f t="shared" si="448"/>
        <v>0</v>
      </c>
      <c r="M337" s="251">
        <f t="shared" si="449"/>
        <v>0</v>
      </c>
      <c r="N337" s="343" t="str">
        <f t="shared" si="443"/>
        <v>-</v>
      </c>
      <c r="O337" s="264" t="str">
        <f t="shared" si="436"/>
        <v>-</v>
      </c>
    </row>
    <row r="338" spans="1:15" ht="23.4" x14ac:dyDescent="0.3">
      <c r="A338" s="277" t="s">
        <v>111</v>
      </c>
      <c r="B338" s="923"/>
      <c r="C338" s="278" t="s">
        <v>123</v>
      </c>
      <c r="D338" s="278"/>
      <c r="E338" s="279">
        <v>0</v>
      </c>
      <c r="F338" s="280"/>
      <c r="G338" s="339">
        <f t="shared" si="446"/>
        <v>0</v>
      </c>
      <c r="H338" s="281">
        <v>0</v>
      </c>
      <c r="I338" s="281">
        <v>0</v>
      </c>
      <c r="J338" s="358" t="str">
        <f>IFERROR(G338/#REF!,"-")</f>
        <v>-</v>
      </c>
      <c r="K338" s="339">
        <f t="shared" si="447"/>
        <v>0</v>
      </c>
      <c r="L338" s="281">
        <f t="shared" si="448"/>
        <v>0</v>
      </c>
      <c r="M338" s="251">
        <f t="shared" si="449"/>
        <v>0</v>
      </c>
      <c r="N338" s="343" t="str">
        <f t="shared" si="443"/>
        <v>-</v>
      </c>
      <c r="O338" s="264" t="str">
        <f t="shared" si="436"/>
        <v>-</v>
      </c>
    </row>
    <row r="339" spans="1:15" ht="23.4" x14ac:dyDescent="0.3">
      <c r="A339" s="277" t="s">
        <v>111</v>
      </c>
      <c r="B339" s="923"/>
      <c r="C339" s="278" t="s">
        <v>130</v>
      </c>
      <c r="D339" s="278"/>
      <c r="E339" s="279">
        <v>0</v>
      </c>
      <c r="F339" s="280"/>
      <c r="G339" s="339">
        <f t="shared" si="446"/>
        <v>0</v>
      </c>
      <c r="H339" s="281">
        <v>0</v>
      </c>
      <c r="I339" s="281">
        <v>0</v>
      </c>
      <c r="J339" s="358" t="str">
        <f>IFERROR(G339/#REF!,"-")</f>
        <v>-</v>
      </c>
      <c r="K339" s="339">
        <f t="shared" si="447"/>
        <v>0</v>
      </c>
      <c r="L339" s="281">
        <f t="shared" si="448"/>
        <v>0</v>
      </c>
      <c r="M339" s="251">
        <f t="shared" si="449"/>
        <v>0</v>
      </c>
      <c r="N339" s="343" t="str">
        <f t="shared" si="443"/>
        <v>-</v>
      </c>
      <c r="O339" s="264" t="str">
        <f t="shared" si="436"/>
        <v>-</v>
      </c>
    </row>
    <row r="340" spans="1:15" ht="23.4" x14ac:dyDescent="0.3">
      <c r="A340" s="277" t="s">
        <v>111</v>
      </c>
      <c r="B340" s="923"/>
      <c r="C340" s="278" t="s">
        <v>191</v>
      </c>
      <c r="D340" s="278" t="s">
        <v>192</v>
      </c>
      <c r="E340" s="279">
        <v>0</v>
      </c>
      <c r="F340" s="280"/>
      <c r="G340" s="339">
        <f t="shared" si="446"/>
        <v>0</v>
      </c>
      <c r="H340" s="281">
        <v>0</v>
      </c>
      <c r="I340" s="281">
        <v>0</v>
      </c>
      <c r="J340" s="358" t="str">
        <f>IFERROR(G340/#REF!,"-")</f>
        <v>-</v>
      </c>
      <c r="K340" s="339">
        <f t="shared" si="447"/>
        <v>0</v>
      </c>
      <c r="L340" s="281">
        <f t="shared" si="448"/>
        <v>0</v>
      </c>
      <c r="M340" s="251">
        <f t="shared" si="449"/>
        <v>0</v>
      </c>
      <c r="N340" s="343" t="str">
        <f t="shared" si="443"/>
        <v>-</v>
      </c>
      <c r="O340" s="264" t="str">
        <f t="shared" si="436"/>
        <v>-</v>
      </c>
    </row>
    <row r="341" spans="1:15" ht="23.4" x14ac:dyDescent="0.3">
      <c r="A341" s="277" t="s">
        <v>111</v>
      </c>
      <c r="B341" s="923"/>
      <c r="C341" s="278" t="s">
        <v>194</v>
      </c>
      <c r="D341" s="278" t="s">
        <v>193</v>
      </c>
      <c r="E341" s="279">
        <v>0</v>
      </c>
      <c r="F341" s="280"/>
      <c r="G341" s="339">
        <f t="shared" si="446"/>
        <v>0</v>
      </c>
      <c r="H341" s="281">
        <v>0</v>
      </c>
      <c r="I341" s="281">
        <v>0</v>
      </c>
      <c r="J341" s="358" t="str">
        <f>IFERROR(G341/#REF!,"-")</f>
        <v>-</v>
      </c>
      <c r="K341" s="339">
        <f t="shared" si="447"/>
        <v>0</v>
      </c>
      <c r="L341" s="281">
        <f t="shared" si="448"/>
        <v>0</v>
      </c>
      <c r="M341" s="251">
        <f t="shared" si="449"/>
        <v>0</v>
      </c>
      <c r="N341" s="343" t="str">
        <f t="shared" si="443"/>
        <v>-</v>
      </c>
      <c r="O341" s="264" t="str">
        <f t="shared" si="436"/>
        <v>-</v>
      </c>
    </row>
    <row r="342" spans="1:15" ht="24" thickBot="1" x14ac:dyDescent="0.35">
      <c r="A342" s="277" t="s">
        <v>111</v>
      </c>
      <c r="B342" s="924"/>
      <c r="C342" s="290" t="s">
        <v>195</v>
      </c>
      <c r="D342" s="290" t="s">
        <v>115</v>
      </c>
      <c r="E342" s="283">
        <v>0</v>
      </c>
      <c r="F342" s="284"/>
      <c r="G342" s="340">
        <f t="shared" si="446"/>
        <v>0</v>
      </c>
      <c r="H342" s="285">
        <v>0</v>
      </c>
      <c r="I342" s="285">
        <v>0</v>
      </c>
      <c r="J342" s="359" t="str">
        <f>IFERROR(G342/#REF!,"-")</f>
        <v>-</v>
      </c>
      <c r="K342" s="340">
        <f t="shared" si="447"/>
        <v>0</v>
      </c>
      <c r="L342" s="285">
        <f t="shared" si="448"/>
        <v>0</v>
      </c>
      <c r="M342" s="286">
        <f t="shared" si="449"/>
        <v>0</v>
      </c>
      <c r="N342" s="344" t="str">
        <f t="shared" si="443"/>
        <v>-</v>
      </c>
      <c r="O342" s="353" t="str">
        <f t="shared" si="436"/>
        <v>-</v>
      </c>
    </row>
    <row r="343" spans="1:15" ht="24" thickBot="1" x14ac:dyDescent="0.35">
      <c r="A343" s="277" t="s">
        <v>111</v>
      </c>
      <c r="B343" s="906" t="s">
        <v>29</v>
      </c>
      <c r="C343" s="907"/>
      <c r="D343" s="908"/>
      <c r="E343" s="326">
        <f t="shared" ref="E343" si="450">SUM(E336:E342)</f>
        <v>0</v>
      </c>
      <c r="F343" s="289">
        <v>80000</v>
      </c>
      <c r="G343" s="326">
        <f>SUM(G336:G342)</f>
        <v>0</v>
      </c>
      <c r="H343" s="327">
        <f t="shared" ref="H343:I343" si="451">SUM(H336:H342)</f>
        <v>0</v>
      </c>
      <c r="I343" s="327">
        <f t="shared" si="451"/>
        <v>0</v>
      </c>
      <c r="J343" s="351" t="str">
        <f>IFERROR(G343/#REF!,"-")</f>
        <v>-</v>
      </c>
      <c r="K343" s="326">
        <f t="shared" ref="K343:M343" si="452">SUM(K336:K342)</f>
        <v>0</v>
      </c>
      <c r="L343" s="327">
        <f t="shared" si="452"/>
        <v>0</v>
      </c>
      <c r="M343" s="328">
        <f t="shared" si="452"/>
        <v>0</v>
      </c>
      <c r="N343" s="345" t="str">
        <f t="shared" si="443"/>
        <v>-</v>
      </c>
      <c r="O343" s="351" t="str">
        <f t="shared" si="436"/>
        <v>-</v>
      </c>
    </row>
    <row r="344" spans="1:15" ht="23.4" x14ac:dyDescent="0.3">
      <c r="A344" s="252" t="s">
        <v>111</v>
      </c>
      <c r="B344" s="918" t="s">
        <v>19</v>
      </c>
      <c r="C344" s="678" t="s">
        <v>260</v>
      </c>
      <c r="D344" s="676" t="s">
        <v>192</v>
      </c>
      <c r="E344" s="293">
        <v>2000000</v>
      </c>
      <c r="F344" s="294">
        <v>110000</v>
      </c>
      <c r="G344" s="468">
        <f t="shared" ref="G344:G345" si="453">+H344+I344</f>
        <v>0</v>
      </c>
      <c r="H344" s="674">
        <v>0</v>
      </c>
      <c r="I344" s="674">
        <v>0</v>
      </c>
      <c r="J344" s="675" t="str">
        <f>IFERROR(G344/#REF!,"-")</f>
        <v>-</v>
      </c>
      <c r="K344" s="673">
        <f>+L344+M344</f>
        <v>76354</v>
      </c>
      <c r="L344" s="295">
        <f t="shared" ref="L344:L345" si="454">+H344+L241</f>
        <v>76032</v>
      </c>
      <c r="M344" s="295">
        <f t="shared" ref="M344:M345" si="455">+I344+M241</f>
        <v>322</v>
      </c>
      <c r="N344" s="346">
        <f t="shared" si="443"/>
        <v>3.8177000000000003E-2</v>
      </c>
      <c r="O344" s="354">
        <f t="shared" si="436"/>
        <v>4.2171988369960976E-3</v>
      </c>
    </row>
    <row r="345" spans="1:15" ht="24" thickBot="1" x14ac:dyDescent="0.35">
      <c r="A345" s="252"/>
      <c r="B345" s="920"/>
      <c r="C345" s="679" t="s">
        <v>417</v>
      </c>
      <c r="D345" s="677"/>
      <c r="E345" s="285">
        <v>150000</v>
      </c>
      <c r="F345" s="285">
        <v>110000</v>
      </c>
      <c r="G345" s="607">
        <f t="shared" si="453"/>
        <v>0</v>
      </c>
      <c r="H345" s="285">
        <v>0</v>
      </c>
      <c r="I345" s="285">
        <v>0</v>
      </c>
      <c r="J345" s="359"/>
      <c r="K345" s="607">
        <f>+L345+M345</f>
        <v>0</v>
      </c>
      <c r="L345" s="285">
        <f t="shared" si="454"/>
        <v>0</v>
      </c>
      <c r="M345" s="285">
        <f t="shared" si="455"/>
        <v>0</v>
      </c>
      <c r="N345" s="680">
        <f t="shared" si="443"/>
        <v>0</v>
      </c>
      <c r="O345" s="680" t="str">
        <f t="shared" si="436"/>
        <v>-</v>
      </c>
    </row>
    <row r="346" spans="1:15" ht="24" thickBot="1" x14ac:dyDescent="0.35">
      <c r="A346" s="277" t="s">
        <v>111</v>
      </c>
      <c r="B346" s="921" t="s">
        <v>49</v>
      </c>
      <c r="C346" s="907"/>
      <c r="D346" s="908"/>
      <c r="E346" s="326">
        <f>SUM(E344:E345)</f>
        <v>2150000</v>
      </c>
      <c r="F346" s="329">
        <f t="shared" ref="F346" si="456">SUM(F344)</f>
        <v>110000</v>
      </c>
      <c r="G346" s="326">
        <f>SUM(G344)</f>
        <v>0</v>
      </c>
      <c r="H346" s="327">
        <f t="shared" ref="H346:I346" si="457">SUM(H344)</f>
        <v>0</v>
      </c>
      <c r="I346" s="327">
        <f t="shared" si="457"/>
        <v>0</v>
      </c>
      <c r="J346" s="351" t="str">
        <f>IFERROR(G346/#REF!,"-")</f>
        <v>-</v>
      </c>
      <c r="K346" s="681">
        <f t="shared" ref="K346:M346" si="458">SUM(K344)</f>
        <v>76354</v>
      </c>
      <c r="L346" s="327">
        <f t="shared" si="458"/>
        <v>76032</v>
      </c>
      <c r="M346" s="328">
        <f t="shared" si="458"/>
        <v>322</v>
      </c>
      <c r="N346" s="345">
        <f t="shared" si="443"/>
        <v>3.5513488372093026E-2</v>
      </c>
      <c r="O346" s="351">
        <f t="shared" si="436"/>
        <v>4.2171988369960976E-3</v>
      </c>
    </row>
    <row r="347" spans="1:15" ht="23.4" x14ac:dyDescent="0.3">
      <c r="A347" s="277" t="s">
        <v>111</v>
      </c>
      <c r="B347" s="922" t="s">
        <v>20</v>
      </c>
      <c r="C347" s="297" t="s">
        <v>370</v>
      </c>
      <c r="D347" s="297" t="s">
        <v>324</v>
      </c>
      <c r="E347" s="273">
        <v>0</v>
      </c>
      <c r="F347" s="274"/>
      <c r="G347" s="338">
        <f t="shared" ref="G347:G349" si="459">+H347+I347</f>
        <v>0</v>
      </c>
      <c r="H347" s="275">
        <v>0</v>
      </c>
      <c r="I347" s="275">
        <v>0</v>
      </c>
      <c r="J347" s="357" t="str">
        <f>IFERROR(G347/#REF!,"-")</f>
        <v>-</v>
      </c>
      <c r="K347" s="338">
        <f t="shared" ref="K347:K349" si="460">+L347+M347</f>
        <v>0</v>
      </c>
      <c r="L347" s="275">
        <f t="shared" ref="L347:L349" si="461">+H347+L244</f>
        <v>0</v>
      </c>
      <c r="M347" s="276">
        <f t="shared" ref="M347:M349" si="462">+I347+M244</f>
        <v>0</v>
      </c>
      <c r="N347" s="342" t="str">
        <f t="shared" si="443"/>
        <v>-</v>
      </c>
      <c r="O347" s="352" t="str">
        <f t="shared" si="436"/>
        <v>-</v>
      </c>
    </row>
    <row r="348" spans="1:15" ht="23.4" x14ac:dyDescent="0.3">
      <c r="A348" s="277" t="s">
        <v>111</v>
      </c>
      <c r="B348" s="923"/>
      <c r="C348" s="298" t="s">
        <v>122</v>
      </c>
      <c r="D348" s="298"/>
      <c r="E348" s="279">
        <v>0</v>
      </c>
      <c r="F348" s="280"/>
      <c r="G348" s="339">
        <f t="shared" si="459"/>
        <v>0</v>
      </c>
      <c r="H348" s="281">
        <v>0</v>
      </c>
      <c r="I348" s="281">
        <v>0</v>
      </c>
      <c r="J348" s="358" t="str">
        <f>IFERROR(G348/#REF!,"-")</f>
        <v>-</v>
      </c>
      <c r="K348" s="339">
        <f t="shared" si="460"/>
        <v>0</v>
      </c>
      <c r="L348" s="281">
        <f t="shared" si="461"/>
        <v>0</v>
      </c>
      <c r="M348" s="251">
        <f t="shared" si="462"/>
        <v>0</v>
      </c>
      <c r="N348" s="343" t="str">
        <f t="shared" si="443"/>
        <v>-</v>
      </c>
      <c r="O348" s="264" t="str">
        <f t="shared" si="436"/>
        <v>-</v>
      </c>
    </row>
    <row r="349" spans="1:15" ht="24" thickBot="1" x14ac:dyDescent="0.35">
      <c r="A349" s="277" t="s">
        <v>111</v>
      </c>
      <c r="B349" s="924"/>
      <c r="C349" s="299" t="s">
        <v>128</v>
      </c>
      <c r="D349" s="299"/>
      <c r="E349" s="283">
        <v>0</v>
      </c>
      <c r="F349" s="284"/>
      <c r="G349" s="340">
        <f t="shared" si="459"/>
        <v>0</v>
      </c>
      <c r="H349" s="285">
        <v>0</v>
      </c>
      <c r="I349" s="285">
        <v>0</v>
      </c>
      <c r="J349" s="359" t="str">
        <f>IFERROR(G349/#REF!,"-")</f>
        <v>-</v>
      </c>
      <c r="K349" s="340">
        <f t="shared" si="460"/>
        <v>0</v>
      </c>
      <c r="L349" s="285">
        <f t="shared" si="461"/>
        <v>0</v>
      </c>
      <c r="M349" s="286">
        <f t="shared" si="462"/>
        <v>0</v>
      </c>
      <c r="N349" s="344" t="str">
        <f t="shared" si="443"/>
        <v>-</v>
      </c>
      <c r="O349" s="353" t="str">
        <f t="shared" si="436"/>
        <v>-</v>
      </c>
    </row>
    <row r="350" spans="1:15" ht="24" thickBot="1" x14ac:dyDescent="0.35">
      <c r="A350" s="277" t="s">
        <v>111</v>
      </c>
      <c r="B350" s="907" t="s">
        <v>50</v>
      </c>
      <c r="C350" s="907"/>
      <c r="D350" s="925"/>
      <c r="E350" s="326">
        <f t="shared" ref="E350" si="463">SUM(E347:E349)</f>
        <v>0</v>
      </c>
      <c r="F350" s="289">
        <v>50000</v>
      </c>
      <c r="G350" s="326">
        <f>SUM(G347:G349)</f>
        <v>0</v>
      </c>
      <c r="H350" s="327">
        <f t="shared" ref="H350:I350" si="464">SUM(H347:H349)</f>
        <v>0</v>
      </c>
      <c r="I350" s="327">
        <f t="shared" si="464"/>
        <v>0</v>
      </c>
      <c r="J350" s="351" t="str">
        <f>IFERROR(G350/#REF!,"-")</f>
        <v>-</v>
      </c>
      <c r="K350" s="326">
        <f t="shared" ref="K350:M350" si="465">SUM(K347:K349)</f>
        <v>0</v>
      </c>
      <c r="L350" s="327">
        <f t="shared" si="465"/>
        <v>0</v>
      </c>
      <c r="M350" s="328">
        <f t="shared" si="465"/>
        <v>0</v>
      </c>
      <c r="N350" s="345" t="str">
        <f t="shared" si="443"/>
        <v>-</v>
      </c>
      <c r="O350" s="351" t="str">
        <f t="shared" si="436"/>
        <v>-</v>
      </c>
    </row>
    <row r="351" spans="1:15" ht="24" thickBot="1" x14ac:dyDescent="0.35">
      <c r="A351" s="277" t="s">
        <v>111</v>
      </c>
      <c r="B351" s="926" t="s">
        <v>21</v>
      </c>
      <c r="C351" s="927"/>
      <c r="D351" s="928"/>
      <c r="E351" s="332">
        <f>+E327+E335+E343+E346+E350</f>
        <v>5774600</v>
      </c>
      <c r="F351" s="333">
        <f>+F327+F335+F343+F346+F350</f>
        <v>355000</v>
      </c>
      <c r="G351" s="332">
        <f>+G327+G335+G343+G346+G350</f>
        <v>73609</v>
      </c>
      <c r="H351" s="330">
        <f>+H327+H335+H343+H346+H350</f>
        <v>73440</v>
      </c>
      <c r="I351" s="330">
        <f>+I327+I335+I343+I346+I350</f>
        <v>169</v>
      </c>
      <c r="J351" s="355" t="str">
        <f>IFERROR(G351/#REF!,"-")</f>
        <v>-</v>
      </c>
      <c r="K351" s="332">
        <f>+K327+K335+K343+K346+K350</f>
        <v>449159</v>
      </c>
      <c r="L351" s="330">
        <f>+L327+L335+L343+L346+L350</f>
        <v>446772</v>
      </c>
      <c r="M351" s="331">
        <f>+M327+M335+M343+M346+M350</f>
        <v>2387</v>
      </c>
      <c r="N351" s="347">
        <f t="shared" si="443"/>
        <v>7.7781837703044365E-2</v>
      </c>
      <c r="O351" s="355">
        <f t="shared" si="436"/>
        <v>5.3143764234936846E-3</v>
      </c>
    </row>
    <row r="352" spans="1:15" ht="23.4" x14ac:dyDescent="0.3">
      <c r="A352" s="277" t="s">
        <v>111</v>
      </c>
      <c r="B352" s="922" t="s">
        <v>22</v>
      </c>
      <c r="C352" s="272" t="s">
        <v>133</v>
      </c>
      <c r="D352" s="272"/>
      <c r="E352" s="273">
        <v>0</v>
      </c>
      <c r="F352" s="274"/>
      <c r="G352" s="338">
        <f t="shared" ref="G352:G355" si="466">+H352+I352</f>
        <v>0</v>
      </c>
      <c r="H352" s="275">
        <v>0</v>
      </c>
      <c r="I352" s="275">
        <v>0</v>
      </c>
      <c r="J352" s="357" t="str">
        <f>IFERROR(G352/#REF!,"-")</f>
        <v>-</v>
      </c>
      <c r="K352" s="338">
        <f t="shared" ref="K352:K355" si="467">+L352+M352</f>
        <v>0</v>
      </c>
      <c r="L352" s="275">
        <f t="shared" ref="L352:L355" si="468">+H352+L249</f>
        <v>0</v>
      </c>
      <c r="M352" s="276">
        <f t="shared" ref="M352:M355" si="469">+I352+M249</f>
        <v>0</v>
      </c>
      <c r="N352" s="342" t="str">
        <f t="shared" si="443"/>
        <v>-</v>
      </c>
      <c r="O352" s="352" t="str">
        <f t="shared" si="436"/>
        <v>-</v>
      </c>
    </row>
    <row r="353" spans="1:15" ht="23.4" x14ac:dyDescent="0.3">
      <c r="A353" s="277" t="s">
        <v>111</v>
      </c>
      <c r="B353" s="923"/>
      <c r="C353" s="301" t="s">
        <v>291</v>
      </c>
      <c r="D353" s="301" t="s">
        <v>196</v>
      </c>
      <c r="E353" s="279">
        <v>0</v>
      </c>
      <c r="F353" s="280"/>
      <c r="G353" s="339">
        <f t="shared" si="466"/>
        <v>0</v>
      </c>
      <c r="H353" s="281">
        <v>0</v>
      </c>
      <c r="I353" s="281">
        <v>0</v>
      </c>
      <c r="J353" s="358" t="str">
        <f>IFERROR(G353/#REF!,"-")</f>
        <v>-</v>
      </c>
      <c r="K353" s="339">
        <f t="shared" si="467"/>
        <v>0</v>
      </c>
      <c r="L353" s="281">
        <f t="shared" si="468"/>
        <v>0</v>
      </c>
      <c r="M353" s="251">
        <f t="shared" si="469"/>
        <v>0</v>
      </c>
      <c r="N353" s="343" t="str">
        <f t="shared" si="443"/>
        <v>-</v>
      </c>
      <c r="O353" s="264" t="str">
        <f t="shared" si="436"/>
        <v>-</v>
      </c>
    </row>
    <row r="354" spans="1:15" ht="23.4" x14ac:dyDescent="0.3">
      <c r="A354" s="277" t="s">
        <v>111</v>
      </c>
      <c r="B354" s="923"/>
      <c r="C354" s="301" t="s">
        <v>198</v>
      </c>
      <c r="D354" s="301" t="s">
        <v>100</v>
      </c>
      <c r="E354" s="279">
        <v>0</v>
      </c>
      <c r="F354" s="280"/>
      <c r="G354" s="339">
        <f t="shared" si="466"/>
        <v>0</v>
      </c>
      <c r="H354" s="281">
        <v>0</v>
      </c>
      <c r="I354" s="281">
        <v>0</v>
      </c>
      <c r="J354" s="358" t="str">
        <f>IFERROR(G354/#REF!,"-")</f>
        <v>-</v>
      </c>
      <c r="K354" s="339">
        <f t="shared" si="467"/>
        <v>0</v>
      </c>
      <c r="L354" s="281">
        <f t="shared" si="468"/>
        <v>0</v>
      </c>
      <c r="M354" s="251">
        <f t="shared" si="469"/>
        <v>0</v>
      </c>
      <c r="N354" s="343" t="str">
        <f t="shared" si="443"/>
        <v>-</v>
      </c>
      <c r="O354" s="264" t="str">
        <f t="shared" si="436"/>
        <v>-</v>
      </c>
    </row>
    <row r="355" spans="1:15" ht="24" thickBot="1" x14ac:dyDescent="0.35">
      <c r="A355" s="277" t="s">
        <v>111</v>
      </c>
      <c r="B355" s="924"/>
      <c r="C355" s="282" t="s">
        <v>197</v>
      </c>
      <c r="D355" s="282" t="s">
        <v>100</v>
      </c>
      <c r="E355" s="283">
        <v>0</v>
      </c>
      <c r="F355" s="284"/>
      <c r="G355" s="340">
        <f t="shared" si="466"/>
        <v>0</v>
      </c>
      <c r="H355" s="285">
        <v>0</v>
      </c>
      <c r="I355" s="285">
        <v>0</v>
      </c>
      <c r="J355" s="359" t="str">
        <f>IFERROR(G355/#REF!,"-")</f>
        <v>-</v>
      </c>
      <c r="K355" s="340">
        <f t="shared" si="467"/>
        <v>0</v>
      </c>
      <c r="L355" s="285">
        <f t="shared" si="468"/>
        <v>0</v>
      </c>
      <c r="M355" s="286">
        <f t="shared" si="469"/>
        <v>0</v>
      </c>
      <c r="N355" s="344" t="str">
        <f t="shared" si="443"/>
        <v>-</v>
      </c>
      <c r="O355" s="353" t="str">
        <f t="shared" si="436"/>
        <v>-</v>
      </c>
    </row>
    <row r="356" spans="1:15" ht="24" thickBot="1" x14ac:dyDescent="0.35">
      <c r="A356" s="277" t="s">
        <v>111</v>
      </c>
      <c r="B356" s="906" t="s">
        <v>51</v>
      </c>
      <c r="C356" s="907"/>
      <c r="D356" s="908"/>
      <c r="E356" s="288">
        <v>0</v>
      </c>
      <c r="F356" s="289">
        <v>80000</v>
      </c>
      <c r="G356" s="326">
        <f>SUM(G352:G355)</f>
        <v>0</v>
      </c>
      <c r="H356" s="327">
        <f t="shared" ref="H356:I356" si="470">SUM(H352:H355)</f>
        <v>0</v>
      </c>
      <c r="I356" s="327">
        <f t="shared" si="470"/>
        <v>0</v>
      </c>
      <c r="J356" s="351" t="str">
        <f>IFERROR(G356/#REF!,"-")</f>
        <v>-</v>
      </c>
      <c r="K356" s="326">
        <f t="shared" ref="K356:M356" si="471">SUM(K352:K355)</f>
        <v>0</v>
      </c>
      <c r="L356" s="327">
        <f t="shared" si="471"/>
        <v>0</v>
      </c>
      <c r="M356" s="328">
        <f t="shared" si="471"/>
        <v>0</v>
      </c>
      <c r="N356" s="345" t="str">
        <f t="shared" si="443"/>
        <v>-</v>
      </c>
      <c r="O356" s="351" t="str">
        <f t="shared" si="436"/>
        <v>-</v>
      </c>
    </row>
    <row r="357" spans="1:15" ht="23.4" x14ac:dyDescent="0.3">
      <c r="A357" s="277" t="s">
        <v>111</v>
      </c>
      <c r="B357" s="922" t="s">
        <v>23</v>
      </c>
      <c r="C357" s="302" t="s">
        <v>348</v>
      </c>
      <c r="D357" s="302" t="s">
        <v>263</v>
      </c>
      <c r="E357" s="273">
        <v>0</v>
      </c>
      <c r="F357" s="274"/>
      <c r="G357" s="338">
        <f t="shared" ref="G357:G364" si="472">+H357+I357</f>
        <v>0</v>
      </c>
      <c r="H357" s="275">
        <v>0</v>
      </c>
      <c r="I357" s="275">
        <v>0</v>
      </c>
      <c r="J357" s="357" t="str">
        <f>IFERROR(G357/#REF!,"-")</f>
        <v>-</v>
      </c>
      <c r="K357" s="338">
        <f t="shared" ref="K357:K364" si="473">+L357+M357</f>
        <v>0</v>
      </c>
      <c r="L357" s="275">
        <f t="shared" ref="L357:L364" si="474">+H357+L254</f>
        <v>0</v>
      </c>
      <c r="M357" s="276">
        <f t="shared" ref="M357:M364" si="475">+I357+M254</f>
        <v>0</v>
      </c>
      <c r="N357" s="342" t="str">
        <f t="shared" si="443"/>
        <v>-</v>
      </c>
      <c r="O357" s="352" t="str">
        <f t="shared" si="436"/>
        <v>-</v>
      </c>
    </row>
    <row r="358" spans="1:15" ht="23.4" x14ac:dyDescent="0.3">
      <c r="A358" s="277" t="s">
        <v>111</v>
      </c>
      <c r="B358" s="923"/>
      <c r="C358" s="278" t="s">
        <v>24</v>
      </c>
      <c r="D358" s="278" t="s">
        <v>263</v>
      </c>
      <c r="E358" s="279">
        <v>0</v>
      </c>
      <c r="F358" s="280"/>
      <c r="G358" s="339">
        <f t="shared" si="472"/>
        <v>0</v>
      </c>
      <c r="H358" s="281">
        <v>0</v>
      </c>
      <c r="I358" s="281">
        <v>0</v>
      </c>
      <c r="J358" s="358" t="str">
        <f>IFERROR(G358/#REF!,"-")</f>
        <v>-</v>
      </c>
      <c r="K358" s="339">
        <f t="shared" si="473"/>
        <v>29090</v>
      </c>
      <c r="L358" s="281">
        <f t="shared" si="474"/>
        <v>28875</v>
      </c>
      <c r="M358" s="251">
        <f t="shared" si="475"/>
        <v>215</v>
      </c>
      <c r="N358" s="343" t="str">
        <f t="shared" si="443"/>
        <v>-</v>
      </c>
      <c r="O358" s="264">
        <f t="shared" si="436"/>
        <v>7.390855964248883E-3</v>
      </c>
    </row>
    <row r="359" spans="1:15" ht="23.4" x14ac:dyDescent="0.3">
      <c r="A359" s="277" t="s">
        <v>111</v>
      </c>
      <c r="B359" s="923"/>
      <c r="C359" s="278" t="s">
        <v>261</v>
      </c>
      <c r="D359" s="278" t="s">
        <v>263</v>
      </c>
      <c r="E359" s="279">
        <v>0</v>
      </c>
      <c r="F359" s="280"/>
      <c r="G359" s="339">
        <f t="shared" si="472"/>
        <v>0</v>
      </c>
      <c r="H359" s="281">
        <v>0</v>
      </c>
      <c r="I359" s="281">
        <v>0</v>
      </c>
      <c r="J359" s="358" t="str">
        <f>IFERROR(G359/#REF!,"-")</f>
        <v>-</v>
      </c>
      <c r="K359" s="339">
        <f t="shared" si="473"/>
        <v>0</v>
      </c>
      <c r="L359" s="281">
        <f t="shared" si="474"/>
        <v>0</v>
      </c>
      <c r="M359" s="251">
        <f t="shared" si="475"/>
        <v>0</v>
      </c>
      <c r="N359" s="343" t="str">
        <f t="shared" si="443"/>
        <v>-</v>
      </c>
      <c r="O359" s="264" t="str">
        <f t="shared" si="436"/>
        <v>-</v>
      </c>
    </row>
    <row r="360" spans="1:15" ht="23.4" x14ac:dyDescent="0.3">
      <c r="A360" s="277" t="s">
        <v>111</v>
      </c>
      <c r="B360" s="923"/>
      <c r="C360" s="278" t="s">
        <v>262</v>
      </c>
      <c r="D360" s="278" t="s">
        <v>263</v>
      </c>
      <c r="E360" s="279">
        <v>0</v>
      </c>
      <c r="F360" s="280"/>
      <c r="G360" s="339">
        <f t="shared" si="472"/>
        <v>0</v>
      </c>
      <c r="H360" s="281">
        <v>0</v>
      </c>
      <c r="I360" s="281">
        <v>0</v>
      </c>
      <c r="J360" s="358" t="str">
        <f>IFERROR(G360/#REF!,"-")</f>
        <v>-</v>
      </c>
      <c r="K360" s="339">
        <f t="shared" si="473"/>
        <v>0</v>
      </c>
      <c r="L360" s="281">
        <f t="shared" si="474"/>
        <v>0</v>
      </c>
      <c r="M360" s="251">
        <f t="shared" si="475"/>
        <v>0</v>
      </c>
      <c r="N360" s="343" t="str">
        <f t="shared" si="443"/>
        <v>-</v>
      </c>
      <c r="O360" s="264" t="str">
        <f t="shared" si="436"/>
        <v>-</v>
      </c>
    </row>
    <row r="361" spans="1:15" ht="23.4" x14ac:dyDescent="0.3">
      <c r="A361" s="277" t="s">
        <v>111</v>
      </c>
      <c r="B361" s="923"/>
      <c r="C361" s="301" t="s">
        <v>264</v>
      </c>
      <c r="D361" s="278" t="s">
        <v>263</v>
      </c>
      <c r="E361" s="279">
        <v>0</v>
      </c>
      <c r="F361" s="280"/>
      <c r="G361" s="339">
        <f t="shared" si="472"/>
        <v>0</v>
      </c>
      <c r="H361" s="281">
        <v>0</v>
      </c>
      <c r="I361" s="281">
        <v>0</v>
      </c>
      <c r="J361" s="358" t="str">
        <f>IFERROR(G361/#REF!,"-")</f>
        <v>-</v>
      </c>
      <c r="K361" s="339">
        <f t="shared" si="473"/>
        <v>0</v>
      </c>
      <c r="L361" s="281">
        <f t="shared" si="474"/>
        <v>0</v>
      </c>
      <c r="M361" s="251">
        <f t="shared" si="475"/>
        <v>0</v>
      </c>
      <c r="N361" s="343" t="str">
        <f t="shared" si="443"/>
        <v>-</v>
      </c>
      <c r="O361" s="264" t="str">
        <f t="shared" si="436"/>
        <v>-</v>
      </c>
    </row>
    <row r="362" spans="1:15" ht="23.4" x14ac:dyDescent="0.3">
      <c r="A362" s="277" t="s">
        <v>111</v>
      </c>
      <c r="B362" s="923"/>
      <c r="C362" s="301" t="s">
        <v>265</v>
      </c>
      <c r="D362" s="278" t="s">
        <v>263</v>
      </c>
      <c r="E362" s="279">
        <v>0</v>
      </c>
      <c r="F362" s="280"/>
      <c r="G362" s="339">
        <f t="shared" si="472"/>
        <v>0</v>
      </c>
      <c r="H362" s="281">
        <v>0</v>
      </c>
      <c r="I362" s="281">
        <v>0</v>
      </c>
      <c r="J362" s="358" t="str">
        <f>IFERROR(G362/#REF!,"-")</f>
        <v>-</v>
      </c>
      <c r="K362" s="339">
        <f t="shared" si="473"/>
        <v>0</v>
      </c>
      <c r="L362" s="281">
        <f t="shared" si="474"/>
        <v>0</v>
      </c>
      <c r="M362" s="251">
        <f t="shared" si="475"/>
        <v>0</v>
      </c>
      <c r="N362" s="343" t="str">
        <f t="shared" si="443"/>
        <v>-</v>
      </c>
      <c r="O362" s="264" t="str">
        <f t="shared" si="436"/>
        <v>-</v>
      </c>
    </row>
    <row r="363" spans="1:15" ht="23.4" x14ac:dyDescent="0.3">
      <c r="A363" s="277" t="s">
        <v>111</v>
      </c>
      <c r="B363" s="923"/>
      <c r="C363" s="301" t="s">
        <v>266</v>
      </c>
      <c r="D363" s="278" t="s">
        <v>268</v>
      </c>
      <c r="E363" s="279">
        <v>0</v>
      </c>
      <c r="F363" s="280"/>
      <c r="G363" s="339">
        <f t="shared" si="472"/>
        <v>0</v>
      </c>
      <c r="H363" s="281">
        <v>0</v>
      </c>
      <c r="I363" s="281">
        <v>0</v>
      </c>
      <c r="J363" s="358" t="str">
        <f>IFERROR(G363/#REF!,"-")</f>
        <v>-</v>
      </c>
      <c r="K363" s="339">
        <f t="shared" si="473"/>
        <v>0</v>
      </c>
      <c r="L363" s="281">
        <f t="shared" si="474"/>
        <v>0</v>
      </c>
      <c r="M363" s="251">
        <f t="shared" si="475"/>
        <v>0</v>
      </c>
      <c r="N363" s="343" t="str">
        <f t="shared" si="443"/>
        <v>-</v>
      </c>
      <c r="O363" s="264" t="str">
        <f t="shared" si="436"/>
        <v>-</v>
      </c>
    </row>
    <row r="364" spans="1:15" ht="24" thickBot="1" x14ac:dyDescent="0.35">
      <c r="A364" s="277" t="s">
        <v>111</v>
      </c>
      <c r="B364" s="924"/>
      <c r="C364" s="301" t="s">
        <v>267</v>
      </c>
      <c r="D364" s="278" t="s">
        <v>263</v>
      </c>
      <c r="E364" s="283">
        <v>0</v>
      </c>
      <c r="F364" s="284"/>
      <c r="G364" s="340">
        <f t="shared" si="472"/>
        <v>0</v>
      </c>
      <c r="H364" s="285">
        <v>0</v>
      </c>
      <c r="I364" s="285">
        <v>0</v>
      </c>
      <c r="J364" s="359" t="str">
        <f>IFERROR(G364/#REF!,"-")</f>
        <v>-</v>
      </c>
      <c r="K364" s="340">
        <f t="shared" si="473"/>
        <v>0</v>
      </c>
      <c r="L364" s="285">
        <f t="shared" si="474"/>
        <v>0</v>
      </c>
      <c r="M364" s="286">
        <f t="shared" si="475"/>
        <v>0</v>
      </c>
      <c r="N364" s="344" t="str">
        <f t="shared" si="443"/>
        <v>-</v>
      </c>
      <c r="O364" s="353" t="str">
        <f t="shared" si="436"/>
        <v>-</v>
      </c>
    </row>
    <row r="365" spans="1:15" ht="24" thickBot="1" x14ac:dyDescent="0.35">
      <c r="A365" s="277" t="s">
        <v>111</v>
      </c>
      <c r="B365" s="906" t="s">
        <v>52</v>
      </c>
      <c r="C365" s="907"/>
      <c r="D365" s="908"/>
      <c r="E365" s="288">
        <v>157500</v>
      </c>
      <c r="F365" s="289">
        <v>14000</v>
      </c>
      <c r="G365" s="326">
        <f>SUM(G357:G364)</f>
        <v>0</v>
      </c>
      <c r="H365" s="327">
        <f t="shared" ref="H365:I365" si="476">SUM(H357:H364)</f>
        <v>0</v>
      </c>
      <c r="I365" s="327">
        <f t="shared" si="476"/>
        <v>0</v>
      </c>
      <c r="J365" s="351" t="str">
        <f>IFERROR(G365/#REF!,"-")</f>
        <v>-</v>
      </c>
      <c r="K365" s="326">
        <f t="shared" ref="K365:M365" si="477">SUM(K357:K364)</f>
        <v>29090</v>
      </c>
      <c r="L365" s="327">
        <f t="shared" si="477"/>
        <v>28875</v>
      </c>
      <c r="M365" s="328">
        <f t="shared" si="477"/>
        <v>215</v>
      </c>
      <c r="N365" s="345">
        <f t="shared" si="443"/>
        <v>0.1846984126984127</v>
      </c>
      <c r="O365" s="351">
        <f t="shared" si="436"/>
        <v>7.390855964248883E-3</v>
      </c>
    </row>
    <row r="366" spans="1:15" ht="24" thickBot="1" x14ac:dyDescent="0.35">
      <c r="A366" s="277" t="s">
        <v>111</v>
      </c>
      <c r="B366" s="926" t="s">
        <v>25</v>
      </c>
      <c r="C366" s="927"/>
      <c r="D366" s="928"/>
      <c r="E366" s="332">
        <f t="shared" ref="E366:F366" si="478">+E356+E365</f>
        <v>157500</v>
      </c>
      <c r="F366" s="333">
        <f t="shared" si="478"/>
        <v>94000</v>
      </c>
      <c r="G366" s="332">
        <f>+G356+G365</f>
        <v>0</v>
      </c>
      <c r="H366" s="330">
        <f t="shared" ref="H366:I366" si="479">+H356+H365</f>
        <v>0</v>
      </c>
      <c r="I366" s="330">
        <f t="shared" si="479"/>
        <v>0</v>
      </c>
      <c r="J366" s="355" t="str">
        <f>IFERROR(G366/#REF!,"-")</f>
        <v>-</v>
      </c>
      <c r="K366" s="332">
        <f t="shared" ref="K366" si="480">+K356+K365</f>
        <v>29090</v>
      </c>
      <c r="L366" s="330">
        <f>+L356+L365</f>
        <v>28875</v>
      </c>
      <c r="M366" s="331">
        <f t="shared" ref="M366" si="481">+M356+M365</f>
        <v>215</v>
      </c>
      <c r="N366" s="347">
        <f t="shared" si="443"/>
        <v>0.1846984126984127</v>
      </c>
      <c r="O366" s="355">
        <f t="shared" si="436"/>
        <v>7.390855964248883E-3</v>
      </c>
    </row>
    <row r="367" spans="1:15" ht="24" thickBot="1" x14ac:dyDescent="0.35">
      <c r="A367" s="277" t="s">
        <v>111</v>
      </c>
      <c r="B367" s="900" t="s">
        <v>181</v>
      </c>
      <c r="C367" s="901"/>
      <c r="D367" s="902"/>
      <c r="E367" s="336">
        <f>+E351+E366</f>
        <v>5932100</v>
      </c>
      <c r="F367" s="337">
        <f t="shared" ref="F367:I367" si="482">+F351+F366</f>
        <v>449000</v>
      </c>
      <c r="G367" s="336">
        <f t="shared" si="482"/>
        <v>73609</v>
      </c>
      <c r="H367" s="334">
        <f t="shared" si="482"/>
        <v>73440</v>
      </c>
      <c r="I367" s="334">
        <f t="shared" si="482"/>
        <v>169</v>
      </c>
      <c r="J367" s="356" t="str">
        <f>IFERROR(G367/#REF!,"-")</f>
        <v>-</v>
      </c>
      <c r="K367" s="336">
        <f t="shared" ref="K367:M367" si="483">+K351+K366</f>
        <v>478249</v>
      </c>
      <c r="L367" s="334">
        <f t="shared" si="483"/>
        <v>475647</v>
      </c>
      <c r="M367" s="335">
        <f t="shared" si="483"/>
        <v>2602</v>
      </c>
      <c r="N367" s="348">
        <f t="shared" si="443"/>
        <v>8.0620522243387671E-2</v>
      </c>
      <c r="O367" s="356">
        <f t="shared" si="436"/>
        <v>5.4406804823428799E-3</v>
      </c>
    </row>
    <row r="368" spans="1:15" ht="23.4" x14ac:dyDescent="0.3">
      <c r="A368" s="271" t="s">
        <v>109</v>
      </c>
      <c r="B368" s="929" t="s">
        <v>26</v>
      </c>
      <c r="C368" s="303" t="s">
        <v>334</v>
      </c>
      <c r="D368" s="303" t="s">
        <v>192</v>
      </c>
      <c r="E368" s="273">
        <v>0</v>
      </c>
      <c r="F368" s="274"/>
      <c r="G368" s="338">
        <f t="shared" ref="G368:G376" si="484">+H368+I368</f>
        <v>72859</v>
      </c>
      <c r="H368" s="275">
        <f>31824+39780</f>
        <v>71604</v>
      </c>
      <c r="I368" s="275">
        <f>695+560</f>
        <v>1255</v>
      </c>
      <c r="J368" s="357" t="str">
        <f>IFERROR(G368/#REF!,"-")</f>
        <v>-</v>
      </c>
      <c r="K368" s="338">
        <f t="shared" ref="K368:K376" si="485">+L368+M368</f>
        <v>286472</v>
      </c>
      <c r="L368" s="275">
        <f t="shared" ref="L368:L376" si="486">+H368+L265</f>
        <v>282438</v>
      </c>
      <c r="M368" s="276">
        <f t="shared" ref="M368:M376" si="487">+I368+M265</f>
        <v>4034</v>
      </c>
      <c r="N368" s="342" t="str">
        <f t="shared" si="443"/>
        <v>-</v>
      </c>
      <c r="O368" s="352">
        <f t="shared" si="436"/>
        <v>1.4081655449747271E-2</v>
      </c>
    </row>
    <row r="369" spans="1:15" ht="23.4" x14ac:dyDescent="0.3">
      <c r="A369" s="277" t="s">
        <v>109</v>
      </c>
      <c r="B369" s="929"/>
      <c r="C369" s="304" t="s">
        <v>199</v>
      </c>
      <c r="D369" s="304" t="s">
        <v>115</v>
      </c>
      <c r="E369" s="279">
        <v>0</v>
      </c>
      <c r="F369" s="280"/>
      <c r="G369" s="339">
        <f t="shared" si="484"/>
        <v>0</v>
      </c>
      <c r="H369" s="281">
        <v>0</v>
      </c>
      <c r="I369" s="281">
        <v>0</v>
      </c>
      <c r="J369" s="358" t="str">
        <f>IFERROR(G369/#REF!,"-")</f>
        <v>-</v>
      </c>
      <c r="K369" s="339">
        <f t="shared" si="485"/>
        <v>0</v>
      </c>
      <c r="L369" s="281">
        <f t="shared" si="486"/>
        <v>0</v>
      </c>
      <c r="M369" s="251">
        <f t="shared" si="487"/>
        <v>0</v>
      </c>
      <c r="N369" s="343" t="str">
        <f t="shared" si="443"/>
        <v>-</v>
      </c>
      <c r="O369" s="264" t="str">
        <f t="shared" si="436"/>
        <v>-</v>
      </c>
    </row>
    <row r="370" spans="1:15" ht="23.4" x14ac:dyDescent="0.3">
      <c r="A370" s="277" t="s">
        <v>109</v>
      </c>
      <c r="B370" s="929"/>
      <c r="C370" s="305" t="s">
        <v>27</v>
      </c>
      <c r="D370" s="305" t="s">
        <v>310</v>
      </c>
      <c r="E370" s="283">
        <v>0</v>
      </c>
      <c r="F370" s="284"/>
      <c r="G370" s="339">
        <f t="shared" si="484"/>
        <v>0</v>
      </c>
      <c r="H370" s="285">
        <v>0</v>
      </c>
      <c r="I370" s="285">
        <v>0</v>
      </c>
      <c r="J370" s="359" t="str">
        <f>IFERROR(G370/#REF!,"-")</f>
        <v>-</v>
      </c>
      <c r="K370" s="339">
        <f t="shared" si="485"/>
        <v>0</v>
      </c>
      <c r="L370" s="285">
        <f t="shared" si="486"/>
        <v>0</v>
      </c>
      <c r="M370" s="286">
        <f t="shared" si="487"/>
        <v>0</v>
      </c>
      <c r="N370" s="287"/>
      <c r="O370" s="264" t="str">
        <f t="shared" si="436"/>
        <v>-</v>
      </c>
    </row>
    <row r="371" spans="1:15" ht="23.4" x14ac:dyDescent="0.3">
      <c r="A371" s="277" t="s">
        <v>109</v>
      </c>
      <c r="B371" s="929"/>
      <c r="C371" s="305" t="s">
        <v>27</v>
      </c>
      <c r="D371" s="305" t="s">
        <v>311</v>
      </c>
      <c r="E371" s="283">
        <v>0</v>
      </c>
      <c r="F371" s="284"/>
      <c r="G371" s="339">
        <f t="shared" si="484"/>
        <v>0</v>
      </c>
      <c r="H371" s="285">
        <v>0</v>
      </c>
      <c r="I371" s="285">
        <v>0</v>
      </c>
      <c r="J371" s="359" t="str">
        <f>IFERROR(G371/#REF!,"-")</f>
        <v>-</v>
      </c>
      <c r="K371" s="339">
        <f t="shared" si="485"/>
        <v>0</v>
      </c>
      <c r="L371" s="285">
        <f t="shared" si="486"/>
        <v>0</v>
      </c>
      <c r="M371" s="286">
        <f t="shared" si="487"/>
        <v>0</v>
      </c>
      <c r="N371" s="287"/>
      <c r="O371" s="264" t="str">
        <f t="shared" si="436"/>
        <v>-</v>
      </c>
    </row>
    <row r="372" spans="1:15" ht="23.4" x14ac:dyDescent="0.3">
      <c r="A372" s="277" t="s">
        <v>109</v>
      </c>
      <c r="B372" s="929"/>
      <c r="C372" s="305" t="s">
        <v>325</v>
      </c>
      <c r="D372" s="305" t="s">
        <v>324</v>
      </c>
      <c r="E372" s="283">
        <v>0</v>
      </c>
      <c r="F372" s="284"/>
      <c r="G372" s="339">
        <f t="shared" si="484"/>
        <v>0</v>
      </c>
      <c r="H372" s="285">
        <v>0</v>
      </c>
      <c r="I372" s="285">
        <v>0</v>
      </c>
      <c r="J372" s="359" t="str">
        <f>IFERROR(G372/#REF!,"-")</f>
        <v>-</v>
      </c>
      <c r="K372" s="339">
        <f t="shared" si="485"/>
        <v>0</v>
      </c>
      <c r="L372" s="285">
        <f t="shared" si="486"/>
        <v>0</v>
      </c>
      <c r="M372" s="286">
        <f t="shared" si="487"/>
        <v>0</v>
      </c>
      <c r="N372" s="287"/>
      <c r="O372" s="264" t="str">
        <f t="shared" si="436"/>
        <v>-</v>
      </c>
    </row>
    <row r="373" spans="1:15" ht="23.4" x14ac:dyDescent="0.3">
      <c r="A373" s="277"/>
      <c r="B373" s="929"/>
      <c r="C373" s="305" t="s">
        <v>325</v>
      </c>
      <c r="D373" s="305" t="s">
        <v>192</v>
      </c>
      <c r="E373" s="283">
        <v>0</v>
      </c>
      <c r="F373" s="284"/>
      <c r="G373" s="340">
        <f t="shared" si="484"/>
        <v>0</v>
      </c>
      <c r="H373" s="285">
        <v>0</v>
      </c>
      <c r="I373" s="285">
        <v>0</v>
      </c>
      <c r="J373" s="359" t="str">
        <f>IFERROR(G373/#REF!,"-")</f>
        <v>-</v>
      </c>
      <c r="K373" s="340">
        <f t="shared" si="485"/>
        <v>0</v>
      </c>
      <c r="L373" s="285">
        <f t="shared" si="486"/>
        <v>0</v>
      </c>
      <c r="M373" s="286">
        <f t="shared" si="487"/>
        <v>0</v>
      </c>
      <c r="N373" s="287"/>
      <c r="O373" s="264" t="str">
        <f t="shared" si="436"/>
        <v>-</v>
      </c>
    </row>
    <row r="374" spans="1:15" ht="23.4" x14ac:dyDescent="0.3">
      <c r="A374" s="277"/>
      <c r="B374" s="929"/>
      <c r="C374" s="305" t="s">
        <v>325</v>
      </c>
      <c r="D374" s="305" t="s">
        <v>101</v>
      </c>
      <c r="E374" s="283">
        <v>0</v>
      </c>
      <c r="F374" s="284"/>
      <c r="G374" s="340">
        <f t="shared" si="484"/>
        <v>0</v>
      </c>
      <c r="H374" s="285">
        <v>0</v>
      </c>
      <c r="I374" s="285">
        <v>0</v>
      </c>
      <c r="J374" s="359" t="str">
        <f>IFERROR(G374/#REF!,"-")</f>
        <v>-</v>
      </c>
      <c r="K374" s="340">
        <f t="shared" si="485"/>
        <v>0</v>
      </c>
      <c r="L374" s="285">
        <f t="shared" si="486"/>
        <v>0</v>
      </c>
      <c r="M374" s="286">
        <f t="shared" si="487"/>
        <v>0</v>
      </c>
      <c r="N374" s="287"/>
      <c r="O374" s="264" t="str">
        <f t="shared" si="436"/>
        <v>-</v>
      </c>
    </row>
    <row r="375" spans="1:15" ht="23.4" x14ac:dyDescent="0.3">
      <c r="A375" s="277"/>
      <c r="B375" s="929"/>
      <c r="C375" s="305" t="s">
        <v>393</v>
      </c>
      <c r="D375" s="305" t="s">
        <v>394</v>
      </c>
      <c r="E375" s="283">
        <v>0</v>
      </c>
      <c r="F375" s="284"/>
      <c r="G375" s="340">
        <f t="shared" si="484"/>
        <v>0</v>
      </c>
      <c r="H375" s="285">
        <v>0</v>
      </c>
      <c r="I375" s="285">
        <v>0</v>
      </c>
      <c r="J375" s="359" t="str">
        <f>IFERROR(G375/#REF!,"-")</f>
        <v>-</v>
      </c>
      <c r="K375" s="340">
        <f t="shared" si="485"/>
        <v>0</v>
      </c>
      <c r="L375" s="285">
        <f t="shared" si="486"/>
        <v>0</v>
      </c>
      <c r="M375" s="286">
        <f t="shared" si="487"/>
        <v>0</v>
      </c>
      <c r="N375" s="287"/>
      <c r="O375" s="264" t="str">
        <f t="shared" si="436"/>
        <v>-</v>
      </c>
    </row>
    <row r="376" spans="1:15" ht="24" thickBot="1" x14ac:dyDescent="0.35">
      <c r="A376" s="277" t="s">
        <v>109</v>
      </c>
      <c r="B376" s="929"/>
      <c r="C376" s="306" t="s">
        <v>326</v>
      </c>
      <c r="D376" s="305" t="s">
        <v>324</v>
      </c>
      <c r="E376" s="283">
        <v>0</v>
      </c>
      <c r="F376" s="284"/>
      <c r="G376" s="340">
        <f t="shared" si="484"/>
        <v>0</v>
      </c>
      <c r="H376" s="285">
        <v>0</v>
      </c>
      <c r="I376" s="285">
        <v>0</v>
      </c>
      <c r="J376" s="359" t="str">
        <f>IFERROR(G376/#REF!,"-")</f>
        <v>-</v>
      </c>
      <c r="K376" s="340">
        <f t="shared" si="485"/>
        <v>7956</v>
      </c>
      <c r="L376" s="285">
        <f t="shared" si="486"/>
        <v>7956</v>
      </c>
      <c r="M376" s="286">
        <f t="shared" si="487"/>
        <v>0</v>
      </c>
      <c r="N376" s="344" t="str">
        <f t="shared" ref="N376:N393" si="488">IFERROR(K376/E376,"-")</f>
        <v>-</v>
      </c>
      <c r="O376" s="353">
        <f t="shared" si="436"/>
        <v>0</v>
      </c>
    </row>
    <row r="377" spans="1:15" ht="24" thickBot="1" x14ac:dyDescent="0.35">
      <c r="A377" s="277" t="s">
        <v>109</v>
      </c>
      <c r="B377" s="930"/>
      <c r="C377" s="307"/>
      <c r="D377" s="308" t="s">
        <v>55</v>
      </c>
      <c r="E377" s="288">
        <v>0</v>
      </c>
      <c r="F377" s="289"/>
      <c r="G377" s="326">
        <f>SUM(G368:G376)</f>
        <v>72859</v>
      </c>
      <c r="H377" s="327">
        <f>SUM(H368:H376)</f>
        <v>71604</v>
      </c>
      <c r="I377" s="327">
        <f>SUM(I368:I376)</f>
        <v>1255</v>
      </c>
      <c r="J377" s="351" t="str">
        <f>IFERROR(G377/#REF!,"-")</f>
        <v>-</v>
      </c>
      <c r="K377" s="326">
        <f>SUM(K368:K376)</f>
        <v>294428</v>
      </c>
      <c r="L377" s="327">
        <f>SUM(L368:L376)</f>
        <v>290394</v>
      </c>
      <c r="M377" s="328">
        <f>SUM(M368:M376)</f>
        <v>4034</v>
      </c>
      <c r="N377" s="345" t="str">
        <f t="shared" si="488"/>
        <v>-</v>
      </c>
      <c r="O377" s="351">
        <f t="shared" si="436"/>
        <v>1.3701142554376622E-2</v>
      </c>
    </row>
    <row r="378" spans="1:15" ht="23.4" x14ac:dyDescent="0.3">
      <c r="A378" s="277" t="s">
        <v>109</v>
      </c>
      <c r="B378" s="931" t="s">
        <v>28</v>
      </c>
      <c r="C378" s="303" t="s">
        <v>322</v>
      </c>
      <c r="D378" s="303" t="s">
        <v>193</v>
      </c>
      <c r="E378" s="273">
        <v>0</v>
      </c>
      <c r="F378" s="274"/>
      <c r="G378" s="338">
        <f t="shared" ref="G378:G380" si="489">+H378+I378</f>
        <v>0</v>
      </c>
      <c r="H378" s="275">
        <v>0</v>
      </c>
      <c r="I378" s="275">
        <v>0</v>
      </c>
      <c r="J378" s="357" t="str">
        <f>IFERROR(G378/#REF!,"-")</f>
        <v>-</v>
      </c>
      <c r="K378" s="338">
        <f t="shared" ref="K378:K380" si="490">+L378+M378</f>
        <v>0</v>
      </c>
      <c r="L378" s="275">
        <f t="shared" ref="L378:L380" si="491">+H378+L275</f>
        <v>0</v>
      </c>
      <c r="M378" s="276">
        <f t="shared" ref="M378:M380" si="492">+I378+M275</f>
        <v>0</v>
      </c>
      <c r="N378" s="342" t="str">
        <f t="shared" si="488"/>
        <v>-</v>
      </c>
      <c r="O378" s="352" t="str">
        <f t="shared" si="436"/>
        <v>-</v>
      </c>
    </row>
    <row r="379" spans="1:15" ht="23.4" x14ac:dyDescent="0.3">
      <c r="A379" s="277" t="s">
        <v>109</v>
      </c>
      <c r="B379" s="929"/>
      <c r="C379" s="305" t="s">
        <v>27</v>
      </c>
      <c r="D379" s="305" t="s">
        <v>311</v>
      </c>
      <c r="E379" s="279">
        <v>0</v>
      </c>
      <c r="F379" s="280"/>
      <c r="G379" s="339">
        <f t="shared" si="489"/>
        <v>0</v>
      </c>
      <c r="H379" s="281">
        <v>0</v>
      </c>
      <c r="I379" s="281">
        <v>0</v>
      </c>
      <c r="J379" s="358" t="str">
        <f>IFERROR(G379/#REF!,"-")</f>
        <v>-</v>
      </c>
      <c r="K379" s="339">
        <f t="shared" si="490"/>
        <v>0</v>
      </c>
      <c r="L379" s="281">
        <f t="shared" si="491"/>
        <v>0</v>
      </c>
      <c r="M379" s="251">
        <f t="shared" si="492"/>
        <v>0</v>
      </c>
      <c r="N379" s="343" t="str">
        <f t="shared" si="488"/>
        <v>-</v>
      </c>
      <c r="O379" s="264" t="str">
        <f t="shared" si="436"/>
        <v>-</v>
      </c>
    </row>
    <row r="380" spans="1:15" ht="24" thickBot="1" x14ac:dyDescent="0.35">
      <c r="A380" s="277" t="s">
        <v>109</v>
      </c>
      <c r="B380" s="929"/>
      <c r="C380" s="305" t="s">
        <v>27</v>
      </c>
      <c r="D380" s="306" t="s">
        <v>259</v>
      </c>
      <c r="E380" s="283">
        <v>0</v>
      </c>
      <c r="F380" s="284"/>
      <c r="G380" s="340">
        <f t="shared" si="489"/>
        <v>0</v>
      </c>
      <c r="H380" s="285">
        <v>0</v>
      </c>
      <c r="I380" s="285">
        <v>0</v>
      </c>
      <c r="J380" s="359" t="str">
        <f>IFERROR(G380/#REF!,"-")</f>
        <v>-</v>
      </c>
      <c r="K380" s="340">
        <f t="shared" si="490"/>
        <v>0</v>
      </c>
      <c r="L380" s="285">
        <f t="shared" si="491"/>
        <v>0</v>
      </c>
      <c r="M380" s="286">
        <f t="shared" si="492"/>
        <v>0</v>
      </c>
      <c r="N380" s="344" t="str">
        <f t="shared" si="488"/>
        <v>-</v>
      </c>
      <c r="O380" s="353" t="str">
        <f t="shared" si="436"/>
        <v>-</v>
      </c>
    </row>
    <row r="381" spans="1:15" ht="24" thickBot="1" x14ac:dyDescent="0.35">
      <c r="A381" s="277" t="s">
        <v>109</v>
      </c>
      <c r="B381" s="929"/>
      <c r="C381" s="310"/>
      <c r="D381" s="311" t="s">
        <v>55</v>
      </c>
      <c r="E381" s="312">
        <v>0</v>
      </c>
      <c r="F381" s="313"/>
      <c r="G381" s="372">
        <f>SUM(G378:G380)</f>
        <v>0</v>
      </c>
      <c r="H381" s="371">
        <f t="shared" ref="H381:I381" si="493">SUM(H378:H380)</f>
        <v>0</v>
      </c>
      <c r="I381" s="371">
        <f t="shared" si="493"/>
        <v>0</v>
      </c>
      <c r="J381" s="362" t="str">
        <f>IFERROR(G381/#REF!,"-")</f>
        <v>-</v>
      </c>
      <c r="K381" s="372">
        <f>SUM(K378:K380)</f>
        <v>0</v>
      </c>
      <c r="L381" s="371">
        <f t="shared" ref="L381:M381" si="494">SUM(L378:L380)</f>
        <v>0</v>
      </c>
      <c r="M381" s="373">
        <f t="shared" si="494"/>
        <v>0</v>
      </c>
      <c r="N381" s="361" t="str">
        <f t="shared" si="488"/>
        <v>-</v>
      </c>
      <c r="O381" s="362" t="str">
        <f t="shared" si="436"/>
        <v>-</v>
      </c>
    </row>
    <row r="382" spans="1:15" ht="24" thickBot="1" x14ac:dyDescent="0.35">
      <c r="A382" s="694" t="s">
        <v>109</v>
      </c>
      <c r="B382" s="932" t="s">
        <v>171</v>
      </c>
      <c r="C382" s="933"/>
      <c r="D382" s="934"/>
      <c r="E382" s="314">
        <v>2167000</v>
      </c>
      <c r="F382" s="315">
        <v>80000</v>
      </c>
      <c r="G382" s="375">
        <f>+G377+G381</f>
        <v>72859</v>
      </c>
      <c r="H382" s="374">
        <f t="shared" ref="H382:I382" si="495">+H377+H381</f>
        <v>71604</v>
      </c>
      <c r="I382" s="374">
        <f t="shared" si="495"/>
        <v>1255</v>
      </c>
      <c r="J382" s="364" t="str">
        <f>IFERROR(G382/#REF!,"-")</f>
        <v>-</v>
      </c>
      <c r="K382" s="375">
        <f>+K377+K381</f>
        <v>294428</v>
      </c>
      <c r="L382" s="374">
        <f>+L377+L381</f>
        <v>290394</v>
      </c>
      <c r="M382" s="376">
        <f t="shared" ref="M382" si="496">+M377+M381</f>
        <v>4034</v>
      </c>
      <c r="N382" s="363">
        <f t="shared" si="488"/>
        <v>0.13586894323950161</v>
      </c>
      <c r="O382" s="364">
        <f t="shared" si="436"/>
        <v>1.3701142554376622E-2</v>
      </c>
    </row>
    <row r="383" spans="1:15" ht="23.4" x14ac:dyDescent="0.3">
      <c r="A383" s="277" t="s">
        <v>109</v>
      </c>
      <c r="B383" s="929" t="s">
        <v>30</v>
      </c>
      <c r="C383" s="309" t="s">
        <v>396</v>
      </c>
      <c r="D383" s="303" t="s">
        <v>193</v>
      </c>
      <c r="E383" s="273">
        <v>0</v>
      </c>
      <c r="F383" s="274"/>
      <c r="G383" s="338">
        <f t="shared" ref="G383:G385" si="497">+H383+I383</f>
        <v>0</v>
      </c>
      <c r="H383" s="275">
        <v>0</v>
      </c>
      <c r="I383" s="275">
        <v>0</v>
      </c>
      <c r="J383" s="357" t="str">
        <f>IFERROR(G383/#REF!,"-")</f>
        <v>-</v>
      </c>
      <c r="K383" s="338">
        <f t="shared" ref="K383:K385" si="498">+L383+M383</f>
        <v>0</v>
      </c>
      <c r="L383" s="275">
        <f t="shared" ref="L383:L385" si="499">+H383+L280</f>
        <v>0</v>
      </c>
      <c r="M383" s="276">
        <f t="shared" ref="M383:M385" si="500">+I383+M280</f>
        <v>0</v>
      </c>
      <c r="N383" s="342" t="str">
        <f t="shared" si="488"/>
        <v>-</v>
      </c>
      <c r="O383" s="352" t="str">
        <f t="shared" si="436"/>
        <v>-</v>
      </c>
    </row>
    <row r="384" spans="1:15" ht="23.4" x14ac:dyDescent="0.3">
      <c r="A384" s="277" t="s">
        <v>109</v>
      </c>
      <c r="B384" s="929"/>
      <c r="C384" s="309" t="s">
        <v>395</v>
      </c>
      <c r="D384" s="309" t="s">
        <v>324</v>
      </c>
      <c r="E384" s="279">
        <v>0</v>
      </c>
      <c r="F384" s="280"/>
      <c r="G384" s="339">
        <f t="shared" si="497"/>
        <v>0</v>
      </c>
      <c r="H384" s="281">
        <v>0</v>
      </c>
      <c r="I384" s="281">
        <v>0</v>
      </c>
      <c r="J384" s="358" t="str">
        <f>IFERROR(G384/#REF!,"-")</f>
        <v>-</v>
      </c>
      <c r="K384" s="339">
        <f t="shared" si="498"/>
        <v>0</v>
      </c>
      <c r="L384" s="281">
        <f t="shared" si="499"/>
        <v>0</v>
      </c>
      <c r="M384" s="251">
        <f t="shared" si="500"/>
        <v>0</v>
      </c>
      <c r="N384" s="343" t="str">
        <f t="shared" si="488"/>
        <v>-</v>
      </c>
      <c r="O384" s="264" t="str">
        <f t="shared" si="436"/>
        <v>-</v>
      </c>
    </row>
    <row r="385" spans="1:15" ht="24" thickBot="1" x14ac:dyDescent="0.35">
      <c r="A385" s="277" t="s">
        <v>109</v>
      </c>
      <c r="B385" s="929"/>
      <c r="C385" s="306" t="s">
        <v>327</v>
      </c>
      <c r="D385" s="306"/>
      <c r="E385" s="283">
        <v>0</v>
      </c>
      <c r="F385" s="284"/>
      <c r="G385" s="340">
        <f t="shared" si="497"/>
        <v>0</v>
      </c>
      <c r="H385" s="285">
        <v>0</v>
      </c>
      <c r="I385" s="285">
        <v>0</v>
      </c>
      <c r="J385" s="359" t="str">
        <f>IFERROR(G385/#REF!,"-")</f>
        <v>-</v>
      </c>
      <c r="K385" s="340">
        <f t="shared" si="498"/>
        <v>0</v>
      </c>
      <c r="L385" s="285">
        <f t="shared" si="499"/>
        <v>0</v>
      </c>
      <c r="M385" s="286">
        <f t="shared" si="500"/>
        <v>0</v>
      </c>
      <c r="N385" s="344" t="str">
        <f t="shared" si="488"/>
        <v>-</v>
      </c>
      <c r="O385" s="353" t="str">
        <f t="shared" si="436"/>
        <v>-</v>
      </c>
    </row>
    <row r="386" spans="1:15" ht="24" thickBot="1" x14ac:dyDescent="0.35">
      <c r="A386" s="277" t="s">
        <v>109</v>
      </c>
      <c r="B386" s="929"/>
      <c r="C386" s="307"/>
      <c r="D386" s="308" t="s">
        <v>53</v>
      </c>
      <c r="E386" s="288">
        <v>0</v>
      </c>
      <c r="F386" s="289"/>
      <c r="G386" s="326">
        <f>SUM(G383:G385)</f>
        <v>0</v>
      </c>
      <c r="H386" s="327">
        <f t="shared" ref="H386:I386" si="501">SUM(H383:H385)</f>
        <v>0</v>
      </c>
      <c r="I386" s="327">
        <f t="shared" si="501"/>
        <v>0</v>
      </c>
      <c r="J386" s="351" t="str">
        <f>IFERROR(G386/#REF!,"-")</f>
        <v>-</v>
      </c>
      <c r="K386" s="326">
        <f t="shared" ref="K386" si="502">SUM(K383:K385)</f>
        <v>0</v>
      </c>
      <c r="L386" s="327">
        <f>SUM(L383:L385)</f>
        <v>0</v>
      </c>
      <c r="M386" s="328">
        <f t="shared" ref="M386" si="503">SUM(M383:M385)</f>
        <v>0</v>
      </c>
      <c r="N386" s="345" t="str">
        <f t="shared" si="488"/>
        <v>-</v>
      </c>
      <c r="O386" s="351" t="str">
        <f t="shared" si="436"/>
        <v>-</v>
      </c>
    </row>
    <row r="387" spans="1:15" ht="23.4" x14ac:dyDescent="0.3">
      <c r="A387" s="277" t="s">
        <v>109</v>
      </c>
      <c r="B387" s="929"/>
      <c r="C387" s="303" t="s">
        <v>352</v>
      </c>
      <c r="D387" s="303"/>
      <c r="E387" s="273">
        <v>0</v>
      </c>
      <c r="F387" s="274"/>
      <c r="G387" s="338">
        <f t="shared" ref="G387:G389" si="504">+H387+I387</f>
        <v>0</v>
      </c>
      <c r="H387" s="275">
        <v>0</v>
      </c>
      <c r="I387" s="275">
        <v>0</v>
      </c>
      <c r="J387" s="357" t="str">
        <f>IFERROR(G387/#REF!,"-")</f>
        <v>-</v>
      </c>
      <c r="K387" s="338">
        <f t="shared" ref="K387:K389" si="505">+L387+M387</f>
        <v>0</v>
      </c>
      <c r="L387" s="275">
        <f t="shared" ref="L387:L389" si="506">+H387+L284</f>
        <v>0</v>
      </c>
      <c r="M387" s="276">
        <f t="shared" ref="M387:M389" si="507">+I387+M284</f>
        <v>0</v>
      </c>
      <c r="N387" s="342" t="str">
        <f t="shared" si="488"/>
        <v>-</v>
      </c>
      <c r="O387" s="352" t="str">
        <f t="shared" si="436"/>
        <v>-</v>
      </c>
    </row>
    <row r="388" spans="1:15" ht="23.4" x14ac:dyDescent="0.3">
      <c r="A388" s="277" t="s">
        <v>109</v>
      </c>
      <c r="B388" s="929"/>
      <c r="C388" s="309" t="s">
        <v>397</v>
      </c>
      <c r="D388" s="309" t="s">
        <v>259</v>
      </c>
      <c r="E388" s="279">
        <v>0</v>
      </c>
      <c r="F388" s="280"/>
      <c r="G388" s="339">
        <f t="shared" si="504"/>
        <v>49494</v>
      </c>
      <c r="H388" s="281">
        <f>26208+22464</f>
        <v>48672</v>
      </c>
      <c r="I388" s="281">
        <f>437+385</f>
        <v>822</v>
      </c>
      <c r="J388" s="358" t="str">
        <f>IFERROR(G388/#REF!,"-")</f>
        <v>-</v>
      </c>
      <c r="K388" s="339">
        <f t="shared" si="505"/>
        <v>241784</v>
      </c>
      <c r="L388" s="281">
        <f t="shared" si="506"/>
        <v>237744</v>
      </c>
      <c r="M388" s="251">
        <f t="shared" si="507"/>
        <v>4040</v>
      </c>
      <c r="N388" s="343" t="str">
        <f t="shared" si="488"/>
        <v>-</v>
      </c>
      <c r="O388" s="264">
        <f t="shared" si="436"/>
        <v>1.6709128809185059E-2</v>
      </c>
    </row>
    <row r="389" spans="1:15" ht="24" thickBot="1" x14ac:dyDescent="0.35">
      <c r="A389" s="277" t="s">
        <v>109</v>
      </c>
      <c r="B389" s="929"/>
      <c r="C389" s="306" t="s">
        <v>146</v>
      </c>
      <c r="D389" s="306"/>
      <c r="E389" s="283">
        <v>0</v>
      </c>
      <c r="F389" s="284"/>
      <c r="G389" s="340">
        <f t="shared" si="504"/>
        <v>0</v>
      </c>
      <c r="H389" s="285">
        <v>0</v>
      </c>
      <c r="I389" s="285">
        <v>0</v>
      </c>
      <c r="J389" s="359" t="str">
        <f>IFERROR(G389/#REF!,"-")</f>
        <v>-</v>
      </c>
      <c r="K389" s="340">
        <f t="shared" si="505"/>
        <v>0</v>
      </c>
      <c r="L389" s="285">
        <f t="shared" si="506"/>
        <v>0</v>
      </c>
      <c r="M389" s="286">
        <f t="shared" si="507"/>
        <v>0</v>
      </c>
      <c r="N389" s="344" t="str">
        <f t="shared" si="488"/>
        <v>-</v>
      </c>
      <c r="O389" s="353" t="str">
        <f t="shared" si="436"/>
        <v>-</v>
      </c>
    </row>
    <row r="390" spans="1:15" ht="24" thickBot="1" x14ac:dyDescent="0.35">
      <c r="A390" s="277" t="s">
        <v>109</v>
      </c>
      <c r="B390" s="929"/>
      <c r="C390" s="310"/>
      <c r="D390" s="311" t="s">
        <v>54</v>
      </c>
      <c r="E390" s="312">
        <v>0</v>
      </c>
      <c r="F390" s="313"/>
      <c r="G390" s="372">
        <f>SUM(G387:G389)</f>
        <v>49494</v>
      </c>
      <c r="H390" s="371">
        <f t="shared" ref="H390:I390" si="508">SUM(H387:H389)</f>
        <v>48672</v>
      </c>
      <c r="I390" s="371">
        <f t="shared" si="508"/>
        <v>822</v>
      </c>
      <c r="J390" s="362" t="str">
        <f>IFERROR(G390/#REF!,"-")</f>
        <v>-</v>
      </c>
      <c r="K390" s="372">
        <f t="shared" ref="K390:M390" si="509">SUM(K387:K389)</f>
        <v>241784</v>
      </c>
      <c r="L390" s="371">
        <f t="shared" si="509"/>
        <v>237744</v>
      </c>
      <c r="M390" s="373">
        <f t="shared" si="509"/>
        <v>4040</v>
      </c>
      <c r="N390" s="361" t="str">
        <f t="shared" si="488"/>
        <v>-</v>
      </c>
      <c r="O390" s="362">
        <f t="shared" si="436"/>
        <v>1.6709128809185059E-2</v>
      </c>
    </row>
    <row r="391" spans="1:15" ht="24" thickBot="1" x14ac:dyDescent="0.35">
      <c r="A391" s="277" t="s">
        <v>109</v>
      </c>
      <c r="B391" s="932" t="s">
        <v>172</v>
      </c>
      <c r="C391" s="933"/>
      <c r="D391" s="934"/>
      <c r="E391" s="314">
        <v>649600</v>
      </c>
      <c r="F391" s="315">
        <v>50000</v>
      </c>
      <c r="G391" s="375">
        <f>+G386+G390</f>
        <v>49494</v>
      </c>
      <c r="H391" s="374">
        <f t="shared" ref="H391:I391" si="510">+H386+H390</f>
        <v>48672</v>
      </c>
      <c r="I391" s="374">
        <f t="shared" si="510"/>
        <v>822</v>
      </c>
      <c r="J391" s="364" t="str">
        <f>IFERROR(G391/#REF!,"-")</f>
        <v>-</v>
      </c>
      <c r="K391" s="375">
        <f t="shared" ref="K391:M391" si="511">+K386+K390</f>
        <v>241784</v>
      </c>
      <c r="L391" s="374">
        <f t="shared" si="511"/>
        <v>237744</v>
      </c>
      <c r="M391" s="376">
        <f t="shared" si="511"/>
        <v>4040</v>
      </c>
      <c r="N391" s="363">
        <f t="shared" si="488"/>
        <v>0.37220443349753696</v>
      </c>
      <c r="O391" s="364">
        <f t="shared" ref="O391:O393" si="512">IFERROR(M391/K391,"-")</f>
        <v>1.6709128809185059E-2</v>
      </c>
    </row>
    <row r="392" spans="1:15" ht="24" thickBot="1" x14ac:dyDescent="0.35">
      <c r="A392" s="277" t="s">
        <v>109</v>
      </c>
      <c r="B392" s="616" t="s">
        <v>32</v>
      </c>
      <c r="C392" s="691"/>
      <c r="D392" s="316" t="s">
        <v>32</v>
      </c>
      <c r="E392" s="293">
        <v>0</v>
      </c>
      <c r="F392" s="294">
        <v>110000</v>
      </c>
      <c r="G392" s="341">
        <f t="shared" ref="G392" si="513">+H392+I392</f>
        <v>0</v>
      </c>
      <c r="H392" s="295">
        <v>0</v>
      </c>
      <c r="I392" s="295">
        <v>0</v>
      </c>
      <c r="J392" s="360" t="str">
        <f>IFERROR(G392/#REF!,"-")</f>
        <v>-</v>
      </c>
      <c r="K392" s="341">
        <f>+L392+M392</f>
        <v>0</v>
      </c>
      <c r="L392" s="295">
        <f>+H392+L289</f>
        <v>0</v>
      </c>
      <c r="M392" s="296">
        <f>+I392+M289</f>
        <v>0</v>
      </c>
      <c r="N392" s="346" t="str">
        <f t="shared" si="488"/>
        <v>-</v>
      </c>
      <c r="O392" s="354" t="str">
        <f t="shared" si="512"/>
        <v>-</v>
      </c>
    </row>
    <row r="393" spans="1:15" ht="24" thickBot="1" x14ac:dyDescent="0.35">
      <c r="A393" s="277" t="s">
        <v>109</v>
      </c>
      <c r="B393" s="926" t="s">
        <v>21</v>
      </c>
      <c r="C393" s="927"/>
      <c r="D393" s="928"/>
      <c r="E393" s="332">
        <f>+E382+E391+E392</f>
        <v>2816600</v>
      </c>
      <c r="F393" s="333">
        <f t="shared" ref="F393" si="514">+F382+F391+F392</f>
        <v>240000</v>
      </c>
      <c r="G393" s="332">
        <f>+G382+G391+G392</f>
        <v>122353</v>
      </c>
      <c r="H393" s="330">
        <f t="shared" ref="H393:I393" si="515">+H382+H391+H392</f>
        <v>120276</v>
      </c>
      <c r="I393" s="330">
        <f t="shared" si="515"/>
        <v>2077</v>
      </c>
      <c r="J393" s="355" t="str">
        <f>IFERROR(G393/#REF!,"-")</f>
        <v>-</v>
      </c>
      <c r="K393" s="332">
        <f>+K382+K391+K392</f>
        <v>536212</v>
      </c>
      <c r="L393" s="330">
        <f>+L382+L391+L392</f>
        <v>528138</v>
      </c>
      <c r="M393" s="331">
        <f t="shared" ref="M393" si="516">+M382+M391+M392</f>
        <v>8074</v>
      </c>
      <c r="N393" s="347">
        <f t="shared" si="488"/>
        <v>0.19037563019243059</v>
      </c>
      <c r="O393" s="355">
        <f t="shared" si="512"/>
        <v>1.5057477266454313E-2</v>
      </c>
    </row>
    <row r="394" spans="1:15" ht="24" thickBot="1" x14ac:dyDescent="0.35">
      <c r="A394" s="277" t="s">
        <v>109</v>
      </c>
      <c r="B394" s="900" t="s">
        <v>180</v>
      </c>
      <c r="C394" s="901"/>
      <c r="D394" s="902"/>
      <c r="E394" s="336">
        <f>+E393</f>
        <v>2816600</v>
      </c>
      <c r="F394" s="337">
        <f t="shared" ref="F394:I394" si="517">+F393</f>
        <v>240000</v>
      </c>
      <c r="G394" s="336">
        <f t="shared" si="517"/>
        <v>122353</v>
      </c>
      <c r="H394" s="334">
        <f t="shared" si="517"/>
        <v>120276</v>
      </c>
      <c r="I394" s="334">
        <f t="shared" si="517"/>
        <v>2077</v>
      </c>
      <c r="J394" s="356" t="str">
        <f>+J393</f>
        <v>-</v>
      </c>
      <c r="K394" s="336">
        <f>+K393</f>
        <v>536212</v>
      </c>
      <c r="L394" s="334">
        <f t="shared" ref="L394" si="518">+L393</f>
        <v>528138</v>
      </c>
      <c r="M394" s="335">
        <f>+M393</f>
        <v>8074</v>
      </c>
      <c r="N394" s="348">
        <f t="shared" ref="N394:O394" si="519">+N393</f>
        <v>0.19037563019243059</v>
      </c>
      <c r="O394" s="356">
        <f t="shared" si="519"/>
        <v>1.5057477266454313E-2</v>
      </c>
    </row>
    <row r="395" spans="1:15" ht="23.4" x14ac:dyDescent="0.3">
      <c r="A395" s="271" t="s">
        <v>110</v>
      </c>
      <c r="B395" s="903" t="s">
        <v>33</v>
      </c>
      <c r="C395" s="317" t="s">
        <v>121</v>
      </c>
      <c r="D395" s="317"/>
      <c r="E395" s="273">
        <v>0</v>
      </c>
      <c r="F395" s="274"/>
      <c r="G395" s="338">
        <f t="shared" ref="G395:G397" si="520">+H395+I395</f>
        <v>0</v>
      </c>
      <c r="H395" s="275">
        <v>0</v>
      </c>
      <c r="I395" s="275">
        <v>0</v>
      </c>
      <c r="J395" s="357" t="str">
        <f>IFERROR(G395/#REF!,"-")</f>
        <v>-</v>
      </c>
      <c r="K395" s="338">
        <f t="shared" ref="K395:K397" si="521">+L395+M395</f>
        <v>0</v>
      </c>
      <c r="L395" s="275">
        <f t="shared" ref="L395:L397" si="522">+H395+L292</f>
        <v>0</v>
      </c>
      <c r="M395" s="276">
        <f t="shared" ref="M395:M397" si="523">+I395+M292</f>
        <v>0</v>
      </c>
      <c r="N395" s="342" t="str">
        <f t="shared" ref="N395:N420" si="524">IFERROR(K395/E395,"-")</f>
        <v>-</v>
      </c>
      <c r="O395" s="352" t="str">
        <f t="shared" ref="O395:O420" si="525">IFERROR(M395/K395,"-")</f>
        <v>-</v>
      </c>
    </row>
    <row r="396" spans="1:15" ht="23.4" x14ac:dyDescent="0.3">
      <c r="A396" s="277" t="s">
        <v>110</v>
      </c>
      <c r="B396" s="904"/>
      <c r="C396" s="318" t="s">
        <v>274</v>
      </c>
      <c r="D396" s="318"/>
      <c r="E396" s="279">
        <v>0</v>
      </c>
      <c r="F396" s="280"/>
      <c r="G396" s="339">
        <f t="shared" si="520"/>
        <v>0</v>
      </c>
      <c r="H396" s="281">
        <v>0</v>
      </c>
      <c r="I396" s="281">
        <v>0</v>
      </c>
      <c r="J396" s="358" t="str">
        <f>IFERROR(G396/#REF!,"-")</f>
        <v>-</v>
      </c>
      <c r="K396" s="339">
        <f t="shared" si="521"/>
        <v>1467</v>
      </c>
      <c r="L396" s="281">
        <f t="shared" si="522"/>
        <v>1060</v>
      </c>
      <c r="M396" s="251">
        <f t="shared" si="523"/>
        <v>407</v>
      </c>
      <c r="N396" s="343" t="str">
        <f t="shared" si="524"/>
        <v>-</v>
      </c>
      <c r="O396" s="264">
        <f t="shared" si="525"/>
        <v>0.27743694614860259</v>
      </c>
    </row>
    <row r="397" spans="1:15" ht="24" thickBot="1" x14ac:dyDescent="0.35">
      <c r="A397" s="277" t="s">
        <v>110</v>
      </c>
      <c r="B397" s="905"/>
      <c r="C397" s="319" t="s">
        <v>34</v>
      </c>
      <c r="D397" s="319"/>
      <c r="E397" s="283">
        <v>0</v>
      </c>
      <c r="F397" s="284"/>
      <c r="G397" s="340">
        <f t="shared" si="520"/>
        <v>0</v>
      </c>
      <c r="H397" s="285">
        <v>0</v>
      </c>
      <c r="I397" s="285">
        <v>0</v>
      </c>
      <c r="J397" s="359" t="str">
        <f>IFERROR(G397/#REF!,"-")</f>
        <v>-</v>
      </c>
      <c r="K397" s="340">
        <f t="shared" si="521"/>
        <v>0</v>
      </c>
      <c r="L397" s="285">
        <f t="shared" si="522"/>
        <v>0</v>
      </c>
      <c r="M397" s="286">
        <f t="shared" si="523"/>
        <v>0</v>
      </c>
      <c r="N397" s="344" t="str">
        <f t="shared" si="524"/>
        <v>-</v>
      </c>
      <c r="O397" s="353" t="str">
        <f t="shared" si="525"/>
        <v>-</v>
      </c>
    </row>
    <row r="398" spans="1:15" ht="24" thickBot="1" x14ac:dyDescent="0.35">
      <c r="A398" s="277" t="s">
        <v>110</v>
      </c>
      <c r="B398" s="906" t="s">
        <v>35</v>
      </c>
      <c r="C398" s="907"/>
      <c r="D398" s="908"/>
      <c r="E398" s="288">
        <v>83700</v>
      </c>
      <c r="F398" s="289"/>
      <c r="G398" s="326">
        <f>SUM(G395:G397)</f>
        <v>0</v>
      </c>
      <c r="H398" s="327">
        <f t="shared" ref="H398:I398" si="526">SUM(H395:H397)</f>
        <v>0</v>
      </c>
      <c r="I398" s="327">
        <f t="shared" si="526"/>
        <v>0</v>
      </c>
      <c r="J398" s="351" t="str">
        <f>IFERROR(G398/#REF!,"-")</f>
        <v>-</v>
      </c>
      <c r="K398" s="326">
        <f t="shared" ref="K398:M398" si="527">SUM(K395:K397)</f>
        <v>1467</v>
      </c>
      <c r="L398" s="327">
        <f t="shared" si="527"/>
        <v>1060</v>
      </c>
      <c r="M398" s="328">
        <f t="shared" si="527"/>
        <v>407</v>
      </c>
      <c r="N398" s="345">
        <f t="shared" si="524"/>
        <v>1.7526881720430109E-2</v>
      </c>
      <c r="O398" s="351">
        <f t="shared" si="525"/>
        <v>0.27743694614860259</v>
      </c>
    </row>
    <row r="399" spans="1:15" ht="23.4" x14ac:dyDescent="0.3">
      <c r="A399" s="277" t="s">
        <v>110</v>
      </c>
      <c r="B399" s="903" t="s">
        <v>36</v>
      </c>
      <c r="C399" s="317" t="s">
        <v>121</v>
      </c>
      <c r="D399" s="317"/>
      <c r="E399" s="273">
        <v>0</v>
      </c>
      <c r="F399" s="274"/>
      <c r="G399" s="338">
        <f t="shared" ref="G399:G402" si="528">+H399+I399</f>
        <v>0</v>
      </c>
      <c r="H399" s="275">
        <v>0</v>
      </c>
      <c r="I399" s="275">
        <v>0</v>
      </c>
      <c r="J399" s="357" t="str">
        <f>IFERROR(G399/#REF!,"-")</f>
        <v>-</v>
      </c>
      <c r="K399" s="338">
        <f t="shared" ref="K399:K402" si="529">+L399+M399</f>
        <v>0</v>
      </c>
      <c r="L399" s="275">
        <f t="shared" ref="L399:L402" si="530">+H399+L296</f>
        <v>0</v>
      </c>
      <c r="M399" s="276">
        <f t="shared" ref="M399:M402" si="531">+I399+M296</f>
        <v>0</v>
      </c>
      <c r="N399" s="342" t="str">
        <f t="shared" si="524"/>
        <v>-</v>
      </c>
      <c r="O399" s="352" t="str">
        <f t="shared" si="525"/>
        <v>-</v>
      </c>
    </row>
    <row r="400" spans="1:15" ht="23.4" x14ac:dyDescent="0.3">
      <c r="A400" s="277" t="s">
        <v>110</v>
      </c>
      <c r="B400" s="904"/>
      <c r="C400" s="318" t="s">
        <v>274</v>
      </c>
      <c r="D400" s="318"/>
      <c r="E400" s="279">
        <v>0</v>
      </c>
      <c r="F400" s="280"/>
      <c r="G400" s="339">
        <f t="shared" si="528"/>
        <v>0</v>
      </c>
      <c r="H400" s="281">
        <v>0</v>
      </c>
      <c r="I400" s="281">
        <v>0</v>
      </c>
      <c r="J400" s="358" t="str">
        <f>IFERROR(G400/#REF!,"-")</f>
        <v>-</v>
      </c>
      <c r="K400" s="339">
        <f t="shared" si="529"/>
        <v>0</v>
      </c>
      <c r="L400" s="281">
        <f t="shared" si="530"/>
        <v>0</v>
      </c>
      <c r="M400" s="251">
        <f t="shared" si="531"/>
        <v>0</v>
      </c>
      <c r="N400" s="343" t="str">
        <f t="shared" si="524"/>
        <v>-</v>
      </c>
      <c r="O400" s="264" t="str">
        <f t="shared" si="525"/>
        <v>-</v>
      </c>
    </row>
    <row r="401" spans="1:15" ht="23.4" x14ac:dyDescent="0.3">
      <c r="A401" s="277" t="s">
        <v>110</v>
      </c>
      <c r="B401" s="904"/>
      <c r="C401" s="318" t="s">
        <v>201</v>
      </c>
      <c r="D401" s="318"/>
      <c r="E401" s="279">
        <v>0</v>
      </c>
      <c r="F401" s="280"/>
      <c r="G401" s="339">
        <f t="shared" si="528"/>
        <v>0</v>
      </c>
      <c r="H401" s="281">
        <v>0</v>
      </c>
      <c r="I401" s="281">
        <v>0</v>
      </c>
      <c r="J401" s="358" t="str">
        <f>IFERROR(G401/#REF!,"-")</f>
        <v>-</v>
      </c>
      <c r="K401" s="339">
        <f t="shared" si="529"/>
        <v>0</v>
      </c>
      <c r="L401" s="281">
        <f t="shared" si="530"/>
        <v>0</v>
      </c>
      <c r="M401" s="251">
        <f t="shared" si="531"/>
        <v>0</v>
      </c>
      <c r="N401" s="343" t="str">
        <f t="shared" si="524"/>
        <v>-</v>
      </c>
      <c r="O401" s="264" t="str">
        <f t="shared" si="525"/>
        <v>-</v>
      </c>
    </row>
    <row r="402" spans="1:15" ht="24" thickBot="1" x14ac:dyDescent="0.35">
      <c r="A402" s="277" t="s">
        <v>110</v>
      </c>
      <c r="B402" s="905"/>
      <c r="C402" s="319" t="s">
        <v>37</v>
      </c>
      <c r="D402" s="319"/>
      <c r="E402" s="283">
        <v>0</v>
      </c>
      <c r="F402" s="284"/>
      <c r="G402" s="340">
        <f t="shared" si="528"/>
        <v>0</v>
      </c>
      <c r="H402" s="285">
        <v>0</v>
      </c>
      <c r="I402" s="285">
        <v>0</v>
      </c>
      <c r="J402" s="359" t="str">
        <f>IFERROR(G402/#REF!,"-")</f>
        <v>-</v>
      </c>
      <c r="K402" s="340">
        <f t="shared" si="529"/>
        <v>0</v>
      </c>
      <c r="L402" s="285">
        <f t="shared" si="530"/>
        <v>0</v>
      </c>
      <c r="M402" s="286">
        <f t="shared" si="531"/>
        <v>0</v>
      </c>
      <c r="N402" s="344" t="str">
        <f t="shared" si="524"/>
        <v>-</v>
      </c>
      <c r="O402" s="353" t="str">
        <f t="shared" si="525"/>
        <v>-</v>
      </c>
    </row>
    <row r="403" spans="1:15" ht="24" thickBot="1" x14ac:dyDescent="0.35">
      <c r="A403" s="277" t="s">
        <v>110</v>
      </c>
      <c r="B403" s="906" t="s">
        <v>38</v>
      </c>
      <c r="C403" s="907"/>
      <c r="D403" s="908"/>
      <c r="E403" s="288">
        <v>10300</v>
      </c>
      <c r="F403" s="289">
        <v>6500</v>
      </c>
      <c r="G403" s="326">
        <f>SUM(G399:G402)</f>
        <v>0</v>
      </c>
      <c r="H403" s="327">
        <f t="shared" ref="H403:I403" si="532">SUM(H399:H402)</f>
        <v>0</v>
      </c>
      <c r="I403" s="327">
        <f t="shared" si="532"/>
        <v>0</v>
      </c>
      <c r="J403" s="351" t="str">
        <f>IFERROR(G403/#REF!,"-")</f>
        <v>-</v>
      </c>
      <c r="K403" s="326">
        <f t="shared" ref="K403:M403" si="533">SUM(K399:K402)</f>
        <v>0</v>
      </c>
      <c r="L403" s="327">
        <f t="shared" si="533"/>
        <v>0</v>
      </c>
      <c r="M403" s="328">
        <f t="shared" si="533"/>
        <v>0</v>
      </c>
      <c r="N403" s="345">
        <f t="shared" si="524"/>
        <v>0</v>
      </c>
      <c r="O403" s="351" t="str">
        <f t="shared" si="525"/>
        <v>-</v>
      </c>
    </row>
    <row r="404" spans="1:15" ht="23.4" x14ac:dyDescent="0.3">
      <c r="A404" s="277" t="s">
        <v>110</v>
      </c>
      <c r="B404" s="903" t="s">
        <v>39</v>
      </c>
      <c r="C404" s="320" t="s">
        <v>124</v>
      </c>
      <c r="D404" s="320"/>
      <c r="E404" s="273">
        <v>0</v>
      </c>
      <c r="F404" s="274"/>
      <c r="G404" s="338">
        <f t="shared" ref="G404:G405" si="534">+H404+I404</f>
        <v>0</v>
      </c>
      <c r="H404" s="275">
        <v>0</v>
      </c>
      <c r="I404" s="275">
        <v>0</v>
      </c>
      <c r="J404" s="357" t="str">
        <f>IFERROR(G404/#REF!,"-")</f>
        <v>-</v>
      </c>
      <c r="K404" s="338">
        <f t="shared" ref="K404:K405" si="535">+L404+M404</f>
        <v>0</v>
      </c>
      <c r="L404" s="275">
        <f t="shared" ref="L404:L405" si="536">+H404+L301</f>
        <v>0</v>
      </c>
      <c r="M404" s="276">
        <f t="shared" ref="M404:M405" si="537">+I404+M301</f>
        <v>0</v>
      </c>
      <c r="N404" s="342" t="str">
        <f t="shared" si="524"/>
        <v>-</v>
      </c>
      <c r="O404" s="352" t="str">
        <f t="shared" si="525"/>
        <v>-</v>
      </c>
    </row>
    <row r="405" spans="1:15" ht="24" thickBot="1" x14ac:dyDescent="0.35">
      <c r="A405" s="277" t="s">
        <v>110</v>
      </c>
      <c r="B405" s="905"/>
      <c r="C405" s="290" t="s">
        <v>140</v>
      </c>
      <c r="D405" s="290"/>
      <c r="E405" s="283">
        <v>0</v>
      </c>
      <c r="F405" s="284"/>
      <c r="G405" s="340">
        <f t="shared" si="534"/>
        <v>0</v>
      </c>
      <c r="H405" s="285">
        <v>0</v>
      </c>
      <c r="I405" s="285">
        <v>0</v>
      </c>
      <c r="J405" s="359" t="str">
        <f>IFERROR(G405/#REF!,"-")</f>
        <v>-</v>
      </c>
      <c r="K405" s="340">
        <f t="shared" si="535"/>
        <v>0</v>
      </c>
      <c r="L405" s="285">
        <f t="shared" si="536"/>
        <v>0</v>
      </c>
      <c r="M405" s="286">
        <f t="shared" si="537"/>
        <v>0</v>
      </c>
      <c r="N405" s="344" t="str">
        <f t="shared" si="524"/>
        <v>-</v>
      </c>
      <c r="O405" s="353" t="str">
        <f t="shared" si="525"/>
        <v>-</v>
      </c>
    </row>
    <row r="406" spans="1:15" ht="24" thickBot="1" x14ac:dyDescent="0.35">
      <c r="A406" s="694" t="s">
        <v>110</v>
      </c>
      <c r="B406" s="906" t="s">
        <v>40</v>
      </c>
      <c r="C406" s="907"/>
      <c r="D406" s="908"/>
      <c r="E406" s="288">
        <v>30000</v>
      </c>
      <c r="F406" s="289">
        <v>2800</v>
      </c>
      <c r="G406" s="326">
        <f>SUM(G404:G405)</f>
        <v>0</v>
      </c>
      <c r="H406" s="327">
        <f t="shared" ref="H406:I406" si="538">SUM(H404:H405)</f>
        <v>0</v>
      </c>
      <c r="I406" s="327">
        <f t="shared" si="538"/>
        <v>0</v>
      </c>
      <c r="J406" s="351" t="str">
        <f>IFERROR(G406/#REF!,"-")</f>
        <v>-</v>
      </c>
      <c r="K406" s="326">
        <f t="shared" ref="K406:M406" si="539">SUM(K404:K405)</f>
        <v>0</v>
      </c>
      <c r="L406" s="327">
        <f t="shared" si="539"/>
        <v>0</v>
      </c>
      <c r="M406" s="328">
        <f t="shared" si="539"/>
        <v>0</v>
      </c>
      <c r="N406" s="345">
        <f t="shared" si="524"/>
        <v>0</v>
      </c>
      <c r="O406" s="351" t="str">
        <f t="shared" si="525"/>
        <v>-</v>
      </c>
    </row>
    <row r="407" spans="1:15" ht="23.4" x14ac:dyDescent="0.3">
      <c r="A407" s="277" t="s">
        <v>110</v>
      </c>
      <c r="B407" s="903" t="s">
        <v>41</v>
      </c>
      <c r="C407" s="272" t="s">
        <v>346</v>
      </c>
      <c r="D407" s="272"/>
      <c r="E407" s="273">
        <v>0</v>
      </c>
      <c r="F407" s="321"/>
      <c r="G407" s="338">
        <f t="shared" ref="G407:G411" si="540">+H407+I407</f>
        <v>0</v>
      </c>
      <c r="H407" s="275">
        <v>0</v>
      </c>
      <c r="I407" s="275">
        <v>0</v>
      </c>
      <c r="J407" s="377" t="str">
        <f>IFERROR(G407/#REF!,"-")</f>
        <v>-</v>
      </c>
      <c r="K407" s="338">
        <f t="shared" ref="K407:K411" si="541">+L407+M407</f>
        <v>35500</v>
      </c>
      <c r="L407" s="275">
        <f t="shared" ref="L407:L411" si="542">+H407+L304</f>
        <v>35340</v>
      </c>
      <c r="M407" s="276">
        <f t="shared" ref="M407:M411" si="543">+I407+M304</f>
        <v>160</v>
      </c>
      <c r="N407" s="365" t="str">
        <f t="shared" si="524"/>
        <v>-</v>
      </c>
      <c r="O407" s="366">
        <f t="shared" si="525"/>
        <v>4.507042253521127E-3</v>
      </c>
    </row>
    <row r="408" spans="1:15" ht="23.4" x14ac:dyDescent="0.3">
      <c r="A408" s="277" t="s">
        <v>110</v>
      </c>
      <c r="B408" s="904"/>
      <c r="C408" s="272" t="s">
        <v>347</v>
      </c>
      <c r="D408" s="278"/>
      <c r="E408" s="279">
        <v>0</v>
      </c>
      <c r="F408" s="322"/>
      <c r="G408" s="339">
        <f t="shared" si="540"/>
        <v>0</v>
      </c>
      <c r="H408" s="281">
        <v>0</v>
      </c>
      <c r="I408" s="281">
        <v>0</v>
      </c>
      <c r="J408" s="378" t="str">
        <f>IFERROR(G408/#REF!,"-")</f>
        <v>-</v>
      </c>
      <c r="K408" s="339">
        <f t="shared" si="541"/>
        <v>0</v>
      </c>
      <c r="L408" s="281">
        <f t="shared" si="542"/>
        <v>0</v>
      </c>
      <c r="M408" s="251">
        <f t="shared" si="543"/>
        <v>0</v>
      </c>
      <c r="N408" s="367" t="str">
        <f t="shared" si="524"/>
        <v>-</v>
      </c>
      <c r="O408" s="368" t="str">
        <f t="shared" si="525"/>
        <v>-</v>
      </c>
    </row>
    <row r="409" spans="1:15" ht="23.4" x14ac:dyDescent="0.3">
      <c r="A409" s="277" t="s">
        <v>110</v>
      </c>
      <c r="B409" s="904"/>
      <c r="C409" s="278" t="s">
        <v>423</v>
      </c>
      <c r="D409" s="278"/>
      <c r="E409" s="279">
        <v>0</v>
      </c>
      <c r="F409" s="322"/>
      <c r="G409" s="339">
        <f t="shared" si="540"/>
        <v>0</v>
      </c>
      <c r="H409" s="281">
        <v>0</v>
      </c>
      <c r="I409" s="281">
        <v>0</v>
      </c>
      <c r="J409" s="378" t="str">
        <f>IFERROR(G409/#REF!,"-")</f>
        <v>-</v>
      </c>
      <c r="K409" s="339">
        <f t="shared" si="541"/>
        <v>17455</v>
      </c>
      <c r="L409" s="281">
        <f t="shared" si="542"/>
        <v>17280</v>
      </c>
      <c r="M409" s="251">
        <f t="shared" si="543"/>
        <v>175</v>
      </c>
      <c r="N409" s="367" t="str">
        <f t="shared" si="524"/>
        <v>-</v>
      </c>
      <c r="O409" s="368">
        <f t="shared" si="525"/>
        <v>1.0025780578630765E-2</v>
      </c>
    </row>
    <row r="410" spans="1:15" ht="23.4" x14ac:dyDescent="0.3">
      <c r="A410" s="277" t="s">
        <v>110</v>
      </c>
      <c r="B410" s="904"/>
      <c r="C410" s="278" t="s">
        <v>166</v>
      </c>
      <c r="D410" s="278"/>
      <c r="E410" s="279">
        <v>0</v>
      </c>
      <c r="F410" s="322"/>
      <c r="G410" s="339">
        <f t="shared" si="540"/>
        <v>0</v>
      </c>
      <c r="H410" s="281">
        <v>0</v>
      </c>
      <c r="I410" s="281">
        <v>0</v>
      </c>
      <c r="J410" s="378" t="str">
        <f>IFERROR(G410/#REF!,"-")</f>
        <v>-</v>
      </c>
      <c r="K410" s="339">
        <f t="shared" si="541"/>
        <v>0</v>
      </c>
      <c r="L410" s="281">
        <f t="shared" si="542"/>
        <v>0</v>
      </c>
      <c r="M410" s="251">
        <f t="shared" si="543"/>
        <v>0</v>
      </c>
      <c r="N410" s="367" t="str">
        <f t="shared" si="524"/>
        <v>-</v>
      </c>
      <c r="O410" s="368" t="str">
        <f t="shared" si="525"/>
        <v>-</v>
      </c>
    </row>
    <row r="411" spans="1:15" ht="24" thickBot="1" x14ac:dyDescent="0.35">
      <c r="A411" s="277" t="s">
        <v>110</v>
      </c>
      <c r="B411" s="905"/>
      <c r="C411" s="282" t="s">
        <v>167</v>
      </c>
      <c r="D411" s="282"/>
      <c r="E411" s="283">
        <v>0</v>
      </c>
      <c r="F411" s="323"/>
      <c r="G411" s="340">
        <f t="shared" si="540"/>
        <v>0</v>
      </c>
      <c r="H411" s="285">
        <v>0</v>
      </c>
      <c r="I411" s="285">
        <v>0</v>
      </c>
      <c r="J411" s="379" t="str">
        <f>IFERROR(G411/#REF!,"-")</f>
        <v>-</v>
      </c>
      <c r="K411" s="340">
        <f t="shared" si="541"/>
        <v>0</v>
      </c>
      <c r="L411" s="285">
        <f t="shared" si="542"/>
        <v>0</v>
      </c>
      <c r="M411" s="286">
        <f t="shared" si="543"/>
        <v>0</v>
      </c>
      <c r="N411" s="369" t="str">
        <f t="shared" si="524"/>
        <v>-</v>
      </c>
      <c r="O411" s="370" t="str">
        <f t="shared" si="525"/>
        <v>-</v>
      </c>
    </row>
    <row r="412" spans="1:15" ht="24" thickBot="1" x14ac:dyDescent="0.35">
      <c r="A412" s="277" t="s">
        <v>110</v>
      </c>
      <c r="B412" s="906" t="s">
        <v>42</v>
      </c>
      <c r="C412" s="907"/>
      <c r="D412" s="908"/>
      <c r="E412" s="326">
        <v>610600</v>
      </c>
      <c r="F412" s="289">
        <v>25000</v>
      </c>
      <c r="G412" s="326">
        <f>SUM(G408:G411)</f>
        <v>0</v>
      </c>
      <c r="H412" s="327">
        <f t="shared" ref="H412:I412" si="544">SUM(H408:H411)</f>
        <v>0</v>
      </c>
      <c r="I412" s="327">
        <f t="shared" si="544"/>
        <v>0</v>
      </c>
      <c r="J412" s="351" t="str">
        <f>IFERROR(G412/#REF!,"-")</f>
        <v>-</v>
      </c>
      <c r="K412" s="326">
        <f>SUM(K407:K411)</f>
        <v>52955</v>
      </c>
      <c r="L412" s="327">
        <f>SUM(L407:L411)</f>
        <v>52620</v>
      </c>
      <c r="M412" s="328">
        <f>SUM(M407:M411)</f>
        <v>335</v>
      </c>
      <c r="N412" s="345">
        <f t="shared" si="524"/>
        <v>8.6726170979364553E-2</v>
      </c>
      <c r="O412" s="351">
        <f t="shared" si="525"/>
        <v>6.326125956000378E-3</v>
      </c>
    </row>
    <row r="413" spans="1:15" ht="23.4" x14ac:dyDescent="0.3">
      <c r="A413" s="277" t="s">
        <v>110</v>
      </c>
      <c r="B413" s="903" t="s">
        <v>43</v>
      </c>
      <c r="C413" s="272" t="s">
        <v>204</v>
      </c>
      <c r="D413" s="272"/>
      <c r="E413" s="273">
        <v>0</v>
      </c>
      <c r="F413" s="274"/>
      <c r="G413" s="338">
        <f t="shared" ref="G413:G415" si="545">+H413+I413</f>
        <v>0</v>
      </c>
      <c r="H413" s="275">
        <v>0</v>
      </c>
      <c r="I413" s="275">
        <v>0</v>
      </c>
      <c r="J413" s="357" t="str">
        <f>IFERROR(G413/#REF!,"-")</f>
        <v>-</v>
      </c>
      <c r="K413" s="338">
        <f t="shared" ref="K413:K415" si="546">+L413+M413</f>
        <v>0</v>
      </c>
      <c r="L413" s="275">
        <f t="shared" ref="L413:L415" si="547">+H413+L310</f>
        <v>0</v>
      </c>
      <c r="M413" s="276">
        <f t="shared" ref="M413:M415" si="548">+I413+M310</f>
        <v>0</v>
      </c>
      <c r="N413" s="342" t="str">
        <f t="shared" si="524"/>
        <v>-</v>
      </c>
      <c r="O413" s="352" t="str">
        <f t="shared" si="525"/>
        <v>-</v>
      </c>
    </row>
    <row r="414" spans="1:15" ht="23.4" x14ac:dyDescent="0.3">
      <c r="A414" s="277" t="s">
        <v>110</v>
      </c>
      <c r="B414" s="904"/>
      <c r="C414" s="278" t="s">
        <v>168</v>
      </c>
      <c r="D414" s="278"/>
      <c r="E414" s="279">
        <v>0</v>
      </c>
      <c r="F414" s="280"/>
      <c r="G414" s="339">
        <f t="shared" si="545"/>
        <v>0</v>
      </c>
      <c r="H414" s="281">
        <v>0</v>
      </c>
      <c r="I414" s="281">
        <v>0</v>
      </c>
      <c r="J414" s="378" t="str">
        <f>IFERROR(G414/#REF!,"-")</f>
        <v>-</v>
      </c>
      <c r="K414" s="339">
        <f t="shared" si="546"/>
        <v>0</v>
      </c>
      <c r="L414" s="281">
        <f t="shared" si="547"/>
        <v>0</v>
      </c>
      <c r="M414" s="251">
        <f t="shared" si="548"/>
        <v>0</v>
      </c>
      <c r="N414" s="367" t="str">
        <f t="shared" si="524"/>
        <v>-</v>
      </c>
      <c r="O414" s="368" t="str">
        <f t="shared" si="525"/>
        <v>-</v>
      </c>
    </row>
    <row r="415" spans="1:15" ht="24" thickBot="1" x14ac:dyDescent="0.35">
      <c r="A415" s="277" t="s">
        <v>110</v>
      </c>
      <c r="B415" s="905"/>
      <c r="C415" s="282" t="s">
        <v>204</v>
      </c>
      <c r="D415" s="282"/>
      <c r="E415" s="283">
        <v>0</v>
      </c>
      <c r="F415" s="284"/>
      <c r="G415" s="340">
        <f t="shared" si="545"/>
        <v>0</v>
      </c>
      <c r="H415" s="285">
        <v>0</v>
      </c>
      <c r="I415" s="285">
        <v>0</v>
      </c>
      <c r="J415" s="379" t="str">
        <f>IFERROR(G415/#REF!,"-")</f>
        <v>-</v>
      </c>
      <c r="K415" s="340">
        <f t="shared" si="546"/>
        <v>0</v>
      </c>
      <c r="L415" s="285">
        <f t="shared" si="547"/>
        <v>0</v>
      </c>
      <c r="M415" s="286">
        <f t="shared" si="548"/>
        <v>0</v>
      </c>
      <c r="N415" s="369" t="str">
        <f t="shared" si="524"/>
        <v>-</v>
      </c>
      <c r="O415" s="370" t="str">
        <f t="shared" si="525"/>
        <v>-</v>
      </c>
    </row>
    <row r="416" spans="1:15" ht="24" thickBot="1" x14ac:dyDescent="0.35">
      <c r="A416" s="277" t="s">
        <v>110</v>
      </c>
      <c r="B416" s="909" t="s">
        <v>44</v>
      </c>
      <c r="C416" s="910"/>
      <c r="D416" s="911"/>
      <c r="E416" s="326">
        <v>0</v>
      </c>
      <c r="F416" s="289"/>
      <c r="G416" s="326">
        <f>SUM(G413:G415)</f>
        <v>0</v>
      </c>
      <c r="H416" s="327">
        <f t="shared" ref="H416:I416" si="549">SUM(H413:H415)</f>
        <v>0</v>
      </c>
      <c r="I416" s="327">
        <f t="shared" si="549"/>
        <v>0</v>
      </c>
      <c r="J416" s="351" t="str">
        <f>IFERROR(G416/#REF!,"-")</f>
        <v>-</v>
      </c>
      <c r="K416" s="326">
        <f t="shared" ref="K416:M416" si="550">SUM(K413:K415)</f>
        <v>0</v>
      </c>
      <c r="L416" s="327">
        <f t="shared" si="550"/>
        <v>0</v>
      </c>
      <c r="M416" s="328">
        <f t="shared" si="550"/>
        <v>0</v>
      </c>
      <c r="N416" s="345" t="str">
        <f t="shared" si="524"/>
        <v>-</v>
      </c>
      <c r="O416" s="351" t="str">
        <f t="shared" si="525"/>
        <v>-</v>
      </c>
    </row>
    <row r="417" spans="1:15" ht="23.4" x14ac:dyDescent="0.3">
      <c r="A417" s="277" t="s">
        <v>110</v>
      </c>
      <c r="B417" s="903" t="s">
        <v>45</v>
      </c>
      <c r="C417" s="272" t="s">
        <v>169</v>
      </c>
      <c r="D417" s="272"/>
      <c r="E417" s="273">
        <v>0</v>
      </c>
      <c r="F417" s="274"/>
      <c r="G417" s="338">
        <f t="shared" ref="G417:G418" si="551">+H417+I417</f>
        <v>0</v>
      </c>
      <c r="H417" s="275">
        <v>0</v>
      </c>
      <c r="I417" s="275">
        <v>0</v>
      </c>
      <c r="J417" s="377" t="str">
        <f>IFERROR(G417/#REF!,"-")</f>
        <v>-</v>
      </c>
      <c r="K417" s="338">
        <f t="shared" ref="K417:K418" si="552">+L417+M417</f>
        <v>0</v>
      </c>
      <c r="L417" s="275">
        <f t="shared" ref="L417:L418" si="553">+H417+L314</f>
        <v>0</v>
      </c>
      <c r="M417" s="276">
        <f t="shared" ref="M417:M418" si="554">+I417+M314</f>
        <v>0</v>
      </c>
      <c r="N417" s="365" t="str">
        <f t="shared" si="524"/>
        <v>-</v>
      </c>
      <c r="O417" s="366" t="str">
        <f t="shared" si="525"/>
        <v>-</v>
      </c>
    </row>
    <row r="418" spans="1:15" ht="24" thickBot="1" x14ac:dyDescent="0.35">
      <c r="A418" s="277" t="s">
        <v>110</v>
      </c>
      <c r="B418" s="905"/>
      <c r="C418" s="282" t="s">
        <v>170</v>
      </c>
      <c r="D418" s="282"/>
      <c r="E418" s="283">
        <v>0</v>
      </c>
      <c r="F418" s="284"/>
      <c r="G418" s="340">
        <f t="shared" si="551"/>
        <v>0</v>
      </c>
      <c r="H418" s="285">
        <v>0</v>
      </c>
      <c r="I418" s="285">
        <v>0</v>
      </c>
      <c r="J418" s="379" t="str">
        <f>IFERROR(G418/#REF!,"-")</f>
        <v>-</v>
      </c>
      <c r="K418" s="340">
        <f t="shared" si="552"/>
        <v>0</v>
      </c>
      <c r="L418" s="285">
        <f t="shared" si="553"/>
        <v>0</v>
      </c>
      <c r="M418" s="286">
        <f t="shared" si="554"/>
        <v>0</v>
      </c>
      <c r="N418" s="369" t="str">
        <f t="shared" si="524"/>
        <v>-</v>
      </c>
      <c r="O418" s="370" t="str">
        <f t="shared" si="525"/>
        <v>-</v>
      </c>
    </row>
    <row r="419" spans="1:15" ht="24" thickBot="1" x14ac:dyDescent="0.35">
      <c r="A419" s="277" t="s">
        <v>110</v>
      </c>
      <c r="B419" s="909" t="s">
        <v>46</v>
      </c>
      <c r="C419" s="910"/>
      <c r="D419" s="911"/>
      <c r="E419" s="288">
        <v>11100</v>
      </c>
      <c r="F419" s="289">
        <v>25000</v>
      </c>
      <c r="G419" s="326">
        <f>SUM(G417:G418)</f>
        <v>0</v>
      </c>
      <c r="H419" s="327">
        <f t="shared" ref="H419:I419" si="555">SUM(H417:H418)</f>
        <v>0</v>
      </c>
      <c r="I419" s="327">
        <f t="shared" si="555"/>
        <v>0</v>
      </c>
      <c r="J419" s="351" t="str">
        <f>IFERROR(G419/#REF!,"-")</f>
        <v>-</v>
      </c>
      <c r="K419" s="326">
        <f t="shared" ref="K419:M419" si="556">SUM(K417:K418)</f>
        <v>0</v>
      </c>
      <c r="L419" s="327">
        <f t="shared" si="556"/>
        <v>0</v>
      </c>
      <c r="M419" s="328">
        <f t="shared" si="556"/>
        <v>0</v>
      </c>
      <c r="N419" s="345">
        <f t="shared" si="524"/>
        <v>0</v>
      </c>
      <c r="O419" s="351" t="str">
        <f t="shared" si="525"/>
        <v>-</v>
      </c>
    </row>
    <row r="420" spans="1:15" ht="24" thickBot="1" x14ac:dyDescent="0.35">
      <c r="A420" s="277" t="s">
        <v>110</v>
      </c>
      <c r="B420" s="912" t="s">
        <v>25</v>
      </c>
      <c r="C420" s="913"/>
      <c r="D420" s="914"/>
      <c r="E420" s="332">
        <f t="shared" ref="E420:F420" si="557">+E398+E403+E406+E412+E416+E419</f>
        <v>745700</v>
      </c>
      <c r="F420" s="333">
        <f t="shared" si="557"/>
        <v>59300</v>
      </c>
      <c r="G420" s="332">
        <f>+G398+G403+G406+G412+G416+G419</f>
        <v>0</v>
      </c>
      <c r="H420" s="330">
        <f t="shared" ref="H420:I420" si="558">+H398+H403+H406+H412+H416+H419</f>
        <v>0</v>
      </c>
      <c r="I420" s="330">
        <f t="shared" si="558"/>
        <v>0</v>
      </c>
      <c r="J420" s="355" t="str">
        <f>IFERROR(G420/#REF!,"-")</f>
        <v>-</v>
      </c>
      <c r="K420" s="332">
        <f>+K398+K403+K406+K412+K416+K419</f>
        <v>54422</v>
      </c>
      <c r="L420" s="330">
        <f t="shared" ref="L420:M420" si="559">+L398+L403+L406+L412+L416+L419</f>
        <v>53680</v>
      </c>
      <c r="M420" s="331">
        <f t="shared" si="559"/>
        <v>742</v>
      </c>
      <c r="N420" s="347">
        <f t="shared" si="524"/>
        <v>7.2981091591792946E-2</v>
      </c>
      <c r="O420" s="355">
        <f t="shared" si="525"/>
        <v>1.3634192054683768E-2</v>
      </c>
    </row>
    <row r="421" spans="1:15" ht="24" thickBot="1" x14ac:dyDescent="0.35">
      <c r="A421" s="324" t="s">
        <v>110</v>
      </c>
      <c r="B421" s="901" t="s">
        <v>182</v>
      </c>
      <c r="C421" s="901"/>
      <c r="D421" s="902"/>
      <c r="E421" s="336">
        <f>+E420</f>
        <v>745700</v>
      </c>
      <c r="F421" s="337">
        <f t="shared" ref="F421:O421" si="560">+F420</f>
        <v>59300</v>
      </c>
      <c r="G421" s="336">
        <f t="shared" si="560"/>
        <v>0</v>
      </c>
      <c r="H421" s="334">
        <f t="shared" si="560"/>
        <v>0</v>
      </c>
      <c r="I421" s="334">
        <f t="shared" si="560"/>
        <v>0</v>
      </c>
      <c r="J421" s="356" t="str">
        <f t="shared" si="560"/>
        <v>-</v>
      </c>
      <c r="K421" s="336">
        <f t="shared" si="560"/>
        <v>54422</v>
      </c>
      <c r="L421" s="334">
        <f t="shared" si="560"/>
        <v>53680</v>
      </c>
      <c r="M421" s="335">
        <f t="shared" si="560"/>
        <v>742</v>
      </c>
      <c r="N421" s="348">
        <f t="shared" si="560"/>
        <v>7.2981091591792946E-2</v>
      </c>
      <c r="O421" s="356">
        <f t="shared" si="560"/>
        <v>1.3634192054683768E-2</v>
      </c>
    </row>
    <row r="422" spans="1:15" ht="24.6" thickBot="1" x14ac:dyDescent="0.35">
      <c r="A422" s="325"/>
      <c r="B422" s="915" t="s">
        <v>183</v>
      </c>
      <c r="C422" s="916"/>
      <c r="D422" s="917"/>
      <c r="E422" s="380">
        <f>+E367+E394+E421</f>
        <v>9494400</v>
      </c>
      <c r="F422" s="380">
        <f>+F367+F394+F421</f>
        <v>748300</v>
      </c>
      <c r="G422" s="380">
        <f>+G367+G394+G421</f>
        <v>195962</v>
      </c>
      <c r="H422" s="380">
        <f>+H367+H394+H421</f>
        <v>193716</v>
      </c>
      <c r="I422" s="380">
        <f>+I367+I394+I421</f>
        <v>2246</v>
      </c>
      <c r="J422" s="381" t="str">
        <f>IFERROR(G422/#REF!,"-")</f>
        <v>-</v>
      </c>
      <c r="K422" s="380">
        <f>+K367+K394+K421</f>
        <v>1068883</v>
      </c>
      <c r="L422" s="380">
        <f>+L367+L394+L421</f>
        <v>1057465</v>
      </c>
      <c r="M422" s="380">
        <f>+M367+M394+M421</f>
        <v>11418</v>
      </c>
      <c r="N422" s="381">
        <f>IFERROR(K422/E422,"-")</f>
        <v>0.11258036316144253</v>
      </c>
      <c r="O422" s="381">
        <f>IFERROR(M422/K422,"-")</f>
        <v>1.0682179434044699E-2</v>
      </c>
    </row>
    <row r="423" spans="1:15" ht="23.4" x14ac:dyDescent="0.3">
      <c r="A423" s="935" t="s">
        <v>1</v>
      </c>
      <c r="B423" s="938" t="s">
        <v>2</v>
      </c>
      <c r="C423" s="941" t="s">
        <v>3</v>
      </c>
      <c r="D423" s="941" t="s">
        <v>93</v>
      </c>
      <c r="E423" s="944" t="s">
        <v>4</v>
      </c>
      <c r="F423" s="945"/>
      <c r="G423" s="945"/>
      <c r="H423" s="945"/>
      <c r="I423" s="945"/>
      <c r="J423" s="945"/>
      <c r="K423" s="945"/>
      <c r="L423" s="945"/>
      <c r="M423" s="945"/>
      <c r="N423" s="945"/>
      <c r="O423" s="946"/>
    </row>
    <row r="424" spans="1:15" ht="23.4" x14ac:dyDescent="0.3">
      <c r="A424" s="936"/>
      <c r="B424" s="939"/>
      <c r="C424" s="942"/>
      <c r="D424" s="942"/>
      <c r="E424" s="947" t="s">
        <v>7</v>
      </c>
      <c r="F424" s="949" t="s">
        <v>116</v>
      </c>
      <c r="G424" s="951">
        <v>44507</v>
      </c>
      <c r="H424" s="952"/>
      <c r="I424" s="952"/>
      <c r="J424" s="953"/>
      <c r="K424" s="954" t="s">
        <v>8</v>
      </c>
      <c r="L424" s="955"/>
      <c r="M424" s="956"/>
      <c r="N424" s="957" t="s">
        <v>174</v>
      </c>
      <c r="O424" s="959" t="s">
        <v>173</v>
      </c>
    </row>
    <row r="425" spans="1:15" ht="41.4" thickBot="1" x14ac:dyDescent="0.35">
      <c r="A425" s="937"/>
      <c r="B425" s="940"/>
      <c r="C425" s="943"/>
      <c r="D425" s="943"/>
      <c r="E425" s="948"/>
      <c r="F425" s="950"/>
      <c r="G425" s="462" t="s">
        <v>13</v>
      </c>
      <c r="H425" s="463" t="s">
        <v>14</v>
      </c>
      <c r="I425" s="463" t="s">
        <v>15</v>
      </c>
      <c r="J425" s="464" t="s">
        <v>175</v>
      </c>
      <c r="K425" s="462" t="s">
        <v>13</v>
      </c>
      <c r="L425" s="463" t="s">
        <v>14</v>
      </c>
      <c r="M425" s="465" t="s">
        <v>15</v>
      </c>
      <c r="N425" s="958"/>
      <c r="O425" s="960"/>
    </row>
    <row r="426" spans="1:15" ht="23.4" x14ac:dyDescent="0.3">
      <c r="A426" s="271" t="s">
        <v>111</v>
      </c>
      <c r="B426" s="922" t="s">
        <v>16</v>
      </c>
      <c r="C426" s="272" t="s">
        <v>186</v>
      </c>
      <c r="D426" s="272" t="s">
        <v>184</v>
      </c>
      <c r="E426" s="273">
        <v>0</v>
      </c>
      <c r="F426" s="274"/>
      <c r="G426" s="338">
        <f>+H426+I426</f>
        <v>0</v>
      </c>
      <c r="H426" s="275">
        <v>0</v>
      </c>
      <c r="I426" s="275">
        <v>0</v>
      </c>
      <c r="J426" s="357" t="str">
        <f>IFERROR(G426/#REF!,"-")</f>
        <v>-</v>
      </c>
      <c r="K426" s="468">
        <f>+L426+M426</f>
        <v>0</v>
      </c>
      <c r="L426" s="469">
        <f>+H426+L323</f>
        <v>0</v>
      </c>
      <c r="M426" s="469">
        <f>+I426+M323</f>
        <v>0</v>
      </c>
      <c r="N426" s="342" t="str">
        <f>IFERROR(K426/E426,"-")</f>
        <v>-</v>
      </c>
      <c r="O426" s="349" t="str">
        <f t="shared" ref="O426:O427" si="561">IFERROR(M426/K426,"-")</f>
        <v>-</v>
      </c>
    </row>
    <row r="427" spans="1:15" ht="23.4" x14ac:dyDescent="0.3">
      <c r="A427" s="277" t="s">
        <v>111</v>
      </c>
      <c r="B427" s="923"/>
      <c r="C427" s="278" t="s">
        <v>190</v>
      </c>
      <c r="D427" s="278" t="s">
        <v>101</v>
      </c>
      <c r="E427" s="279">
        <v>0</v>
      </c>
      <c r="F427" s="280"/>
      <c r="G427" s="339">
        <f t="shared" ref="G427:G429" si="562">+H427+I427</f>
        <v>0</v>
      </c>
      <c r="H427" s="281">
        <v>0</v>
      </c>
      <c r="I427" s="281">
        <v>0</v>
      </c>
      <c r="J427" s="358" t="str">
        <f>IFERROR(G427/#REF!,"-")</f>
        <v>-</v>
      </c>
      <c r="K427" s="339">
        <f t="shared" ref="K427:K429" si="563">+L427+M427</f>
        <v>0</v>
      </c>
      <c r="L427" s="281">
        <f t="shared" ref="L427:L429" si="564">+H427+L324</f>
        <v>0</v>
      </c>
      <c r="M427" s="442">
        <f t="shared" ref="M427:M429" si="565">+I427+M324</f>
        <v>0</v>
      </c>
      <c r="N427" s="343" t="str">
        <f t="shared" ref="N427:N429" si="566">IFERROR(K427/E427,"-")</f>
        <v>-</v>
      </c>
      <c r="O427" s="268" t="str">
        <f t="shared" si="561"/>
        <v>-</v>
      </c>
    </row>
    <row r="428" spans="1:15" ht="23.4" x14ac:dyDescent="0.3">
      <c r="A428" s="277" t="s">
        <v>111</v>
      </c>
      <c r="B428" s="923"/>
      <c r="C428" s="278" t="s">
        <v>187</v>
      </c>
      <c r="D428" s="278" t="s">
        <v>185</v>
      </c>
      <c r="E428" s="279">
        <v>0</v>
      </c>
      <c r="F428" s="280"/>
      <c r="G428" s="339">
        <f t="shared" si="562"/>
        <v>0</v>
      </c>
      <c r="H428" s="281">
        <v>0</v>
      </c>
      <c r="I428" s="281">
        <v>0</v>
      </c>
      <c r="J428" s="358" t="str">
        <f>IFERROR(G428/#REF!,"-")</f>
        <v>-</v>
      </c>
      <c r="K428" s="339">
        <f t="shared" si="563"/>
        <v>0</v>
      </c>
      <c r="L428" s="281">
        <f t="shared" si="564"/>
        <v>0</v>
      </c>
      <c r="M428" s="442">
        <f t="shared" si="565"/>
        <v>0</v>
      </c>
      <c r="N428" s="343" t="str">
        <f t="shared" si="566"/>
        <v>-</v>
      </c>
      <c r="O428" s="268" t="str">
        <f>IFERROR(M428/K428,"-")</f>
        <v>-</v>
      </c>
    </row>
    <row r="429" spans="1:15" ht="24" thickBot="1" x14ac:dyDescent="0.35">
      <c r="A429" s="277" t="s">
        <v>111</v>
      </c>
      <c r="B429" s="924"/>
      <c r="C429" s="282" t="s">
        <v>255</v>
      </c>
      <c r="D429" s="282" t="s">
        <v>256</v>
      </c>
      <c r="E429" s="283">
        <v>0</v>
      </c>
      <c r="F429" s="284"/>
      <c r="G429" s="340">
        <f t="shared" si="562"/>
        <v>16572</v>
      </c>
      <c r="H429" s="285">
        <v>16384</v>
      </c>
      <c r="I429" s="285">
        <v>188</v>
      </c>
      <c r="J429" s="359" t="str">
        <f>IFERROR(G429/#REF!,"-")</f>
        <v>-</v>
      </c>
      <c r="K429" s="471">
        <f t="shared" si="563"/>
        <v>61885</v>
      </c>
      <c r="L429" s="472">
        <f t="shared" si="564"/>
        <v>60928</v>
      </c>
      <c r="M429" s="473">
        <f t="shared" si="565"/>
        <v>957</v>
      </c>
      <c r="N429" s="344" t="str">
        <f t="shared" si="566"/>
        <v>-</v>
      </c>
      <c r="O429" s="350">
        <f t="shared" ref="O429:O493" si="567">IFERROR(M429/K429,"-")</f>
        <v>1.5464167407287711E-2</v>
      </c>
    </row>
    <row r="430" spans="1:15" ht="24" thickBot="1" x14ac:dyDescent="0.35">
      <c r="A430" s="277" t="s">
        <v>111</v>
      </c>
      <c r="B430" s="906" t="s">
        <v>47</v>
      </c>
      <c r="C430" s="907"/>
      <c r="D430" s="908"/>
      <c r="E430" s="326">
        <v>144600</v>
      </c>
      <c r="F430" s="289">
        <v>15000</v>
      </c>
      <c r="G430" s="326">
        <f>SUM(G426:G429)</f>
        <v>16572</v>
      </c>
      <c r="H430" s="327">
        <f t="shared" ref="H430:I430" si="568">SUM(H426:H429)</f>
        <v>16384</v>
      </c>
      <c r="I430" s="327">
        <f t="shared" si="568"/>
        <v>188</v>
      </c>
      <c r="J430" s="351" t="str">
        <f>IFERROR(G430/#REF!,"-")</f>
        <v>-</v>
      </c>
      <c r="K430" s="326">
        <f t="shared" ref="K430:M430" si="569">SUM(K426:K429)</f>
        <v>61885</v>
      </c>
      <c r="L430" s="327">
        <f t="shared" si="569"/>
        <v>60928</v>
      </c>
      <c r="M430" s="328">
        <f t="shared" si="569"/>
        <v>957</v>
      </c>
      <c r="N430" s="345">
        <f>IFERROR(K430/E430,"-")</f>
        <v>0.42797372060857536</v>
      </c>
      <c r="O430" s="351">
        <f t="shared" si="567"/>
        <v>1.5464167407287711E-2</v>
      </c>
    </row>
    <row r="431" spans="1:15" ht="23.4" x14ac:dyDescent="0.3">
      <c r="A431" s="277" t="s">
        <v>111</v>
      </c>
      <c r="B431" s="922" t="s">
        <v>17</v>
      </c>
      <c r="C431" s="272" t="s">
        <v>331</v>
      </c>
      <c r="D431" s="272"/>
      <c r="E431" s="273">
        <v>0</v>
      </c>
      <c r="F431" s="274"/>
      <c r="G431" s="338">
        <f t="shared" ref="G431:G437" si="570">+H431+I431</f>
        <v>0</v>
      </c>
      <c r="H431" s="275">
        <v>0</v>
      </c>
      <c r="I431" s="275">
        <v>0</v>
      </c>
      <c r="J431" s="357" t="str">
        <f>IFERROR(G431/#REF!,"-")</f>
        <v>-</v>
      </c>
      <c r="K431" s="468">
        <f t="shared" ref="K431:K437" si="571">+L431+M431</f>
        <v>0</v>
      </c>
      <c r="L431" s="469">
        <f t="shared" ref="L431:L437" si="572">+H431+L328</f>
        <v>0</v>
      </c>
      <c r="M431" s="470">
        <f t="shared" ref="M431:M437" si="573">+I431+M328</f>
        <v>0</v>
      </c>
      <c r="N431" s="342" t="str">
        <f t="shared" ref="N431:N472" si="574">IFERROR(K431/E431,"-")</f>
        <v>-</v>
      </c>
      <c r="O431" s="352" t="str">
        <f t="shared" si="567"/>
        <v>-</v>
      </c>
    </row>
    <row r="432" spans="1:15" ht="23.4" x14ac:dyDescent="0.3">
      <c r="A432" s="277" t="s">
        <v>111</v>
      </c>
      <c r="B432" s="923"/>
      <c r="C432" s="278" t="s">
        <v>421</v>
      </c>
      <c r="D432" s="278" t="s">
        <v>257</v>
      </c>
      <c r="E432" s="279">
        <v>0</v>
      </c>
      <c r="F432" s="280"/>
      <c r="G432" s="339">
        <f t="shared" si="570"/>
        <v>8733</v>
      </c>
      <c r="H432" s="281">
        <v>8568</v>
      </c>
      <c r="I432" s="281">
        <v>165</v>
      </c>
      <c r="J432" s="358" t="str">
        <f>IFERROR(G432/#REF!,"-")</f>
        <v>-</v>
      </c>
      <c r="K432" s="339">
        <f t="shared" si="571"/>
        <v>254619</v>
      </c>
      <c r="L432" s="281">
        <f t="shared" si="572"/>
        <v>253368</v>
      </c>
      <c r="M432" s="442">
        <f t="shared" si="573"/>
        <v>1251</v>
      </c>
      <c r="N432" s="343" t="str">
        <f t="shared" si="574"/>
        <v>-</v>
      </c>
      <c r="O432" s="264">
        <f t="shared" si="567"/>
        <v>4.9132232865575628E-3</v>
      </c>
    </row>
    <row r="433" spans="1:15" ht="23.4" x14ac:dyDescent="0.3">
      <c r="A433" s="277" t="s">
        <v>111</v>
      </c>
      <c r="B433" s="923"/>
      <c r="C433" s="278" t="s">
        <v>290</v>
      </c>
      <c r="D433" s="278" t="s">
        <v>205</v>
      </c>
      <c r="E433" s="279">
        <v>0</v>
      </c>
      <c r="F433" s="280"/>
      <c r="G433" s="339">
        <f t="shared" si="570"/>
        <v>0</v>
      </c>
      <c r="H433" s="281">
        <v>0</v>
      </c>
      <c r="I433" s="281">
        <v>0</v>
      </c>
      <c r="J433" s="358" t="str">
        <f>IFERROR(G433/#REF!,"-")</f>
        <v>-</v>
      </c>
      <c r="K433" s="339">
        <f t="shared" si="571"/>
        <v>0</v>
      </c>
      <c r="L433" s="281">
        <f t="shared" si="572"/>
        <v>0</v>
      </c>
      <c r="M433" s="442">
        <f t="shared" si="573"/>
        <v>0</v>
      </c>
      <c r="N433" s="343" t="str">
        <f t="shared" si="574"/>
        <v>-</v>
      </c>
      <c r="O433" s="264" t="str">
        <f t="shared" si="567"/>
        <v>-</v>
      </c>
    </row>
    <row r="434" spans="1:15" ht="23.4" x14ac:dyDescent="0.3">
      <c r="A434" s="277" t="s">
        <v>111</v>
      </c>
      <c r="B434" s="923"/>
      <c r="C434" s="278" t="s">
        <v>330</v>
      </c>
      <c r="D434" s="278" t="s">
        <v>206</v>
      </c>
      <c r="E434" s="279">
        <v>0</v>
      </c>
      <c r="F434" s="280"/>
      <c r="G434" s="339">
        <f t="shared" si="570"/>
        <v>0</v>
      </c>
      <c r="H434" s="281">
        <v>0</v>
      </c>
      <c r="I434" s="281">
        <v>0</v>
      </c>
      <c r="J434" s="358" t="str">
        <f>IFERROR(G434/#REF!,"-")</f>
        <v>-</v>
      </c>
      <c r="K434" s="339">
        <f t="shared" si="571"/>
        <v>1836</v>
      </c>
      <c r="L434" s="281">
        <f t="shared" si="572"/>
        <v>1836</v>
      </c>
      <c r="M434" s="442">
        <f t="shared" si="573"/>
        <v>0</v>
      </c>
      <c r="N434" s="343" t="str">
        <f t="shared" si="574"/>
        <v>-</v>
      </c>
      <c r="O434" s="264">
        <f t="shared" si="567"/>
        <v>0</v>
      </c>
    </row>
    <row r="435" spans="1:15" ht="23.4" x14ac:dyDescent="0.3">
      <c r="A435" s="277" t="s">
        <v>111</v>
      </c>
      <c r="B435" s="923"/>
      <c r="C435" s="278" t="s">
        <v>377</v>
      </c>
      <c r="D435" s="278" t="s">
        <v>371</v>
      </c>
      <c r="E435" s="279">
        <v>0</v>
      </c>
      <c r="F435" s="280"/>
      <c r="G435" s="339">
        <f t="shared" si="570"/>
        <v>2192</v>
      </c>
      <c r="H435" s="281">
        <v>2192</v>
      </c>
      <c r="I435" s="281">
        <v>0</v>
      </c>
      <c r="J435" s="358" t="str">
        <f>IFERROR(G435/#REF!,"-")</f>
        <v>-</v>
      </c>
      <c r="K435" s="339">
        <f t="shared" si="571"/>
        <v>8312</v>
      </c>
      <c r="L435" s="281">
        <f t="shared" si="572"/>
        <v>8312</v>
      </c>
      <c r="M435" s="442">
        <f t="shared" si="573"/>
        <v>0</v>
      </c>
      <c r="N435" s="343" t="str">
        <f t="shared" si="574"/>
        <v>-</v>
      </c>
      <c r="O435" s="264">
        <f t="shared" si="567"/>
        <v>0</v>
      </c>
    </row>
    <row r="436" spans="1:15" ht="23.4" x14ac:dyDescent="0.3">
      <c r="A436" s="277" t="s">
        <v>111</v>
      </c>
      <c r="B436" s="923"/>
      <c r="C436" s="278" t="s">
        <v>208</v>
      </c>
      <c r="D436" s="278" t="s">
        <v>207</v>
      </c>
      <c r="E436" s="279">
        <v>0</v>
      </c>
      <c r="F436" s="280"/>
      <c r="G436" s="339">
        <f t="shared" si="570"/>
        <v>0</v>
      </c>
      <c r="H436" s="281">
        <v>0</v>
      </c>
      <c r="I436" s="281">
        <v>0</v>
      </c>
      <c r="J436" s="358" t="str">
        <f>IFERROR(G436/#REF!,"-")</f>
        <v>-</v>
      </c>
      <c r="K436" s="339">
        <f t="shared" si="571"/>
        <v>0</v>
      </c>
      <c r="L436" s="281">
        <f t="shared" si="572"/>
        <v>0</v>
      </c>
      <c r="M436" s="442">
        <f t="shared" si="573"/>
        <v>0</v>
      </c>
      <c r="N436" s="343" t="str">
        <f t="shared" si="574"/>
        <v>-</v>
      </c>
      <c r="O436" s="264" t="str">
        <f t="shared" si="567"/>
        <v>-</v>
      </c>
    </row>
    <row r="437" spans="1:15" ht="24" thickBot="1" x14ac:dyDescent="0.35">
      <c r="A437" s="277" t="s">
        <v>111</v>
      </c>
      <c r="B437" s="924"/>
      <c r="C437" s="282" t="s">
        <v>416</v>
      </c>
      <c r="D437" s="282" t="s">
        <v>257</v>
      </c>
      <c r="E437" s="283">
        <v>0</v>
      </c>
      <c r="F437" s="284"/>
      <c r="G437" s="340">
        <f t="shared" si="570"/>
        <v>0</v>
      </c>
      <c r="H437" s="285">
        <v>0</v>
      </c>
      <c r="I437" s="285">
        <v>0</v>
      </c>
      <c r="J437" s="359" t="str">
        <f>IFERROR(G437/#REF!,"-")</f>
        <v>-</v>
      </c>
      <c r="K437" s="471">
        <f t="shared" si="571"/>
        <v>73650</v>
      </c>
      <c r="L437" s="472">
        <f t="shared" si="572"/>
        <v>73440</v>
      </c>
      <c r="M437" s="473">
        <f t="shared" si="573"/>
        <v>210</v>
      </c>
      <c r="N437" s="344" t="str">
        <f t="shared" si="574"/>
        <v>-</v>
      </c>
      <c r="O437" s="353">
        <f t="shared" si="567"/>
        <v>2.8513238289205704E-3</v>
      </c>
    </row>
    <row r="438" spans="1:15" ht="24" thickBot="1" x14ac:dyDescent="0.35">
      <c r="A438" s="277" t="s">
        <v>111</v>
      </c>
      <c r="B438" s="906" t="s">
        <v>48</v>
      </c>
      <c r="C438" s="907"/>
      <c r="D438" s="908"/>
      <c r="E438" s="326">
        <v>3480000</v>
      </c>
      <c r="F438" s="289">
        <v>100000</v>
      </c>
      <c r="G438" s="326">
        <f>SUM(G431:G437)</f>
        <v>10925</v>
      </c>
      <c r="H438" s="327">
        <f t="shared" ref="H438:I438" si="575">SUM(H431:H437)</f>
        <v>10760</v>
      </c>
      <c r="I438" s="327">
        <f t="shared" si="575"/>
        <v>165</v>
      </c>
      <c r="J438" s="351" t="str">
        <f>IFERROR(G438/#REF!,"-")</f>
        <v>-</v>
      </c>
      <c r="K438" s="326">
        <f t="shared" ref="K438:M438" si="576">SUM(K431:K437)</f>
        <v>338417</v>
      </c>
      <c r="L438" s="327">
        <f t="shared" si="576"/>
        <v>336956</v>
      </c>
      <c r="M438" s="328">
        <f t="shared" si="576"/>
        <v>1461</v>
      </c>
      <c r="N438" s="345">
        <f t="shared" si="574"/>
        <v>9.7246264367816096E-2</v>
      </c>
      <c r="O438" s="351">
        <f t="shared" si="567"/>
        <v>4.3171590079694577E-3</v>
      </c>
    </row>
    <row r="439" spans="1:15" ht="23.4" x14ac:dyDescent="0.3">
      <c r="A439" s="277" t="s">
        <v>111</v>
      </c>
      <c r="B439" s="922" t="s">
        <v>18</v>
      </c>
      <c r="C439" s="272" t="s">
        <v>359</v>
      </c>
      <c r="D439" s="272" t="s">
        <v>99</v>
      </c>
      <c r="E439" s="273">
        <v>0</v>
      </c>
      <c r="F439" s="274"/>
      <c r="G439" s="338">
        <f t="shared" ref="G439:G445" si="577">+H439+I439</f>
        <v>0</v>
      </c>
      <c r="H439" s="275">
        <v>0</v>
      </c>
      <c r="I439" s="275">
        <v>0</v>
      </c>
      <c r="J439" s="357" t="str">
        <f>IFERROR(G439/#REF!,"-")</f>
        <v>-</v>
      </c>
      <c r="K439" s="338">
        <f t="shared" ref="K439:K445" si="578">+L439+M439</f>
        <v>0</v>
      </c>
      <c r="L439" s="275">
        <f t="shared" ref="L439:L445" si="579">+H439+L336</f>
        <v>0</v>
      </c>
      <c r="M439" s="276">
        <f t="shared" ref="M439:M445" si="580">+I439+M336</f>
        <v>0</v>
      </c>
      <c r="N439" s="342" t="str">
        <f t="shared" si="574"/>
        <v>-</v>
      </c>
      <c r="O439" s="352" t="str">
        <f t="shared" si="567"/>
        <v>-</v>
      </c>
    </row>
    <row r="440" spans="1:15" ht="23.4" x14ac:dyDescent="0.3">
      <c r="A440" s="277" t="s">
        <v>111</v>
      </c>
      <c r="B440" s="923"/>
      <c r="C440" s="278" t="s">
        <v>258</v>
      </c>
      <c r="D440" s="278" t="s">
        <v>259</v>
      </c>
      <c r="E440" s="279">
        <v>0</v>
      </c>
      <c r="F440" s="280"/>
      <c r="G440" s="339">
        <f t="shared" si="577"/>
        <v>0</v>
      </c>
      <c r="H440" s="281">
        <v>0</v>
      </c>
      <c r="I440" s="281">
        <v>0</v>
      </c>
      <c r="J440" s="358" t="str">
        <f>IFERROR(G440/#REF!,"-")</f>
        <v>-</v>
      </c>
      <c r="K440" s="339">
        <f t="shared" si="578"/>
        <v>0</v>
      </c>
      <c r="L440" s="281">
        <f t="shared" si="579"/>
        <v>0</v>
      </c>
      <c r="M440" s="251">
        <f t="shared" si="580"/>
        <v>0</v>
      </c>
      <c r="N440" s="343" t="str">
        <f t="shared" si="574"/>
        <v>-</v>
      </c>
      <c r="O440" s="264" t="str">
        <f t="shared" si="567"/>
        <v>-</v>
      </c>
    </row>
    <row r="441" spans="1:15" ht="23.4" x14ac:dyDescent="0.3">
      <c r="A441" s="277" t="s">
        <v>111</v>
      </c>
      <c r="B441" s="923"/>
      <c r="C441" s="278" t="s">
        <v>123</v>
      </c>
      <c r="D441" s="278"/>
      <c r="E441" s="279">
        <v>0</v>
      </c>
      <c r="F441" s="280"/>
      <c r="G441" s="339">
        <f t="shared" si="577"/>
        <v>0</v>
      </c>
      <c r="H441" s="281">
        <v>0</v>
      </c>
      <c r="I441" s="281">
        <v>0</v>
      </c>
      <c r="J441" s="358" t="str">
        <f>IFERROR(G441/#REF!,"-")</f>
        <v>-</v>
      </c>
      <c r="K441" s="339">
        <f t="shared" si="578"/>
        <v>0</v>
      </c>
      <c r="L441" s="281">
        <f t="shared" si="579"/>
        <v>0</v>
      </c>
      <c r="M441" s="251">
        <f t="shared" si="580"/>
        <v>0</v>
      </c>
      <c r="N441" s="343" t="str">
        <f t="shared" si="574"/>
        <v>-</v>
      </c>
      <c r="O441" s="264" t="str">
        <f t="shared" si="567"/>
        <v>-</v>
      </c>
    </row>
    <row r="442" spans="1:15" ht="23.4" x14ac:dyDescent="0.3">
      <c r="A442" s="277" t="s">
        <v>111</v>
      </c>
      <c r="B442" s="923"/>
      <c r="C442" s="278" t="s">
        <v>130</v>
      </c>
      <c r="D442" s="278"/>
      <c r="E442" s="279">
        <v>0</v>
      </c>
      <c r="F442" s="280"/>
      <c r="G442" s="339">
        <f t="shared" si="577"/>
        <v>0</v>
      </c>
      <c r="H442" s="281">
        <v>0</v>
      </c>
      <c r="I442" s="281">
        <v>0</v>
      </c>
      <c r="J442" s="358" t="str">
        <f>IFERROR(G442/#REF!,"-")</f>
        <v>-</v>
      </c>
      <c r="K442" s="339">
        <f t="shared" si="578"/>
        <v>0</v>
      </c>
      <c r="L442" s="281">
        <f t="shared" si="579"/>
        <v>0</v>
      </c>
      <c r="M442" s="251">
        <f t="shared" si="580"/>
        <v>0</v>
      </c>
      <c r="N442" s="343" t="str">
        <f t="shared" si="574"/>
        <v>-</v>
      </c>
      <c r="O442" s="264" t="str">
        <f t="shared" si="567"/>
        <v>-</v>
      </c>
    </row>
    <row r="443" spans="1:15" ht="23.4" x14ac:dyDescent="0.3">
      <c r="A443" s="277" t="s">
        <v>111</v>
      </c>
      <c r="B443" s="923"/>
      <c r="C443" s="278" t="s">
        <v>191</v>
      </c>
      <c r="D443" s="278" t="s">
        <v>192</v>
      </c>
      <c r="E443" s="279">
        <v>0</v>
      </c>
      <c r="F443" s="280"/>
      <c r="G443" s="339">
        <f t="shared" si="577"/>
        <v>0</v>
      </c>
      <c r="H443" s="281">
        <v>0</v>
      </c>
      <c r="I443" s="281">
        <v>0</v>
      </c>
      <c r="J443" s="358" t="str">
        <f>IFERROR(G443/#REF!,"-")</f>
        <v>-</v>
      </c>
      <c r="K443" s="339">
        <f t="shared" si="578"/>
        <v>0</v>
      </c>
      <c r="L443" s="281">
        <f t="shared" si="579"/>
        <v>0</v>
      </c>
      <c r="M443" s="251">
        <f t="shared" si="580"/>
        <v>0</v>
      </c>
      <c r="N443" s="343" t="str">
        <f t="shared" si="574"/>
        <v>-</v>
      </c>
      <c r="O443" s="264" t="str">
        <f t="shared" si="567"/>
        <v>-</v>
      </c>
    </row>
    <row r="444" spans="1:15" ht="23.4" x14ac:dyDescent="0.3">
      <c r="A444" s="277" t="s">
        <v>111</v>
      </c>
      <c r="B444" s="923"/>
      <c r="C444" s="278" t="s">
        <v>194</v>
      </c>
      <c r="D444" s="278" t="s">
        <v>193</v>
      </c>
      <c r="E444" s="279">
        <v>0</v>
      </c>
      <c r="F444" s="280"/>
      <c r="G444" s="339">
        <f t="shared" si="577"/>
        <v>0</v>
      </c>
      <c r="H444" s="281">
        <v>0</v>
      </c>
      <c r="I444" s="281">
        <v>0</v>
      </c>
      <c r="J444" s="358" t="str">
        <f>IFERROR(G444/#REF!,"-")</f>
        <v>-</v>
      </c>
      <c r="K444" s="339">
        <f t="shared" si="578"/>
        <v>0</v>
      </c>
      <c r="L444" s="281">
        <f t="shared" si="579"/>
        <v>0</v>
      </c>
      <c r="M444" s="251">
        <f t="shared" si="580"/>
        <v>0</v>
      </c>
      <c r="N444" s="343" t="str">
        <f t="shared" si="574"/>
        <v>-</v>
      </c>
      <c r="O444" s="264" t="str">
        <f t="shared" si="567"/>
        <v>-</v>
      </c>
    </row>
    <row r="445" spans="1:15" ht="24" thickBot="1" x14ac:dyDescent="0.35">
      <c r="A445" s="277" t="s">
        <v>111</v>
      </c>
      <c r="B445" s="924"/>
      <c r="C445" s="290" t="s">
        <v>195</v>
      </c>
      <c r="D445" s="290" t="s">
        <v>115</v>
      </c>
      <c r="E445" s="283">
        <v>0</v>
      </c>
      <c r="F445" s="284"/>
      <c r="G445" s="340">
        <f t="shared" si="577"/>
        <v>0</v>
      </c>
      <c r="H445" s="285">
        <v>0</v>
      </c>
      <c r="I445" s="285">
        <v>0</v>
      </c>
      <c r="J445" s="359" t="str">
        <f>IFERROR(G445/#REF!,"-")</f>
        <v>-</v>
      </c>
      <c r="K445" s="340">
        <f t="shared" si="578"/>
        <v>0</v>
      </c>
      <c r="L445" s="285">
        <f t="shared" si="579"/>
        <v>0</v>
      </c>
      <c r="M445" s="286">
        <f t="shared" si="580"/>
        <v>0</v>
      </c>
      <c r="N445" s="344" t="str">
        <f t="shared" si="574"/>
        <v>-</v>
      </c>
      <c r="O445" s="353" t="str">
        <f t="shared" si="567"/>
        <v>-</v>
      </c>
    </row>
    <row r="446" spans="1:15" ht="24" thickBot="1" x14ac:dyDescent="0.35">
      <c r="A446" s="277" t="s">
        <v>111</v>
      </c>
      <c r="B446" s="906" t="s">
        <v>29</v>
      </c>
      <c r="C446" s="907"/>
      <c r="D446" s="908"/>
      <c r="E446" s="326">
        <f t="shared" ref="E446" si="581">SUM(E439:E445)</f>
        <v>0</v>
      </c>
      <c r="F446" s="289">
        <v>80000</v>
      </c>
      <c r="G446" s="326">
        <f>SUM(G439:G445)</f>
        <v>0</v>
      </c>
      <c r="H446" s="327">
        <f t="shared" ref="H446:I446" si="582">SUM(H439:H445)</f>
        <v>0</v>
      </c>
      <c r="I446" s="327">
        <f t="shared" si="582"/>
        <v>0</v>
      </c>
      <c r="J446" s="351" t="str">
        <f>IFERROR(G446/#REF!,"-")</f>
        <v>-</v>
      </c>
      <c r="K446" s="326">
        <f t="shared" ref="K446:M446" si="583">SUM(K439:K445)</f>
        <v>0</v>
      </c>
      <c r="L446" s="327">
        <f t="shared" si="583"/>
        <v>0</v>
      </c>
      <c r="M446" s="328">
        <f t="shared" si="583"/>
        <v>0</v>
      </c>
      <c r="N446" s="345" t="str">
        <f t="shared" si="574"/>
        <v>-</v>
      </c>
      <c r="O446" s="351" t="str">
        <f t="shared" si="567"/>
        <v>-</v>
      </c>
    </row>
    <row r="447" spans="1:15" ht="23.4" x14ac:dyDescent="0.3">
      <c r="A447" s="252" t="s">
        <v>111</v>
      </c>
      <c r="B447" s="918" t="s">
        <v>19</v>
      </c>
      <c r="C447" s="678" t="s">
        <v>260</v>
      </c>
      <c r="D447" s="676" t="s">
        <v>192</v>
      </c>
      <c r="E447" s="293">
        <v>2000000</v>
      </c>
      <c r="F447" s="294">
        <v>110000</v>
      </c>
      <c r="G447" s="468">
        <f t="shared" ref="G447:G448" si="584">+H447+I447</f>
        <v>25719</v>
      </c>
      <c r="H447" s="674">
        <v>25344</v>
      </c>
      <c r="I447" s="674">
        <v>375</v>
      </c>
      <c r="J447" s="675" t="str">
        <f>IFERROR(G447/#REF!,"-")</f>
        <v>-</v>
      </c>
      <c r="K447" s="673">
        <f>+L447+M447</f>
        <v>102073</v>
      </c>
      <c r="L447" s="295">
        <f t="shared" ref="L447:L448" si="585">+H447+L344</f>
        <v>101376</v>
      </c>
      <c r="M447" s="295">
        <f t="shared" ref="M447:M448" si="586">+I447+M344</f>
        <v>697</v>
      </c>
      <c r="N447" s="346">
        <f t="shared" si="574"/>
        <v>5.1036499999999999E-2</v>
      </c>
      <c r="O447" s="354">
        <f t="shared" si="567"/>
        <v>6.8284463080344462E-3</v>
      </c>
    </row>
    <row r="448" spans="1:15" ht="24" thickBot="1" x14ac:dyDescent="0.35">
      <c r="A448" s="252"/>
      <c r="B448" s="920"/>
      <c r="C448" s="679" t="s">
        <v>417</v>
      </c>
      <c r="D448" s="677"/>
      <c r="E448" s="285">
        <v>150000</v>
      </c>
      <c r="F448" s="285">
        <v>110000</v>
      </c>
      <c r="G448" s="607">
        <f t="shared" si="584"/>
        <v>0</v>
      </c>
      <c r="H448" s="285">
        <v>0</v>
      </c>
      <c r="I448" s="285">
        <v>0</v>
      </c>
      <c r="J448" s="359"/>
      <c r="K448" s="607">
        <f>+L448+M448</f>
        <v>0</v>
      </c>
      <c r="L448" s="285">
        <f t="shared" si="585"/>
        <v>0</v>
      </c>
      <c r="M448" s="285">
        <f t="shared" si="586"/>
        <v>0</v>
      </c>
      <c r="N448" s="680">
        <f t="shared" si="574"/>
        <v>0</v>
      </c>
      <c r="O448" s="680" t="str">
        <f t="shared" si="567"/>
        <v>-</v>
      </c>
    </row>
    <row r="449" spans="1:15" ht="24" thickBot="1" x14ac:dyDescent="0.35">
      <c r="A449" s="277" t="s">
        <v>111</v>
      </c>
      <c r="B449" s="921" t="s">
        <v>49</v>
      </c>
      <c r="C449" s="907"/>
      <c r="D449" s="908"/>
      <c r="E449" s="326">
        <f>SUM(E447:E448)</f>
        <v>2150000</v>
      </c>
      <c r="F449" s="329">
        <f t="shared" ref="F449" si="587">SUM(F447)</f>
        <v>110000</v>
      </c>
      <c r="G449" s="326">
        <f>SUM(G447)</f>
        <v>25719</v>
      </c>
      <c r="H449" s="327">
        <f t="shared" ref="H449:I449" si="588">SUM(H447)</f>
        <v>25344</v>
      </c>
      <c r="I449" s="327">
        <f t="shared" si="588"/>
        <v>375</v>
      </c>
      <c r="J449" s="351" t="str">
        <f>IFERROR(G449/#REF!,"-")</f>
        <v>-</v>
      </c>
      <c r="K449" s="681">
        <f t="shared" ref="K449:M449" si="589">SUM(K447)</f>
        <v>102073</v>
      </c>
      <c r="L449" s="327">
        <f t="shared" si="589"/>
        <v>101376</v>
      </c>
      <c r="M449" s="328">
        <f t="shared" si="589"/>
        <v>697</v>
      </c>
      <c r="N449" s="345">
        <f t="shared" si="574"/>
        <v>4.747581395348837E-2</v>
      </c>
      <c r="O449" s="351">
        <f t="shared" si="567"/>
        <v>6.8284463080344462E-3</v>
      </c>
    </row>
    <row r="450" spans="1:15" ht="23.4" x14ac:dyDescent="0.3">
      <c r="A450" s="277" t="s">
        <v>111</v>
      </c>
      <c r="B450" s="922" t="s">
        <v>20</v>
      </c>
      <c r="C450" s="297" t="s">
        <v>370</v>
      </c>
      <c r="D450" s="297" t="s">
        <v>324</v>
      </c>
      <c r="E450" s="273">
        <v>0</v>
      </c>
      <c r="F450" s="274"/>
      <c r="G450" s="338">
        <f t="shared" ref="G450:G452" si="590">+H450+I450</f>
        <v>0</v>
      </c>
      <c r="H450" s="275">
        <v>0</v>
      </c>
      <c r="I450" s="275">
        <v>0</v>
      </c>
      <c r="J450" s="357" t="str">
        <f>IFERROR(G450/#REF!,"-")</f>
        <v>-</v>
      </c>
      <c r="K450" s="338">
        <f t="shared" ref="K450:K452" si="591">+L450+M450</f>
        <v>0</v>
      </c>
      <c r="L450" s="275">
        <f t="shared" ref="L450:L452" si="592">+H450+L347</f>
        <v>0</v>
      </c>
      <c r="M450" s="276">
        <f t="shared" ref="M450:M452" si="593">+I450+M347</f>
        <v>0</v>
      </c>
      <c r="N450" s="342" t="str">
        <f t="shared" si="574"/>
        <v>-</v>
      </c>
      <c r="O450" s="352" t="str">
        <f t="shared" si="567"/>
        <v>-</v>
      </c>
    </row>
    <row r="451" spans="1:15" ht="23.4" x14ac:dyDescent="0.3">
      <c r="A451" s="277" t="s">
        <v>111</v>
      </c>
      <c r="B451" s="923"/>
      <c r="C451" s="298" t="s">
        <v>122</v>
      </c>
      <c r="D451" s="298"/>
      <c r="E451" s="279">
        <v>0</v>
      </c>
      <c r="F451" s="280"/>
      <c r="G451" s="339">
        <f t="shared" si="590"/>
        <v>0</v>
      </c>
      <c r="H451" s="281">
        <v>0</v>
      </c>
      <c r="I451" s="281">
        <v>0</v>
      </c>
      <c r="J451" s="358" t="str">
        <f>IFERROR(G451/#REF!,"-")</f>
        <v>-</v>
      </c>
      <c r="K451" s="339">
        <f t="shared" si="591"/>
        <v>0</v>
      </c>
      <c r="L451" s="281">
        <f t="shared" si="592"/>
        <v>0</v>
      </c>
      <c r="M451" s="251">
        <f t="shared" si="593"/>
        <v>0</v>
      </c>
      <c r="N451" s="343" t="str">
        <f t="shared" si="574"/>
        <v>-</v>
      </c>
      <c r="O451" s="264" t="str">
        <f t="shared" si="567"/>
        <v>-</v>
      </c>
    </row>
    <row r="452" spans="1:15" ht="24" thickBot="1" x14ac:dyDescent="0.35">
      <c r="A452" s="277" t="s">
        <v>111</v>
      </c>
      <c r="B452" s="924"/>
      <c r="C452" s="299" t="s">
        <v>128</v>
      </c>
      <c r="D452" s="299"/>
      <c r="E452" s="283">
        <v>0</v>
      </c>
      <c r="F452" s="284"/>
      <c r="G452" s="340">
        <f t="shared" si="590"/>
        <v>0</v>
      </c>
      <c r="H452" s="285">
        <v>0</v>
      </c>
      <c r="I452" s="285">
        <v>0</v>
      </c>
      <c r="J452" s="359" t="str">
        <f>IFERROR(G452/#REF!,"-")</f>
        <v>-</v>
      </c>
      <c r="K452" s="340">
        <f t="shared" si="591"/>
        <v>0</v>
      </c>
      <c r="L452" s="285">
        <f t="shared" si="592"/>
        <v>0</v>
      </c>
      <c r="M452" s="286">
        <f t="shared" si="593"/>
        <v>0</v>
      </c>
      <c r="N452" s="344" t="str">
        <f t="shared" si="574"/>
        <v>-</v>
      </c>
      <c r="O452" s="353" t="str">
        <f t="shared" si="567"/>
        <v>-</v>
      </c>
    </row>
    <row r="453" spans="1:15" ht="24" thickBot="1" x14ac:dyDescent="0.35">
      <c r="A453" s="277" t="s">
        <v>111</v>
      </c>
      <c r="B453" s="907" t="s">
        <v>50</v>
      </c>
      <c r="C453" s="907"/>
      <c r="D453" s="925"/>
      <c r="E453" s="326">
        <f t="shared" ref="E453" si="594">SUM(E450:E452)</f>
        <v>0</v>
      </c>
      <c r="F453" s="289">
        <v>50000</v>
      </c>
      <c r="G453" s="326">
        <f>SUM(G450:G452)</f>
        <v>0</v>
      </c>
      <c r="H453" s="327">
        <f t="shared" ref="H453:I453" si="595">SUM(H450:H452)</f>
        <v>0</v>
      </c>
      <c r="I453" s="327">
        <f t="shared" si="595"/>
        <v>0</v>
      </c>
      <c r="J453" s="351" t="str">
        <f>IFERROR(G453/#REF!,"-")</f>
        <v>-</v>
      </c>
      <c r="K453" s="326">
        <f t="shared" ref="K453:M453" si="596">SUM(K450:K452)</f>
        <v>0</v>
      </c>
      <c r="L453" s="327">
        <f t="shared" si="596"/>
        <v>0</v>
      </c>
      <c r="M453" s="328">
        <f t="shared" si="596"/>
        <v>0</v>
      </c>
      <c r="N453" s="345" t="str">
        <f t="shared" si="574"/>
        <v>-</v>
      </c>
      <c r="O453" s="351" t="str">
        <f t="shared" si="567"/>
        <v>-</v>
      </c>
    </row>
    <row r="454" spans="1:15" ht="24" thickBot="1" x14ac:dyDescent="0.35">
      <c r="A454" s="277" t="s">
        <v>111</v>
      </c>
      <c r="B454" s="926" t="s">
        <v>21</v>
      </c>
      <c r="C454" s="927"/>
      <c r="D454" s="928"/>
      <c r="E454" s="332">
        <f>+E430+E438+E446+E449+E453</f>
        <v>5774600</v>
      </c>
      <c r="F454" s="333">
        <f>+F430+F438+F446+F449+F453</f>
        <v>355000</v>
      </c>
      <c r="G454" s="332">
        <f>+G430+G438+G446+G449+G453</f>
        <v>53216</v>
      </c>
      <c r="H454" s="330">
        <f>+H430+H438+H446+H449+H453</f>
        <v>52488</v>
      </c>
      <c r="I454" s="330">
        <f>+I430+I438+I446+I449+I453</f>
        <v>728</v>
      </c>
      <c r="J454" s="355" t="str">
        <f>IFERROR(G454/#REF!,"-")</f>
        <v>-</v>
      </c>
      <c r="K454" s="332">
        <f>+K430+K438+K446+K449+K453</f>
        <v>502375</v>
      </c>
      <c r="L454" s="330">
        <f>+L430+L438+L446+L449+L453</f>
        <v>499260</v>
      </c>
      <c r="M454" s="331">
        <f>+M430+M438+M446+M449+M453</f>
        <v>3115</v>
      </c>
      <c r="N454" s="347">
        <f t="shared" si="574"/>
        <v>8.6997367783049909E-2</v>
      </c>
      <c r="O454" s="355">
        <f t="shared" si="567"/>
        <v>6.2005473998507088E-3</v>
      </c>
    </row>
    <row r="455" spans="1:15" ht="23.4" x14ac:dyDescent="0.3">
      <c r="A455" s="277" t="s">
        <v>111</v>
      </c>
      <c r="B455" s="922" t="s">
        <v>22</v>
      </c>
      <c r="C455" s="272" t="s">
        <v>133</v>
      </c>
      <c r="D455" s="272"/>
      <c r="E455" s="273">
        <v>0</v>
      </c>
      <c r="F455" s="274"/>
      <c r="G455" s="338">
        <f t="shared" ref="G455:G458" si="597">+H455+I455</f>
        <v>0</v>
      </c>
      <c r="H455" s="275">
        <v>0</v>
      </c>
      <c r="I455" s="275">
        <v>0</v>
      </c>
      <c r="J455" s="357" t="str">
        <f>IFERROR(G455/#REF!,"-")</f>
        <v>-</v>
      </c>
      <c r="K455" s="338">
        <f t="shared" ref="K455:K458" si="598">+L455+M455</f>
        <v>0</v>
      </c>
      <c r="L455" s="275">
        <f t="shared" ref="L455:L458" si="599">+H455+L352</f>
        <v>0</v>
      </c>
      <c r="M455" s="276">
        <f t="shared" ref="M455:M458" si="600">+I455+M352</f>
        <v>0</v>
      </c>
      <c r="N455" s="342" t="str">
        <f t="shared" si="574"/>
        <v>-</v>
      </c>
      <c r="O455" s="352" t="str">
        <f t="shared" si="567"/>
        <v>-</v>
      </c>
    </row>
    <row r="456" spans="1:15" ht="23.4" x14ac:dyDescent="0.3">
      <c r="A456" s="277" t="s">
        <v>111</v>
      </c>
      <c r="B456" s="923"/>
      <c r="C456" s="301" t="s">
        <v>291</v>
      </c>
      <c r="D456" s="301" t="s">
        <v>196</v>
      </c>
      <c r="E456" s="279">
        <v>0</v>
      </c>
      <c r="F456" s="280"/>
      <c r="G456" s="339">
        <f t="shared" si="597"/>
        <v>0</v>
      </c>
      <c r="H456" s="281">
        <v>0</v>
      </c>
      <c r="I456" s="281">
        <v>0</v>
      </c>
      <c r="J456" s="358" t="str">
        <f>IFERROR(G456/#REF!,"-")</f>
        <v>-</v>
      </c>
      <c r="K456" s="339">
        <f t="shared" si="598"/>
        <v>0</v>
      </c>
      <c r="L456" s="281">
        <f t="shared" si="599"/>
        <v>0</v>
      </c>
      <c r="M456" s="251">
        <f t="shared" si="600"/>
        <v>0</v>
      </c>
      <c r="N456" s="343" t="str">
        <f t="shared" si="574"/>
        <v>-</v>
      </c>
      <c r="O456" s="264" t="str">
        <f t="shared" si="567"/>
        <v>-</v>
      </c>
    </row>
    <row r="457" spans="1:15" ht="23.4" x14ac:dyDescent="0.3">
      <c r="A457" s="277" t="s">
        <v>111</v>
      </c>
      <c r="B457" s="923"/>
      <c r="C457" s="301" t="s">
        <v>198</v>
      </c>
      <c r="D457" s="301" t="s">
        <v>100</v>
      </c>
      <c r="E457" s="279">
        <v>0</v>
      </c>
      <c r="F457" s="280"/>
      <c r="G457" s="339">
        <f t="shared" si="597"/>
        <v>0</v>
      </c>
      <c r="H457" s="281">
        <v>0</v>
      </c>
      <c r="I457" s="281">
        <v>0</v>
      </c>
      <c r="J457" s="358" t="str">
        <f>IFERROR(G457/#REF!,"-")</f>
        <v>-</v>
      </c>
      <c r="K457" s="339">
        <f t="shared" si="598"/>
        <v>0</v>
      </c>
      <c r="L457" s="281">
        <f t="shared" si="599"/>
        <v>0</v>
      </c>
      <c r="M457" s="251">
        <f t="shared" si="600"/>
        <v>0</v>
      </c>
      <c r="N457" s="343" t="str">
        <f t="shared" si="574"/>
        <v>-</v>
      </c>
      <c r="O457" s="264" t="str">
        <f t="shared" si="567"/>
        <v>-</v>
      </c>
    </row>
    <row r="458" spans="1:15" ht="24" thickBot="1" x14ac:dyDescent="0.35">
      <c r="A458" s="277" t="s">
        <v>111</v>
      </c>
      <c r="B458" s="924"/>
      <c r="C458" s="282" t="s">
        <v>197</v>
      </c>
      <c r="D458" s="282" t="s">
        <v>100</v>
      </c>
      <c r="E458" s="283">
        <v>0</v>
      </c>
      <c r="F458" s="284"/>
      <c r="G458" s="340">
        <f t="shared" si="597"/>
        <v>0</v>
      </c>
      <c r="H458" s="285">
        <v>0</v>
      </c>
      <c r="I458" s="285">
        <v>0</v>
      </c>
      <c r="J458" s="359" t="str">
        <f>IFERROR(G458/#REF!,"-")</f>
        <v>-</v>
      </c>
      <c r="K458" s="340">
        <f t="shared" si="598"/>
        <v>0</v>
      </c>
      <c r="L458" s="285">
        <f t="shared" si="599"/>
        <v>0</v>
      </c>
      <c r="M458" s="286">
        <f t="shared" si="600"/>
        <v>0</v>
      </c>
      <c r="N458" s="344" t="str">
        <f t="shared" si="574"/>
        <v>-</v>
      </c>
      <c r="O458" s="353" t="str">
        <f t="shared" si="567"/>
        <v>-</v>
      </c>
    </row>
    <row r="459" spans="1:15" ht="24" thickBot="1" x14ac:dyDescent="0.35">
      <c r="A459" s="277" t="s">
        <v>111</v>
      </c>
      <c r="B459" s="906" t="s">
        <v>51</v>
      </c>
      <c r="C459" s="907"/>
      <c r="D459" s="908"/>
      <c r="E459" s="288">
        <v>0</v>
      </c>
      <c r="F459" s="289">
        <v>80000</v>
      </c>
      <c r="G459" s="326">
        <f>SUM(G455:G458)</f>
        <v>0</v>
      </c>
      <c r="H459" s="327">
        <f t="shared" ref="H459:I459" si="601">SUM(H455:H458)</f>
        <v>0</v>
      </c>
      <c r="I459" s="327">
        <f t="shared" si="601"/>
        <v>0</v>
      </c>
      <c r="J459" s="351" t="str">
        <f>IFERROR(G459/#REF!,"-")</f>
        <v>-</v>
      </c>
      <c r="K459" s="326">
        <f t="shared" ref="K459:M459" si="602">SUM(K455:K458)</f>
        <v>0</v>
      </c>
      <c r="L459" s="327">
        <f t="shared" si="602"/>
        <v>0</v>
      </c>
      <c r="M459" s="328">
        <f t="shared" si="602"/>
        <v>0</v>
      </c>
      <c r="N459" s="345" t="str">
        <f t="shared" si="574"/>
        <v>-</v>
      </c>
      <c r="O459" s="351" t="str">
        <f t="shared" si="567"/>
        <v>-</v>
      </c>
    </row>
    <row r="460" spans="1:15" ht="23.4" x14ac:dyDescent="0.3">
      <c r="A460" s="277" t="s">
        <v>111</v>
      </c>
      <c r="B460" s="922" t="s">
        <v>23</v>
      </c>
      <c r="C460" s="302" t="s">
        <v>348</v>
      </c>
      <c r="D460" s="302" t="s">
        <v>263</v>
      </c>
      <c r="E460" s="273">
        <v>0</v>
      </c>
      <c r="F460" s="274"/>
      <c r="G460" s="338">
        <f t="shared" ref="G460:G467" si="603">+H460+I460</f>
        <v>0</v>
      </c>
      <c r="H460" s="275">
        <v>0</v>
      </c>
      <c r="I460" s="275">
        <v>0</v>
      </c>
      <c r="J460" s="357" t="str">
        <f>IFERROR(G460/#REF!,"-")</f>
        <v>-</v>
      </c>
      <c r="K460" s="338">
        <f t="shared" ref="K460:K467" si="604">+L460+M460</f>
        <v>0</v>
      </c>
      <c r="L460" s="275">
        <f t="shared" ref="L460:L467" si="605">+H460+L357</f>
        <v>0</v>
      </c>
      <c r="M460" s="276">
        <f t="shared" ref="M460:M467" si="606">+I460+M357</f>
        <v>0</v>
      </c>
      <c r="N460" s="342" t="str">
        <f t="shared" si="574"/>
        <v>-</v>
      </c>
      <c r="O460" s="352" t="str">
        <f t="shared" si="567"/>
        <v>-</v>
      </c>
    </row>
    <row r="461" spans="1:15" ht="23.4" x14ac:dyDescent="0.3">
      <c r="A461" s="277" t="s">
        <v>111</v>
      </c>
      <c r="B461" s="923"/>
      <c r="C461" s="278" t="s">
        <v>24</v>
      </c>
      <c r="D461" s="278" t="s">
        <v>263</v>
      </c>
      <c r="E461" s="279">
        <v>0</v>
      </c>
      <c r="F461" s="280"/>
      <c r="G461" s="339">
        <f t="shared" si="603"/>
        <v>0</v>
      </c>
      <c r="H461" s="281">
        <v>0</v>
      </c>
      <c r="I461" s="281">
        <v>0</v>
      </c>
      <c r="J461" s="358" t="str">
        <f>IFERROR(G461/#REF!,"-")</f>
        <v>-</v>
      </c>
      <c r="K461" s="339">
        <f t="shared" si="604"/>
        <v>29090</v>
      </c>
      <c r="L461" s="281">
        <f t="shared" si="605"/>
        <v>28875</v>
      </c>
      <c r="M461" s="251">
        <f t="shared" si="606"/>
        <v>215</v>
      </c>
      <c r="N461" s="343" t="str">
        <f t="shared" si="574"/>
        <v>-</v>
      </c>
      <c r="O461" s="264">
        <f t="shared" si="567"/>
        <v>7.390855964248883E-3</v>
      </c>
    </row>
    <row r="462" spans="1:15" ht="23.4" x14ac:dyDescent="0.3">
      <c r="A462" s="277" t="s">
        <v>111</v>
      </c>
      <c r="B462" s="923"/>
      <c r="C462" s="278" t="s">
        <v>261</v>
      </c>
      <c r="D462" s="278" t="s">
        <v>263</v>
      </c>
      <c r="E462" s="279">
        <v>0</v>
      </c>
      <c r="F462" s="280"/>
      <c r="G462" s="339">
        <f t="shared" si="603"/>
        <v>0</v>
      </c>
      <c r="H462" s="281">
        <v>0</v>
      </c>
      <c r="I462" s="281">
        <v>0</v>
      </c>
      <c r="J462" s="358" t="str">
        <f>IFERROR(G462/#REF!,"-")</f>
        <v>-</v>
      </c>
      <c r="K462" s="339">
        <f t="shared" si="604"/>
        <v>0</v>
      </c>
      <c r="L462" s="281">
        <f t="shared" si="605"/>
        <v>0</v>
      </c>
      <c r="M462" s="251">
        <f t="shared" si="606"/>
        <v>0</v>
      </c>
      <c r="N462" s="343" t="str">
        <f t="shared" si="574"/>
        <v>-</v>
      </c>
      <c r="O462" s="264" t="str">
        <f t="shared" si="567"/>
        <v>-</v>
      </c>
    </row>
    <row r="463" spans="1:15" ht="23.4" x14ac:dyDescent="0.3">
      <c r="A463" s="277" t="s">
        <v>111</v>
      </c>
      <c r="B463" s="923"/>
      <c r="C463" s="278" t="s">
        <v>262</v>
      </c>
      <c r="D463" s="278" t="s">
        <v>263</v>
      </c>
      <c r="E463" s="279">
        <v>0</v>
      </c>
      <c r="F463" s="280"/>
      <c r="G463" s="339">
        <f t="shared" si="603"/>
        <v>0</v>
      </c>
      <c r="H463" s="281">
        <v>0</v>
      </c>
      <c r="I463" s="281">
        <v>0</v>
      </c>
      <c r="J463" s="358" t="str">
        <f>IFERROR(G463/#REF!,"-")</f>
        <v>-</v>
      </c>
      <c r="K463" s="339">
        <f t="shared" si="604"/>
        <v>0</v>
      </c>
      <c r="L463" s="281">
        <f t="shared" si="605"/>
        <v>0</v>
      </c>
      <c r="M463" s="251">
        <f t="shared" si="606"/>
        <v>0</v>
      </c>
      <c r="N463" s="343" t="str">
        <f t="shared" si="574"/>
        <v>-</v>
      </c>
      <c r="O463" s="264" t="str">
        <f t="shared" si="567"/>
        <v>-</v>
      </c>
    </row>
    <row r="464" spans="1:15" ht="23.4" x14ac:dyDescent="0.3">
      <c r="A464" s="277" t="s">
        <v>111</v>
      </c>
      <c r="B464" s="923"/>
      <c r="C464" s="301" t="s">
        <v>264</v>
      </c>
      <c r="D464" s="278" t="s">
        <v>263</v>
      </c>
      <c r="E464" s="279">
        <v>0</v>
      </c>
      <c r="F464" s="280"/>
      <c r="G464" s="339">
        <f t="shared" si="603"/>
        <v>0</v>
      </c>
      <c r="H464" s="281">
        <v>0</v>
      </c>
      <c r="I464" s="281">
        <v>0</v>
      </c>
      <c r="J464" s="358" t="str">
        <f>IFERROR(G464/#REF!,"-")</f>
        <v>-</v>
      </c>
      <c r="K464" s="339">
        <f t="shared" si="604"/>
        <v>0</v>
      </c>
      <c r="L464" s="281">
        <f t="shared" si="605"/>
        <v>0</v>
      </c>
      <c r="M464" s="251">
        <f t="shared" si="606"/>
        <v>0</v>
      </c>
      <c r="N464" s="343" t="str">
        <f t="shared" si="574"/>
        <v>-</v>
      </c>
      <c r="O464" s="264" t="str">
        <f t="shared" si="567"/>
        <v>-</v>
      </c>
    </row>
    <row r="465" spans="1:15" ht="23.4" x14ac:dyDescent="0.3">
      <c r="A465" s="277" t="s">
        <v>111</v>
      </c>
      <c r="B465" s="923"/>
      <c r="C465" s="301" t="s">
        <v>265</v>
      </c>
      <c r="D465" s="278" t="s">
        <v>263</v>
      </c>
      <c r="E465" s="279">
        <v>0</v>
      </c>
      <c r="F465" s="280"/>
      <c r="G465" s="339">
        <f t="shared" si="603"/>
        <v>0</v>
      </c>
      <c r="H465" s="281">
        <v>0</v>
      </c>
      <c r="I465" s="281">
        <v>0</v>
      </c>
      <c r="J465" s="358" t="str">
        <f>IFERROR(G465/#REF!,"-")</f>
        <v>-</v>
      </c>
      <c r="K465" s="339">
        <f t="shared" si="604"/>
        <v>0</v>
      </c>
      <c r="L465" s="281">
        <f t="shared" si="605"/>
        <v>0</v>
      </c>
      <c r="M465" s="251">
        <f t="shared" si="606"/>
        <v>0</v>
      </c>
      <c r="N465" s="343" t="str">
        <f t="shared" si="574"/>
        <v>-</v>
      </c>
      <c r="O465" s="264" t="str">
        <f t="shared" si="567"/>
        <v>-</v>
      </c>
    </row>
    <row r="466" spans="1:15" ht="23.4" x14ac:dyDescent="0.3">
      <c r="A466" s="277" t="s">
        <v>111</v>
      </c>
      <c r="B466" s="923"/>
      <c r="C466" s="301" t="s">
        <v>266</v>
      </c>
      <c r="D466" s="278" t="s">
        <v>268</v>
      </c>
      <c r="E466" s="279">
        <v>0</v>
      </c>
      <c r="F466" s="280"/>
      <c r="G466" s="339">
        <f t="shared" si="603"/>
        <v>0</v>
      </c>
      <c r="H466" s="281">
        <v>0</v>
      </c>
      <c r="I466" s="281">
        <v>0</v>
      </c>
      <c r="J466" s="358" t="str">
        <f>IFERROR(G466/#REF!,"-")</f>
        <v>-</v>
      </c>
      <c r="K466" s="339">
        <f t="shared" si="604"/>
        <v>0</v>
      </c>
      <c r="L466" s="281">
        <f t="shared" si="605"/>
        <v>0</v>
      </c>
      <c r="M466" s="251">
        <f t="shared" si="606"/>
        <v>0</v>
      </c>
      <c r="N466" s="343" t="str">
        <f t="shared" si="574"/>
        <v>-</v>
      </c>
      <c r="O466" s="264" t="str">
        <f t="shared" si="567"/>
        <v>-</v>
      </c>
    </row>
    <row r="467" spans="1:15" ht="24" thickBot="1" x14ac:dyDescent="0.35">
      <c r="A467" s="277" t="s">
        <v>111</v>
      </c>
      <c r="B467" s="924"/>
      <c r="C467" s="301" t="s">
        <v>267</v>
      </c>
      <c r="D467" s="278" t="s">
        <v>263</v>
      </c>
      <c r="E467" s="283">
        <v>0</v>
      </c>
      <c r="F467" s="284"/>
      <c r="G467" s="340">
        <f t="shared" si="603"/>
        <v>0</v>
      </c>
      <c r="H467" s="285">
        <v>0</v>
      </c>
      <c r="I467" s="285">
        <v>0</v>
      </c>
      <c r="J467" s="359" t="str">
        <f>IFERROR(G467/#REF!,"-")</f>
        <v>-</v>
      </c>
      <c r="K467" s="340">
        <f t="shared" si="604"/>
        <v>0</v>
      </c>
      <c r="L467" s="285">
        <f t="shared" si="605"/>
        <v>0</v>
      </c>
      <c r="M467" s="286">
        <f t="shared" si="606"/>
        <v>0</v>
      </c>
      <c r="N467" s="344" t="str">
        <f t="shared" si="574"/>
        <v>-</v>
      </c>
      <c r="O467" s="353" t="str">
        <f t="shared" si="567"/>
        <v>-</v>
      </c>
    </row>
    <row r="468" spans="1:15" ht="24" thickBot="1" x14ac:dyDescent="0.35">
      <c r="A468" s="277" t="s">
        <v>111</v>
      </c>
      <c r="B468" s="906" t="s">
        <v>52</v>
      </c>
      <c r="C468" s="907"/>
      <c r="D468" s="908"/>
      <c r="E468" s="288">
        <v>157500</v>
      </c>
      <c r="F468" s="289">
        <v>14000</v>
      </c>
      <c r="G468" s="326">
        <f>SUM(G460:G467)</f>
        <v>0</v>
      </c>
      <c r="H468" s="327">
        <f t="shared" ref="H468:I468" si="607">SUM(H460:H467)</f>
        <v>0</v>
      </c>
      <c r="I468" s="327">
        <f t="shared" si="607"/>
        <v>0</v>
      </c>
      <c r="J468" s="351" t="str">
        <f>IFERROR(G468/#REF!,"-")</f>
        <v>-</v>
      </c>
      <c r="K468" s="326">
        <f t="shared" ref="K468:M468" si="608">SUM(K460:K467)</f>
        <v>29090</v>
      </c>
      <c r="L468" s="327">
        <f t="shared" si="608"/>
        <v>28875</v>
      </c>
      <c r="M468" s="328">
        <f t="shared" si="608"/>
        <v>215</v>
      </c>
      <c r="N468" s="345">
        <f t="shared" si="574"/>
        <v>0.1846984126984127</v>
      </c>
      <c r="O468" s="351">
        <f t="shared" si="567"/>
        <v>7.390855964248883E-3</v>
      </c>
    </row>
    <row r="469" spans="1:15" ht="24" thickBot="1" x14ac:dyDescent="0.35">
      <c r="A469" s="277" t="s">
        <v>111</v>
      </c>
      <c r="B469" s="926" t="s">
        <v>25</v>
      </c>
      <c r="C469" s="927"/>
      <c r="D469" s="928"/>
      <c r="E469" s="332">
        <f t="shared" ref="E469:F469" si="609">+E459+E468</f>
        <v>157500</v>
      </c>
      <c r="F469" s="333">
        <f t="shared" si="609"/>
        <v>94000</v>
      </c>
      <c r="G469" s="332">
        <f>+G459+G468</f>
        <v>0</v>
      </c>
      <c r="H469" s="330">
        <f t="shared" ref="H469:I469" si="610">+H459+H468</f>
        <v>0</v>
      </c>
      <c r="I469" s="330">
        <f t="shared" si="610"/>
        <v>0</v>
      </c>
      <c r="J469" s="355" t="str">
        <f>IFERROR(G469/#REF!,"-")</f>
        <v>-</v>
      </c>
      <c r="K469" s="332">
        <f t="shared" ref="K469" si="611">+K459+K468</f>
        <v>29090</v>
      </c>
      <c r="L469" s="330">
        <f>+L459+L468</f>
        <v>28875</v>
      </c>
      <c r="M469" s="331">
        <f t="shared" ref="M469" si="612">+M459+M468</f>
        <v>215</v>
      </c>
      <c r="N469" s="347">
        <f t="shared" si="574"/>
        <v>0.1846984126984127</v>
      </c>
      <c r="O469" s="355">
        <f t="shared" si="567"/>
        <v>7.390855964248883E-3</v>
      </c>
    </row>
    <row r="470" spans="1:15" ht="24" thickBot="1" x14ac:dyDescent="0.35">
      <c r="A470" s="277" t="s">
        <v>111</v>
      </c>
      <c r="B470" s="900" t="s">
        <v>181</v>
      </c>
      <c r="C470" s="901"/>
      <c r="D470" s="902"/>
      <c r="E470" s="336">
        <f>+E454+E469</f>
        <v>5932100</v>
      </c>
      <c r="F470" s="337">
        <f t="shared" ref="F470:I470" si="613">+F454+F469</f>
        <v>449000</v>
      </c>
      <c r="G470" s="336">
        <f t="shared" si="613"/>
        <v>53216</v>
      </c>
      <c r="H470" s="334">
        <f t="shared" si="613"/>
        <v>52488</v>
      </c>
      <c r="I470" s="334">
        <f t="shared" si="613"/>
        <v>728</v>
      </c>
      <c r="J470" s="356" t="str">
        <f>IFERROR(G470/#REF!,"-")</f>
        <v>-</v>
      </c>
      <c r="K470" s="336">
        <f t="shared" ref="K470:M470" si="614">+K454+K469</f>
        <v>531465</v>
      </c>
      <c r="L470" s="334">
        <f t="shared" si="614"/>
        <v>528135</v>
      </c>
      <c r="M470" s="335">
        <f t="shared" si="614"/>
        <v>3330</v>
      </c>
      <c r="N470" s="348">
        <f t="shared" si="574"/>
        <v>8.9591375735405668E-2</v>
      </c>
      <c r="O470" s="356">
        <f t="shared" si="567"/>
        <v>6.2656995286613417E-3</v>
      </c>
    </row>
    <row r="471" spans="1:15" ht="23.4" x14ac:dyDescent="0.3">
      <c r="A471" s="271" t="s">
        <v>109</v>
      </c>
      <c r="B471" s="929" t="s">
        <v>26</v>
      </c>
      <c r="C471" s="303" t="s">
        <v>334</v>
      </c>
      <c r="D471" s="303" t="s">
        <v>192</v>
      </c>
      <c r="E471" s="273">
        <v>0</v>
      </c>
      <c r="F471" s="274"/>
      <c r="G471" s="338">
        <f t="shared" ref="G471:G479" si="615">+H471+I471</f>
        <v>40236</v>
      </c>
      <c r="H471" s="275">
        <v>39780</v>
      </c>
      <c r="I471" s="275">
        <v>456</v>
      </c>
      <c r="J471" s="357" t="str">
        <f>IFERROR(G471/#REF!,"-")</f>
        <v>-</v>
      </c>
      <c r="K471" s="338">
        <f t="shared" ref="K471:K479" si="616">+L471+M471</f>
        <v>326708</v>
      </c>
      <c r="L471" s="275">
        <f t="shared" ref="L471:L479" si="617">+H471+L368</f>
        <v>322218</v>
      </c>
      <c r="M471" s="276">
        <f t="shared" ref="M471:M479" si="618">+I471+M368</f>
        <v>4490</v>
      </c>
      <c r="N471" s="342" t="str">
        <f t="shared" si="574"/>
        <v>-</v>
      </c>
      <c r="O471" s="352">
        <f t="shared" si="567"/>
        <v>1.3743159028857574E-2</v>
      </c>
    </row>
    <row r="472" spans="1:15" ht="23.4" x14ac:dyDescent="0.3">
      <c r="A472" s="277" t="s">
        <v>109</v>
      </c>
      <c r="B472" s="929"/>
      <c r="C472" s="304" t="s">
        <v>199</v>
      </c>
      <c r="D472" s="304" t="s">
        <v>115</v>
      </c>
      <c r="E472" s="279">
        <v>0</v>
      </c>
      <c r="F472" s="280"/>
      <c r="G472" s="339">
        <f t="shared" si="615"/>
        <v>0</v>
      </c>
      <c r="H472" s="281">
        <v>0</v>
      </c>
      <c r="I472" s="281">
        <v>0</v>
      </c>
      <c r="J472" s="358" t="str">
        <f>IFERROR(G472/#REF!,"-")</f>
        <v>-</v>
      </c>
      <c r="K472" s="339">
        <f t="shared" si="616"/>
        <v>0</v>
      </c>
      <c r="L472" s="281">
        <f t="shared" si="617"/>
        <v>0</v>
      </c>
      <c r="M472" s="251">
        <f t="shared" si="618"/>
        <v>0</v>
      </c>
      <c r="N472" s="343" t="str">
        <f t="shared" si="574"/>
        <v>-</v>
      </c>
      <c r="O472" s="264" t="str">
        <f t="shared" si="567"/>
        <v>-</v>
      </c>
    </row>
    <row r="473" spans="1:15" ht="23.4" x14ac:dyDescent="0.3">
      <c r="A473" s="277" t="s">
        <v>109</v>
      </c>
      <c r="B473" s="929"/>
      <c r="C473" s="305" t="s">
        <v>27</v>
      </c>
      <c r="D473" s="305" t="s">
        <v>310</v>
      </c>
      <c r="E473" s="283">
        <v>0</v>
      </c>
      <c r="F473" s="284"/>
      <c r="G473" s="339">
        <f t="shared" si="615"/>
        <v>0</v>
      </c>
      <c r="H473" s="285">
        <v>0</v>
      </c>
      <c r="I473" s="285">
        <v>0</v>
      </c>
      <c r="J473" s="359" t="str">
        <f>IFERROR(G473/#REF!,"-")</f>
        <v>-</v>
      </c>
      <c r="K473" s="339">
        <f t="shared" si="616"/>
        <v>0</v>
      </c>
      <c r="L473" s="285">
        <f t="shared" si="617"/>
        <v>0</v>
      </c>
      <c r="M473" s="286">
        <f t="shared" si="618"/>
        <v>0</v>
      </c>
      <c r="N473" s="287"/>
      <c r="O473" s="264" t="str">
        <f t="shared" si="567"/>
        <v>-</v>
      </c>
    </row>
    <row r="474" spans="1:15" ht="23.4" x14ac:dyDescent="0.3">
      <c r="A474" s="277" t="s">
        <v>109</v>
      </c>
      <c r="B474" s="929"/>
      <c r="C474" s="305" t="s">
        <v>27</v>
      </c>
      <c r="D474" s="305" t="s">
        <v>311</v>
      </c>
      <c r="E474" s="283">
        <v>0</v>
      </c>
      <c r="F474" s="284"/>
      <c r="G474" s="339">
        <f t="shared" si="615"/>
        <v>0</v>
      </c>
      <c r="H474" s="285">
        <v>0</v>
      </c>
      <c r="I474" s="285">
        <v>0</v>
      </c>
      <c r="J474" s="359" t="str">
        <f>IFERROR(G474/#REF!,"-")</f>
        <v>-</v>
      </c>
      <c r="K474" s="339">
        <f t="shared" si="616"/>
        <v>0</v>
      </c>
      <c r="L474" s="285">
        <f t="shared" si="617"/>
        <v>0</v>
      </c>
      <c r="M474" s="286">
        <f t="shared" si="618"/>
        <v>0</v>
      </c>
      <c r="N474" s="287"/>
      <c r="O474" s="264" t="str">
        <f t="shared" si="567"/>
        <v>-</v>
      </c>
    </row>
    <row r="475" spans="1:15" ht="23.4" x14ac:dyDescent="0.3">
      <c r="A475" s="277" t="s">
        <v>109</v>
      </c>
      <c r="B475" s="929"/>
      <c r="C475" s="305" t="s">
        <v>325</v>
      </c>
      <c r="D475" s="305" t="s">
        <v>324</v>
      </c>
      <c r="E475" s="283">
        <v>0</v>
      </c>
      <c r="F475" s="284"/>
      <c r="G475" s="339">
        <f t="shared" si="615"/>
        <v>0</v>
      </c>
      <c r="H475" s="285">
        <v>0</v>
      </c>
      <c r="I475" s="285">
        <v>0</v>
      </c>
      <c r="J475" s="359" t="str">
        <f>IFERROR(G475/#REF!,"-")</f>
        <v>-</v>
      </c>
      <c r="K475" s="339">
        <f t="shared" si="616"/>
        <v>0</v>
      </c>
      <c r="L475" s="285">
        <f t="shared" si="617"/>
        <v>0</v>
      </c>
      <c r="M475" s="286">
        <f t="shared" si="618"/>
        <v>0</v>
      </c>
      <c r="N475" s="287"/>
      <c r="O475" s="264" t="str">
        <f t="shared" si="567"/>
        <v>-</v>
      </c>
    </row>
    <row r="476" spans="1:15" ht="23.4" x14ac:dyDescent="0.3">
      <c r="A476" s="277"/>
      <c r="B476" s="929"/>
      <c r="C476" s="305" t="s">
        <v>325</v>
      </c>
      <c r="D476" s="305" t="s">
        <v>192</v>
      </c>
      <c r="E476" s="283">
        <v>0</v>
      </c>
      <c r="F476" s="284"/>
      <c r="G476" s="340">
        <f t="shared" si="615"/>
        <v>0</v>
      </c>
      <c r="H476" s="285">
        <v>0</v>
      </c>
      <c r="I476" s="285">
        <v>0</v>
      </c>
      <c r="J476" s="359" t="str">
        <f>IFERROR(G476/#REF!,"-")</f>
        <v>-</v>
      </c>
      <c r="K476" s="340">
        <f t="shared" si="616"/>
        <v>0</v>
      </c>
      <c r="L476" s="285">
        <f t="shared" si="617"/>
        <v>0</v>
      </c>
      <c r="M476" s="286">
        <f t="shared" si="618"/>
        <v>0</v>
      </c>
      <c r="N476" s="287"/>
      <c r="O476" s="264" t="str">
        <f t="shared" si="567"/>
        <v>-</v>
      </c>
    </row>
    <row r="477" spans="1:15" ht="23.4" x14ac:dyDescent="0.3">
      <c r="A477" s="277"/>
      <c r="B477" s="929"/>
      <c r="C477" s="305" t="s">
        <v>325</v>
      </c>
      <c r="D477" s="305" t="s">
        <v>101</v>
      </c>
      <c r="E477" s="283">
        <v>0</v>
      </c>
      <c r="F477" s="284"/>
      <c r="G477" s="340">
        <f t="shared" si="615"/>
        <v>0</v>
      </c>
      <c r="H477" s="285">
        <v>0</v>
      </c>
      <c r="I477" s="285">
        <v>0</v>
      </c>
      <c r="J477" s="359" t="str">
        <f>IFERROR(G477/#REF!,"-")</f>
        <v>-</v>
      </c>
      <c r="K477" s="340">
        <f t="shared" si="616"/>
        <v>0</v>
      </c>
      <c r="L477" s="285">
        <f t="shared" si="617"/>
        <v>0</v>
      </c>
      <c r="M477" s="286">
        <f t="shared" si="618"/>
        <v>0</v>
      </c>
      <c r="N477" s="287"/>
      <c r="O477" s="264" t="str">
        <f t="shared" si="567"/>
        <v>-</v>
      </c>
    </row>
    <row r="478" spans="1:15" ht="23.4" x14ac:dyDescent="0.3">
      <c r="A478" s="277"/>
      <c r="B478" s="929"/>
      <c r="C478" s="305" t="s">
        <v>393</v>
      </c>
      <c r="D478" s="305" t="s">
        <v>394</v>
      </c>
      <c r="E478" s="283">
        <v>0</v>
      </c>
      <c r="F478" s="284"/>
      <c r="G478" s="340">
        <f t="shared" si="615"/>
        <v>60083</v>
      </c>
      <c r="H478" s="285">
        <v>59670</v>
      </c>
      <c r="I478" s="285">
        <v>413</v>
      </c>
      <c r="J478" s="359" t="str">
        <f>IFERROR(G478/#REF!,"-")</f>
        <v>-</v>
      </c>
      <c r="K478" s="340">
        <f t="shared" si="616"/>
        <v>60083</v>
      </c>
      <c r="L478" s="285">
        <f t="shared" si="617"/>
        <v>59670</v>
      </c>
      <c r="M478" s="286">
        <f t="shared" si="618"/>
        <v>413</v>
      </c>
      <c r="N478" s="287"/>
      <c r="O478" s="264">
        <f t="shared" si="567"/>
        <v>6.8738245427159093E-3</v>
      </c>
    </row>
    <row r="479" spans="1:15" ht="24" thickBot="1" x14ac:dyDescent="0.35">
      <c r="A479" s="277" t="s">
        <v>109</v>
      </c>
      <c r="B479" s="929"/>
      <c r="C479" s="306" t="s">
        <v>326</v>
      </c>
      <c r="D479" s="305" t="s">
        <v>324</v>
      </c>
      <c r="E479" s="283">
        <v>0</v>
      </c>
      <c r="F479" s="284"/>
      <c r="G479" s="340">
        <f t="shared" si="615"/>
        <v>0</v>
      </c>
      <c r="H479" s="285">
        <v>0</v>
      </c>
      <c r="I479" s="285">
        <v>0</v>
      </c>
      <c r="J479" s="359" t="str">
        <f>IFERROR(G479/#REF!,"-")</f>
        <v>-</v>
      </c>
      <c r="K479" s="340">
        <f t="shared" si="616"/>
        <v>7956</v>
      </c>
      <c r="L479" s="285">
        <f t="shared" si="617"/>
        <v>7956</v>
      </c>
      <c r="M479" s="286">
        <f t="shared" si="618"/>
        <v>0</v>
      </c>
      <c r="N479" s="344" t="str">
        <f t="shared" ref="N479:N496" si="619">IFERROR(K479/E479,"-")</f>
        <v>-</v>
      </c>
      <c r="O479" s="353">
        <f t="shared" si="567"/>
        <v>0</v>
      </c>
    </row>
    <row r="480" spans="1:15" ht="24" thickBot="1" x14ac:dyDescent="0.35">
      <c r="A480" s="277" t="s">
        <v>109</v>
      </c>
      <c r="B480" s="930"/>
      <c r="C480" s="307"/>
      <c r="D480" s="308" t="s">
        <v>55</v>
      </c>
      <c r="E480" s="288">
        <v>0</v>
      </c>
      <c r="F480" s="289"/>
      <c r="G480" s="326">
        <f>SUM(G471:G479)</f>
        <v>100319</v>
      </c>
      <c r="H480" s="327">
        <f>SUM(H471:H479)</f>
        <v>99450</v>
      </c>
      <c r="I480" s="327">
        <f>SUM(I471:I479)</f>
        <v>869</v>
      </c>
      <c r="J480" s="351" t="str">
        <f>IFERROR(G480/#REF!,"-")</f>
        <v>-</v>
      </c>
      <c r="K480" s="326">
        <f>SUM(K471:K479)</f>
        <v>394747</v>
      </c>
      <c r="L480" s="327">
        <f>SUM(L471:L479)</f>
        <v>389844</v>
      </c>
      <c r="M480" s="328">
        <f>SUM(M471:M479)</f>
        <v>4903</v>
      </c>
      <c r="N480" s="345" t="str">
        <f t="shared" si="619"/>
        <v>-</v>
      </c>
      <c r="O480" s="351">
        <f t="shared" si="567"/>
        <v>1.2420613709540541E-2</v>
      </c>
    </row>
    <row r="481" spans="1:15" ht="23.4" x14ac:dyDescent="0.3">
      <c r="A481" s="277" t="s">
        <v>109</v>
      </c>
      <c r="B481" s="931" t="s">
        <v>28</v>
      </c>
      <c r="C481" s="303" t="s">
        <v>322</v>
      </c>
      <c r="D481" s="303" t="s">
        <v>193</v>
      </c>
      <c r="E481" s="273">
        <v>0</v>
      </c>
      <c r="F481" s="274"/>
      <c r="G481" s="338">
        <f t="shared" ref="G481:G483" si="620">+H481+I481</f>
        <v>0</v>
      </c>
      <c r="H481" s="275">
        <v>0</v>
      </c>
      <c r="I481" s="275">
        <v>0</v>
      </c>
      <c r="J481" s="357" t="str">
        <f>IFERROR(G481/#REF!,"-")</f>
        <v>-</v>
      </c>
      <c r="K481" s="338">
        <f t="shared" ref="K481:K483" si="621">+L481+M481</f>
        <v>0</v>
      </c>
      <c r="L481" s="275">
        <f t="shared" ref="L481:L483" si="622">+H481+L378</f>
        <v>0</v>
      </c>
      <c r="M481" s="276">
        <f t="shared" ref="M481:M483" si="623">+I481+M378</f>
        <v>0</v>
      </c>
      <c r="N481" s="342" t="str">
        <f t="shared" si="619"/>
        <v>-</v>
      </c>
      <c r="O481" s="352" t="str">
        <f t="shared" si="567"/>
        <v>-</v>
      </c>
    </row>
    <row r="482" spans="1:15" ht="23.4" x14ac:dyDescent="0.3">
      <c r="A482" s="277" t="s">
        <v>109</v>
      </c>
      <c r="B482" s="929"/>
      <c r="C482" s="305" t="s">
        <v>27</v>
      </c>
      <c r="D482" s="305" t="s">
        <v>311</v>
      </c>
      <c r="E482" s="279">
        <v>0</v>
      </c>
      <c r="F482" s="280"/>
      <c r="G482" s="339">
        <f t="shared" si="620"/>
        <v>0</v>
      </c>
      <c r="H482" s="281">
        <v>0</v>
      </c>
      <c r="I482" s="281">
        <v>0</v>
      </c>
      <c r="J482" s="358" t="str">
        <f>IFERROR(G482/#REF!,"-")</f>
        <v>-</v>
      </c>
      <c r="K482" s="339">
        <f t="shared" si="621"/>
        <v>0</v>
      </c>
      <c r="L482" s="281">
        <f t="shared" si="622"/>
        <v>0</v>
      </c>
      <c r="M482" s="251">
        <f t="shared" si="623"/>
        <v>0</v>
      </c>
      <c r="N482" s="343" t="str">
        <f t="shared" si="619"/>
        <v>-</v>
      </c>
      <c r="O482" s="264" t="str">
        <f t="shared" si="567"/>
        <v>-</v>
      </c>
    </row>
    <row r="483" spans="1:15" ht="24" thickBot="1" x14ac:dyDescent="0.35">
      <c r="A483" s="277" t="s">
        <v>109</v>
      </c>
      <c r="B483" s="929"/>
      <c r="C483" s="305" t="s">
        <v>27</v>
      </c>
      <c r="D483" s="306" t="s">
        <v>259</v>
      </c>
      <c r="E483" s="283">
        <v>0</v>
      </c>
      <c r="F483" s="284"/>
      <c r="G483" s="340">
        <f t="shared" si="620"/>
        <v>0</v>
      </c>
      <c r="H483" s="285">
        <v>0</v>
      </c>
      <c r="I483" s="285">
        <v>0</v>
      </c>
      <c r="J483" s="359" t="str">
        <f>IFERROR(G483/#REF!,"-")</f>
        <v>-</v>
      </c>
      <c r="K483" s="340">
        <f t="shared" si="621"/>
        <v>0</v>
      </c>
      <c r="L483" s="285">
        <f t="shared" si="622"/>
        <v>0</v>
      </c>
      <c r="M483" s="286">
        <f t="shared" si="623"/>
        <v>0</v>
      </c>
      <c r="N483" s="344" t="str">
        <f t="shared" si="619"/>
        <v>-</v>
      </c>
      <c r="O483" s="353" t="str">
        <f t="shared" si="567"/>
        <v>-</v>
      </c>
    </row>
    <row r="484" spans="1:15" ht="24" thickBot="1" x14ac:dyDescent="0.35">
      <c r="A484" s="277" t="s">
        <v>109</v>
      </c>
      <c r="B484" s="929"/>
      <c r="C484" s="310"/>
      <c r="D484" s="311" t="s">
        <v>55</v>
      </c>
      <c r="E484" s="312">
        <v>0</v>
      </c>
      <c r="F484" s="313"/>
      <c r="G484" s="372">
        <f>SUM(G481:G483)</f>
        <v>0</v>
      </c>
      <c r="H484" s="371">
        <f t="shared" ref="H484:I484" si="624">SUM(H481:H483)</f>
        <v>0</v>
      </c>
      <c r="I484" s="371">
        <f t="shared" si="624"/>
        <v>0</v>
      </c>
      <c r="J484" s="362" t="str">
        <f>IFERROR(G484/#REF!,"-")</f>
        <v>-</v>
      </c>
      <c r="K484" s="372">
        <f>SUM(K481:K483)</f>
        <v>0</v>
      </c>
      <c r="L484" s="371">
        <f t="shared" ref="L484:M484" si="625">SUM(L481:L483)</f>
        <v>0</v>
      </c>
      <c r="M484" s="373">
        <f t="shared" si="625"/>
        <v>0</v>
      </c>
      <c r="N484" s="361" t="str">
        <f t="shared" si="619"/>
        <v>-</v>
      </c>
      <c r="O484" s="362" t="str">
        <f t="shared" si="567"/>
        <v>-</v>
      </c>
    </row>
    <row r="485" spans="1:15" ht="24" thickBot="1" x14ac:dyDescent="0.35">
      <c r="A485" s="702" t="s">
        <v>109</v>
      </c>
      <c r="B485" s="932" t="s">
        <v>171</v>
      </c>
      <c r="C485" s="933"/>
      <c r="D485" s="934"/>
      <c r="E485" s="314">
        <v>2167000</v>
      </c>
      <c r="F485" s="315">
        <v>80000</v>
      </c>
      <c r="G485" s="375">
        <f>+G480+G484</f>
        <v>100319</v>
      </c>
      <c r="H485" s="374">
        <f t="shared" ref="H485:I485" si="626">+H480+H484</f>
        <v>99450</v>
      </c>
      <c r="I485" s="374">
        <f t="shared" si="626"/>
        <v>869</v>
      </c>
      <c r="J485" s="364" t="str">
        <f>IFERROR(G485/#REF!,"-")</f>
        <v>-</v>
      </c>
      <c r="K485" s="375">
        <f>+K480+K484</f>
        <v>394747</v>
      </c>
      <c r="L485" s="374">
        <f>+L480+L484</f>
        <v>389844</v>
      </c>
      <c r="M485" s="376">
        <f t="shared" ref="M485" si="627">+M480+M484</f>
        <v>4903</v>
      </c>
      <c r="N485" s="363">
        <f t="shared" si="619"/>
        <v>0.18216289801568988</v>
      </c>
      <c r="O485" s="364">
        <f t="shared" si="567"/>
        <v>1.2420613709540541E-2</v>
      </c>
    </row>
    <row r="486" spans="1:15" ht="23.4" x14ac:dyDescent="0.3">
      <c r="A486" s="277" t="s">
        <v>109</v>
      </c>
      <c r="B486" s="929" t="s">
        <v>30</v>
      </c>
      <c r="C486" s="309" t="s">
        <v>396</v>
      </c>
      <c r="D486" s="303" t="s">
        <v>193</v>
      </c>
      <c r="E486" s="273">
        <v>0</v>
      </c>
      <c r="F486" s="274"/>
      <c r="G486" s="338">
        <f t="shared" ref="G486:G488" si="628">+H486+I486</f>
        <v>0</v>
      </c>
      <c r="H486" s="275">
        <v>0</v>
      </c>
      <c r="I486" s="275">
        <v>0</v>
      </c>
      <c r="J486" s="357" t="str">
        <f>IFERROR(G486/#REF!,"-")</f>
        <v>-</v>
      </c>
      <c r="K486" s="338">
        <f t="shared" ref="K486:K488" si="629">+L486+M486</f>
        <v>0</v>
      </c>
      <c r="L486" s="275">
        <f t="shared" ref="L486:L488" si="630">+H486+L383</f>
        <v>0</v>
      </c>
      <c r="M486" s="276">
        <f t="shared" ref="M486:M488" si="631">+I486+M383</f>
        <v>0</v>
      </c>
      <c r="N486" s="342" t="str">
        <f t="shared" si="619"/>
        <v>-</v>
      </c>
      <c r="O486" s="352" t="str">
        <f t="shared" si="567"/>
        <v>-</v>
      </c>
    </row>
    <row r="487" spans="1:15" ht="23.4" x14ac:dyDescent="0.3">
      <c r="A487" s="277" t="s">
        <v>109</v>
      </c>
      <c r="B487" s="929"/>
      <c r="C487" s="309" t="s">
        <v>395</v>
      </c>
      <c r="D487" s="309" t="s">
        <v>324</v>
      </c>
      <c r="E487" s="279">
        <v>0</v>
      </c>
      <c r="F487" s="280"/>
      <c r="G487" s="339">
        <f t="shared" si="628"/>
        <v>0</v>
      </c>
      <c r="H487" s="281">
        <v>0</v>
      </c>
      <c r="I487" s="281">
        <v>0</v>
      </c>
      <c r="J487" s="358" t="str">
        <f>IFERROR(G487/#REF!,"-")</f>
        <v>-</v>
      </c>
      <c r="K487" s="339">
        <f t="shared" si="629"/>
        <v>0</v>
      </c>
      <c r="L487" s="281">
        <f t="shared" si="630"/>
        <v>0</v>
      </c>
      <c r="M487" s="251">
        <f t="shared" si="631"/>
        <v>0</v>
      </c>
      <c r="N487" s="343" t="str">
        <f t="shared" si="619"/>
        <v>-</v>
      </c>
      <c r="O487" s="264" t="str">
        <f t="shared" si="567"/>
        <v>-</v>
      </c>
    </row>
    <row r="488" spans="1:15" ht="24" thickBot="1" x14ac:dyDescent="0.35">
      <c r="A488" s="277" t="s">
        <v>109</v>
      </c>
      <c r="B488" s="929"/>
      <c r="C488" s="306" t="s">
        <v>327</v>
      </c>
      <c r="D488" s="306"/>
      <c r="E488" s="283">
        <v>0</v>
      </c>
      <c r="F488" s="284"/>
      <c r="G488" s="340">
        <f t="shared" si="628"/>
        <v>0</v>
      </c>
      <c r="H488" s="285">
        <v>0</v>
      </c>
      <c r="I488" s="285">
        <v>0</v>
      </c>
      <c r="J488" s="359" t="str">
        <f>IFERROR(G488/#REF!,"-")</f>
        <v>-</v>
      </c>
      <c r="K488" s="340">
        <f t="shared" si="629"/>
        <v>0</v>
      </c>
      <c r="L488" s="285">
        <f t="shared" si="630"/>
        <v>0</v>
      </c>
      <c r="M488" s="286">
        <f t="shared" si="631"/>
        <v>0</v>
      </c>
      <c r="N488" s="344" t="str">
        <f t="shared" si="619"/>
        <v>-</v>
      </c>
      <c r="O488" s="353" t="str">
        <f t="shared" si="567"/>
        <v>-</v>
      </c>
    </row>
    <row r="489" spans="1:15" ht="24" thickBot="1" x14ac:dyDescent="0.35">
      <c r="A489" s="277" t="s">
        <v>109</v>
      </c>
      <c r="B489" s="929"/>
      <c r="C489" s="307"/>
      <c r="D489" s="308" t="s">
        <v>53</v>
      </c>
      <c r="E489" s="288">
        <v>0</v>
      </c>
      <c r="F489" s="289"/>
      <c r="G489" s="326">
        <f>SUM(G486:G488)</f>
        <v>0</v>
      </c>
      <c r="H489" s="327">
        <f t="shared" ref="H489:I489" si="632">SUM(H486:H488)</f>
        <v>0</v>
      </c>
      <c r="I489" s="327">
        <f t="shared" si="632"/>
        <v>0</v>
      </c>
      <c r="J489" s="351" t="str">
        <f>IFERROR(G489/#REF!,"-")</f>
        <v>-</v>
      </c>
      <c r="K489" s="326">
        <f t="shared" ref="K489" si="633">SUM(K486:K488)</f>
        <v>0</v>
      </c>
      <c r="L489" s="327">
        <f>SUM(L486:L488)</f>
        <v>0</v>
      </c>
      <c r="M489" s="328">
        <f t="shared" ref="M489" si="634">SUM(M486:M488)</f>
        <v>0</v>
      </c>
      <c r="N489" s="345" t="str">
        <f t="shared" si="619"/>
        <v>-</v>
      </c>
      <c r="O489" s="351" t="str">
        <f t="shared" si="567"/>
        <v>-</v>
      </c>
    </row>
    <row r="490" spans="1:15" ht="23.4" x14ac:dyDescent="0.3">
      <c r="A490" s="277" t="s">
        <v>109</v>
      </c>
      <c r="B490" s="929"/>
      <c r="C490" s="303" t="s">
        <v>352</v>
      </c>
      <c r="D490" s="303"/>
      <c r="E490" s="273">
        <v>0</v>
      </c>
      <c r="F490" s="274"/>
      <c r="G490" s="338">
        <f t="shared" ref="G490:G492" si="635">+H490+I490</f>
        <v>0</v>
      </c>
      <c r="H490" s="275">
        <v>0</v>
      </c>
      <c r="I490" s="275">
        <v>0</v>
      </c>
      <c r="J490" s="357" t="str">
        <f>IFERROR(G490/#REF!,"-")</f>
        <v>-</v>
      </c>
      <c r="K490" s="338">
        <f t="shared" ref="K490:K492" si="636">+L490+M490</f>
        <v>0</v>
      </c>
      <c r="L490" s="275">
        <f t="shared" ref="L490:L492" si="637">+H490+L387</f>
        <v>0</v>
      </c>
      <c r="M490" s="276">
        <f t="shared" ref="M490:M492" si="638">+I490+M387</f>
        <v>0</v>
      </c>
      <c r="N490" s="342" t="str">
        <f t="shared" si="619"/>
        <v>-</v>
      </c>
      <c r="O490" s="352" t="str">
        <f t="shared" si="567"/>
        <v>-</v>
      </c>
    </row>
    <row r="491" spans="1:15" ht="23.4" x14ac:dyDescent="0.3">
      <c r="A491" s="277" t="s">
        <v>109</v>
      </c>
      <c r="B491" s="929"/>
      <c r="C491" s="309" t="s">
        <v>397</v>
      </c>
      <c r="D491" s="309" t="s">
        <v>259</v>
      </c>
      <c r="E491" s="279">
        <v>0</v>
      </c>
      <c r="F491" s="280"/>
      <c r="G491" s="339">
        <f t="shared" si="635"/>
        <v>15521</v>
      </c>
      <c r="H491" s="281">
        <v>14976</v>
      </c>
      <c r="I491" s="281">
        <v>545</v>
      </c>
      <c r="J491" s="358" t="str">
        <f>IFERROR(G491/#REF!,"-")</f>
        <v>-</v>
      </c>
      <c r="K491" s="339">
        <f t="shared" si="636"/>
        <v>257305</v>
      </c>
      <c r="L491" s="281">
        <f t="shared" si="637"/>
        <v>252720</v>
      </c>
      <c r="M491" s="251">
        <f t="shared" si="638"/>
        <v>4585</v>
      </c>
      <c r="N491" s="343" t="str">
        <f t="shared" si="619"/>
        <v>-</v>
      </c>
      <c r="O491" s="264">
        <f t="shared" si="567"/>
        <v>1.7819319484658286E-2</v>
      </c>
    </row>
    <row r="492" spans="1:15" ht="24" thickBot="1" x14ac:dyDescent="0.35">
      <c r="A492" s="277" t="s">
        <v>109</v>
      </c>
      <c r="B492" s="929"/>
      <c r="C492" s="306" t="s">
        <v>146</v>
      </c>
      <c r="D492" s="306"/>
      <c r="E492" s="283">
        <v>0</v>
      </c>
      <c r="F492" s="284"/>
      <c r="G492" s="340">
        <f t="shared" si="635"/>
        <v>0</v>
      </c>
      <c r="H492" s="285">
        <v>0</v>
      </c>
      <c r="I492" s="285">
        <v>0</v>
      </c>
      <c r="J492" s="359" t="str">
        <f>IFERROR(G492/#REF!,"-")</f>
        <v>-</v>
      </c>
      <c r="K492" s="340">
        <f t="shared" si="636"/>
        <v>0</v>
      </c>
      <c r="L492" s="285">
        <f t="shared" si="637"/>
        <v>0</v>
      </c>
      <c r="M492" s="286">
        <f t="shared" si="638"/>
        <v>0</v>
      </c>
      <c r="N492" s="344" t="str">
        <f t="shared" si="619"/>
        <v>-</v>
      </c>
      <c r="O492" s="353" t="str">
        <f t="shared" si="567"/>
        <v>-</v>
      </c>
    </row>
    <row r="493" spans="1:15" ht="24" thickBot="1" x14ac:dyDescent="0.35">
      <c r="A493" s="277" t="s">
        <v>109</v>
      </c>
      <c r="B493" s="929"/>
      <c r="C493" s="310"/>
      <c r="D493" s="311" t="s">
        <v>54</v>
      </c>
      <c r="E493" s="312">
        <v>0</v>
      </c>
      <c r="F493" s="313"/>
      <c r="G493" s="372">
        <f>SUM(G490:G492)</f>
        <v>15521</v>
      </c>
      <c r="H493" s="371">
        <f t="shared" ref="H493:I493" si="639">SUM(H490:H492)</f>
        <v>14976</v>
      </c>
      <c r="I493" s="371">
        <f t="shared" si="639"/>
        <v>545</v>
      </c>
      <c r="J493" s="362" t="str">
        <f>IFERROR(G493/#REF!,"-")</f>
        <v>-</v>
      </c>
      <c r="K493" s="372">
        <f t="shared" ref="K493:M493" si="640">SUM(K490:K492)</f>
        <v>257305</v>
      </c>
      <c r="L493" s="371">
        <f t="shared" si="640"/>
        <v>252720</v>
      </c>
      <c r="M493" s="373">
        <f t="shared" si="640"/>
        <v>4585</v>
      </c>
      <c r="N493" s="361" t="str">
        <f t="shared" si="619"/>
        <v>-</v>
      </c>
      <c r="O493" s="362">
        <f t="shared" si="567"/>
        <v>1.7819319484658286E-2</v>
      </c>
    </row>
    <row r="494" spans="1:15" ht="24" thickBot="1" x14ac:dyDescent="0.35">
      <c r="A494" s="277" t="s">
        <v>109</v>
      </c>
      <c r="B494" s="932" t="s">
        <v>172</v>
      </c>
      <c r="C494" s="933"/>
      <c r="D494" s="934"/>
      <c r="E494" s="314">
        <v>649600</v>
      </c>
      <c r="F494" s="315">
        <v>50000</v>
      </c>
      <c r="G494" s="375">
        <f>+G489+G493</f>
        <v>15521</v>
      </c>
      <c r="H494" s="374">
        <f t="shared" ref="H494:I494" si="641">+H489+H493</f>
        <v>14976</v>
      </c>
      <c r="I494" s="374">
        <f t="shared" si="641"/>
        <v>545</v>
      </c>
      <c r="J494" s="364" t="str">
        <f>IFERROR(G494/#REF!,"-")</f>
        <v>-</v>
      </c>
      <c r="K494" s="375">
        <f t="shared" ref="K494:M494" si="642">+K489+K493</f>
        <v>257305</v>
      </c>
      <c r="L494" s="374">
        <f t="shared" si="642"/>
        <v>252720</v>
      </c>
      <c r="M494" s="376">
        <f t="shared" si="642"/>
        <v>4585</v>
      </c>
      <c r="N494" s="363">
        <f t="shared" si="619"/>
        <v>0.39609759852216747</v>
      </c>
      <c r="O494" s="364">
        <f t="shared" ref="O494:O496" si="643">IFERROR(M494/K494,"-")</f>
        <v>1.7819319484658286E-2</v>
      </c>
    </row>
    <row r="495" spans="1:15" ht="24" thickBot="1" x14ac:dyDescent="0.35">
      <c r="A495" s="277" t="s">
        <v>109</v>
      </c>
      <c r="B495" s="616" t="s">
        <v>32</v>
      </c>
      <c r="C495" s="698"/>
      <c r="D495" s="316" t="s">
        <v>32</v>
      </c>
      <c r="E495" s="293">
        <v>0</v>
      </c>
      <c r="F495" s="294">
        <v>110000</v>
      </c>
      <c r="G495" s="341">
        <f t="shared" ref="G495" si="644">+H495+I495</f>
        <v>0</v>
      </c>
      <c r="H495" s="295">
        <v>0</v>
      </c>
      <c r="I495" s="295">
        <v>0</v>
      </c>
      <c r="J495" s="360" t="str">
        <f>IFERROR(G495/#REF!,"-")</f>
        <v>-</v>
      </c>
      <c r="K495" s="341">
        <f>+L495+M495</f>
        <v>0</v>
      </c>
      <c r="L495" s="295">
        <f>+H495+L392</f>
        <v>0</v>
      </c>
      <c r="M495" s="296">
        <f>+I495+M392</f>
        <v>0</v>
      </c>
      <c r="N495" s="346" t="str">
        <f t="shared" si="619"/>
        <v>-</v>
      </c>
      <c r="O495" s="354" t="str">
        <f t="shared" si="643"/>
        <v>-</v>
      </c>
    </row>
    <row r="496" spans="1:15" ht="24" thickBot="1" x14ac:dyDescent="0.35">
      <c r="A496" s="277" t="s">
        <v>109</v>
      </c>
      <c r="B496" s="926" t="s">
        <v>21</v>
      </c>
      <c r="C496" s="927"/>
      <c r="D496" s="928"/>
      <c r="E496" s="332">
        <f>+E485+E494+E495</f>
        <v>2816600</v>
      </c>
      <c r="F496" s="333">
        <f t="shared" ref="F496" si="645">+F485+F494+F495</f>
        <v>240000</v>
      </c>
      <c r="G496" s="332">
        <f>+G485+G494+G495</f>
        <v>115840</v>
      </c>
      <c r="H496" s="330">
        <f t="shared" ref="H496:I496" si="646">+H485+H494+H495</f>
        <v>114426</v>
      </c>
      <c r="I496" s="330">
        <f t="shared" si="646"/>
        <v>1414</v>
      </c>
      <c r="J496" s="355" t="str">
        <f>IFERROR(G496/#REF!,"-")</f>
        <v>-</v>
      </c>
      <c r="K496" s="332">
        <f>+K485+K494+K495</f>
        <v>652052</v>
      </c>
      <c r="L496" s="330">
        <f>+L485+L494+L495</f>
        <v>642564</v>
      </c>
      <c r="M496" s="331">
        <f t="shared" ref="M496" si="647">+M485+M494+M495</f>
        <v>9488</v>
      </c>
      <c r="N496" s="347">
        <f t="shared" si="619"/>
        <v>0.23150323084570049</v>
      </c>
      <c r="O496" s="355">
        <f t="shared" si="643"/>
        <v>1.4550986731119604E-2</v>
      </c>
    </row>
    <row r="497" spans="1:15" ht="24" thickBot="1" x14ac:dyDescent="0.35">
      <c r="A497" s="277" t="s">
        <v>109</v>
      </c>
      <c r="B497" s="900" t="s">
        <v>180</v>
      </c>
      <c r="C497" s="901"/>
      <c r="D497" s="902"/>
      <c r="E497" s="336">
        <f>+E496</f>
        <v>2816600</v>
      </c>
      <c r="F497" s="337">
        <f t="shared" ref="F497:I497" si="648">+F496</f>
        <v>240000</v>
      </c>
      <c r="G497" s="336">
        <f t="shared" si="648"/>
        <v>115840</v>
      </c>
      <c r="H497" s="334">
        <f t="shared" si="648"/>
        <v>114426</v>
      </c>
      <c r="I497" s="334">
        <f t="shared" si="648"/>
        <v>1414</v>
      </c>
      <c r="J497" s="356" t="str">
        <f>+J496</f>
        <v>-</v>
      </c>
      <c r="K497" s="336">
        <f>+K496</f>
        <v>652052</v>
      </c>
      <c r="L497" s="334">
        <f t="shared" ref="L497" si="649">+L496</f>
        <v>642564</v>
      </c>
      <c r="M497" s="335">
        <f>+M496</f>
        <v>9488</v>
      </c>
      <c r="N497" s="348">
        <f t="shared" ref="N497:O497" si="650">+N496</f>
        <v>0.23150323084570049</v>
      </c>
      <c r="O497" s="356">
        <f t="shared" si="650"/>
        <v>1.4550986731119604E-2</v>
      </c>
    </row>
    <row r="498" spans="1:15" ht="23.4" x14ac:dyDescent="0.3">
      <c r="A498" s="271" t="s">
        <v>110</v>
      </c>
      <c r="B498" s="903" t="s">
        <v>33</v>
      </c>
      <c r="C498" s="317" t="s">
        <v>121</v>
      </c>
      <c r="D498" s="317"/>
      <c r="E498" s="273">
        <v>0</v>
      </c>
      <c r="F498" s="274"/>
      <c r="G498" s="338">
        <f t="shared" ref="G498:G500" si="651">+H498+I498</f>
        <v>0</v>
      </c>
      <c r="H498" s="275">
        <v>0</v>
      </c>
      <c r="I498" s="275">
        <v>0</v>
      </c>
      <c r="J498" s="357" t="str">
        <f>IFERROR(G498/#REF!,"-")</f>
        <v>-</v>
      </c>
      <c r="K498" s="338">
        <f t="shared" ref="K498:K500" si="652">+L498+M498</f>
        <v>0</v>
      </c>
      <c r="L498" s="275">
        <f t="shared" ref="L498:L500" si="653">+H498+L395</f>
        <v>0</v>
      </c>
      <c r="M498" s="276">
        <f t="shared" ref="M498:M500" si="654">+I498+M395</f>
        <v>0</v>
      </c>
      <c r="N498" s="342" t="str">
        <f t="shared" ref="N498:N523" si="655">IFERROR(K498/E498,"-")</f>
        <v>-</v>
      </c>
      <c r="O498" s="352" t="str">
        <f t="shared" ref="O498:O523" si="656">IFERROR(M498/K498,"-")</f>
        <v>-</v>
      </c>
    </row>
    <row r="499" spans="1:15" ht="23.4" x14ac:dyDescent="0.3">
      <c r="A499" s="277" t="s">
        <v>110</v>
      </c>
      <c r="B499" s="904"/>
      <c r="C499" s="318" t="s">
        <v>274</v>
      </c>
      <c r="D499" s="318"/>
      <c r="E499" s="279">
        <v>0</v>
      </c>
      <c r="F499" s="280"/>
      <c r="G499" s="339">
        <f t="shared" si="651"/>
        <v>1300</v>
      </c>
      <c r="H499" s="281">
        <v>1100</v>
      </c>
      <c r="I499" s="281">
        <v>200</v>
      </c>
      <c r="J499" s="358" t="str">
        <f>IFERROR(G499/#REF!,"-")</f>
        <v>-</v>
      </c>
      <c r="K499" s="339">
        <f t="shared" si="652"/>
        <v>2767</v>
      </c>
      <c r="L499" s="281">
        <f t="shared" si="653"/>
        <v>2160</v>
      </c>
      <c r="M499" s="251">
        <f t="shared" si="654"/>
        <v>607</v>
      </c>
      <c r="N499" s="343" t="str">
        <f t="shared" si="655"/>
        <v>-</v>
      </c>
      <c r="O499" s="264">
        <f t="shared" si="656"/>
        <v>0.21937116010119262</v>
      </c>
    </row>
    <row r="500" spans="1:15" ht="24" thickBot="1" x14ac:dyDescent="0.35">
      <c r="A500" s="277" t="s">
        <v>110</v>
      </c>
      <c r="B500" s="905"/>
      <c r="C500" s="319" t="s">
        <v>34</v>
      </c>
      <c r="D500" s="319"/>
      <c r="E500" s="283">
        <v>0</v>
      </c>
      <c r="F500" s="284"/>
      <c r="G500" s="340">
        <f t="shared" si="651"/>
        <v>0</v>
      </c>
      <c r="H500" s="285">
        <v>0</v>
      </c>
      <c r="I500" s="285">
        <v>0</v>
      </c>
      <c r="J500" s="359" t="str">
        <f>IFERROR(G500/#REF!,"-")</f>
        <v>-</v>
      </c>
      <c r="K500" s="340">
        <f t="shared" si="652"/>
        <v>0</v>
      </c>
      <c r="L500" s="285">
        <f t="shared" si="653"/>
        <v>0</v>
      </c>
      <c r="M500" s="286">
        <f t="shared" si="654"/>
        <v>0</v>
      </c>
      <c r="N500" s="344" t="str">
        <f t="shared" si="655"/>
        <v>-</v>
      </c>
      <c r="O500" s="353" t="str">
        <f t="shared" si="656"/>
        <v>-</v>
      </c>
    </row>
    <row r="501" spans="1:15" ht="24" thickBot="1" x14ac:dyDescent="0.35">
      <c r="A501" s="277" t="s">
        <v>110</v>
      </c>
      <c r="B501" s="906" t="s">
        <v>35</v>
      </c>
      <c r="C501" s="907"/>
      <c r="D501" s="908"/>
      <c r="E501" s="288">
        <v>83700</v>
      </c>
      <c r="F501" s="289"/>
      <c r="G501" s="326">
        <f>SUM(G498:G500)</f>
        <v>1300</v>
      </c>
      <c r="H501" s="327">
        <f t="shared" ref="H501:I501" si="657">SUM(H498:H500)</f>
        <v>1100</v>
      </c>
      <c r="I501" s="327">
        <f t="shared" si="657"/>
        <v>200</v>
      </c>
      <c r="J501" s="351" t="str">
        <f>IFERROR(G501/#REF!,"-")</f>
        <v>-</v>
      </c>
      <c r="K501" s="326">
        <f t="shared" ref="K501:M501" si="658">SUM(K498:K500)</f>
        <v>2767</v>
      </c>
      <c r="L501" s="327">
        <f t="shared" si="658"/>
        <v>2160</v>
      </c>
      <c r="M501" s="328">
        <f t="shared" si="658"/>
        <v>607</v>
      </c>
      <c r="N501" s="345">
        <f t="shared" si="655"/>
        <v>3.3058542413381124E-2</v>
      </c>
      <c r="O501" s="351">
        <f t="shared" si="656"/>
        <v>0.21937116010119262</v>
      </c>
    </row>
    <row r="502" spans="1:15" ht="23.4" x14ac:dyDescent="0.3">
      <c r="A502" s="277" t="s">
        <v>110</v>
      </c>
      <c r="B502" s="903" t="s">
        <v>36</v>
      </c>
      <c r="C502" s="317" t="s">
        <v>121</v>
      </c>
      <c r="D502" s="317"/>
      <c r="E502" s="273">
        <v>0</v>
      </c>
      <c r="F502" s="274"/>
      <c r="G502" s="338">
        <f t="shared" ref="G502:G505" si="659">+H502+I502</f>
        <v>0</v>
      </c>
      <c r="H502" s="275">
        <v>0</v>
      </c>
      <c r="I502" s="275">
        <v>0</v>
      </c>
      <c r="J502" s="357" t="str">
        <f>IFERROR(G502/#REF!,"-")</f>
        <v>-</v>
      </c>
      <c r="K502" s="338">
        <f t="shared" ref="K502:K505" si="660">+L502+M502</f>
        <v>0</v>
      </c>
      <c r="L502" s="275">
        <f t="shared" ref="L502:L505" si="661">+H502+L399</f>
        <v>0</v>
      </c>
      <c r="M502" s="276">
        <f t="shared" ref="M502:M505" si="662">+I502+M399</f>
        <v>0</v>
      </c>
      <c r="N502" s="342" t="str">
        <f t="shared" si="655"/>
        <v>-</v>
      </c>
      <c r="O502" s="352" t="str">
        <f t="shared" si="656"/>
        <v>-</v>
      </c>
    </row>
    <row r="503" spans="1:15" ht="23.4" x14ac:dyDescent="0.3">
      <c r="A503" s="277" t="s">
        <v>110</v>
      </c>
      <c r="B503" s="904"/>
      <c r="C503" s="318" t="s">
        <v>274</v>
      </c>
      <c r="D503" s="318"/>
      <c r="E503" s="279">
        <v>0</v>
      </c>
      <c r="F503" s="280"/>
      <c r="G503" s="339">
        <f t="shared" si="659"/>
        <v>0</v>
      </c>
      <c r="H503" s="281">
        <v>0</v>
      </c>
      <c r="I503" s="281">
        <v>0</v>
      </c>
      <c r="J503" s="358" t="str">
        <f>IFERROR(G503/#REF!,"-")</f>
        <v>-</v>
      </c>
      <c r="K503" s="339">
        <f t="shared" si="660"/>
        <v>0</v>
      </c>
      <c r="L503" s="281">
        <f t="shared" si="661"/>
        <v>0</v>
      </c>
      <c r="M503" s="251">
        <f t="shared" si="662"/>
        <v>0</v>
      </c>
      <c r="N503" s="343" t="str">
        <f t="shared" si="655"/>
        <v>-</v>
      </c>
      <c r="O503" s="264" t="str">
        <f t="shared" si="656"/>
        <v>-</v>
      </c>
    </row>
    <row r="504" spans="1:15" ht="23.4" x14ac:dyDescent="0.3">
      <c r="A504" s="277" t="s">
        <v>110</v>
      </c>
      <c r="B504" s="904"/>
      <c r="C504" s="318" t="s">
        <v>201</v>
      </c>
      <c r="D504" s="318"/>
      <c r="E504" s="279">
        <v>0</v>
      </c>
      <c r="F504" s="280"/>
      <c r="G504" s="339">
        <f t="shared" si="659"/>
        <v>0</v>
      </c>
      <c r="H504" s="281">
        <v>0</v>
      </c>
      <c r="I504" s="281">
        <v>0</v>
      </c>
      <c r="J504" s="358" t="str">
        <f>IFERROR(G504/#REF!,"-")</f>
        <v>-</v>
      </c>
      <c r="K504" s="339">
        <f t="shared" si="660"/>
        <v>0</v>
      </c>
      <c r="L504" s="281">
        <f t="shared" si="661"/>
        <v>0</v>
      </c>
      <c r="M504" s="251">
        <f t="shared" si="662"/>
        <v>0</v>
      </c>
      <c r="N504" s="343" t="str">
        <f t="shared" si="655"/>
        <v>-</v>
      </c>
      <c r="O504" s="264" t="str">
        <f t="shared" si="656"/>
        <v>-</v>
      </c>
    </row>
    <row r="505" spans="1:15" ht="24" thickBot="1" x14ac:dyDescent="0.35">
      <c r="A505" s="277" t="s">
        <v>110</v>
      </c>
      <c r="B505" s="905"/>
      <c r="C505" s="319" t="s">
        <v>37</v>
      </c>
      <c r="D505" s="319"/>
      <c r="E505" s="283">
        <v>0</v>
      </c>
      <c r="F505" s="284"/>
      <c r="G505" s="340">
        <f t="shared" si="659"/>
        <v>0</v>
      </c>
      <c r="H505" s="285">
        <v>0</v>
      </c>
      <c r="I505" s="285">
        <v>0</v>
      </c>
      <c r="J505" s="359" t="str">
        <f>IFERROR(G505/#REF!,"-")</f>
        <v>-</v>
      </c>
      <c r="K505" s="340">
        <f t="shared" si="660"/>
        <v>0</v>
      </c>
      <c r="L505" s="285">
        <f t="shared" si="661"/>
        <v>0</v>
      </c>
      <c r="M505" s="286">
        <f t="shared" si="662"/>
        <v>0</v>
      </c>
      <c r="N505" s="344" t="str">
        <f t="shared" si="655"/>
        <v>-</v>
      </c>
      <c r="O505" s="353" t="str">
        <f t="shared" si="656"/>
        <v>-</v>
      </c>
    </row>
    <row r="506" spans="1:15" ht="24" thickBot="1" x14ac:dyDescent="0.35">
      <c r="A506" s="277" t="s">
        <v>110</v>
      </c>
      <c r="B506" s="906" t="s">
        <v>38</v>
      </c>
      <c r="C506" s="907"/>
      <c r="D506" s="908"/>
      <c r="E506" s="288">
        <v>10300</v>
      </c>
      <c r="F506" s="289">
        <v>6500</v>
      </c>
      <c r="G506" s="326">
        <f>SUM(G502:G505)</f>
        <v>0</v>
      </c>
      <c r="H506" s="327">
        <f t="shared" ref="H506:I506" si="663">SUM(H502:H505)</f>
        <v>0</v>
      </c>
      <c r="I506" s="327">
        <f t="shared" si="663"/>
        <v>0</v>
      </c>
      <c r="J506" s="351" t="str">
        <f>IFERROR(G506/#REF!,"-")</f>
        <v>-</v>
      </c>
      <c r="K506" s="326">
        <f t="shared" ref="K506:M506" si="664">SUM(K502:K505)</f>
        <v>0</v>
      </c>
      <c r="L506" s="327">
        <f t="shared" si="664"/>
        <v>0</v>
      </c>
      <c r="M506" s="328">
        <f t="shared" si="664"/>
        <v>0</v>
      </c>
      <c r="N506" s="345">
        <f t="shared" si="655"/>
        <v>0</v>
      </c>
      <c r="O506" s="351" t="str">
        <f t="shared" si="656"/>
        <v>-</v>
      </c>
    </row>
    <row r="507" spans="1:15" ht="23.4" x14ac:dyDescent="0.3">
      <c r="A507" s="277" t="s">
        <v>110</v>
      </c>
      <c r="B507" s="903" t="s">
        <v>39</v>
      </c>
      <c r="C507" s="320" t="s">
        <v>124</v>
      </c>
      <c r="D507" s="320"/>
      <c r="E507" s="273">
        <v>0</v>
      </c>
      <c r="F507" s="274"/>
      <c r="G507" s="338">
        <f t="shared" ref="G507:G508" si="665">+H507+I507</f>
        <v>0</v>
      </c>
      <c r="H507" s="275">
        <v>0</v>
      </c>
      <c r="I507" s="275">
        <v>0</v>
      </c>
      <c r="J507" s="357" t="str">
        <f>IFERROR(G507/#REF!,"-")</f>
        <v>-</v>
      </c>
      <c r="K507" s="338">
        <f t="shared" ref="K507:K508" si="666">+L507+M507</f>
        <v>0</v>
      </c>
      <c r="L507" s="275">
        <f t="shared" ref="L507:L508" si="667">+H507+L404</f>
        <v>0</v>
      </c>
      <c r="M507" s="276">
        <f t="shared" ref="M507:M508" si="668">+I507+M404</f>
        <v>0</v>
      </c>
      <c r="N507" s="342" t="str">
        <f t="shared" si="655"/>
        <v>-</v>
      </c>
      <c r="O507" s="352" t="str">
        <f t="shared" si="656"/>
        <v>-</v>
      </c>
    </row>
    <row r="508" spans="1:15" ht="24" thickBot="1" x14ac:dyDescent="0.35">
      <c r="A508" s="277" t="s">
        <v>110</v>
      </c>
      <c r="B508" s="905"/>
      <c r="C508" s="290" t="s">
        <v>140</v>
      </c>
      <c r="D508" s="290"/>
      <c r="E508" s="283">
        <v>0</v>
      </c>
      <c r="F508" s="284"/>
      <c r="G508" s="340">
        <f t="shared" si="665"/>
        <v>0</v>
      </c>
      <c r="H508" s="285">
        <v>0</v>
      </c>
      <c r="I508" s="285">
        <v>0</v>
      </c>
      <c r="J508" s="359" t="str">
        <f>IFERROR(G508/#REF!,"-")</f>
        <v>-</v>
      </c>
      <c r="K508" s="340">
        <f t="shared" si="666"/>
        <v>0</v>
      </c>
      <c r="L508" s="285">
        <f t="shared" si="667"/>
        <v>0</v>
      </c>
      <c r="M508" s="286">
        <f t="shared" si="668"/>
        <v>0</v>
      </c>
      <c r="N508" s="344" t="str">
        <f t="shared" si="655"/>
        <v>-</v>
      </c>
      <c r="O508" s="353" t="str">
        <f t="shared" si="656"/>
        <v>-</v>
      </c>
    </row>
    <row r="509" spans="1:15" ht="24" thickBot="1" x14ac:dyDescent="0.35">
      <c r="A509" s="702" t="s">
        <v>110</v>
      </c>
      <c r="B509" s="906" t="s">
        <v>40</v>
      </c>
      <c r="C509" s="907"/>
      <c r="D509" s="908"/>
      <c r="E509" s="288">
        <v>30000</v>
      </c>
      <c r="F509" s="289">
        <v>2800</v>
      </c>
      <c r="G509" s="326">
        <f>SUM(G507:G508)</f>
        <v>0</v>
      </c>
      <c r="H509" s="327">
        <f t="shared" ref="H509:I509" si="669">SUM(H507:H508)</f>
        <v>0</v>
      </c>
      <c r="I509" s="327">
        <f t="shared" si="669"/>
        <v>0</v>
      </c>
      <c r="J509" s="351" t="str">
        <f>IFERROR(G509/#REF!,"-")</f>
        <v>-</v>
      </c>
      <c r="K509" s="326">
        <f t="shared" ref="K509:M509" si="670">SUM(K507:K508)</f>
        <v>0</v>
      </c>
      <c r="L509" s="327">
        <f t="shared" si="670"/>
        <v>0</v>
      </c>
      <c r="M509" s="328">
        <f t="shared" si="670"/>
        <v>0</v>
      </c>
      <c r="N509" s="345">
        <f t="shared" si="655"/>
        <v>0</v>
      </c>
      <c r="O509" s="351" t="str">
        <f t="shared" si="656"/>
        <v>-</v>
      </c>
    </row>
    <row r="510" spans="1:15" ht="23.4" x14ac:dyDescent="0.3">
      <c r="A510" s="277" t="s">
        <v>110</v>
      </c>
      <c r="B510" s="903" t="s">
        <v>41</v>
      </c>
      <c r="C510" s="272" t="s">
        <v>346</v>
      </c>
      <c r="D510" s="272"/>
      <c r="E510" s="273">
        <v>0</v>
      </c>
      <c r="F510" s="321"/>
      <c r="G510" s="338">
        <f t="shared" ref="G510:G514" si="671">+H510+I510</f>
        <v>2997</v>
      </c>
      <c r="H510" s="275">
        <v>2880</v>
      </c>
      <c r="I510" s="275">
        <v>117</v>
      </c>
      <c r="J510" s="377" t="str">
        <f>IFERROR(G510/#REF!,"-")</f>
        <v>-</v>
      </c>
      <c r="K510" s="338">
        <f t="shared" ref="K510:K514" si="672">+L510+M510</f>
        <v>38497</v>
      </c>
      <c r="L510" s="275">
        <f t="shared" ref="L510:L514" si="673">+H510+L407</f>
        <v>38220</v>
      </c>
      <c r="M510" s="276">
        <f t="shared" ref="M510:M514" si="674">+I510+M407</f>
        <v>277</v>
      </c>
      <c r="N510" s="365" t="str">
        <f t="shared" si="655"/>
        <v>-</v>
      </c>
      <c r="O510" s="366">
        <f t="shared" si="656"/>
        <v>7.1953658726654022E-3</v>
      </c>
    </row>
    <row r="511" spans="1:15" ht="23.4" x14ac:dyDescent="0.3">
      <c r="A511" s="277" t="s">
        <v>110</v>
      </c>
      <c r="B511" s="904"/>
      <c r="C511" s="272" t="s">
        <v>347</v>
      </c>
      <c r="D511" s="278"/>
      <c r="E511" s="279">
        <v>0</v>
      </c>
      <c r="F511" s="322"/>
      <c r="G511" s="339">
        <f t="shared" si="671"/>
        <v>0</v>
      </c>
      <c r="H511" s="281">
        <v>0</v>
      </c>
      <c r="I511" s="281">
        <v>0</v>
      </c>
      <c r="J511" s="378" t="str">
        <f>IFERROR(G511/#REF!,"-")</f>
        <v>-</v>
      </c>
      <c r="K511" s="339">
        <f t="shared" si="672"/>
        <v>0</v>
      </c>
      <c r="L511" s="281">
        <f t="shared" si="673"/>
        <v>0</v>
      </c>
      <c r="M511" s="251">
        <f t="shared" si="674"/>
        <v>0</v>
      </c>
      <c r="N511" s="367" t="str">
        <f t="shared" si="655"/>
        <v>-</v>
      </c>
      <c r="O511" s="368" t="str">
        <f t="shared" si="656"/>
        <v>-</v>
      </c>
    </row>
    <row r="512" spans="1:15" ht="23.4" x14ac:dyDescent="0.3">
      <c r="A512" s="277" t="s">
        <v>110</v>
      </c>
      <c r="B512" s="904"/>
      <c r="C512" s="278" t="s">
        <v>423</v>
      </c>
      <c r="D512" s="278"/>
      <c r="E512" s="279">
        <v>0</v>
      </c>
      <c r="F512" s="322"/>
      <c r="G512" s="339">
        <f t="shared" si="671"/>
        <v>16381</v>
      </c>
      <c r="H512" s="281">
        <v>16200</v>
      </c>
      <c r="I512" s="281">
        <v>181</v>
      </c>
      <c r="J512" s="378" t="str">
        <f>IFERROR(G512/#REF!,"-")</f>
        <v>-</v>
      </c>
      <c r="K512" s="339">
        <f t="shared" si="672"/>
        <v>33836</v>
      </c>
      <c r="L512" s="281">
        <f t="shared" si="673"/>
        <v>33480</v>
      </c>
      <c r="M512" s="251">
        <f t="shared" si="674"/>
        <v>356</v>
      </c>
      <c r="N512" s="367" t="str">
        <f t="shared" si="655"/>
        <v>-</v>
      </c>
      <c r="O512" s="368">
        <f t="shared" si="656"/>
        <v>1.0521338219647713E-2</v>
      </c>
    </row>
    <row r="513" spans="1:15" ht="23.4" x14ac:dyDescent="0.3">
      <c r="A513" s="277" t="s">
        <v>110</v>
      </c>
      <c r="B513" s="904"/>
      <c r="C513" s="278" t="s">
        <v>166</v>
      </c>
      <c r="D513" s="278"/>
      <c r="E513" s="279">
        <v>0</v>
      </c>
      <c r="F513" s="322"/>
      <c r="G513" s="339">
        <f t="shared" si="671"/>
        <v>0</v>
      </c>
      <c r="H513" s="281">
        <v>0</v>
      </c>
      <c r="I513" s="281">
        <v>0</v>
      </c>
      <c r="J513" s="378" t="str">
        <f>IFERROR(G513/#REF!,"-")</f>
        <v>-</v>
      </c>
      <c r="K513" s="339">
        <f t="shared" si="672"/>
        <v>0</v>
      </c>
      <c r="L513" s="281">
        <f t="shared" si="673"/>
        <v>0</v>
      </c>
      <c r="M513" s="251">
        <f t="shared" si="674"/>
        <v>0</v>
      </c>
      <c r="N513" s="367" t="str">
        <f t="shared" si="655"/>
        <v>-</v>
      </c>
      <c r="O513" s="368" t="str">
        <f t="shared" si="656"/>
        <v>-</v>
      </c>
    </row>
    <row r="514" spans="1:15" ht="24" thickBot="1" x14ac:dyDescent="0.35">
      <c r="A514" s="277" t="s">
        <v>110</v>
      </c>
      <c r="B514" s="905"/>
      <c r="C514" s="282" t="s">
        <v>167</v>
      </c>
      <c r="D514" s="282"/>
      <c r="E514" s="283">
        <v>0</v>
      </c>
      <c r="F514" s="323"/>
      <c r="G514" s="340">
        <f t="shared" si="671"/>
        <v>0</v>
      </c>
      <c r="H514" s="285">
        <v>0</v>
      </c>
      <c r="I514" s="285">
        <v>0</v>
      </c>
      <c r="J514" s="379" t="str">
        <f>IFERROR(G514/#REF!,"-")</f>
        <v>-</v>
      </c>
      <c r="K514" s="340">
        <f t="shared" si="672"/>
        <v>0</v>
      </c>
      <c r="L514" s="285">
        <f t="shared" si="673"/>
        <v>0</v>
      </c>
      <c r="M514" s="286">
        <f t="shared" si="674"/>
        <v>0</v>
      </c>
      <c r="N514" s="369" t="str">
        <f t="shared" si="655"/>
        <v>-</v>
      </c>
      <c r="O514" s="370" t="str">
        <f t="shared" si="656"/>
        <v>-</v>
      </c>
    </row>
    <row r="515" spans="1:15" ht="24" thickBot="1" x14ac:dyDescent="0.35">
      <c r="A515" s="277" t="s">
        <v>110</v>
      </c>
      <c r="B515" s="906" t="s">
        <v>42</v>
      </c>
      <c r="C515" s="907"/>
      <c r="D515" s="908"/>
      <c r="E515" s="326">
        <v>610600</v>
      </c>
      <c r="F515" s="289">
        <v>25000</v>
      </c>
      <c r="G515" s="326">
        <f>SUM(G511:G514)</f>
        <v>16381</v>
      </c>
      <c r="H515" s="327">
        <f t="shared" ref="H515:I515" si="675">SUM(H511:H514)</f>
        <v>16200</v>
      </c>
      <c r="I515" s="327">
        <f t="shared" si="675"/>
        <v>181</v>
      </c>
      <c r="J515" s="351" t="str">
        <f>IFERROR(G515/#REF!,"-")</f>
        <v>-</v>
      </c>
      <c r="K515" s="326">
        <f>SUM(K510:K514)</f>
        <v>72333</v>
      </c>
      <c r="L515" s="327">
        <f>SUM(L510:L514)</f>
        <v>71700</v>
      </c>
      <c r="M515" s="328">
        <f>SUM(M510:M514)</f>
        <v>633</v>
      </c>
      <c r="N515" s="345">
        <f t="shared" si="655"/>
        <v>0.11846216835899116</v>
      </c>
      <c r="O515" s="351">
        <f t="shared" si="656"/>
        <v>8.7511924018083033E-3</v>
      </c>
    </row>
    <row r="516" spans="1:15" ht="23.4" x14ac:dyDescent="0.3">
      <c r="A516" s="277" t="s">
        <v>110</v>
      </c>
      <c r="B516" s="903" t="s">
        <v>43</v>
      </c>
      <c r="C516" s="272" t="s">
        <v>204</v>
      </c>
      <c r="D516" s="272"/>
      <c r="E516" s="273">
        <v>0</v>
      </c>
      <c r="F516" s="274"/>
      <c r="G516" s="338">
        <f t="shared" ref="G516:G518" si="676">+H516+I516</f>
        <v>0</v>
      </c>
      <c r="H516" s="275">
        <v>0</v>
      </c>
      <c r="I516" s="275">
        <v>0</v>
      </c>
      <c r="J516" s="357" t="str">
        <f>IFERROR(G516/#REF!,"-")</f>
        <v>-</v>
      </c>
      <c r="K516" s="338">
        <f t="shared" ref="K516:K518" si="677">+L516+M516</f>
        <v>0</v>
      </c>
      <c r="L516" s="275">
        <f t="shared" ref="L516:L518" si="678">+H516+L413</f>
        <v>0</v>
      </c>
      <c r="M516" s="276">
        <f t="shared" ref="M516:M518" si="679">+I516+M413</f>
        <v>0</v>
      </c>
      <c r="N516" s="342" t="str">
        <f t="shared" si="655"/>
        <v>-</v>
      </c>
      <c r="O516" s="352" t="str">
        <f t="shared" si="656"/>
        <v>-</v>
      </c>
    </row>
    <row r="517" spans="1:15" ht="23.4" x14ac:dyDescent="0.3">
      <c r="A517" s="277" t="s">
        <v>110</v>
      </c>
      <c r="B517" s="904"/>
      <c r="C517" s="278" t="s">
        <v>168</v>
      </c>
      <c r="D517" s="278"/>
      <c r="E517" s="279">
        <v>0</v>
      </c>
      <c r="F517" s="280"/>
      <c r="G517" s="339">
        <f t="shared" si="676"/>
        <v>0</v>
      </c>
      <c r="H517" s="281">
        <v>0</v>
      </c>
      <c r="I517" s="281">
        <v>0</v>
      </c>
      <c r="J517" s="378" t="str">
        <f>IFERROR(G517/#REF!,"-")</f>
        <v>-</v>
      </c>
      <c r="K517" s="339">
        <f t="shared" si="677"/>
        <v>0</v>
      </c>
      <c r="L517" s="281">
        <f t="shared" si="678"/>
        <v>0</v>
      </c>
      <c r="M517" s="251">
        <f t="shared" si="679"/>
        <v>0</v>
      </c>
      <c r="N517" s="367" t="str">
        <f t="shared" si="655"/>
        <v>-</v>
      </c>
      <c r="O517" s="368" t="str">
        <f t="shared" si="656"/>
        <v>-</v>
      </c>
    </row>
    <row r="518" spans="1:15" ht="24" thickBot="1" x14ac:dyDescent="0.35">
      <c r="A518" s="277" t="s">
        <v>110</v>
      </c>
      <c r="B518" s="905"/>
      <c r="C518" s="282" t="s">
        <v>204</v>
      </c>
      <c r="D518" s="282"/>
      <c r="E518" s="283">
        <v>0</v>
      </c>
      <c r="F518" s="284"/>
      <c r="G518" s="340">
        <f t="shared" si="676"/>
        <v>0</v>
      </c>
      <c r="H518" s="285">
        <v>0</v>
      </c>
      <c r="I518" s="285">
        <v>0</v>
      </c>
      <c r="J518" s="379" t="str">
        <f>IFERROR(G518/#REF!,"-")</f>
        <v>-</v>
      </c>
      <c r="K518" s="340">
        <f t="shared" si="677"/>
        <v>0</v>
      </c>
      <c r="L518" s="285">
        <f t="shared" si="678"/>
        <v>0</v>
      </c>
      <c r="M518" s="286">
        <f t="shared" si="679"/>
        <v>0</v>
      </c>
      <c r="N518" s="369" t="str">
        <f t="shared" si="655"/>
        <v>-</v>
      </c>
      <c r="O518" s="370" t="str">
        <f t="shared" si="656"/>
        <v>-</v>
      </c>
    </row>
    <row r="519" spans="1:15" ht="24" thickBot="1" x14ac:dyDescent="0.35">
      <c r="A519" s="277" t="s">
        <v>110</v>
      </c>
      <c r="B519" s="909" t="s">
        <v>44</v>
      </c>
      <c r="C519" s="910"/>
      <c r="D519" s="911"/>
      <c r="E519" s="326">
        <v>0</v>
      </c>
      <c r="F519" s="289"/>
      <c r="G519" s="326">
        <f>SUM(G516:G518)</f>
        <v>0</v>
      </c>
      <c r="H519" s="327">
        <f t="shared" ref="H519:I519" si="680">SUM(H516:H518)</f>
        <v>0</v>
      </c>
      <c r="I519" s="327">
        <f t="shared" si="680"/>
        <v>0</v>
      </c>
      <c r="J519" s="351" t="str">
        <f>IFERROR(G519/#REF!,"-")</f>
        <v>-</v>
      </c>
      <c r="K519" s="326">
        <f t="shared" ref="K519:M519" si="681">SUM(K516:K518)</f>
        <v>0</v>
      </c>
      <c r="L519" s="327">
        <f t="shared" si="681"/>
        <v>0</v>
      </c>
      <c r="M519" s="328">
        <f t="shared" si="681"/>
        <v>0</v>
      </c>
      <c r="N519" s="345" t="str">
        <f t="shared" si="655"/>
        <v>-</v>
      </c>
      <c r="O519" s="351" t="str">
        <f t="shared" si="656"/>
        <v>-</v>
      </c>
    </row>
    <row r="520" spans="1:15" ht="23.4" x14ac:dyDescent="0.3">
      <c r="A520" s="277" t="s">
        <v>110</v>
      </c>
      <c r="B520" s="903" t="s">
        <v>45</v>
      </c>
      <c r="C520" s="272" t="s">
        <v>169</v>
      </c>
      <c r="D520" s="272"/>
      <c r="E520" s="273">
        <v>0</v>
      </c>
      <c r="F520" s="274"/>
      <c r="G520" s="338">
        <f t="shared" ref="G520:G521" si="682">+H520+I520</f>
        <v>0</v>
      </c>
      <c r="H520" s="275">
        <v>0</v>
      </c>
      <c r="I520" s="275">
        <v>0</v>
      </c>
      <c r="J520" s="377" t="str">
        <f>IFERROR(G520/#REF!,"-")</f>
        <v>-</v>
      </c>
      <c r="K520" s="338">
        <f t="shared" ref="K520:K521" si="683">+L520+M520</f>
        <v>0</v>
      </c>
      <c r="L520" s="275">
        <f t="shared" ref="L520:L521" si="684">+H520+L417</f>
        <v>0</v>
      </c>
      <c r="M520" s="276">
        <f t="shared" ref="M520:M521" si="685">+I520+M417</f>
        <v>0</v>
      </c>
      <c r="N520" s="365" t="str">
        <f t="shared" si="655"/>
        <v>-</v>
      </c>
      <c r="O520" s="366" t="str">
        <f t="shared" si="656"/>
        <v>-</v>
      </c>
    </row>
    <row r="521" spans="1:15" ht="24" thickBot="1" x14ac:dyDescent="0.35">
      <c r="A521" s="277" t="s">
        <v>110</v>
      </c>
      <c r="B521" s="905"/>
      <c r="C521" s="282" t="s">
        <v>170</v>
      </c>
      <c r="D521" s="282"/>
      <c r="E521" s="283">
        <v>0</v>
      </c>
      <c r="F521" s="284"/>
      <c r="G521" s="340">
        <f t="shared" si="682"/>
        <v>0</v>
      </c>
      <c r="H521" s="285">
        <v>0</v>
      </c>
      <c r="I521" s="285">
        <v>0</v>
      </c>
      <c r="J521" s="379" t="str">
        <f>IFERROR(G521/#REF!,"-")</f>
        <v>-</v>
      </c>
      <c r="K521" s="340">
        <f t="shared" si="683"/>
        <v>0</v>
      </c>
      <c r="L521" s="285">
        <f t="shared" si="684"/>
        <v>0</v>
      </c>
      <c r="M521" s="286">
        <f t="shared" si="685"/>
        <v>0</v>
      </c>
      <c r="N521" s="369" t="str">
        <f t="shared" si="655"/>
        <v>-</v>
      </c>
      <c r="O521" s="370" t="str">
        <f t="shared" si="656"/>
        <v>-</v>
      </c>
    </row>
    <row r="522" spans="1:15" ht="24" thickBot="1" x14ac:dyDescent="0.35">
      <c r="A522" s="277" t="s">
        <v>110</v>
      </c>
      <c r="B522" s="909" t="s">
        <v>46</v>
      </c>
      <c r="C522" s="910"/>
      <c r="D522" s="911"/>
      <c r="E522" s="288">
        <v>11100</v>
      </c>
      <c r="F522" s="289">
        <v>25000</v>
      </c>
      <c r="G522" s="326">
        <f>SUM(G520:G521)</f>
        <v>0</v>
      </c>
      <c r="H522" s="327">
        <f t="shared" ref="H522:I522" si="686">SUM(H520:H521)</f>
        <v>0</v>
      </c>
      <c r="I522" s="327">
        <f t="shared" si="686"/>
        <v>0</v>
      </c>
      <c r="J522" s="351" t="str">
        <f>IFERROR(G522/#REF!,"-")</f>
        <v>-</v>
      </c>
      <c r="K522" s="326">
        <f t="shared" ref="K522:M522" si="687">SUM(K520:K521)</f>
        <v>0</v>
      </c>
      <c r="L522" s="327">
        <f t="shared" si="687"/>
        <v>0</v>
      </c>
      <c r="M522" s="328">
        <f t="shared" si="687"/>
        <v>0</v>
      </c>
      <c r="N522" s="345">
        <f t="shared" si="655"/>
        <v>0</v>
      </c>
      <c r="O522" s="351" t="str">
        <f t="shared" si="656"/>
        <v>-</v>
      </c>
    </row>
    <row r="523" spans="1:15" ht="24" thickBot="1" x14ac:dyDescent="0.35">
      <c r="A523" s="277" t="s">
        <v>110</v>
      </c>
      <c r="B523" s="912" t="s">
        <v>25</v>
      </c>
      <c r="C523" s="913"/>
      <c r="D523" s="914"/>
      <c r="E523" s="332">
        <f t="shared" ref="E523:F523" si="688">+E501+E506+E509+E515+E519+E522</f>
        <v>745700</v>
      </c>
      <c r="F523" s="333">
        <f t="shared" si="688"/>
        <v>59300</v>
      </c>
      <c r="G523" s="332">
        <f>+G501+G506+G509+G515+G519+G522</f>
        <v>17681</v>
      </c>
      <c r="H523" s="330">
        <f t="shared" ref="H523:I523" si="689">+H501+H506+H509+H515+H519+H522</f>
        <v>17300</v>
      </c>
      <c r="I523" s="330">
        <f t="shared" si="689"/>
        <v>381</v>
      </c>
      <c r="J523" s="355" t="str">
        <f>IFERROR(G523/#REF!,"-")</f>
        <v>-</v>
      </c>
      <c r="K523" s="332">
        <f>+K501+K506+K509+K515+K519+K522</f>
        <v>75100</v>
      </c>
      <c r="L523" s="330">
        <f t="shared" ref="L523:M523" si="690">+L501+L506+L509+L515+L519+L522</f>
        <v>73860</v>
      </c>
      <c r="M523" s="331">
        <f t="shared" si="690"/>
        <v>1240</v>
      </c>
      <c r="N523" s="347">
        <f t="shared" si="655"/>
        <v>0.10071074158508783</v>
      </c>
      <c r="O523" s="355">
        <f t="shared" si="656"/>
        <v>1.6511318242343542E-2</v>
      </c>
    </row>
    <row r="524" spans="1:15" ht="24" thickBot="1" x14ac:dyDescent="0.35">
      <c r="A524" s="324" t="s">
        <v>110</v>
      </c>
      <c r="B524" s="901" t="s">
        <v>182</v>
      </c>
      <c r="C524" s="901"/>
      <c r="D524" s="902"/>
      <c r="E524" s="336">
        <f>+E523</f>
        <v>745700</v>
      </c>
      <c r="F524" s="337">
        <f t="shared" ref="F524:O524" si="691">+F523</f>
        <v>59300</v>
      </c>
      <c r="G524" s="336">
        <f t="shared" si="691"/>
        <v>17681</v>
      </c>
      <c r="H524" s="334">
        <f t="shared" si="691"/>
        <v>17300</v>
      </c>
      <c r="I524" s="334">
        <f t="shared" si="691"/>
        <v>381</v>
      </c>
      <c r="J524" s="356" t="str">
        <f t="shared" si="691"/>
        <v>-</v>
      </c>
      <c r="K524" s="336">
        <f t="shared" si="691"/>
        <v>75100</v>
      </c>
      <c r="L524" s="334">
        <f t="shared" si="691"/>
        <v>73860</v>
      </c>
      <c r="M524" s="335">
        <f t="shared" si="691"/>
        <v>1240</v>
      </c>
      <c r="N524" s="348">
        <f t="shared" si="691"/>
        <v>0.10071074158508783</v>
      </c>
      <c r="O524" s="356">
        <f t="shared" si="691"/>
        <v>1.6511318242343542E-2</v>
      </c>
    </row>
    <row r="525" spans="1:15" ht="24.6" thickBot="1" x14ac:dyDescent="0.35">
      <c r="A525" s="325"/>
      <c r="B525" s="915" t="s">
        <v>183</v>
      </c>
      <c r="C525" s="916"/>
      <c r="D525" s="917"/>
      <c r="E525" s="380">
        <f>+E470+E497+E524</f>
        <v>9494400</v>
      </c>
      <c r="F525" s="380">
        <f>+F470+F497+F524</f>
        <v>748300</v>
      </c>
      <c r="G525" s="380">
        <f>+G470+G497+G524</f>
        <v>186737</v>
      </c>
      <c r="H525" s="380">
        <f>+H470+H497+H524</f>
        <v>184214</v>
      </c>
      <c r="I525" s="380">
        <f>+I470+I497+I524</f>
        <v>2523</v>
      </c>
      <c r="J525" s="381" t="str">
        <f>IFERROR(G525/#REF!,"-")</f>
        <v>-</v>
      </c>
      <c r="K525" s="380">
        <f>+K470+K497+K524</f>
        <v>1258617</v>
      </c>
      <c r="L525" s="380">
        <f>+L470+L497+L524</f>
        <v>1244559</v>
      </c>
      <c r="M525" s="380">
        <f>+M470+M497+M524</f>
        <v>14058</v>
      </c>
      <c r="N525" s="381">
        <f>IFERROR(K525/E525,"-")</f>
        <v>0.13256414307381192</v>
      </c>
      <c r="O525" s="381">
        <f>IFERROR(M525/K525,"-")</f>
        <v>1.1169402606193941E-2</v>
      </c>
    </row>
    <row r="526" spans="1:15" ht="23.4" x14ac:dyDescent="0.3">
      <c r="A526" s="935" t="s">
        <v>1</v>
      </c>
      <c r="B526" s="938" t="s">
        <v>2</v>
      </c>
      <c r="C526" s="941" t="s">
        <v>3</v>
      </c>
      <c r="D526" s="941" t="s">
        <v>93</v>
      </c>
      <c r="E526" s="944" t="s">
        <v>4</v>
      </c>
      <c r="F526" s="945"/>
      <c r="G526" s="945"/>
      <c r="H526" s="945"/>
      <c r="I526" s="945"/>
      <c r="J526" s="945"/>
      <c r="K526" s="945"/>
      <c r="L526" s="945"/>
      <c r="M526" s="945"/>
      <c r="N526" s="945"/>
      <c r="O526" s="946"/>
    </row>
    <row r="527" spans="1:15" ht="23.4" x14ac:dyDescent="0.3">
      <c r="A527" s="936"/>
      <c r="B527" s="939"/>
      <c r="C527" s="942"/>
      <c r="D527" s="942"/>
      <c r="E527" s="947" t="s">
        <v>7</v>
      </c>
      <c r="F527" s="949" t="s">
        <v>116</v>
      </c>
      <c r="G527" s="951">
        <v>44508</v>
      </c>
      <c r="H527" s="952"/>
      <c r="I527" s="952"/>
      <c r="J527" s="953"/>
      <c r="K527" s="954" t="s">
        <v>8</v>
      </c>
      <c r="L527" s="955"/>
      <c r="M527" s="956"/>
      <c r="N527" s="957" t="s">
        <v>174</v>
      </c>
      <c r="O527" s="959" t="s">
        <v>173</v>
      </c>
    </row>
    <row r="528" spans="1:15" ht="41.4" thickBot="1" x14ac:dyDescent="0.35">
      <c r="A528" s="937"/>
      <c r="B528" s="940"/>
      <c r="C528" s="943"/>
      <c r="D528" s="943"/>
      <c r="E528" s="948"/>
      <c r="F528" s="950"/>
      <c r="G528" s="462" t="s">
        <v>13</v>
      </c>
      <c r="H528" s="463" t="s">
        <v>14</v>
      </c>
      <c r="I528" s="463" t="s">
        <v>15</v>
      </c>
      <c r="J528" s="464" t="s">
        <v>175</v>
      </c>
      <c r="K528" s="462" t="s">
        <v>13</v>
      </c>
      <c r="L528" s="463" t="s">
        <v>14</v>
      </c>
      <c r="M528" s="465" t="s">
        <v>15</v>
      </c>
      <c r="N528" s="958"/>
      <c r="O528" s="960"/>
    </row>
    <row r="529" spans="1:15" ht="23.4" x14ac:dyDescent="0.3">
      <c r="A529" s="271" t="s">
        <v>111</v>
      </c>
      <c r="B529" s="922" t="s">
        <v>16</v>
      </c>
      <c r="C529" s="272" t="s">
        <v>186</v>
      </c>
      <c r="D529" s="272" t="s">
        <v>184</v>
      </c>
      <c r="E529" s="273">
        <v>0</v>
      </c>
      <c r="F529" s="274"/>
      <c r="G529" s="338">
        <f>+H529+I529</f>
        <v>0</v>
      </c>
      <c r="H529" s="275">
        <v>0</v>
      </c>
      <c r="I529" s="275">
        <v>0</v>
      </c>
      <c r="J529" s="357" t="str">
        <f>IFERROR(G529/#REF!,"-")</f>
        <v>-</v>
      </c>
      <c r="K529" s="468">
        <f>+L529+M529</f>
        <v>0</v>
      </c>
      <c r="L529" s="469">
        <f>+H529+L426</f>
        <v>0</v>
      </c>
      <c r="M529" s="469">
        <f>+I529+M426</f>
        <v>0</v>
      </c>
      <c r="N529" s="342" t="str">
        <f>IFERROR(K529/E529,"-")</f>
        <v>-</v>
      </c>
      <c r="O529" s="349" t="str">
        <f t="shared" ref="O529:O530" si="692">IFERROR(M529/K529,"-")</f>
        <v>-</v>
      </c>
    </row>
    <row r="530" spans="1:15" ht="23.4" x14ac:dyDescent="0.3">
      <c r="A530" s="277" t="s">
        <v>111</v>
      </c>
      <c r="B530" s="923"/>
      <c r="C530" s="278" t="s">
        <v>190</v>
      </c>
      <c r="D530" s="278" t="s">
        <v>101</v>
      </c>
      <c r="E530" s="279">
        <v>0</v>
      </c>
      <c r="F530" s="280"/>
      <c r="G530" s="339">
        <f t="shared" ref="G530:G532" si="693">+H530+I530</f>
        <v>0</v>
      </c>
      <c r="H530" s="281">
        <v>0</v>
      </c>
      <c r="I530" s="281">
        <v>0</v>
      </c>
      <c r="J530" s="358" t="str">
        <f>IFERROR(G530/#REF!,"-")</f>
        <v>-</v>
      </c>
      <c r="K530" s="339">
        <f t="shared" ref="K530:K532" si="694">+L530+M530</f>
        <v>0</v>
      </c>
      <c r="L530" s="281">
        <f t="shared" ref="L530:L532" si="695">+H530+L427</f>
        <v>0</v>
      </c>
      <c r="M530" s="442">
        <f t="shared" ref="M530:M532" si="696">+I530+M427</f>
        <v>0</v>
      </c>
      <c r="N530" s="343" t="str">
        <f t="shared" ref="N530:N532" si="697">IFERROR(K530/E530,"-")</f>
        <v>-</v>
      </c>
      <c r="O530" s="268" t="str">
        <f t="shared" si="692"/>
        <v>-</v>
      </c>
    </row>
    <row r="531" spans="1:15" ht="23.4" x14ac:dyDescent="0.3">
      <c r="A531" s="277" t="s">
        <v>111</v>
      </c>
      <c r="B531" s="923"/>
      <c r="C531" s="278" t="s">
        <v>187</v>
      </c>
      <c r="D531" s="278" t="s">
        <v>185</v>
      </c>
      <c r="E531" s="279">
        <v>0</v>
      </c>
      <c r="F531" s="280"/>
      <c r="G531" s="339">
        <f t="shared" si="693"/>
        <v>0</v>
      </c>
      <c r="H531" s="281">
        <v>0</v>
      </c>
      <c r="I531" s="281">
        <v>0</v>
      </c>
      <c r="J531" s="358" t="str">
        <f>IFERROR(G531/#REF!,"-")</f>
        <v>-</v>
      </c>
      <c r="K531" s="339">
        <f t="shared" si="694"/>
        <v>0</v>
      </c>
      <c r="L531" s="281">
        <f t="shared" si="695"/>
        <v>0</v>
      </c>
      <c r="M531" s="442">
        <f t="shared" si="696"/>
        <v>0</v>
      </c>
      <c r="N531" s="343" t="str">
        <f t="shared" si="697"/>
        <v>-</v>
      </c>
      <c r="O531" s="268" t="str">
        <f>IFERROR(M531/K531,"-")</f>
        <v>-</v>
      </c>
    </row>
    <row r="532" spans="1:15" ht="24" thickBot="1" x14ac:dyDescent="0.35">
      <c r="A532" s="277" t="s">
        <v>111</v>
      </c>
      <c r="B532" s="924"/>
      <c r="C532" s="282" t="s">
        <v>255</v>
      </c>
      <c r="D532" s="282" t="s">
        <v>256</v>
      </c>
      <c r="E532" s="283">
        <v>0</v>
      </c>
      <c r="F532" s="284"/>
      <c r="G532" s="340">
        <f t="shared" si="693"/>
        <v>13490</v>
      </c>
      <c r="H532" s="285">
        <v>13312</v>
      </c>
      <c r="I532" s="285">
        <v>178</v>
      </c>
      <c r="J532" s="359" t="str">
        <f>IFERROR(G532/#REF!,"-")</f>
        <v>-</v>
      </c>
      <c r="K532" s="471">
        <f t="shared" si="694"/>
        <v>75375</v>
      </c>
      <c r="L532" s="472">
        <f t="shared" si="695"/>
        <v>74240</v>
      </c>
      <c r="M532" s="473">
        <f t="shared" si="696"/>
        <v>1135</v>
      </c>
      <c r="N532" s="344" t="str">
        <f t="shared" si="697"/>
        <v>-</v>
      </c>
      <c r="O532" s="350">
        <f t="shared" ref="O532:O596" si="698">IFERROR(M532/K532,"-")</f>
        <v>1.5058043117744611E-2</v>
      </c>
    </row>
    <row r="533" spans="1:15" ht="24" thickBot="1" x14ac:dyDescent="0.35">
      <c r="A533" s="277" t="s">
        <v>111</v>
      </c>
      <c r="B533" s="906" t="s">
        <v>47</v>
      </c>
      <c r="C533" s="907"/>
      <c r="D533" s="908"/>
      <c r="E533" s="326">
        <v>144600</v>
      </c>
      <c r="F533" s="289">
        <v>15000</v>
      </c>
      <c r="G533" s="326">
        <f>SUM(G529:G532)</f>
        <v>13490</v>
      </c>
      <c r="H533" s="327">
        <f t="shared" ref="H533:I533" si="699">SUM(H529:H532)</f>
        <v>13312</v>
      </c>
      <c r="I533" s="327">
        <f t="shared" si="699"/>
        <v>178</v>
      </c>
      <c r="J533" s="351" t="str">
        <f>IFERROR(G533/#REF!,"-")</f>
        <v>-</v>
      </c>
      <c r="K533" s="326">
        <f t="shared" ref="K533:M533" si="700">SUM(K529:K532)</f>
        <v>75375</v>
      </c>
      <c r="L533" s="327">
        <f t="shared" si="700"/>
        <v>74240</v>
      </c>
      <c r="M533" s="328">
        <f t="shared" si="700"/>
        <v>1135</v>
      </c>
      <c r="N533" s="345">
        <f>IFERROR(K533/E533,"-")</f>
        <v>0.52126556016597514</v>
      </c>
      <c r="O533" s="351">
        <f t="shared" si="698"/>
        <v>1.5058043117744611E-2</v>
      </c>
    </row>
    <row r="534" spans="1:15" ht="23.4" x14ac:dyDescent="0.3">
      <c r="A534" s="277" t="s">
        <v>111</v>
      </c>
      <c r="B534" s="922" t="s">
        <v>17</v>
      </c>
      <c r="C534" s="272" t="s">
        <v>331</v>
      </c>
      <c r="D534" s="272"/>
      <c r="E534" s="273">
        <v>0</v>
      </c>
      <c r="F534" s="274"/>
      <c r="G534" s="338">
        <f t="shared" ref="G534:G540" si="701">+H534+I534</f>
        <v>0</v>
      </c>
      <c r="H534" s="275">
        <v>0</v>
      </c>
      <c r="I534" s="275">
        <v>0</v>
      </c>
      <c r="J534" s="357" t="str">
        <f>IFERROR(G534/#REF!,"-")</f>
        <v>-</v>
      </c>
      <c r="K534" s="468">
        <f t="shared" ref="K534:K540" si="702">+L534+M534</f>
        <v>0</v>
      </c>
      <c r="L534" s="469">
        <f t="shared" ref="L534:L540" si="703">+H534+L431</f>
        <v>0</v>
      </c>
      <c r="M534" s="470">
        <f t="shared" ref="M534:M540" si="704">+I534+M431</f>
        <v>0</v>
      </c>
      <c r="N534" s="342" t="str">
        <f t="shared" ref="N534:N575" si="705">IFERROR(K534/E534,"-")</f>
        <v>-</v>
      </c>
      <c r="O534" s="352" t="str">
        <f t="shared" si="698"/>
        <v>-</v>
      </c>
    </row>
    <row r="535" spans="1:15" ht="23.4" x14ac:dyDescent="0.3">
      <c r="A535" s="277" t="s">
        <v>111</v>
      </c>
      <c r="B535" s="923"/>
      <c r="C535" s="278" t="s">
        <v>421</v>
      </c>
      <c r="D535" s="278" t="s">
        <v>257</v>
      </c>
      <c r="E535" s="279">
        <v>0</v>
      </c>
      <c r="F535" s="280"/>
      <c r="G535" s="339">
        <f t="shared" si="701"/>
        <v>0</v>
      </c>
      <c r="H535" s="281">
        <v>0</v>
      </c>
      <c r="I535" s="281">
        <v>0</v>
      </c>
      <c r="J535" s="358" t="str">
        <f>IFERROR(G535/#REF!,"-")</f>
        <v>-</v>
      </c>
      <c r="K535" s="339">
        <f t="shared" si="702"/>
        <v>254619</v>
      </c>
      <c r="L535" s="281">
        <f t="shared" si="703"/>
        <v>253368</v>
      </c>
      <c r="M535" s="442">
        <f t="shared" si="704"/>
        <v>1251</v>
      </c>
      <c r="N535" s="343" t="str">
        <f t="shared" si="705"/>
        <v>-</v>
      </c>
      <c r="O535" s="264">
        <f t="shared" si="698"/>
        <v>4.9132232865575628E-3</v>
      </c>
    </row>
    <row r="536" spans="1:15" ht="23.4" x14ac:dyDescent="0.3">
      <c r="A536" s="277" t="s">
        <v>111</v>
      </c>
      <c r="B536" s="923"/>
      <c r="C536" s="278" t="s">
        <v>290</v>
      </c>
      <c r="D536" s="278" t="s">
        <v>205</v>
      </c>
      <c r="E536" s="279">
        <v>0</v>
      </c>
      <c r="F536" s="280"/>
      <c r="G536" s="339">
        <f t="shared" si="701"/>
        <v>0</v>
      </c>
      <c r="H536" s="281">
        <v>0</v>
      </c>
      <c r="I536" s="281">
        <v>0</v>
      </c>
      <c r="J536" s="358" t="str">
        <f>IFERROR(G536/#REF!,"-")</f>
        <v>-</v>
      </c>
      <c r="K536" s="339">
        <f t="shared" si="702"/>
        <v>0</v>
      </c>
      <c r="L536" s="281">
        <f t="shared" si="703"/>
        <v>0</v>
      </c>
      <c r="M536" s="442">
        <f t="shared" si="704"/>
        <v>0</v>
      </c>
      <c r="N536" s="343" t="str">
        <f t="shared" si="705"/>
        <v>-</v>
      </c>
      <c r="O536" s="264" t="str">
        <f t="shared" si="698"/>
        <v>-</v>
      </c>
    </row>
    <row r="537" spans="1:15" ht="23.4" x14ac:dyDescent="0.3">
      <c r="A537" s="277" t="s">
        <v>111</v>
      </c>
      <c r="B537" s="923"/>
      <c r="C537" s="278" t="s">
        <v>330</v>
      </c>
      <c r="D537" s="278" t="s">
        <v>206</v>
      </c>
      <c r="E537" s="279">
        <v>0</v>
      </c>
      <c r="F537" s="280"/>
      <c r="G537" s="339">
        <f t="shared" si="701"/>
        <v>0</v>
      </c>
      <c r="H537" s="281">
        <v>0</v>
      </c>
      <c r="I537" s="281">
        <v>0</v>
      </c>
      <c r="J537" s="358" t="str">
        <f>IFERROR(G537/#REF!,"-")</f>
        <v>-</v>
      </c>
      <c r="K537" s="339">
        <f t="shared" si="702"/>
        <v>1836</v>
      </c>
      <c r="L537" s="281">
        <f t="shared" si="703"/>
        <v>1836</v>
      </c>
      <c r="M537" s="442">
        <f t="shared" si="704"/>
        <v>0</v>
      </c>
      <c r="N537" s="343" t="str">
        <f t="shared" si="705"/>
        <v>-</v>
      </c>
      <c r="O537" s="264">
        <f t="shared" si="698"/>
        <v>0</v>
      </c>
    </row>
    <row r="538" spans="1:15" ht="23.4" x14ac:dyDescent="0.3">
      <c r="A538" s="277" t="s">
        <v>111</v>
      </c>
      <c r="B538" s="923"/>
      <c r="C538" s="278" t="s">
        <v>377</v>
      </c>
      <c r="D538" s="278" t="s">
        <v>371</v>
      </c>
      <c r="E538" s="279">
        <v>0</v>
      </c>
      <c r="F538" s="280"/>
      <c r="G538" s="339">
        <f t="shared" si="701"/>
        <v>0</v>
      </c>
      <c r="H538" s="281">
        <v>0</v>
      </c>
      <c r="I538" s="281">
        <v>0</v>
      </c>
      <c r="J538" s="358" t="str">
        <f>IFERROR(G538/#REF!,"-")</f>
        <v>-</v>
      </c>
      <c r="K538" s="339">
        <f t="shared" si="702"/>
        <v>8312</v>
      </c>
      <c r="L538" s="281">
        <f t="shared" si="703"/>
        <v>8312</v>
      </c>
      <c r="M538" s="442">
        <f t="shared" si="704"/>
        <v>0</v>
      </c>
      <c r="N538" s="343" t="str">
        <f t="shared" si="705"/>
        <v>-</v>
      </c>
      <c r="O538" s="264">
        <f t="shared" si="698"/>
        <v>0</v>
      </c>
    </row>
    <row r="539" spans="1:15" ht="23.4" x14ac:dyDescent="0.3">
      <c r="A539" s="277" t="s">
        <v>111</v>
      </c>
      <c r="B539" s="923"/>
      <c r="C539" s="278" t="s">
        <v>433</v>
      </c>
      <c r="D539" s="278" t="s">
        <v>207</v>
      </c>
      <c r="E539" s="279">
        <v>0</v>
      </c>
      <c r="F539" s="280"/>
      <c r="G539" s="339">
        <f t="shared" si="701"/>
        <v>30779</v>
      </c>
      <c r="H539" s="281">
        <v>30600</v>
      </c>
      <c r="I539" s="281">
        <v>179</v>
      </c>
      <c r="J539" s="358" t="str">
        <f>IFERROR(G539/#REF!,"-")</f>
        <v>-</v>
      </c>
      <c r="K539" s="339">
        <f t="shared" si="702"/>
        <v>30779</v>
      </c>
      <c r="L539" s="281">
        <f t="shared" si="703"/>
        <v>30600</v>
      </c>
      <c r="M539" s="442">
        <f t="shared" si="704"/>
        <v>179</v>
      </c>
      <c r="N539" s="343" t="str">
        <f t="shared" si="705"/>
        <v>-</v>
      </c>
      <c r="O539" s="264">
        <f t="shared" si="698"/>
        <v>5.8156535300042233E-3</v>
      </c>
    </row>
    <row r="540" spans="1:15" ht="24" thickBot="1" x14ac:dyDescent="0.35">
      <c r="A540" s="277" t="s">
        <v>111</v>
      </c>
      <c r="B540" s="924"/>
      <c r="C540" s="282" t="s">
        <v>416</v>
      </c>
      <c r="D540" s="282" t="s">
        <v>257</v>
      </c>
      <c r="E540" s="283">
        <v>0</v>
      </c>
      <c r="F540" s="284"/>
      <c r="G540" s="340">
        <f t="shared" si="701"/>
        <v>0</v>
      </c>
      <c r="H540" s="285">
        <v>0</v>
      </c>
      <c r="I540" s="285">
        <v>0</v>
      </c>
      <c r="J540" s="359" t="str">
        <f>IFERROR(G540/#REF!,"-")</f>
        <v>-</v>
      </c>
      <c r="K540" s="471">
        <f t="shared" si="702"/>
        <v>73650</v>
      </c>
      <c r="L540" s="719">
        <f t="shared" si="703"/>
        <v>73440</v>
      </c>
      <c r="M540" s="473">
        <f t="shared" si="704"/>
        <v>210</v>
      </c>
      <c r="N540" s="344" t="str">
        <f t="shared" si="705"/>
        <v>-</v>
      </c>
      <c r="O540" s="353">
        <f t="shared" si="698"/>
        <v>2.8513238289205704E-3</v>
      </c>
    </row>
    <row r="541" spans="1:15" ht="24" thickBot="1" x14ac:dyDescent="0.35">
      <c r="A541" s="277" t="s">
        <v>111</v>
      </c>
      <c r="B541" s="906" t="s">
        <v>48</v>
      </c>
      <c r="C541" s="907"/>
      <c r="D541" s="908"/>
      <c r="E541" s="326">
        <v>3480000</v>
      </c>
      <c r="F541" s="289">
        <v>100000</v>
      </c>
      <c r="G541" s="326">
        <f>SUM(G534:G540)</f>
        <v>30779</v>
      </c>
      <c r="H541" s="327">
        <f t="shared" ref="H541:I541" si="706">SUM(H534:H540)</f>
        <v>30600</v>
      </c>
      <c r="I541" s="327">
        <f t="shared" si="706"/>
        <v>179</v>
      </c>
      <c r="J541" s="351" t="str">
        <f>IFERROR(G541/#REF!,"-")</f>
        <v>-</v>
      </c>
      <c r="K541" s="326">
        <f t="shared" ref="K541:M541" si="707">SUM(K534:K540)</f>
        <v>369196</v>
      </c>
      <c r="L541" s="327">
        <f t="shared" si="707"/>
        <v>367556</v>
      </c>
      <c r="M541" s="328">
        <f t="shared" si="707"/>
        <v>1640</v>
      </c>
      <c r="N541" s="345">
        <f t="shared" si="705"/>
        <v>0.10609080459770115</v>
      </c>
      <c r="O541" s="351">
        <f t="shared" si="698"/>
        <v>4.4420849630006825E-3</v>
      </c>
    </row>
    <row r="542" spans="1:15" ht="23.4" x14ac:dyDescent="0.3">
      <c r="A542" s="277" t="s">
        <v>111</v>
      </c>
      <c r="B542" s="922" t="s">
        <v>18</v>
      </c>
      <c r="C542" s="272" t="s">
        <v>359</v>
      </c>
      <c r="D542" s="272" t="s">
        <v>99</v>
      </c>
      <c r="E542" s="273">
        <v>0</v>
      </c>
      <c r="F542" s="274"/>
      <c r="G542" s="338">
        <f t="shared" ref="G542:G548" si="708">+H542+I542</f>
        <v>0</v>
      </c>
      <c r="H542" s="275">
        <v>0</v>
      </c>
      <c r="I542" s="275">
        <v>0</v>
      </c>
      <c r="J542" s="357" t="str">
        <f>IFERROR(G542/#REF!,"-")</f>
        <v>-</v>
      </c>
      <c r="K542" s="338">
        <f t="shared" ref="K542:K548" si="709">+L542+M542</f>
        <v>0</v>
      </c>
      <c r="L542" s="275">
        <f t="shared" ref="L542:L548" si="710">+H542+L439</f>
        <v>0</v>
      </c>
      <c r="M542" s="276">
        <f t="shared" ref="M542:M548" si="711">+I542+M439</f>
        <v>0</v>
      </c>
      <c r="N542" s="342" t="str">
        <f t="shared" si="705"/>
        <v>-</v>
      </c>
      <c r="O542" s="352" t="str">
        <f t="shared" si="698"/>
        <v>-</v>
      </c>
    </row>
    <row r="543" spans="1:15" ht="23.4" x14ac:dyDescent="0.3">
      <c r="A543" s="277" t="s">
        <v>111</v>
      </c>
      <c r="B543" s="923"/>
      <c r="C543" s="278" t="s">
        <v>258</v>
      </c>
      <c r="D543" s="278" t="s">
        <v>259</v>
      </c>
      <c r="E543" s="279">
        <v>0</v>
      </c>
      <c r="F543" s="280"/>
      <c r="G543" s="339">
        <f t="shared" si="708"/>
        <v>0</v>
      </c>
      <c r="H543" s="281">
        <v>0</v>
      </c>
      <c r="I543" s="281">
        <v>0</v>
      </c>
      <c r="J543" s="358" t="str">
        <f>IFERROR(G543/#REF!,"-")</f>
        <v>-</v>
      </c>
      <c r="K543" s="339">
        <f t="shared" si="709"/>
        <v>0</v>
      </c>
      <c r="L543" s="281">
        <f t="shared" si="710"/>
        <v>0</v>
      </c>
      <c r="M543" s="251">
        <f t="shared" si="711"/>
        <v>0</v>
      </c>
      <c r="N543" s="343" t="str">
        <f t="shared" si="705"/>
        <v>-</v>
      </c>
      <c r="O543" s="264" t="str">
        <f t="shared" si="698"/>
        <v>-</v>
      </c>
    </row>
    <row r="544" spans="1:15" ht="23.4" x14ac:dyDescent="0.3">
      <c r="A544" s="277" t="s">
        <v>111</v>
      </c>
      <c r="B544" s="923"/>
      <c r="C544" s="278" t="s">
        <v>123</v>
      </c>
      <c r="D544" s="278"/>
      <c r="E544" s="279">
        <v>0</v>
      </c>
      <c r="F544" s="280"/>
      <c r="G544" s="339">
        <f t="shared" si="708"/>
        <v>0</v>
      </c>
      <c r="H544" s="281">
        <v>0</v>
      </c>
      <c r="I544" s="281">
        <v>0</v>
      </c>
      <c r="J544" s="358" t="str">
        <f>IFERROR(G544/#REF!,"-")</f>
        <v>-</v>
      </c>
      <c r="K544" s="339">
        <f t="shared" si="709"/>
        <v>0</v>
      </c>
      <c r="L544" s="281">
        <f t="shared" si="710"/>
        <v>0</v>
      </c>
      <c r="M544" s="251">
        <f t="shared" si="711"/>
        <v>0</v>
      </c>
      <c r="N544" s="343" t="str">
        <f t="shared" si="705"/>
        <v>-</v>
      </c>
      <c r="O544" s="264" t="str">
        <f t="shared" si="698"/>
        <v>-</v>
      </c>
    </row>
    <row r="545" spans="1:15" ht="23.4" x14ac:dyDescent="0.3">
      <c r="A545" s="277" t="s">
        <v>111</v>
      </c>
      <c r="B545" s="923"/>
      <c r="C545" s="278" t="s">
        <v>130</v>
      </c>
      <c r="D545" s="278"/>
      <c r="E545" s="279">
        <v>0</v>
      </c>
      <c r="F545" s="280"/>
      <c r="G545" s="339">
        <f t="shared" si="708"/>
        <v>0</v>
      </c>
      <c r="H545" s="281">
        <v>0</v>
      </c>
      <c r="I545" s="281">
        <v>0</v>
      </c>
      <c r="J545" s="358" t="str">
        <f>IFERROR(G545/#REF!,"-")</f>
        <v>-</v>
      </c>
      <c r="K545" s="339">
        <f t="shared" si="709"/>
        <v>0</v>
      </c>
      <c r="L545" s="281">
        <f t="shared" si="710"/>
        <v>0</v>
      </c>
      <c r="M545" s="251">
        <f t="shared" si="711"/>
        <v>0</v>
      </c>
      <c r="N545" s="343" t="str">
        <f t="shared" si="705"/>
        <v>-</v>
      </c>
      <c r="O545" s="264" t="str">
        <f t="shared" si="698"/>
        <v>-</v>
      </c>
    </row>
    <row r="546" spans="1:15" ht="23.4" x14ac:dyDescent="0.3">
      <c r="A546" s="277" t="s">
        <v>111</v>
      </c>
      <c r="B546" s="923"/>
      <c r="C546" s="278" t="s">
        <v>191</v>
      </c>
      <c r="D546" s="278" t="s">
        <v>192</v>
      </c>
      <c r="E546" s="279">
        <v>0</v>
      </c>
      <c r="F546" s="280"/>
      <c r="G546" s="339">
        <f t="shared" si="708"/>
        <v>0</v>
      </c>
      <c r="H546" s="281">
        <v>0</v>
      </c>
      <c r="I546" s="281">
        <v>0</v>
      </c>
      <c r="J546" s="358" t="str">
        <f>IFERROR(G546/#REF!,"-")</f>
        <v>-</v>
      </c>
      <c r="K546" s="339">
        <f t="shared" si="709"/>
        <v>0</v>
      </c>
      <c r="L546" s="281">
        <f t="shared" si="710"/>
        <v>0</v>
      </c>
      <c r="M546" s="251">
        <f t="shared" si="711"/>
        <v>0</v>
      </c>
      <c r="N546" s="343" t="str">
        <f t="shared" si="705"/>
        <v>-</v>
      </c>
      <c r="O546" s="264" t="str">
        <f t="shared" si="698"/>
        <v>-</v>
      </c>
    </row>
    <row r="547" spans="1:15" ht="23.4" x14ac:dyDescent="0.3">
      <c r="A547" s="277" t="s">
        <v>111</v>
      </c>
      <c r="B547" s="923"/>
      <c r="C547" s="278" t="s">
        <v>194</v>
      </c>
      <c r="D547" s="278" t="s">
        <v>193</v>
      </c>
      <c r="E547" s="279">
        <v>0</v>
      </c>
      <c r="F547" s="280"/>
      <c r="G547" s="339">
        <f t="shared" si="708"/>
        <v>0</v>
      </c>
      <c r="H547" s="281">
        <v>0</v>
      </c>
      <c r="I547" s="281">
        <v>0</v>
      </c>
      <c r="J547" s="358" t="str">
        <f>IFERROR(G547/#REF!,"-")</f>
        <v>-</v>
      </c>
      <c r="K547" s="339">
        <f t="shared" si="709"/>
        <v>0</v>
      </c>
      <c r="L547" s="281">
        <f t="shared" si="710"/>
        <v>0</v>
      </c>
      <c r="M547" s="251">
        <f t="shared" si="711"/>
        <v>0</v>
      </c>
      <c r="N547" s="343" t="str">
        <f t="shared" si="705"/>
        <v>-</v>
      </c>
      <c r="O547" s="264" t="str">
        <f t="shared" si="698"/>
        <v>-</v>
      </c>
    </row>
    <row r="548" spans="1:15" ht="24" thickBot="1" x14ac:dyDescent="0.35">
      <c r="A548" s="277" t="s">
        <v>111</v>
      </c>
      <c r="B548" s="924"/>
      <c r="C548" s="290" t="s">
        <v>195</v>
      </c>
      <c r="D548" s="290" t="s">
        <v>115</v>
      </c>
      <c r="E548" s="283">
        <v>0</v>
      </c>
      <c r="F548" s="284"/>
      <c r="G548" s="340">
        <f t="shared" si="708"/>
        <v>0</v>
      </c>
      <c r="H548" s="285">
        <v>0</v>
      </c>
      <c r="I548" s="285">
        <v>0</v>
      </c>
      <c r="J548" s="359" t="str">
        <f>IFERROR(G548/#REF!,"-")</f>
        <v>-</v>
      </c>
      <c r="K548" s="340">
        <f t="shared" si="709"/>
        <v>0</v>
      </c>
      <c r="L548" s="285">
        <f t="shared" si="710"/>
        <v>0</v>
      </c>
      <c r="M548" s="286">
        <f t="shared" si="711"/>
        <v>0</v>
      </c>
      <c r="N548" s="344" t="str">
        <f t="shared" si="705"/>
        <v>-</v>
      </c>
      <c r="O548" s="353" t="str">
        <f t="shared" si="698"/>
        <v>-</v>
      </c>
    </row>
    <row r="549" spans="1:15" ht="24" thickBot="1" x14ac:dyDescent="0.35">
      <c r="A549" s="277" t="s">
        <v>111</v>
      </c>
      <c r="B549" s="906" t="s">
        <v>29</v>
      </c>
      <c r="C549" s="907"/>
      <c r="D549" s="908"/>
      <c r="E549" s="326">
        <f t="shared" ref="E549" si="712">SUM(E542:E548)</f>
        <v>0</v>
      </c>
      <c r="F549" s="289">
        <v>80000</v>
      </c>
      <c r="G549" s="326">
        <f>SUM(G542:G548)</f>
        <v>0</v>
      </c>
      <c r="H549" s="327">
        <f t="shared" ref="H549:I549" si="713">SUM(H542:H548)</f>
        <v>0</v>
      </c>
      <c r="I549" s="327">
        <f t="shared" si="713"/>
        <v>0</v>
      </c>
      <c r="J549" s="351" t="str">
        <f>IFERROR(G549/#REF!,"-")</f>
        <v>-</v>
      </c>
      <c r="K549" s="326">
        <f t="shared" ref="K549:M549" si="714">SUM(K542:K548)</f>
        <v>0</v>
      </c>
      <c r="L549" s="327">
        <f t="shared" si="714"/>
        <v>0</v>
      </c>
      <c r="M549" s="328">
        <f t="shared" si="714"/>
        <v>0</v>
      </c>
      <c r="N549" s="345" t="str">
        <f t="shared" si="705"/>
        <v>-</v>
      </c>
      <c r="O549" s="351" t="str">
        <f t="shared" si="698"/>
        <v>-</v>
      </c>
    </row>
    <row r="550" spans="1:15" ht="23.4" x14ac:dyDescent="0.3">
      <c r="A550" s="252" t="s">
        <v>111</v>
      </c>
      <c r="B550" s="918" t="s">
        <v>19</v>
      </c>
      <c r="C550" s="678" t="s">
        <v>260</v>
      </c>
      <c r="D550" s="676" t="s">
        <v>192</v>
      </c>
      <c r="E550" s="293">
        <v>2000000</v>
      </c>
      <c r="F550" s="294">
        <v>110000</v>
      </c>
      <c r="G550" s="468">
        <f t="shared" ref="G550:G551" si="715">+H550+I550</f>
        <v>50890</v>
      </c>
      <c r="H550" s="674">
        <v>50688</v>
      </c>
      <c r="I550" s="674">
        <v>202</v>
      </c>
      <c r="J550" s="675" t="str">
        <f>IFERROR(G550/#REF!,"-")</f>
        <v>-</v>
      </c>
      <c r="K550" s="673">
        <f>+L550+M550</f>
        <v>152963</v>
      </c>
      <c r="L550" s="295">
        <f t="shared" ref="L550:L551" si="716">+H550+L447</f>
        <v>152064</v>
      </c>
      <c r="M550" s="295">
        <f t="shared" ref="M550:M551" si="717">+I550+M447</f>
        <v>899</v>
      </c>
      <c r="N550" s="346">
        <f t="shared" si="705"/>
        <v>7.6481499999999994E-2</v>
      </c>
      <c r="O550" s="354">
        <f t="shared" si="698"/>
        <v>5.8772382863829815E-3</v>
      </c>
    </row>
    <row r="551" spans="1:15" ht="24" thickBot="1" x14ac:dyDescent="0.35">
      <c r="A551" s="252"/>
      <c r="B551" s="920"/>
      <c r="C551" s="679" t="s">
        <v>417</v>
      </c>
      <c r="D551" s="677"/>
      <c r="E551" s="285">
        <v>150000</v>
      </c>
      <c r="F551" s="285">
        <v>110000</v>
      </c>
      <c r="G551" s="607">
        <f t="shared" si="715"/>
        <v>0</v>
      </c>
      <c r="H551" s="285">
        <v>0</v>
      </c>
      <c r="I551" s="285">
        <v>0</v>
      </c>
      <c r="J551" s="359"/>
      <c r="K551" s="607">
        <f>+L551+M551</f>
        <v>0</v>
      </c>
      <c r="L551" s="285">
        <f t="shared" si="716"/>
        <v>0</v>
      </c>
      <c r="M551" s="285">
        <f t="shared" si="717"/>
        <v>0</v>
      </c>
      <c r="N551" s="680">
        <f t="shared" si="705"/>
        <v>0</v>
      </c>
      <c r="O551" s="680" t="str">
        <f t="shared" si="698"/>
        <v>-</v>
      </c>
    </row>
    <row r="552" spans="1:15" ht="24" thickBot="1" x14ac:dyDescent="0.35">
      <c r="A552" s="277" t="s">
        <v>111</v>
      </c>
      <c r="B552" s="921" t="s">
        <v>49</v>
      </c>
      <c r="C552" s="907"/>
      <c r="D552" s="908"/>
      <c r="E552" s="326">
        <f>SUM(E550:E551)</f>
        <v>2150000</v>
      </c>
      <c r="F552" s="329">
        <f t="shared" ref="F552" si="718">SUM(F550)</f>
        <v>110000</v>
      </c>
      <c r="G552" s="326">
        <f>SUM(G550)</f>
        <v>50890</v>
      </c>
      <c r="H552" s="327">
        <f t="shared" ref="H552:I552" si="719">SUM(H550)</f>
        <v>50688</v>
      </c>
      <c r="I552" s="327">
        <f t="shared" si="719"/>
        <v>202</v>
      </c>
      <c r="J552" s="351" t="str">
        <f>IFERROR(G552/#REF!,"-")</f>
        <v>-</v>
      </c>
      <c r="K552" s="681">
        <f t="shared" ref="K552:M552" si="720">SUM(K550)</f>
        <v>152963</v>
      </c>
      <c r="L552" s="327">
        <f t="shared" si="720"/>
        <v>152064</v>
      </c>
      <c r="M552" s="328">
        <f t="shared" si="720"/>
        <v>899</v>
      </c>
      <c r="N552" s="345">
        <f t="shared" si="705"/>
        <v>7.1145581395348836E-2</v>
      </c>
      <c r="O552" s="351">
        <f t="shared" si="698"/>
        <v>5.8772382863829815E-3</v>
      </c>
    </row>
    <row r="553" spans="1:15" ht="23.4" x14ac:dyDescent="0.3">
      <c r="A553" s="277" t="s">
        <v>111</v>
      </c>
      <c r="B553" s="922" t="s">
        <v>20</v>
      </c>
      <c r="C553" s="297" t="s">
        <v>370</v>
      </c>
      <c r="D553" s="297" t="s">
        <v>324</v>
      </c>
      <c r="E553" s="273">
        <v>0</v>
      </c>
      <c r="F553" s="274"/>
      <c r="G553" s="338">
        <f t="shared" ref="G553:G555" si="721">+H553+I553</f>
        <v>0</v>
      </c>
      <c r="H553" s="275">
        <v>0</v>
      </c>
      <c r="I553" s="275">
        <v>0</v>
      </c>
      <c r="J553" s="357" t="str">
        <f>IFERROR(G553/#REF!,"-")</f>
        <v>-</v>
      </c>
      <c r="K553" s="338">
        <f t="shared" ref="K553:K555" si="722">+L553+M553</f>
        <v>0</v>
      </c>
      <c r="L553" s="275">
        <f t="shared" ref="L553:L555" si="723">+H553+L450</f>
        <v>0</v>
      </c>
      <c r="M553" s="276">
        <f t="shared" ref="M553:M555" si="724">+I553+M450</f>
        <v>0</v>
      </c>
      <c r="N553" s="342" t="str">
        <f t="shared" si="705"/>
        <v>-</v>
      </c>
      <c r="O553" s="352" t="str">
        <f t="shared" si="698"/>
        <v>-</v>
      </c>
    </row>
    <row r="554" spans="1:15" ht="23.4" x14ac:dyDescent="0.3">
      <c r="A554" s="277" t="s">
        <v>111</v>
      </c>
      <c r="B554" s="923"/>
      <c r="C554" s="298" t="s">
        <v>122</v>
      </c>
      <c r="D554" s="298"/>
      <c r="E554" s="279">
        <v>0</v>
      </c>
      <c r="F554" s="280"/>
      <c r="G554" s="339">
        <f t="shared" si="721"/>
        <v>0</v>
      </c>
      <c r="H554" s="281">
        <v>0</v>
      </c>
      <c r="I554" s="281">
        <v>0</v>
      </c>
      <c r="J554" s="358" t="str">
        <f>IFERROR(G554/#REF!,"-")</f>
        <v>-</v>
      </c>
      <c r="K554" s="339">
        <f t="shared" si="722"/>
        <v>0</v>
      </c>
      <c r="L554" s="281">
        <f t="shared" si="723"/>
        <v>0</v>
      </c>
      <c r="M554" s="251">
        <f t="shared" si="724"/>
        <v>0</v>
      </c>
      <c r="N554" s="343" t="str">
        <f t="shared" si="705"/>
        <v>-</v>
      </c>
      <c r="O554" s="264" t="str">
        <f t="shared" si="698"/>
        <v>-</v>
      </c>
    </row>
    <row r="555" spans="1:15" ht="24" thickBot="1" x14ac:dyDescent="0.35">
      <c r="A555" s="277" t="s">
        <v>111</v>
      </c>
      <c r="B555" s="924"/>
      <c r="C555" s="299" t="s">
        <v>128</v>
      </c>
      <c r="D555" s="299"/>
      <c r="E555" s="283">
        <v>0</v>
      </c>
      <c r="F555" s="284"/>
      <c r="G555" s="340">
        <f t="shared" si="721"/>
        <v>0</v>
      </c>
      <c r="H555" s="285">
        <v>0</v>
      </c>
      <c r="I555" s="285">
        <v>0</v>
      </c>
      <c r="J555" s="359" t="str">
        <f>IFERROR(G555/#REF!,"-")</f>
        <v>-</v>
      </c>
      <c r="K555" s="340">
        <f t="shared" si="722"/>
        <v>0</v>
      </c>
      <c r="L555" s="285">
        <f t="shared" si="723"/>
        <v>0</v>
      </c>
      <c r="M555" s="286">
        <f t="shared" si="724"/>
        <v>0</v>
      </c>
      <c r="N555" s="344" t="str">
        <f t="shared" si="705"/>
        <v>-</v>
      </c>
      <c r="O555" s="353" t="str">
        <f t="shared" si="698"/>
        <v>-</v>
      </c>
    </row>
    <row r="556" spans="1:15" ht="24" thickBot="1" x14ac:dyDescent="0.35">
      <c r="A556" s="277" t="s">
        <v>111</v>
      </c>
      <c r="B556" s="907" t="s">
        <v>50</v>
      </c>
      <c r="C556" s="907"/>
      <c r="D556" s="925"/>
      <c r="E556" s="326">
        <f t="shared" ref="E556" si="725">SUM(E553:E555)</f>
        <v>0</v>
      </c>
      <c r="F556" s="289">
        <v>50000</v>
      </c>
      <c r="G556" s="326">
        <f>SUM(G553:G555)</f>
        <v>0</v>
      </c>
      <c r="H556" s="327">
        <f t="shared" ref="H556:I556" si="726">SUM(H553:H555)</f>
        <v>0</v>
      </c>
      <c r="I556" s="327">
        <f t="shared" si="726"/>
        <v>0</v>
      </c>
      <c r="J556" s="351" t="str">
        <f>IFERROR(G556/#REF!,"-")</f>
        <v>-</v>
      </c>
      <c r="K556" s="326">
        <f t="shared" ref="K556:M556" si="727">SUM(K553:K555)</f>
        <v>0</v>
      </c>
      <c r="L556" s="327">
        <f t="shared" si="727"/>
        <v>0</v>
      </c>
      <c r="M556" s="328">
        <f t="shared" si="727"/>
        <v>0</v>
      </c>
      <c r="N556" s="345" t="str">
        <f t="shared" si="705"/>
        <v>-</v>
      </c>
      <c r="O556" s="351" t="str">
        <f t="shared" si="698"/>
        <v>-</v>
      </c>
    </row>
    <row r="557" spans="1:15" ht="24" thickBot="1" x14ac:dyDescent="0.35">
      <c r="A557" s="277" t="s">
        <v>111</v>
      </c>
      <c r="B557" s="926" t="s">
        <v>21</v>
      </c>
      <c r="C557" s="927"/>
      <c r="D557" s="928"/>
      <c r="E557" s="332">
        <f>+E533+E541+E549+E552+E556</f>
        <v>5774600</v>
      </c>
      <c r="F557" s="333">
        <f>+F533+F541+F549+F552+F556</f>
        <v>355000</v>
      </c>
      <c r="G557" s="332">
        <f>+G533+G541+G549+G552+G556</f>
        <v>95159</v>
      </c>
      <c r="H557" s="330">
        <f>+H533+H541+H549+H552+H556</f>
        <v>94600</v>
      </c>
      <c r="I557" s="330">
        <f>+I533+I541+I549+I552+I556</f>
        <v>559</v>
      </c>
      <c r="J557" s="355" t="str">
        <f>IFERROR(G557/#REF!,"-")</f>
        <v>-</v>
      </c>
      <c r="K557" s="332">
        <f>+K533+K541+K549+K552+K556</f>
        <v>597534</v>
      </c>
      <c r="L557" s="330">
        <f>+L533+L541+L549+L552+L556</f>
        <v>593860</v>
      </c>
      <c r="M557" s="331">
        <f>+M533+M541+M549+M552+M556</f>
        <v>3674</v>
      </c>
      <c r="N557" s="347">
        <f t="shared" si="705"/>
        <v>0.10347625809579884</v>
      </c>
      <c r="O557" s="355">
        <f t="shared" si="698"/>
        <v>6.1486040961685863E-3</v>
      </c>
    </row>
    <row r="558" spans="1:15" ht="23.4" x14ac:dyDescent="0.3">
      <c r="A558" s="277" t="s">
        <v>111</v>
      </c>
      <c r="B558" s="922" t="s">
        <v>22</v>
      </c>
      <c r="C558" s="272" t="s">
        <v>133</v>
      </c>
      <c r="D558" s="272"/>
      <c r="E558" s="273">
        <v>0</v>
      </c>
      <c r="F558" s="274"/>
      <c r="G558" s="338">
        <f t="shared" ref="G558:G561" si="728">+H558+I558</f>
        <v>0</v>
      </c>
      <c r="H558" s="275">
        <v>0</v>
      </c>
      <c r="I558" s="275">
        <v>0</v>
      </c>
      <c r="J558" s="357" t="str">
        <f>IFERROR(G558/#REF!,"-")</f>
        <v>-</v>
      </c>
      <c r="K558" s="338">
        <f t="shared" ref="K558:K561" si="729">+L558+M558</f>
        <v>0</v>
      </c>
      <c r="L558" s="275">
        <f t="shared" ref="L558:L561" si="730">+H558+L455</f>
        <v>0</v>
      </c>
      <c r="M558" s="276">
        <f t="shared" ref="M558:M561" si="731">+I558+M455</f>
        <v>0</v>
      </c>
      <c r="N558" s="342" t="str">
        <f t="shared" si="705"/>
        <v>-</v>
      </c>
      <c r="O558" s="352" t="str">
        <f t="shared" si="698"/>
        <v>-</v>
      </c>
    </row>
    <row r="559" spans="1:15" ht="23.4" x14ac:dyDescent="0.3">
      <c r="A559" s="277" t="s">
        <v>111</v>
      </c>
      <c r="B559" s="923"/>
      <c r="C559" s="301" t="s">
        <v>291</v>
      </c>
      <c r="D559" s="301" t="s">
        <v>196</v>
      </c>
      <c r="E559" s="279">
        <v>0</v>
      </c>
      <c r="F559" s="280"/>
      <c r="G559" s="339">
        <f t="shared" si="728"/>
        <v>0</v>
      </c>
      <c r="H559" s="281">
        <v>0</v>
      </c>
      <c r="I559" s="281">
        <v>0</v>
      </c>
      <c r="J559" s="358" t="str">
        <f>IFERROR(G559/#REF!,"-")</f>
        <v>-</v>
      </c>
      <c r="K559" s="339">
        <f t="shared" si="729"/>
        <v>0</v>
      </c>
      <c r="L559" s="281">
        <f t="shared" si="730"/>
        <v>0</v>
      </c>
      <c r="M559" s="251">
        <f t="shared" si="731"/>
        <v>0</v>
      </c>
      <c r="N559" s="343" t="str">
        <f t="shared" si="705"/>
        <v>-</v>
      </c>
      <c r="O559" s="264" t="str">
        <f t="shared" si="698"/>
        <v>-</v>
      </c>
    </row>
    <row r="560" spans="1:15" ht="23.4" x14ac:dyDescent="0.3">
      <c r="A560" s="277" t="s">
        <v>111</v>
      </c>
      <c r="B560" s="923"/>
      <c r="C560" s="301" t="s">
        <v>198</v>
      </c>
      <c r="D560" s="301" t="s">
        <v>100</v>
      </c>
      <c r="E560" s="279">
        <v>0</v>
      </c>
      <c r="F560" s="280"/>
      <c r="G560" s="339">
        <f t="shared" si="728"/>
        <v>0</v>
      </c>
      <c r="H560" s="281">
        <v>0</v>
      </c>
      <c r="I560" s="281">
        <v>0</v>
      </c>
      <c r="J560" s="358" t="str">
        <f>IFERROR(G560/#REF!,"-")</f>
        <v>-</v>
      </c>
      <c r="K560" s="339">
        <f t="shared" si="729"/>
        <v>0</v>
      </c>
      <c r="L560" s="281">
        <f t="shared" si="730"/>
        <v>0</v>
      </c>
      <c r="M560" s="251">
        <f t="shared" si="731"/>
        <v>0</v>
      </c>
      <c r="N560" s="343" t="str">
        <f t="shared" si="705"/>
        <v>-</v>
      </c>
      <c r="O560" s="264" t="str">
        <f t="shared" si="698"/>
        <v>-</v>
      </c>
    </row>
    <row r="561" spans="1:15" ht="24" thickBot="1" x14ac:dyDescent="0.35">
      <c r="A561" s="277" t="s">
        <v>111</v>
      </c>
      <c r="B561" s="924"/>
      <c r="C561" s="282" t="s">
        <v>197</v>
      </c>
      <c r="D561" s="282" t="s">
        <v>100</v>
      </c>
      <c r="E561" s="283">
        <v>0</v>
      </c>
      <c r="F561" s="284"/>
      <c r="G561" s="340">
        <f t="shared" si="728"/>
        <v>0</v>
      </c>
      <c r="H561" s="285">
        <v>0</v>
      </c>
      <c r="I561" s="285">
        <v>0</v>
      </c>
      <c r="J561" s="359" t="str">
        <f>IFERROR(G561/#REF!,"-")</f>
        <v>-</v>
      </c>
      <c r="K561" s="340">
        <f t="shared" si="729"/>
        <v>0</v>
      </c>
      <c r="L561" s="285">
        <f t="shared" si="730"/>
        <v>0</v>
      </c>
      <c r="M561" s="286">
        <f t="shared" si="731"/>
        <v>0</v>
      </c>
      <c r="N561" s="344" t="str">
        <f t="shared" si="705"/>
        <v>-</v>
      </c>
      <c r="O561" s="353" t="str">
        <f t="shared" si="698"/>
        <v>-</v>
      </c>
    </row>
    <row r="562" spans="1:15" ht="24" thickBot="1" x14ac:dyDescent="0.35">
      <c r="A562" s="277" t="s">
        <v>111</v>
      </c>
      <c r="B562" s="906" t="s">
        <v>51</v>
      </c>
      <c r="C562" s="907"/>
      <c r="D562" s="908"/>
      <c r="E562" s="288">
        <v>0</v>
      </c>
      <c r="F562" s="289">
        <v>80000</v>
      </c>
      <c r="G562" s="326">
        <f>SUM(G558:G561)</f>
        <v>0</v>
      </c>
      <c r="H562" s="327">
        <f t="shared" ref="H562:I562" si="732">SUM(H558:H561)</f>
        <v>0</v>
      </c>
      <c r="I562" s="327">
        <f t="shared" si="732"/>
        <v>0</v>
      </c>
      <c r="J562" s="351" t="str">
        <f>IFERROR(G562/#REF!,"-")</f>
        <v>-</v>
      </c>
      <c r="K562" s="326">
        <f t="shared" ref="K562:M562" si="733">SUM(K558:K561)</f>
        <v>0</v>
      </c>
      <c r="L562" s="327">
        <f t="shared" si="733"/>
        <v>0</v>
      </c>
      <c r="M562" s="328">
        <f t="shared" si="733"/>
        <v>0</v>
      </c>
      <c r="N562" s="345" t="str">
        <f t="shared" si="705"/>
        <v>-</v>
      </c>
      <c r="O562" s="351" t="str">
        <f t="shared" si="698"/>
        <v>-</v>
      </c>
    </row>
    <row r="563" spans="1:15" ht="23.4" x14ac:dyDescent="0.3">
      <c r="A563" s="277" t="s">
        <v>111</v>
      </c>
      <c r="B563" s="922" t="s">
        <v>23</v>
      </c>
      <c r="C563" s="302" t="s">
        <v>348</v>
      </c>
      <c r="D563" s="302" t="s">
        <v>263</v>
      </c>
      <c r="E563" s="273">
        <v>0</v>
      </c>
      <c r="F563" s="274"/>
      <c r="G563" s="338">
        <f t="shared" ref="G563:G570" si="734">+H563+I563</f>
        <v>0</v>
      </c>
      <c r="H563" s="275">
        <v>0</v>
      </c>
      <c r="I563" s="275">
        <v>0</v>
      </c>
      <c r="J563" s="357" t="str">
        <f>IFERROR(G563/#REF!,"-")</f>
        <v>-</v>
      </c>
      <c r="K563" s="338">
        <f t="shared" ref="K563:K570" si="735">+L563+M563</f>
        <v>0</v>
      </c>
      <c r="L563" s="275">
        <f t="shared" ref="L563:L570" si="736">+H563+L460</f>
        <v>0</v>
      </c>
      <c r="M563" s="276">
        <f t="shared" ref="M563:M570" si="737">+I563+M460</f>
        <v>0</v>
      </c>
      <c r="N563" s="342" t="str">
        <f t="shared" si="705"/>
        <v>-</v>
      </c>
      <c r="O563" s="352" t="str">
        <f t="shared" si="698"/>
        <v>-</v>
      </c>
    </row>
    <row r="564" spans="1:15" ht="23.4" x14ac:dyDescent="0.3">
      <c r="A564" s="277" t="s">
        <v>111</v>
      </c>
      <c r="B564" s="923"/>
      <c r="C564" s="278" t="s">
        <v>24</v>
      </c>
      <c r="D564" s="278" t="s">
        <v>263</v>
      </c>
      <c r="E564" s="279">
        <v>0</v>
      </c>
      <c r="F564" s="280"/>
      <c r="G564" s="339">
        <f t="shared" si="734"/>
        <v>0</v>
      </c>
      <c r="H564" s="281">
        <v>0</v>
      </c>
      <c r="I564" s="281">
        <v>0</v>
      </c>
      <c r="J564" s="358" t="str">
        <f>IFERROR(G564/#REF!,"-")</f>
        <v>-</v>
      </c>
      <c r="K564" s="339">
        <f t="shared" si="735"/>
        <v>29090</v>
      </c>
      <c r="L564" s="281">
        <f t="shared" si="736"/>
        <v>28875</v>
      </c>
      <c r="M564" s="251">
        <f t="shared" si="737"/>
        <v>215</v>
      </c>
      <c r="N564" s="343" t="str">
        <f t="shared" si="705"/>
        <v>-</v>
      </c>
      <c r="O564" s="264">
        <f t="shared" si="698"/>
        <v>7.390855964248883E-3</v>
      </c>
    </row>
    <row r="565" spans="1:15" ht="23.4" x14ac:dyDescent="0.3">
      <c r="A565" s="277" t="s">
        <v>111</v>
      </c>
      <c r="B565" s="923"/>
      <c r="C565" s="278" t="s">
        <v>261</v>
      </c>
      <c r="D565" s="278" t="s">
        <v>263</v>
      </c>
      <c r="E565" s="279">
        <v>0</v>
      </c>
      <c r="F565" s="280"/>
      <c r="G565" s="339">
        <f t="shared" si="734"/>
        <v>0</v>
      </c>
      <c r="H565" s="281">
        <v>0</v>
      </c>
      <c r="I565" s="281">
        <v>0</v>
      </c>
      <c r="J565" s="358" t="str">
        <f>IFERROR(G565/#REF!,"-")</f>
        <v>-</v>
      </c>
      <c r="K565" s="339">
        <f t="shared" si="735"/>
        <v>0</v>
      </c>
      <c r="L565" s="281">
        <f t="shared" si="736"/>
        <v>0</v>
      </c>
      <c r="M565" s="251">
        <f t="shared" si="737"/>
        <v>0</v>
      </c>
      <c r="N565" s="343" t="str">
        <f t="shared" si="705"/>
        <v>-</v>
      </c>
      <c r="O565" s="264" t="str">
        <f t="shared" si="698"/>
        <v>-</v>
      </c>
    </row>
    <row r="566" spans="1:15" ht="23.4" x14ac:dyDescent="0.3">
      <c r="A566" s="277" t="s">
        <v>111</v>
      </c>
      <c r="B566" s="923"/>
      <c r="C566" s="278" t="s">
        <v>262</v>
      </c>
      <c r="D566" s="278" t="s">
        <v>263</v>
      </c>
      <c r="E566" s="279">
        <v>0</v>
      </c>
      <c r="F566" s="280"/>
      <c r="G566" s="339">
        <f t="shared" si="734"/>
        <v>0</v>
      </c>
      <c r="H566" s="281">
        <v>0</v>
      </c>
      <c r="I566" s="281">
        <v>0</v>
      </c>
      <c r="J566" s="358" t="str">
        <f>IFERROR(G566/#REF!,"-")</f>
        <v>-</v>
      </c>
      <c r="K566" s="339">
        <f t="shared" si="735"/>
        <v>0</v>
      </c>
      <c r="L566" s="281">
        <f t="shared" si="736"/>
        <v>0</v>
      </c>
      <c r="M566" s="251">
        <f t="shared" si="737"/>
        <v>0</v>
      </c>
      <c r="N566" s="343" t="str">
        <f t="shared" si="705"/>
        <v>-</v>
      </c>
      <c r="O566" s="264" t="str">
        <f t="shared" si="698"/>
        <v>-</v>
      </c>
    </row>
    <row r="567" spans="1:15" ht="23.4" x14ac:dyDescent="0.3">
      <c r="A567" s="277" t="s">
        <v>111</v>
      </c>
      <c r="B567" s="923"/>
      <c r="C567" s="301" t="s">
        <v>264</v>
      </c>
      <c r="D567" s="278" t="s">
        <v>263</v>
      </c>
      <c r="E567" s="279">
        <v>0</v>
      </c>
      <c r="F567" s="280"/>
      <c r="G567" s="339">
        <f t="shared" si="734"/>
        <v>0</v>
      </c>
      <c r="H567" s="281">
        <v>0</v>
      </c>
      <c r="I567" s="281">
        <v>0</v>
      </c>
      <c r="J567" s="358" t="str">
        <f>IFERROR(G567/#REF!,"-")</f>
        <v>-</v>
      </c>
      <c r="K567" s="339">
        <f t="shared" si="735"/>
        <v>0</v>
      </c>
      <c r="L567" s="281">
        <f t="shared" si="736"/>
        <v>0</v>
      </c>
      <c r="M567" s="251">
        <f t="shared" si="737"/>
        <v>0</v>
      </c>
      <c r="N567" s="343" t="str">
        <f t="shared" si="705"/>
        <v>-</v>
      </c>
      <c r="O567" s="264" t="str">
        <f t="shared" si="698"/>
        <v>-</v>
      </c>
    </row>
    <row r="568" spans="1:15" ht="23.4" x14ac:dyDescent="0.3">
      <c r="A568" s="277" t="s">
        <v>111</v>
      </c>
      <c r="B568" s="923"/>
      <c r="C568" s="301" t="s">
        <v>265</v>
      </c>
      <c r="D568" s="278" t="s">
        <v>263</v>
      </c>
      <c r="E568" s="279">
        <v>0</v>
      </c>
      <c r="F568" s="280"/>
      <c r="G568" s="339">
        <f t="shared" si="734"/>
        <v>0</v>
      </c>
      <c r="H568" s="281">
        <v>0</v>
      </c>
      <c r="I568" s="281">
        <v>0</v>
      </c>
      <c r="J568" s="358" t="str">
        <f>IFERROR(G568/#REF!,"-")</f>
        <v>-</v>
      </c>
      <c r="K568" s="339">
        <f t="shared" si="735"/>
        <v>0</v>
      </c>
      <c r="L568" s="281">
        <f t="shared" si="736"/>
        <v>0</v>
      </c>
      <c r="M568" s="251">
        <f t="shared" si="737"/>
        <v>0</v>
      </c>
      <c r="N568" s="343" t="str">
        <f t="shared" si="705"/>
        <v>-</v>
      </c>
      <c r="O568" s="264" t="str">
        <f t="shared" si="698"/>
        <v>-</v>
      </c>
    </row>
    <row r="569" spans="1:15" ht="23.4" x14ac:dyDescent="0.3">
      <c r="A569" s="277" t="s">
        <v>111</v>
      </c>
      <c r="B569" s="923"/>
      <c r="C569" s="301" t="s">
        <v>266</v>
      </c>
      <c r="D569" s="278" t="s">
        <v>268</v>
      </c>
      <c r="E569" s="279">
        <v>0</v>
      </c>
      <c r="F569" s="280"/>
      <c r="G569" s="339">
        <f t="shared" si="734"/>
        <v>0</v>
      </c>
      <c r="H569" s="281">
        <v>0</v>
      </c>
      <c r="I569" s="281">
        <v>0</v>
      </c>
      <c r="J569" s="358" t="str">
        <f>IFERROR(G569/#REF!,"-")</f>
        <v>-</v>
      </c>
      <c r="K569" s="339">
        <f t="shared" si="735"/>
        <v>0</v>
      </c>
      <c r="L569" s="281">
        <f t="shared" si="736"/>
        <v>0</v>
      </c>
      <c r="M569" s="251">
        <f t="shared" si="737"/>
        <v>0</v>
      </c>
      <c r="N569" s="343" t="str">
        <f t="shared" si="705"/>
        <v>-</v>
      </c>
      <c r="O569" s="264" t="str">
        <f t="shared" si="698"/>
        <v>-</v>
      </c>
    </row>
    <row r="570" spans="1:15" ht="24" thickBot="1" x14ac:dyDescent="0.35">
      <c r="A570" s="277" t="s">
        <v>111</v>
      </c>
      <c r="B570" s="924"/>
      <c r="C570" s="301" t="s">
        <v>267</v>
      </c>
      <c r="D570" s="278" t="s">
        <v>263</v>
      </c>
      <c r="E570" s="283">
        <v>0</v>
      </c>
      <c r="F570" s="284"/>
      <c r="G570" s="340">
        <f t="shared" si="734"/>
        <v>0</v>
      </c>
      <c r="H570" s="285">
        <v>0</v>
      </c>
      <c r="I570" s="285">
        <v>0</v>
      </c>
      <c r="J570" s="359" t="str">
        <f>IFERROR(G570/#REF!,"-")</f>
        <v>-</v>
      </c>
      <c r="K570" s="340">
        <f t="shared" si="735"/>
        <v>0</v>
      </c>
      <c r="L570" s="285">
        <f t="shared" si="736"/>
        <v>0</v>
      </c>
      <c r="M570" s="286">
        <f t="shared" si="737"/>
        <v>0</v>
      </c>
      <c r="N570" s="344" t="str">
        <f t="shared" si="705"/>
        <v>-</v>
      </c>
      <c r="O570" s="353" t="str">
        <f t="shared" si="698"/>
        <v>-</v>
      </c>
    </row>
    <row r="571" spans="1:15" ht="24" thickBot="1" x14ac:dyDescent="0.35">
      <c r="A571" s="277" t="s">
        <v>111</v>
      </c>
      <c r="B571" s="906" t="s">
        <v>52</v>
      </c>
      <c r="C571" s="907"/>
      <c r="D571" s="908"/>
      <c r="E571" s="288">
        <v>157500</v>
      </c>
      <c r="F571" s="289">
        <v>14000</v>
      </c>
      <c r="G571" s="326">
        <f>SUM(G563:G570)</f>
        <v>0</v>
      </c>
      <c r="H571" s="327">
        <f t="shared" ref="H571:I571" si="738">SUM(H563:H570)</f>
        <v>0</v>
      </c>
      <c r="I571" s="327">
        <f t="shared" si="738"/>
        <v>0</v>
      </c>
      <c r="J571" s="351" t="str">
        <f>IFERROR(G571/#REF!,"-")</f>
        <v>-</v>
      </c>
      <c r="K571" s="326">
        <f t="shared" ref="K571:M571" si="739">SUM(K563:K570)</f>
        <v>29090</v>
      </c>
      <c r="L571" s="327">
        <f t="shared" si="739"/>
        <v>28875</v>
      </c>
      <c r="M571" s="328">
        <f t="shared" si="739"/>
        <v>215</v>
      </c>
      <c r="N571" s="345">
        <f t="shared" si="705"/>
        <v>0.1846984126984127</v>
      </c>
      <c r="O571" s="351">
        <f t="shared" si="698"/>
        <v>7.390855964248883E-3</v>
      </c>
    </row>
    <row r="572" spans="1:15" ht="24" thickBot="1" x14ac:dyDescent="0.35">
      <c r="A572" s="277" t="s">
        <v>111</v>
      </c>
      <c r="B572" s="926" t="s">
        <v>25</v>
      </c>
      <c r="C572" s="927"/>
      <c r="D572" s="928"/>
      <c r="E572" s="332">
        <f t="shared" ref="E572:F572" si="740">+E562+E571</f>
        <v>157500</v>
      </c>
      <c r="F572" s="333">
        <f t="shared" si="740"/>
        <v>94000</v>
      </c>
      <c r="G572" s="332">
        <f>+G562+G571</f>
        <v>0</v>
      </c>
      <c r="H572" s="330">
        <f t="shared" ref="H572:I572" si="741">+H562+H571</f>
        <v>0</v>
      </c>
      <c r="I572" s="330">
        <f t="shared" si="741"/>
        <v>0</v>
      </c>
      <c r="J572" s="355" t="str">
        <f>IFERROR(G572/#REF!,"-")</f>
        <v>-</v>
      </c>
      <c r="K572" s="332">
        <f t="shared" ref="K572" si="742">+K562+K571</f>
        <v>29090</v>
      </c>
      <c r="L572" s="330">
        <f>+L562+L571</f>
        <v>28875</v>
      </c>
      <c r="M572" s="331">
        <f t="shared" ref="M572" si="743">+M562+M571</f>
        <v>215</v>
      </c>
      <c r="N572" s="347">
        <f t="shared" si="705"/>
        <v>0.1846984126984127</v>
      </c>
      <c r="O572" s="355">
        <f t="shared" si="698"/>
        <v>7.390855964248883E-3</v>
      </c>
    </row>
    <row r="573" spans="1:15" ht="24" thickBot="1" x14ac:dyDescent="0.35">
      <c r="A573" s="277" t="s">
        <v>111</v>
      </c>
      <c r="B573" s="900" t="s">
        <v>181</v>
      </c>
      <c r="C573" s="901"/>
      <c r="D573" s="902"/>
      <c r="E573" s="336">
        <f>+E557+E572</f>
        <v>5932100</v>
      </c>
      <c r="F573" s="337">
        <f t="shared" ref="F573:I573" si="744">+F557+F572</f>
        <v>449000</v>
      </c>
      <c r="G573" s="336">
        <f t="shared" si="744"/>
        <v>95159</v>
      </c>
      <c r="H573" s="334">
        <f t="shared" si="744"/>
        <v>94600</v>
      </c>
      <c r="I573" s="334">
        <f t="shared" si="744"/>
        <v>559</v>
      </c>
      <c r="J573" s="356" t="str">
        <f>IFERROR(G573/#REF!,"-")</f>
        <v>-</v>
      </c>
      <c r="K573" s="336">
        <f t="shared" ref="K573:M573" si="745">+K557+K572</f>
        <v>626624</v>
      </c>
      <c r="L573" s="334">
        <f t="shared" si="745"/>
        <v>622735</v>
      </c>
      <c r="M573" s="335">
        <f t="shared" si="745"/>
        <v>3889</v>
      </c>
      <c r="N573" s="348">
        <f t="shared" si="705"/>
        <v>0.10563274388496485</v>
      </c>
      <c r="O573" s="356">
        <f t="shared" si="698"/>
        <v>6.2062736186293535E-3</v>
      </c>
    </row>
    <row r="574" spans="1:15" ht="23.4" x14ac:dyDescent="0.3">
      <c r="A574" s="271" t="s">
        <v>109</v>
      </c>
      <c r="B574" s="929" t="s">
        <v>26</v>
      </c>
      <c r="C574" s="303" t="s">
        <v>334</v>
      </c>
      <c r="D574" s="303" t="s">
        <v>192</v>
      </c>
      <c r="E574" s="273">
        <v>0</v>
      </c>
      <c r="F574" s="274"/>
      <c r="G574" s="338">
        <f t="shared" ref="G574:G582" si="746">+H574+I574</f>
        <v>0</v>
      </c>
      <c r="H574" s="275">
        <v>0</v>
      </c>
      <c r="I574" s="275">
        <v>0</v>
      </c>
      <c r="J574" s="357" t="str">
        <f>IFERROR(G574/#REF!,"-")</f>
        <v>-</v>
      </c>
      <c r="K574" s="338">
        <f t="shared" ref="K574:K582" si="747">+L574+M574</f>
        <v>326708</v>
      </c>
      <c r="L574" s="275">
        <f t="shared" ref="L574:L582" si="748">+H574+L471</f>
        <v>322218</v>
      </c>
      <c r="M574" s="276">
        <f t="shared" ref="M574:M582" si="749">+I574+M471</f>
        <v>4490</v>
      </c>
      <c r="N574" s="342" t="str">
        <f t="shared" si="705"/>
        <v>-</v>
      </c>
      <c r="O574" s="352">
        <f t="shared" si="698"/>
        <v>1.3743159028857574E-2</v>
      </c>
    </row>
    <row r="575" spans="1:15" ht="23.4" x14ac:dyDescent="0.3">
      <c r="A575" s="277" t="s">
        <v>109</v>
      </c>
      <c r="B575" s="929"/>
      <c r="C575" s="304" t="s">
        <v>199</v>
      </c>
      <c r="D575" s="304" t="s">
        <v>115</v>
      </c>
      <c r="E575" s="279">
        <v>0</v>
      </c>
      <c r="F575" s="280"/>
      <c r="G575" s="339">
        <f t="shared" si="746"/>
        <v>0</v>
      </c>
      <c r="H575" s="281">
        <v>0</v>
      </c>
      <c r="I575" s="281">
        <v>0</v>
      </c>
      <c r="J575" s="358" t="str">
        <f>IFERROR(G575/#REF!,"-")</f>
        <v>-</v>
      </c>
      <c r="K575" s="339">
        <f t="shared" si="747"/>
        <v>0</v>
      </c>
      <c r="L575" s="281">
        <f t="shared" si="748"/>
        <v>0</v>
      </c>
      <c r="M575" s="251">
        <f t="shared" si="749"/>
        <v>0</v>
      </c>
      <c r="N575" s="343" t="str">
        <f t="shared" si="705"/>
        <v>-</v>
      </c>
      <c r="O575" s="264" t="str">
        <f t="shared" si="698"/>
        <v>-</v>
      </c>
    </row>
    <row r="576" spans="1:15" ht="23.4" x14ac:dyDescent="0.3">
      <c r="A576" s="277" t="s">
        <v>109</v>
      </c>
      <c r="B576" s="929"/>
      <c r="C576" s="305" t="s">
        <v>27</v>
      </c>
      <c r="D576" s="305" t="s">
        <v>310</v>
      </c>
      <c r="E576" s="283">
        <v>0</v>
      </c>
      <c r="F576" s="284"/>
      <c r="G576" s="339">
        <f t="shared" si="746"/>
        <v>0</v>
      </c>
      <c r="H576" s="285">
        <v>0</v>
      </c>
      <c r="I576" s="285">
        <v>0</v>
      </c>
      <c r="J576" s="359" t="str">
        <f>IFERROR(G576/#REF!,"-")</f>
        <v>-</v>
      </c>
      <c r="K576" s="339">
        <f t="shared" si="747"/>
        <v>0</v>
      </c>
      <c r="L576" s="285">
        <f t="shared" si="748"/>
        <v>0</v>
      </c>
      <c r="M576" s="286">
        <f t="shared" si="749"/>
        <v>0</v>
      </c>
      <c r="N576" s="287"/>
      <c r="O576" s="264" t="str">
        <f t="shared" si="698"/>
        <v>-</v>
      </c>
    </row>
    <row r="577" spans="1:15" ht="23.4" x14ac:dyDescent="0.3">
      <c r="A577" s="277" t="s">
        <v>109</v>
      </c>
      <c r="B577" s="929"/>
      <c r="C577" s="305" t="s">
        <v>27</v>
      </c>
      <c r="D577" s="305" t="s">
        <v>311</v>
      </c>
      <c r="E577" s="283">
        <v>0</v>
      </c>
      <c r="F577" s="284"/>
      <c r="G577" s="339">
        <f t="shared" si="746"/>
        <v>0</v>
      </c>
      <c r="H577" s="285">
        <v>0</v>
      </c>
      <c r="I577" s="285">
        <v>0</v>
      </c>
      <c r="J577" s="359" t="str">
        <f>IFERROR(G577/#REF!,"-")</f>
        <v>-</v>
      </c>
      <c r="K577" s="339">
        <f t="shared" si="747"/>
        <v>0</v>
      </c>
      <c r="L577" s="285">
        <f t="shared" si="748"/>
        <v>0</v>
      </c>
      <c r="M577" s="286">
        <f t="shared" si="749"/>
        <v>0</v>
      </c>
      <c r="N577" s="287"/>
      <c r="O577" s="264" t="str">
        <f t="shared" si="698"/>
        <v>-</v>
      </c>
    </row>
    <row r="578" spans="1:15" ht="23.4" x14ac:dyDescent="0.3">
      <c r="A578" s="277" t="s">
        <v>109</v>
      </c>
      <c r="B578" s="929"/>
      <c r="C578" s="305" t="s">
        <v>325</v>
      </c>
      <c r="D578" s="305" t="s">
        <v>324</v>
      </c>
      <c r="E578" s="283">
        <v>0</v>
      </c>
      <c r="F578" s="284"/>
      <c r="G578" s="339">
        <f t="shared" si="746"/>
        <v>0</v>
      </c>
      <c r="H578" s="285">
        <v>0</v>
      </c>
      <c r="I578" s="285">
        <v>0</v>
      </c>
      <c r="J578" s="359" t="str">
        <f>IFERROR(G578/#REF!,"-")</f>
        <v>-</v>
      </c>
      <c r="K578" s="339">
        <f t="shared" si="747"/>
        <v>0</v>
      </c>
      <c r="L578" s="285">
        <f t="shared" si="748"/>
        <v>0</v>
      </c>
      <c r="M578" s="286">
        <f t="shared" si="749"/>
        <v>0</v>
      </c>
      <c r="N578" s="287"/>
      <c r="O578" s="264" t="str">
        <f t="shared" si="698"/>
        <v>-</v>
      </c>
    </row>
    <row r="579" spans="1:15" ht="23.4" x14ac:dyDescent="0.3">
      <c r="A579" s="277"/>
      <c r="B579" s="929"/>
      <c r="C579" s="305" t="s">
        <v>325</v>
      </c>
      <c r="D579" s="305" t="s">
        <v>192</v>
      </c>
      <c r="E579" s="283">
        <v>0</v>
      </c>
      <c r="F579" s="284"/>
      <c r="G579" s="340">
        <f t="shared" si="746"/>
        <v>0</v>
      </c>
      <c r="H579" s="285">
        <v>0</v>
      </c>
      <c r="I579" s="285">
        <v>0</v>
      </c>
      <c r="J579" s="359" t="str">
        <f>IFERROR(G579/#REF!,"-")</f>
        <v>-</v>
      </c>
      <c r="K579" s="340">
        <f t="shared" si="747"/>
        <v>0</v>
      </c>
      <c r="L579" s="285">
        <f t="shared" si="748"/>
        <v>0</v>
      </c>
      <c r="M579" s="286">
        <f t="shared" si="749"/>
        <v>0</v>
      </c>
      <c r="N579" s="287"/>
      <c r="O579" s="264" t="str">
        <f t="shared" si="698"/>
        <v>-</v>
      </c>
    </row>
    <row r="580" spans="1:15" ht="23.4" x14ac:dyDescent="0.3">
      <c r="A580" s="277"/>
      <c r="B580" s="929"/>
      <c r="C580" s="305" t="s">
        <v>325</v>
      </c>
      <c r="D580" s="305" t="s">
        <v>101</v>
      </c>
      <c r="E580" s="283">
        <v>0</v>
      </c>
      <c r="F580" s="284"/>
      <c r="G580" s="340">
        <f t="shared" si="746"/>
        <v>0</v>
      </c>
      <c r="H580" s="285">
        <v>0</v>
      </c>
      <c r="I580" s="285">
        <v>0</v>
      </c>
      <c r="J580" s="359" t="str">
        <f>IFERROR(G580/#REF!,"-")</f>
        <v>-</v>
      </c>
      <c r="K580" s="340">
        <f t="shared" si="747"/>
        <v>0</v>
      </c>
      <c r="L580" s="285">
        <f t="shared" si="748"/>
        <v>0</v>
      </c>
      <c r="M580" s="286">
        <f t="shared" si="749"/>
        <v>0</v>
      </c>
      <c r="N580" s="287"/>
      <c r="O580" s="264" t="str">
        <f t="shared" si="698"/>
        <v>-</v>
      </c>
    </row>
    <row r="581" spans="1:15" ht="23.4" x14ac:dyDescent="0.3">
      <c r="A581" s="277"/>
      <c r="B581" s="929"/>
      <c r="C581" s="305" t="s">
        <v>393</v>
      </c>
      <c r="D581" s="305" t="s">
        <v>394</v>
      </c>
      <c r="E581" s="283">
        <v>0</v>
      </c>
      <c r="F581" s="284"/>
      <c r="G581" s="340">
        <f t="shared" si="746"/>
        <v>76317</v>
      </c>
      <c r="H581" s="285">
        <v>75582</v>
      </c>
      <c r="I581" s="285">
        <v>735</v>
      </c>
      <c r="J581" s="359" t="str">
        <f>IFERROR(G581/#REF!,"-")</f>
        <v>-</v>
      </c>
      <c r="K581" s="340">
        <f t="shared" si="747"/>
        <v>136400</v>
      </c>
      <c r="L581" s="285">
        <f t="shared" si="748"/>
        <v>135252</v>
      </c>
      <c r="M581" s="286">
        <f t="shared" si="749"/>
        <v>1148</v>
      </c>
      <c r="N581" s="287"/>
      <c r="O581" s="264">
        <f t="shared" si="698"/>
        <v>8.41642228739003E-3</v>
      </c>
    </row>
    <row r="582" spans="1:15" ht="24" thickBot="1" x14ac:dyDescent="0.35">
      <c r="A582" s="277" t="s">
        <v>109</v>
      </c>
      <c r="B582" s="929"/>
      <c r="C582" s="306" t="s">
        <v>326</v>
      </c>
      <c r="D582" s="305" t="s">
        <v>324</v>
      </c>
      <c r="E582" s="283">
        <v>0</v>
      </c>
      <c r="F582" s="284"/>
      <c r="G582" s="340">
        <f t="shared" si="746"/>
        <v>0</v>
      </c>
      <c r="H582" s="285">
        <v>0</v>
      </c>
      <c r="I582" s="285">
        <v>0</v>
      </c>
      <c r="J582" s="359" t="str">
        <f>IFERROR(G582/#REF!,"-")</f>
        <v>-</v>
      </c>
      <c r="K582" s="340">
        <f t="shared" si="747"/>
        <v>7956</v>
      </c>
      <c r="L582" s="285">
        <f t="shared" si="748"/>
        <v>7956</v>
      </c>
      <c r="M582" s="286">
        <f t="shared" si="749"/>
        <v>0</v>
      </c>
      <c r="N582" s="344" t="str">
        <f t="shared" ref="N582:N599" si="750">IFERROR(K582/E582,"-")</f>
        <v>-</v>
      </c>
      <c r="O582" s="353">
        <f t="shared" si="698"/>
        <v>0</v>
      </c>
    </row>
    <row r="583" spans="1:15" ht="24" thickBot="1" x14ac:dyDescent="0.35">
      <c r="A583" s="277" t="s">
        <v>109</v>
      </c>
      <c r="B583" s="930"/>
      <c r="C583" s="307"/>
      <c r="D583" s="308" t="s">
        <v>55</v>
      </c>
      <c r="E583" s="288">
        <v>0</v>
      </c>
      <c r="F583" s="289"/>
      <c r="G583" s="326">
        <f>SUM(G574:G582)</f>
        <v>76317</v>
      </c>
      <c r="H583" s="327">
        <f>SUM(H574:H582)</f>
        <v>75582</v>
      </c>
      <c r="I583" s="327">
        <f>SUM(I574:I582)</f>
        <v>735</v>
      </c>
      <c r="J583" s="351" t="str">
        <f>IFERROR(G583/#REF!,"-")</f>
        <v>-</v>
      </c>
      <c r="K583" s="326">
        <f>SUM(K574:K582)</f>
        <v>471064</v>
      </c>
      <c r="L583" s="327">
        <f>SUM(L574:L582)</f>
        <v>465426</v>
      </c>
      <c r="M583" s="328">
        <f>SUM(M574:M582)</f>
        <v>5638</v>
      </c>
      <c r="N583" s="345" t="str">
        <f t="shared" si="750"/>
        <v>-</v>
      </c>
      <c r="O583" s="351">
        <f t="shared" si="698"/>
        <v>1.1968649695158195E-2</v>
      </c>
    </row>
    <row r="584" spans="1:15" ht="23.4" x14ac:dyDescent="0.3">
      <c r="A584" s="277" t="s">
        <v>109</v>
      </c>
      <c r="B584" s="931" t="s">
        <v>28</v>
      </c>
      <c r="C584" s="303" t="s">
        <v>322</v>
      </c>
      <c r="D584" s="303" t="s">
        <v>193</v>
      </c>
      <c r="E584" s="273">
        <v>0</v>
      </c>
      <c r="F584" s="274"/>
      <c r="G584" s="338">
        <f t="shared" ref="G584:G586" si="751">+H584+I584</f>
        <v>0</v>
      </c>
      <c r="H584" s="275">
        <v>0</v>
      </c>
      <c r="I584" s="275">
        <v>0</v>
      </c>
      <c r="J584" s="357" t="str">
        <f>IFERROR(G584/#REF!,"-")</f>
        <v>-</v>
      </c>
      <c r="K584" s="338">
        <f t="shared" ref="K584:K586" si="752">+L584+M584</f>
        <v>0</v>
      </c>
      <c r="L584" s="275">
        <f t="shared" ref="L584:L586" si="753">+H584+L481</f>
        <v>0</v>
      </c>
      <c r="M584" s="276">
        <f t="shared" ref="M584:M586" si="754">+I584+M481</f>
        <v>0</v>
      </c>
      <c r="N584" s="342" t="str">
        <f t="shared" si="750"/>
        <v>-</v>
      </c>
      <c r="O584" s="352" t="str">
        <f t="shared" si="698"/>
        <v>-</v>
      </c>
    </row>
    <row r="585" spans="1:15" ht="23.4" x14ac:dyDescent="0.3">
      <c r="A585" s="277" t="s">
        <v>109</v>
      </c>
      <c r="B585" s="929"/>
      <c r="C585" s="305" t="s">
        <v>27</v>
      </c>
      <c r="D585" s="305" t="s">
        <v>311</v>
      </c>
      <c r="E585" s="279">
        <v>0</v>
      </c>
      <c r="F585" s="280"/>
      <c r="G585" s="339">
        <f t="shared" si="751"/>
        <v>0</v>
      </c>
      <c r="H585" s="281">
        <v>0</v>
      </c>
      <c r="I585" s="281">
        <v>0</v>
      </c>
      <c r="J585" s="358" t="str">
        <f>IFERROR(G585/#REF!,"-")</f>
        <v>-</v>
      </c>
      <c r="K585" s="339">
        <f t="shared" si="752"/>
        <v>0</v>
      </c>
      <c r="L585" s="281">
        <f t="shared" si="753"/>
        <v>0</v>
      </c>
      <c r="M585" s="251">
        <f t="shared" si="754"/>
        <v>0</v>
      </c>
      <c r="N585" s="343" t="str">
        <f t="shared" si="750"/>
        <v>-</v>
      </c>
      <c r="O585" s="264" t="str">
        <f t="shared" si="698"/>
        <v>-</v>
      </c>
    </row>
    <row r="586" spans="1:15" ht="24" thickBot="1" x14ac:dyDescent="0.35">
      <c r="A586" s="277" t="s">
        <v>109</v>
      </c>
      <c r="B586" s="929"/>
      <c r="C586" s="305" t="s">
        <v>27</v>
      </c>
      <c r="D586" s="306" t="s">
        <v>259</v>
      </c>
      <c r="E586" s="283">
        <v>0</v>
      </c>
      <c r="F586" s="284"/>
      <c r="G586" s="340">
        <f t="shared" si="751"/>
        <v>0</v>
      </c>
      <c r="H586" s="285">
        <v>0</v>
      </c>
      <c r="I586" s="285">
        <v>0</v>
      </c>
      <c r="J586" s="359" t="str">
        <f>IFERROR(G586/#REF!,"-")</f>
        <v>-</v>
      </c>
      <c r="K586" s="340">
        <f t="shared" si="752"/>
        <v>0</v>
      </c>
      <c r="L586" s="285">
        <f t="shared" si="753"/>
        <v>0</v>
      </c>
      <c r="M586" s="286">
        <f t="shared" si="754"/>
        <v>0</v>
      </c>
      <c r="N586" s="344" t="str">
        <f t="shared" si="750"/>
        <v>-</v>
      </c>
      <c r="O586" s="353" t="str">
        <f t="shared" si="698"/>
        <v>-</v>
      </c>
    </row>
    <row r="587" spans="1:15" ht="24" thickBot="1" x14ac:dyDescent="0.35">
      <c r="A587" s="277" t="s">
        <v>109</v>
      </c>
      <c r="B587" s="929"/>
      <c r="C587" s="310"/>
      <c r="D587" s="311" t="s">
        <v>55</v>
      </c>
      <c r="E587" s="312">
        <v>0</v>
      </c>
      <c r="F587" s="313"/>
      <c r="G587" s="372">
        <f>SUM(G584:G586)</f>
        <v>0</v>
      </c>
      <c r="H587" s="371">
        <f t="shared" ref="H587:I587" si="755">SUM(H584:H586)</f>
        <v>0</v>
      </c>
      <c r="I587" s="371">
        <f t="shared" si="755"/>
        <v>0</v>
      </c>
      <c r="J587" s="362" t="str">
        <f>IFERROR(G587/#REF!,"-")</f>
        <v>-</v>
      </c>
      <c r="K587" s="372">
        <f>SUM(K584:K586)</f>
        <v>0</v>
      </c>
      <c r="L587" s="371">
        <f t="shared" ref="L587:M587" si="756">SUM(L584:L586)</f>
        <v>0</v>
      </c>
      <c r="M587" s="373">
        <f t="shared" si="756"/>
        <v>0</v>
      </c>
      <c r="N587" s="361" t="str">
        <f t="shared" si="750"/>
        <v>-</v>
      </c>
      <c r="O587" s="362" t="str">
        <f t="shared" si="698"/>
        <v>-</v>
      </c>
    </row>
    <row r="588" spans="1:15" ht="24" thickBot="1" x14ac:dyDescent="0.35">
      <c r="A588" s="713" t="s">
        <v>109</v>
      </c>
      <c r="B588" s="932" t="s">
        <v>171</v>
      </c>
      <c r="C588" s="933"/>
      <c r="D588" s="934"/>
      <c r="E588" s="314">
        <v>2167000</v>
      </c>
      <c r="F588" s="315">
        <v>80000</v>
      </c>
      <c r="G588" s="375">
        <f>+G583+G587</f>
        <v>76317</v>
      </c>
      <c r="H588" s="374">
        <f t="shared" ref="H588:I588" si="757">+H583+H587</f>
        <v>75582</v>
      </c>
      <c r="I588" s="374">
        <f t="shared" si="757"/>
        <v>735</v>
      </c>
      <c r="J588" s="364" t="str">
        <f>IFERROR(G588/#REF!,"-")</f>
        <v>-</v>
      </c>
      <c r="K588" s="375">
        <f>+K583+K587</f>
        <v>471064</v>
      </c>
      <c r="L588" s="374">
        <f>+L583+L587</f>
        <v>465426</v>
      </c>
      <c r="M588" s="376">
        <f t="shared" ref="M588" si="758">+M583+M587</f>
        <v>5638</v>
      </c>
      <c r="N588" s="363">
        <f t="shared" si="750"/>
        <v>0.21738071065989847</v>
      </c>
      <c r="O588" s="364">
        <f t="shared" si="698"/>
        <v>1.1968649695158195E-2</v>
      </c>
    </row>
    <row r="589" spans="1:15" ht="23.4" x14ac:dyDescent="0.3">
      <c r="A589" s="277" t="s">
        <v>109</v>
      </c>
      <c r="B589" s="929" t="s">
        <v>30</v>
      </c>
      <c r="C589" s="309" t="s">
        <v>396</v>
      </c>
      <c r="D589" s="303" t="s">
        <v>193</v>
      </c>
      <c r="E589" s="273">
        <v>0</v>
      </c>
      <c r="F589" s="274"/>
      <c r="G589" s="338">
        <f t="shared" ref="G589:G591" si="759">+H589+I589</f>
        <v>0</v>
      </c>
      <c r="H589" s="275">
        <v>0</v>
      </c>
      <c r="I589" s="275">
        <v>0</v>
      </c>
      <c r="J589" s="357" t="str">
        <f>IFERROR(G589/#REF!,"-")</f>
        <v>-</v>
      </c>
      <c r="K589" s="338">
        <f t="shared" ref="K589:K591" si="760">+L589+M589</f>
        <v>0</v>
      </c>
      <c r="L589" s="275">
        <f t="shared" ref="L589:L591" si="761">+H589+L486</f>
        <v>0</v>
      </c>
      <c r="M589" s="276">
        <f t="shared" ref="M589:M591" si="762">+I589+M486</f>
        <v>0</v>
      </c>
      <c r="N589" s="342" t="str">
        <f t="shared" si="750"/>
        <v>-</v>
      </c>
      <c r="O589" s="352" t="str">
        <f t="shared" si="698"/>
        <v>-</v>
      </c>
    </row>
    <row r="590" spans="1:15" ht="23.4" x14ac:dyDescent="0.3">
      <c r="A590" s="277" t="s">
        <v>109</v>
      </c>
      <c r="B590" s="929"/>
      <c r="C590" s="309" t="s">
        <v>395</v>
      </c>
      <c r="D590" s="309" t="s">
        <v>324</v>
      </c>
      <c r="E590" s="279">
        <v>0</v>
      </c>
      <c r="F590" s="280"/>
      <c r="G590" s="339">
        <f t="shared" si="759"/>
        <v>0</v>
      </c>
      <c r="H590" s="281">
        <v>0</v>
      </c>
      <c r="I590" s="281">
        <v>0</v>
      </c>
      <c r="J590" s="358" t="str">
        <f>IFERROR(G590/#REF!,"-")</f>
        <v>-</v>
      </c>
      <c r="K590" s="339">
        <f t="shared" si="760"/>
        <v>0</v>
      </c>
      <c r="L590" s="281">
        <f t="shared" si="761"/>
        <v>0</v>
      </c>
      <c r="M590" s="251">
        <f t="shared" si="762"/>
        <v>0</v>
      </c>
      <c r="N590" s="343" t="str">
        <f t="shared" si="750"/>
        <v>-</v>
      </c>
      <c r="O590" s="264" t="str">
        <f t="shared" si="698"/>
        <v>-</v>
      </c>
    </row>
    <row r="591" spans="1:15" ht="24" thickBot="1" x14ac:dyDescent="0.35">
      <c r="A591" s="277" t="s">
        <v>109</v>
      </c>
      <c r="B591" s="929"/>
      <c r="C591" s="306" t="s">
        <v>327</v>
      </c>
      <c r="D591" s="306"/>
      <c r="E591" s="283">
        <v>0</v>
      </c>
      <c r="F591" s="284"/>
      <c r="G591" s="340">
        <f t="shared" si="759"/>
        <v>0</v>
      </c>
      <c r="H591" s="285">
        <v>0</v>
      </c>
      <c r="I591" s="285">
        <v>0</v>
      </c>
      <c r="J591" s="359" t="str">
        <f>IFERROR(G591/#REF!,"-")</f>
        <v>-</v>
      </c>
      <c r="K591" s="340">
        <f t="shared" si="760"/>
        <v>0</v>
      </c>
      <c r="L591" s="285">
        <f t="shared" si="761"/>
        <v>0</v>
      </c>
      <c r="M591" s="286">
        <f t="shared" si="762"/>
        <v>0</v>
      </c>
      <c r="N591" s="344" t="str">
        <f t="shared" si="750"/>
        <v>-</v>
      </c>
      <c r="O591" s="353" t="str">
        <f t="shared" si="698"/>
        <v>-</v>
      </c>
    </row>
    <row r="592" spans="1:15" ht="24" thickBot="1" x14ac:dyDescent="0.35">
      <c r="A592" s="277" t="s">
        <v>109</v>
      </c>
      <c r="B592" s="929"/>
      <c r="C592" s="307"/>
      <c r="D592" s="308" t="s">
        <v>53</v>
      </c>
      <c r="E592" s="288">
        <v>0</v>
      </c>
      <c r="F592" s="289"/>
      <c r="G592" s="326">
        <f>SUM(G589:G591)</f>
        <v>0</v>
      </c>
      <c r="H592" s="327">
        <f t="shared" ref="H592:I592" si="763">SUM(H589:H591)</f>
        <v>0</v>
      </c>
      <c r="I592" s="327">
        <f t="shared" si="763"/>
        <v>0</v>
      </c>
      <c r="J592" s="351" t="str">
        <f>IFERROR(G592/#REF!,"-")</f>
        <v>-</v>
      </c>
      <c r="K592" s="326">
        <f t="shared" ref="K592" si="764">SUM(K589:K591)</f>
        <v>0</v>
      </c>
      <c r="L592" s="327">
        <f>SUM(L589:L591)</f>
        <v>0</v>
      </c>
      <c r="M592" s="328">
        <f t="shared" ref="M592" si="765">SUM(M589:M591)</f>
        <v>0</v>
      </c>
      <c r="N592" s="345" t="str">
        <f t="shared" si="750"/>
        <v>-</v>
      </c>
      <c r="O592" s="351" t="str">
        <f t="shared" si="698"/>
        <v>-</v>
      </c>
    </row>
    <row r="593" spans="1:15" ht="23.4" x14ac:dyDescent="0.3">
      <c r="A593" s="277" t="s">
        <v>109</v>
      </c>
      <c r="B593" s="929"/>
      <c r="C593" s="303" t="s">
        <v>352</v>
      </c>
      <c r="D593" s="303"/>
      <c r="E593" s="273">
        <v>0</v>
      </c>
      <c r="F593" s="274"/>
      <c r="G593" s="338">
        <f t="shared" ref="G593:G595" si="766">+H593+I593</f>
        <v>0</v>
      </c>
      <c r="H593" s="275">
        <v>0</v>
      </c>
      <c r="I593" s="275">
        <v>0</v>
      </c>
      <c r="J593" s="357" t="str">
        <f>IFERROR(G593/#REF!,"-")</f>
        <v>-</v>
      </c>
      <c r="K593" s="338">
        <f t="shared" ref="K593:K595" si="767">+L593+M593</f>
        <v>0</v>
      </c>
      <c r="L593" s="275">
        <f t="shared" ref="L593:L595" si="768">+H593+L490</f>
        <v>0</v>
      </c>
      <c r="M593" s="276">
        <f t="shared" ref="M593:M595" si="769">+I593+M490</f>
        <v>0</v>
      </c>
      <c r="N593" s="342" t="str">
        <f t="shared" si="750"/>
        <v>-</v>
      </c>
      <c r="O593" s="352" t="str">
        <f t="shared" si="698"/>
        <v>-</v>
      </c>
    </row>
    <row r="594" spans="1:15" ht="23.4" x14ac:dyDescent="0.3">
      <c r="A594" s="277" t="s">
        <v>109</v>
      </c>
      <c r="B594" s="929"/>
      <c r="C594" s="309" t="s">
        <v>397</v>
      </c>
      <c r="D594" s="309" t="s">
        <v>259</v>
      </c>
      <c r="E594" s="279">
        <v>0</v>
      </c>
      <c r="F594" s="280"/>
      <c r="G594" s="339">
        <f t="shared" si="766"/>
        <v>37553</v>
      </c>
      <c r="H594" s="281">
        <v>37440</v>
      </c>
      <c r="I594" s="281">
        <v>113</v>
      </c>
      <c r="J594" s="358" t="str">
        <f>IFERROR(G594/#REF!,"-")</f>
        <v>-</v>
      </c>
      <c r="K594" s="339">
        <f t="shared" si="767"/>
        <v>294858</v>
      </c>
      <c r="L594" s="281">
        <f t="shared" si="768"/>
        <v>290160</v>
      </c>
      <c r="M594" s="251">
        <f t="shared" si="769"/>
        <v>4698</v>
      </c>
      <c r="N594" s="343" t="str">
        <f t="shared" si="750"/>
        <v>-</v>
      </c>
      <c r="O594" s="264">
        <f t="shared" si="698"/>
        <v>1.5933093217752273E-2</v>
      </c>
    </row>
    <row r="595" spans="1:15" ht="24" thickBot="1" x14ac:dyDescent="0.35">
      <c r="A595" s="277" t="s">
        <v>109</v>
      </c>
      <c r="B595" s="929"/>
      <c r="C595" s="306" t="s">
        <v>146</v>
      </c>
      <c r="D595" s="306"/>
      <c r="E595" s="283">
        <v>0</v>
      </c>
      <c r="F595" s="284"/>
      <c r="G595" s="340">
        <f t="shared" si="766"/>
        <v>0</v>
      </c>
      <c r="H595" s="285">
        <v>0</v>
      </c>
      <c r="I595" s="285">
        <v>0</v>
      </c>
      <c r="J595" s="359" t="str">
        <f>IFERROR(G595/#REF!,"-")</f>
        <v>-</v>
      </c>
      <c r="K595" s="340">
        <f t="shared" si="767"/>
        <v>0</v>
      </c>
      <c r="L595" s="285">
        <f t="shared" si="768"/>
        <v>0</v>
      </c>
      <c r="M595" s="286">
        <f t="shared" si="769"/>
        <v>0</v>
      </c>
      <c r="N595" s="344" t="str">
        <f t="shared" si="750"/>
        <v>-</v>
      </c>
      <c r="O595" s="353" t="str">
        <f t="shared" si="698"/>
        <v>-</v>
      </c>
    </row>
    <row r="596" spans="1:15" ht="24" thickBot="1" x14ac:dyDescent="0.35">
      <c r="A596" s="277" t="s">
        <v>109</v>
      </c>
      <c r="B596" s="929"/>
      <c r="C596" s="310"/>
      <c r="D596" s="311" t="s">
        <v>54</v>
      </c>
      <c r="E596" s="312">
        <v>0</v>
      </c>
      <c r="F596" s="313"/>
      <c r="G596" s="372">
        <f>SUM(G593:G595)</f>
        <v>37553</v>
      </c>
      <c r="H596" s="371">
        <f t="shared" ref="H596:I596" si="770">SUM(H593:H595)</f>
        <v>37440</v>
      </c>
      <c r="I596" s="371">
        <f t="shared" si="770"/>
        <v>113</v>
      </c>
      <c r="J596" s="362" t="str">
        <f>IFERROR(G596/#REF!,"-")</f>
        <v>-</v>
      </c>
      <c r="K596" s="372">
        <f t="shared" ref="K596:M596" si="771">SUM(K593:K595)</f>
        <v>294858</v>
      </c>
      <c r="L596" s="371">
        <f t="shared" si="771"/>
        <v>290160</v>
      </c>
      <c r="M596" s="373">
        <f t="shared" si="771"/>
        <v>4698</v>
      </c>
      <c r="N596" s="361" t="str">
        <f t="shared" si="750"/>
        <v>-</v>
      </c>
      <c r="O596" s="362">
        <f t="shared" si="698"/>
        <v>1.5933093217752273E-2</v>
      </c>
    </row>
    <row r="597" spans="1:15" ht="24" thickBot="1" x14ac:dyDescent="0.35">
      <c r="A597" s="277" t="s">
        <v>109</v>
      </c>
      <c r="B597" s="932" t="s">
        <v>172</v>
      </c>
      <c r="C597" s="933"/>
      <c r="D597" s="934"/>
      <c r="E597" s="314">
        <v>649600</v>
      </c>
      <c r="F597" s="315">
        <v>50000</v>
      </c>
      <c r="G597" s="375">
        <f>+G592+G596</f>
        <v>37553</v>
      </c>
      <c r="H597" s="374">
        <f t="shared" ref="H597:I597" si="772">+H592+H596</f>
        <v>37440</v>
      </c>
      <c r="I597" s="374">
        <f t="shared" si="772"/>
        <v>113</v>
      </c>
      <c r="J597" s="364" t="str">
        <f>IFERROR(G597/#REF!,"-")</f>
        <v>-</v>
      </c>
      <c r="K597" s="375">
        <f t="shared" ref="K597:M597" si="773">+K592+K596</f>
        <v>294858</v>
      </c>
      <c r="L597" s="374">
        <f t="shared" si="773"/>
        <v>290160</v>
      </c>
      <c r="M597" s="376">
        <f t="shared" si="773"/>
        <v>4698</v>
      </c>
      <c r="N597" s="363">
        <f t="shared" si="750"/>
        <v>0.45390701970443348</v>
      </c>
      <c r="O597" s="364">
        <f t="shared" ref="O597:O599" si="774">IFERROR(M597/K597,"-")</f>
        <v>1.5933093217752273E-2</v>
      </c>
    </row>
    <row r="598" spans="1:15" ht="24" thickBot="1" x14ac:dyDescent="0.35">
      <c r="A598" s="277" t="s">
        <v>109</v>
      </c>
      <c r="B598" s="616" t="s">
        <v>32</v>
      </c>
      <c r="C598" s="709"/>
      <c r="D598" s="316" t="s">
        <v>32</v>
      </c>
      <c r="E598" s="293">
        <v>0</v>
      </c>
      <c r="F598" s="294">
        <v>110000</v>
      </c>
      <c r="G598" s="341">
        <f t="shared" ref="G598" si="775">+H598+I598</f>
        <v>0</v>
      </c>
      <c r="H598" s="295">
        <v>0</v>
      </c>
      <c r="I598" s="295">
        <v>0</v>
      </c>
      <c r="J598" s="360" t="str">
        <f>IFERROR(G598/#REF!,"-")</f>
        <v>-</v>
      </c>
      <c r="K598" s="341">
        <f>+L598+M598</f>
        <v>0</v>
      </c>
      <c r="L598" s="295">
        <f>+H598+L495</f>
        <v>0</v>
      </c>
      <c r="M598" s="296">
        <f>+I598+M495</f>
        <v>0</v>
      </c>
      <c r="N598" s="346" t="str">
        <f t="shared" si="750"/>
        <v>-</v>
      </c>
      <c r="O598" s="354" t="str">
        <f t="shared" si="774"/>
        <v>-</v>
      </c>
    </row>
    <row r="599" spans="1:15" ht="24" thickBot="1" x14ac:dyDescent="0.35">
      <c r="A599" s="277" t="s">
        <v>109</v>
      </c>
      <c r="B599" s="926" t="s">
        <v>21</v>
      </c>
      <c r="C599" s="927"/>
      <c r="D599" s="928"/>
      <c r="E599" s="332">
        <f>+E588+E597+E598</f>
        <v>2816600</v>
      </c>
      <c r="F599" s="333">
        <f t="shared" ref="F599" si="776">+F588+F597+F598</f>
        <v>240000</v>
      </c>
      <c r="G599" s="332">
        <f>+G588+G597+G598</f>
        <v>113870</v>
      </c>
      <c r="H599" s="330">
        <f t="shared" ref="H599:I599" si="777">+H588+H597+H598</f>
        <v>113022</v>
      </c>
      <c r="I599" s="330">
        <f t="shared" si="777"/>
        <v>848</v>
      </c>
      <c r="J599" s="355" t="str">
        <f>IFERROR(G599/#REF!,"-")</f>
        <v>-</v>
      </c>
      <c r="K599" s="332">
        <f>+K588+K597+K598</f>
        <v>765922</v>
      </c>
      <c r="L599" s="330">
        <f>+L588+L597+L598</f>
        <v>755586</v>
      </c>
      <c r="M599" s="331">
        <f t="shared" ref="M599" si="778">+M588+M597+M598</f>
        <v>10336</v>
      </c>
      <c r="N599" s="347">
        <f t="shared" si="750"/>
        <v>0.27193140666051269</v>
      </c>
      <c r="O599" s="355">
        <f t="shared" si="774"/>
        <v>1.3494846733740511E-2</v>
      </c>
    </row>
    <row r="600" spans="1:15" ht="24" thickBot="1" x14ac:dyDescent="0.35">
      <c r="A600" s="277" t="s">
        <v>109</v>
      </c>
      <c r="B600" s="900" t="s">
        <v>180</v>
      </c>
      <c r="C600" s="901"/>
      <c r="D600" s="902"/>
      <c r="E600" s="336">
        <f>+E599</f>
        <v>2816600</v>
      </c>
      <c r="F600" s="337">
        <f t="shared" ref="F600:I600" si="779">+F599</f>
        <v>240000</v>
      </c>
      <c r="G600" s="336">
        <f t="shared" si="779"/>
        <v>113870</v>
      </c>
      <c r="H600" s="334">
        <f t="shared" si="779"/>
        <v>113022</v>
      </c>
      <c r="I600" s="334">
        <f t="shared" si="779"/>
        <v>848</v>
      </c>
      <c r="J600" s="356" t="str">
        <f>+J599</f>
        <v>-</v>
      </c>
      <c r="K600" s="336">
        <f>+K599</f>
        <v>765922</v>
      </c>
      <c r="L600" s="334">
        <f t="shared" ref="L600" si="780">+L599</f>
        <v>755586</v>
      </c>
      <c r="M600" s="335">
        <f>+M599</f>
        <v>10336</v>
      </c>
      <c r="N600" s="348">
        <f t="shared" ref="N600:O600" si="781">+N599</f>
        <v>0.27193140666051269</v>
      </c>
      <c r="O600" s="356">
        <f t="shared" si="781"/>
        <v>1.3494846733740511E-2</v>
      </c>
    </row>
    <row r="601" spans="1:15" ht="23.4" x14ac:dyDescent="0.3">
      <c r="A601" s="271" t="s">
        <v>110</v>
      </c>
      <c r="B601" s="903" t="s">
        <v>33</v>
      </c>
      <c r="C601" s="317" t="s">
        <v>121</v>
      </c>
      <c r="D601" s="317"/>
      <c r="E601" s="273">
        <v>0</v>
      </c>
      <c r="F601" s="274"/>
      <c r="G601" s="338">
        <f t="shared" ref="G601:G603" si="782">+H601+I601</f>
        <v>0</v>
      </c>
      <c r="H601" s="275">
        <v>0</v>
      </c>
      <c r="I601" s="275">
        <v>0</v>
      </c>
      <c r="J601" s="357" t="str">
        <f>IFERROR(G601/#REF!,"-")</f>
        <v>-</v>
      </c>
      <c r="K601" s="338">
        <f t="shared" ref="K601:K603" si="783">+L601+M601</f>
        <v>0</v>
      </c>
      <c r="L601" s="275">
        <f t="shared" ref="L601:L603" si="784">+H601+L498</f>
        <v>0</v>
      </c>
      <c r="M601" s="276">
        <f t="shared" ref="M601:M603" si="785">+I601+M498</f>
        <v>0</v>
      </c>
      <c r="N601" s="342" t="str">
        <f t="shared" ref="N601:N626" si="786">IFERROR(K601/E601,"-")</f>
        <v>-</v>
      </c>
      <c r="O601" s="352" t="str">
        <f t="shared" ref="O601:O626" si="787">IFERROR(M601/K601,"-")</f>
        <v>-</v>
      </c>
    </row>
    <row r="602" spans="1:15" ht="23.4" x14ac:dyDescent="0.3">
      <c r="A602" s="277" t="s">
        <v>110</v>
      </c>
      <c r="B602" s="904"/>
      <c r="C602" s="318" t="s">
        <v>274</v>
      </c>
      <c r="D602" s="318"/>
      <c r="E602" s="279">
        <v>0</v>
      </c>
      <c r="F602" s="280"/>
      <c r="G602" s="339">
        <f t="shared" si="782"/>
        <v>1600</v>
      </c>
      <c r="H602" s="281">
        <v>1400</v>
      </c>
      <c r="I602" s="281">
        <v>200</v>
      </c>
      <c r="J602" s="358" t="str">
        <f>IFERROR(G602/#REF!,"-")</f>
        <v>-</v>
      </c>
      <c r="K602" s="339">
        <f t="shared" si="783"/>
        <v>4367</v>
      </c>
      <c r="L602" s="281">
        <f t="shared" si="784"/>
        <v>3560</v>
      </c>
      <c r="M602" s="251">
        <f t="shared" si="785"/>
        <v>807</v>
      </c>
      <c r="N602" s="343" t="str">
        <f t="shared" si="786"/>
        <v>-</v>
      </c>
      <c r="O602" s="264">
        <f t="shared" si="787"/>
        <v>0.18479505381268604</v>
      </c>
    </row>
    <row r="603" spans="1:15" ht="24" thickBot="1" x14ac:dyDescent="0.35">
      <c r="A603" s="277" t="s">
        <v>110</v>
      </c>
      <c r="B603" s="905"/>
      <c r="C603" s="319" t="s">
        <v>34</v>
      </c>
      <c r="D603" s="319"/>
      <c r="E603" s="283">
        <v>0</v>
      </c>
      <c r="F603" s="284"/>
      <c r="G603" s="340">
        <f t="shared" si="782"/>
        <v>0</v>
      </c>
      <c r="H603" s="285">
        <v>0</v>
      </c>
      <c r="I603" s="285">
        <v>0</v>
      </c>
      <c r="J603" s="359" t="str">
        <f>IFERROR(G603/#REF!,"-")</f>
        <v>-</v>
      </c>
      <c r="K603" s="340">
        <f t="shared" si="783"/>
        <v>0</v>
      </c>
      <c r="L603" s="285">
        <f t="shared" si="784"/>
        <v>0</v>
      </c>
      <c r="M603" s="286">
        <f t="shared" si="785"/>
        <v>0</v>
      </c>
      <c r="N603" s="344" t="str">
        <f t="shared" si="786"/>
        <v>-</v>
      </c>
      <c r="O603" s="353" t="str">
        <f t="shared" si="787"/>
        <v>-</v>
      </c>
    </row>
    <row r="604" spans="1:15" ht="24" thickBot="1" x14ac:dyDescent="0.35">
      <c r="A604" s="277" t="s">
        <v>110</v>
      </c>
      <c r="B604" s="906" t="s">
        <v>35</v>
      </c>
      <c r="C604" s="907"/>
      <c r="D604" s="908"/>
      <c r="E604" s="288">
        <v>83700</v>
      </c>
      <c r="F604" s="289"/>
      <c r="G604" s="326">
        <f>SUM(G601:G603)</f>
        <v>1600</v>
      </c>
      <c r="H604" s="327">
        <f t="shared" ref="H604:I604" si="788">SUM(H601:H603)</f>
        <v>1400</v>
      </c>
      <c r="I604" s="327">
        <f t="shared" si="788"/>
        <v>200</v>
      </c>
      <c r="J604" s="351" t="str">
        <f>IFERROR(G604/#REF!,"-")</f>
        <v>-</v>
      </c>
      <c r="K604" s="326">
        <f t="shared" ref="K604:M604" si="789">SUM(K601:K603)</f>
        <v>4367</v>
      </c>
      <c r="L604" s="327">
        <f t="shared" si="789"/>
        <v>3560</v>
      </c>
      <c r="M604" s="328">
        <f t="shared" si="789"/>
        <v>807</v>
      </c>
      <c r="N604" s="345">
        <f t="shared" si="786"/>
        <v>5.2174432497013139E-2</v>
      </c>
      <c r="O604" s="351">
        <f t="shared" si="787"/>
        <v>0.18479505381268604</v>
      </c>
    </row>
    <row r="605" spans="1:15" ht="23.4" x14ac:dyDescent="0.3">
      <c r="A605" s="277" t="s">
        <v>110</v>
      </c>
      <c r="B605" s="903" t="s">
        <v>36</v>
      </c>
      <c r="C605" s="317" t="s">
        <v>121</v>
      </c>
      <c r="D605" s="317"/>
      <c r="E605" s="273">
        <v>0</v>
      </c>
      <c r="F605" s="274"/>
      <c r="G605" s="338">
        <f t="shared" ref="G605:G608" si="790">+H605+I605</f>
        <v>0</v>
      </c>
      <c r="H605" s="275">
        <v>0</v>
      </c>
      <c r="I605" s="275">
        <v>0</v>
      </c>
      <c r="J605" s="357" t="str">
        <f>IFERROR(G605/#REF!,"-")</f>
        <v>-</v>
      </c>
      <c r="K605" s="338">
        <f t="shared" ref="K605:K608" si="791">+L605+M605</f>
        <v>0</v>
      </c>
      <c r="L605" s="275">
        <f t="shared" ref="L605:L608" si="792">+H605+L502</f>
        <v>0</v>
      </c>
      <c r="M605" s="276">
        <f t="shared" ref="M605:M608" si="793">+I605+M502</f>
        <v>0</v>
      </c>
      <c r="N605" s="342" t="str">
        <f t="shared" si="786"/>
        <v>-</v>
      </c>
      <c r="O605" s="352" t="str">
        <f t="shared" si="787"/>
        <v>-</v>
      </c>
    </row>
    <row r="606" spans="1:15" ht="23.4" x14ac:dyDescent="0.3">
      <c r="A606" s="277" t="s">
        <v>110</v>
      </c>
      <c r="B606" s="904"/>
      <c r="C606" s="318" t="s">
        <v>274</v>
      </c>
      <c r="D606" s="318"/>
      <c r="E606" s="279">
        <v>0</v>
      </c>
      <c r="F606" s="280"/>
      <c r="G606" s="339">
        <f t="shared" si="790"/>
        <v>0</v>
      </c>
      <c r="H606" s="281">
        <v>0</v>
      </c>
      <c r="I606" s="281">
        <v>0</v>
      </c>
      <c r="J606" s="358" t="str">
        <f>IFERROR(G606/#REF!,"-")</f>
        <v>-</v>
      </c>
      <c r="K606" s="339">
        <f t="shared" si="791"/>
        <v>0</v>
      </c>
      <c r="L606" s="281">
        <f t="shared" si="792"/>
        <v>0</v>
      </c>
      <c r="M606" s="251">
        <f t="shared" si="793"/>
        <v>0</v>
      </c>
      <c r="N606" s="343" t="str">
        <f t="shared" si="786"/>
        <v>-</v>
      </c>
      <c r="O606" s="264" t="str">
        <f t="shared" si="787"/>
        <v>-</v>
      </c>
    </row>
    <row r="607" spans="1:15" ht="23.4" x14ac:dyDescent="0.3">
      <c r="A607" s="277" t="s">
        <v>110</v>
      </c>
      <c r="B607" s="904"/>
      <c r="C607" s="318" t="s">
        <v>201</v>
      </c>
      <c r="D607" s="318"/>
      <c r="E607" s="279">
        <v>0</v>
      </c>
      <c r="F607" s="280"/>
      <c r="G607" s="339">
        <f t="shared" si="790"/>
        <v>0</v>
      </c>
      <c r="H607" s="281">
        <v>0</v>
      </c>
      <c r="I607" s="281">
        <v>0</v>
      </c>
      <c r="J607" s="358" t="str">
        <f>IFERROR(G607/#REF!,"-")</f>
        <v>-</v>
      </c>
      <c r="K607" s="339">
        <f t="shared" si="791"/>
        <v>0</v>
      </c>
      <c r="L607" s="281">
        <f t="shared" si="792"/>
        <v>0</v>
      </c>
      <c r="M607" s="251">
        <f t="shared" si="793"/>
        <v>0</v>
      </c>
      <c r="N607" s="343" t="str">
        <f t="shared" si="786"/>
        <v>-</v>
      </c>
      <c r="O607" s="264" t="str">
        <f t="shared" si="787"/>
        <v>-</v>
      </c>
    </row>
    <row r="608" spans="1:15" ht="24" thickBot="1" x14ac:dyDescent="0.35">
      <c r="A608" s="277" t="s">
        <v>110</v>
      </c>
      <c r="B608" s="905"/>
      <c r="C608" s="319" t="s">
        <v>37</v>
      </c>
      <c r="D608" s="319"/>
      <c r="E608" s="283">
        <v>0</v>
      </c>
      <c r="F608" s="284"/>
      <c r="G608" s="340">
        <f t="shared" si="790"/>
        <v>0</v>
      </c>
      <c r="H608" s="285">
        <v>0</v>
      </c>
      <c r="I608" s="285">
        <v>0</v>
      </c>
      <c r="J608" s="359" t="str">
        <f>IFERROR(G608/#REF!,"-")</f>
        <v>-</v>
      </c>
      <c r="K608" s="340">
        <f t="shared" si="791"/>
        <v>0</v>
      </c>
      <c r="L608" s="285">
        <f t="shared" si="792"/>
        <v>0</v>
      </c>
      <c r="M608" s="286">
        <f t="shared" si="793"/>
        <v>0</v>
      </c>
      <c r="N608" s="344" t="str">
        <f t="shared" si="786"/>
        <v>-</v>
      </c>
      <c r="O608" s="353" t="str">
        <f t="shared" si="787"/>
        <v>-</v>
      </c>
    </row>
    <row r="609" spans="1:15" ht="24" thickBot="1" x14ac:dyDescent="0.35">
      <c r="A609" s="277" t="s">
        <v>110</v>
      </c>
      <c r="B609" s="906" t="s">
        <v>38</v>
      </c>
      <c r="C609" s="907"/>
      <c r="D609" s="908"/>
      <c r="E609" s="288">
        <v>10300</v>
      </c>
      <c r="F609" s="289">
        <v>6500</v>
      </c>
      <c r="G609" s="326">
        <f>SUM(G605:G608)</f>
        <v>0</v>
      </c>
      <c r="H609" s="327">
        <f t="shared" ref="H609:I609" si="794">SUM(H605:H608)</f>
        <v>0</v>
      </c>
      <c r="I609" s="327">
        <f t="shared" si="794"/>
        <v>0</v>
      </c>
      <c r="J609" s="351" t="str">
        <f>IFERROR(G609/#REF!,"-")</f>
        <v>-</v>
      </c>
      <c r="K609" s="326">
        <f t="shared" ref="K609:M609" si="795">SUM(K605:K608)</f>
        <v>0</v>
      </c>
      <c r="L609" s="327">
        <f t="shared" si="795"/>
        <v>0</v>
      </c>
      <c r="M609" s="328">
        <f t="shared" si="795"/>
        <v>0</v>
      </c>
      <c r="N609" s="345">
        <f t="shared" si="786"/>
        <v>0</v>
      </c>
      <c r="O609" s="351" t="str">
        <f t="shared" si="787"/>
        <v>-</v>
      </c>
    </row>
    <row r="610" spans="1:15" ht="23.4" x14ac:dyDescent="0.3">
      <c r="A610" s="277" t="s">
        <v>110</v>
      </c>
      <c r="B610" s="903" t="s">
        <v>39</v>
      </c>
      <c r="C610" s="320" t="s">
        <v>124</v>
      </c>
      <c r="D610" s="320"/>
      <c r="E610" s="273">
        <v>0</v>
      </c>
      <c r="F610" s="274"/>
      <c r="G610" s="338">
        <f t="shared" ref="G610:G611" si="796">+H610+I610</f>
        <v>0</v>
      </c>
      <c r="H610" s="275">
        <v>0</v>
      </c>
      <c r="I610" s="275">
        <v>0</v>
      </c>
      <c r="J610" s="357" t="str">
        <f>IFERROR(G610/#REF!,"-")</f>
        <v>-</v>
      </c>
      <c r="K610" s="338">
        <f t="shared" ref="K610:K611" si="797">+L610+M610</f>
        <v>0</v>
      </c>
      <c r="L610" s="275">
        <f t="shared" ref="L610:L611" si="798">+H610+L507</f>
        <v>0</v>
      </c>
      <c r="M610" s="276">
        <f t="shared" ref="M610:M611" si="799">+I610+M507</f>
        <v>0</v>
      </c>
      <c r="N610" s="342" t="str">
        <f t="shared" si="786"/>
        <v>-</v>
      </c>
      <c r="O610" s="352" t="str">
        <f t="shared" si="787"/>
        <v>-</v>
      </c>
    </row>
    <row r="611" spans="1:15" ht="24" thickBot="1" x14ac:dyDescent="0.35">
      <c r="A611" s="277" t="s">
        <v>110</v>
      </c>
      <c r="B611" s="905"/>
      <c r="C611" s="290" t="s">
        <v>140</v>
      </c>
      <c r="D611" s="290"/>
      <c r="E611" s="283">
        <v>0</v>
      </c>
      <c r="F611" s="284"/>
      <c r="G611" s="340">
        <f t="shared" si="796"/>
        <v>0</v>
      </c>
      <c r="H611" s="285">
        <v>0</v>
      </c>
      <c r="I611" s="285">
        <v>0</v>
      </c>
      <c r="J611" s="359" t="str">
        <f>IFERROR(G611/#REF!,"-")</f>
        <v>-</v>
      </c>
      <c r="K611" s="340">
        <f t="shared" si="797"/>
        <v>0</v>
      </c>
      <c r="L611" s="285">
        <f t="shared" si="798"/>
        <v>0</v>
      </c>
      <c r="M611" s="286">
        <f t="shared" si="799"/>
        <v>0</v>
      </c>
      <c r="N611" s="344" t="str">
        <f t="shared" si="786"/>
        <v>-</v>
      </c>
      <c r="O611" s="353" t="str">
        <f t="shared" si="787"/>
        <v>-</v>
      </c>
    </row>
    <row r="612" spans="1:15" ht="24" thickBot="1" x14ac:dyDescent="0.35">
      <c r="A612" s="713" t="s">
        <v>110</v>
      </c>
      <c r="B612" s="906" t="s">
        <v>40</v>
      </c>
      <c r="C612" s="907"/>
      <c r="D612" s="908"/>
      <c r="E612" s="288">
        <v>30000</v>
      </c>
      <c r="F612" s="289">
        <v>2800</v>
      </c>
      <c r="G612" s="326">
        <f>SUM(G610:G611)</f>
        <v>0</v>
      </c>
      <c r="H612" s="327">
        <f t="shared" ref="H612:I612" si="800">SUM(H610:H611)</f>
        <v>0</v>
      </c>
      <c r="I612" s="327">
        <f t="shared" si="800"/>
        <v>0</v>
      </c>
      <c r="J612" s="351" t="str">
        <f>IFERROR(G612/#REF!,"-")</f>
        <v>-</v>
      </c>
      <c r="K612" s="326">
        <f t="shared" ref="K612:M612" si="801">SUM(K610:K611)</f>
        <v>0</v>
      </c>
      <c r="L612" s="327">
        <f t="shared" si="801"/>
        <v>0</v>
      </c>
      <c r="M612" s="328">
        <f t="shared" si="801"/>
        <v>0</v>
      </c>
      <c r="N612" s="345">
        <f t="shared" si="786"/>
        <v>0</v>
      </c>
      <c r="O612" s="351" t="str">
        <f t="shared" si="787"/>
        <v>-</v>
      </c>
    </row>
    <row r="613" spans="1:15" ht="23.4" x14ac:dyDescent="0.3">
      <c r="A613" s="277" t="s">
        <v>110</v>
      </c>
      <c r="B613" s="903" t="s">
        <v>41</v>
      </c>
      <c r="C613" s="272" t="s">
        <v>346</v>
      </c>
      <c r="D613" s="272"/>
      <c r="E613" s="273">
        <v>0</v>
      </c>
      <c r="F613" s="321"/>
      <c r="G613" s="338">
        <f t="shared" ref="G613:G617" si="802">+H613+I613</f>
        <v>20509</v>
      </c>
      <c r="H613" s="275">
        <v>20172</v>
      </c>
      <c r="I613" s="275">
        <v>337</v>
      </c>
      <c r="J613" s="377" t="str">
        <f>IFERROR(G613/#REF!,"-")</f>
        <v>-</v>
      </c>
      <c r="K613" s="338">
        <f t="shared" ref="K613:K617" si="803">+L613+M613</f>
        <v>59006</v>
      </c>
      <c r="L613" s="275">
        <f t="shared" ref="L613:L617" si="804">+H613+L510</f>
        <v>58392</v>
      </c>
      <c r="M613" s="276">
        <f t="shared" ref="M613:M617" si="805">+I613+M510</f>
        <v>614</v>
      </c>
      <c r="N613" s="365" t="str">
        <f t="shared" si="786"/>
        <v>-</v>
      </c>
      <c r="O613" s="366">
        <f t="shared" si="787"/>
        <v>1.0405721452055722E-2</v>
      </c>
    </row>
    <row r="614" spans="1:15" ht="23.4" x14ac:dyDescent="0.3">
      <c r="A614" s="277" t="s">
        <v>110</v>
      </c>
      <c r="B614" s="904"/>
      <c r="C614" s="272" t="s">
        <v>347</v>
      </c>
      <c r="D614" s="278"/>
      <c r="E614" s="279">
        <v>0</v>
      </c>
      <c r="F614" s="322"/>
      <c r="G614" s="339">
        <f t="shared" si="802"/>
        <v>0</v>
      </c>
      <c r="H614" s="281">
        <v>0</v>
      </c>
      <c r="I614" s="281">
        <v>0</v>
      </c>
      <c r="J614" s="378" t="str">
        <f>IFERROR(G614/#REF!,"-")</f>
        <v>-</v>
      </c>
      <c r="K614" s="339">
        <f t="shared" si="803"/>
        <v>0</v>
      </c>
      <c r="L614" s="281">
        <f t="shared" si="804"/>
        <v>0</v>
      </c>
      <c r="M614" s="251">
        <f t="shared" si="805"/>
        <v>0</v>
      </c>
      <c r="N614" s="367" t="str">
        <f t="shared" si="786"/>
        <v>-</v>
      </c>
      <c r="O614" s="368" t="str">
        <f t="shared" si="787"/>
        <v>-</v>
      </c>
    </row>
    <row r="615" spans="1:15" ht="23.4" x14ac:dyDescent="0.3">
      <c r="A615" s="277" t="s">
        <v>110</v>
      </c>
      <c r="B615" s="904"/>
      <c r="C615" s="278" t="s">
        <v>423</v>
      </c>
      <c r="D615" s="278"/>
      <c r="E615" s="279">
        <v>0</v>
      </c>
      <c r="F615" s="322"/>
      <c r="G615" s="339">
        <f t="shared" si="802"/>
        <v>700</v>
      </c>
      <c r="H615" s="281">
        <v>480</v>
      </c>
      <c r="I615" s="281">
        <v>220</v>
      </c>
      <c r="J615" s="378" t="str">
        <f>IFERROR(G615/#REF!,"-")</f>
        <v>-</v>
      </c>
      <c r="K615" s="339">
        <f t="shared" si="803"/>
        <v>34536</v>
      </c>
      <c r="L615" s="281">
        <f t="shared" si="804"/>
        <v>33960</v>
      </c>
      <c r="M615" s="251">
        <f t="shared" si="805"/>
        <v>576</v>
      </c>
      <c r="N615" s="367" t="str">
        <f t="shared" si="786"/>
        <v>-</v>
      </c>
      <c r="O615" s="368">
        <f t="shared" si="787"/>
        <v>1.6678248783877692E-2</v>
      </c>
    </row>
    <row r="616" spans="1:15" ht="23.4" x14ac:dyDescent="0.3">
      <c r="A616" s="277" t="s">
        <v>110</v>
      </c>
      <c r="B616" s="904"/>
      <c r="C616" s="278" t="s">
        <v>166</v>
      </c>
      <c r="D616" s="278"/>
      <c r="E616" s="279">
        <v>0</v>
      </c>
      <c r="F616" s="322"/>
      <c r="G616" s="339">
        <f t="shared" si="802"/>
        <v>0</v>
      </c>
      <c r="H616" s="281">
        <v>0</v>
      </c>
      <c r="I616" s="281">
        <v>0</v>
      </c>
      <c r="J616" s="378" t="str">
        <f>IFERROR(G616/#REF!,"-")</f>
        <v>-</v>
      </c>
      <c r="K616" s="339">
        <f t="shared" si="803"/>
        <v>0</v>
      </c>
      <c r="L616" s="281">
        <f t="shared" si="804"/>
        <v>0</v>
      </c>
      <c r="M616" s="251">
        <f t="shared" si="805"/>
        <v>0</v>
      </c>
      <c r="N616" s="367" t="str">
        <f t="shared" si="786"/>
        <v>-</v>
      </c>
      <c r="O616" s="368" t="str">
        <f t="shared" si="787"/>
        <v>-</v>
      </c>
    </row>
    <row r="617" spans="1:15" ht="24" thickBot="1" x14ac:dyDescent="0.35">
      <c r="A617" s="277" t="s">
        <v>110</v>
      </c>
      <c r="B617" s="905"/>
      <c r="C617" s="282" t="s">
        <v>167</v>
      </c>
      <c r="D617" s="282"/>
      <c r="E617" s="283">
        <v>0</v>
      </c>
      <c r="F617" s="323"/>
      <c r="G617" s="340">
        <f t="shared" si="802"/>
        <v>0</v>
      </c>
      <c r="H617" s="285">
        <v>0</v>
      </c>
      <c r="I617" s="285">
        <v>0</v>
      </c>
      <c r="J617" s="379" t="str">
        <f>IFERROR(G617/#REF!,"-")</f>
        <v>-</v>
      </c>
      <c r="K617" s="340">
        <f t="shared" si="803"/>
        <v>0</v>
      </c>
      <c r="L617" s="285">
        <f t="shared" si="804"/>
        <v>0</v>
      </c>
      <c r="M617" s="286">
        <f t="shared" si="805"/>
        <v>0</v>
      </c>
      <c r="N617" s="369" t="str">
        <f t="shared" si="786"/>
        <v>-</v>
      </c>
      <c r="O617" s="370" t="str">
        <f t="shared" si="787"/>
        <v>-</v>
      </c>
    </row>
    <row r="618" spans="1:15" ht="24" thickBot="1" x14ac:dyDescent="0.35">
      <c r="A618" s="277" t="s">
        <v>110</v>
      </c>
      <c r="B618" s="906" t="s">
        <v>42</v>
      </c>
      <c r="C618" s="907"/>
      <c r="D618" s="908"/>
      <c r="E618" s="326">
        <v>610600</v>
      </c>
      <c r="F618" s="289">
        <v>25000</v>
      </c>
      <c r="G618" s="326">
        <f>SUM(G614:G617)</f>
        <v>700</v>
      </c>
      <c r="H618" s="327">
        <f t="shared" ref="H618:I618" si="806">SUM(H614:H617)</f>
        <v>480</v>
      </c>
      <c r="I618" s="327">
        <f t="shared" si="806"/>
        <v>220</v>
      </c>
      <c r="J618" s="351" t="str">
        <f>IFERROR(G618/#REF!,"-")</f>
        <v>-</v>
      </c>
      <c r="K618" s="326">
        <f>SUM(K613:K617)</f>
        <v>93542</v>
      </c>
      <c r="L618" s="327">
        <f>SUM(L613:L617)</f>
        <v>92352</v>
      </c>
      <c r="M618" s="328">
        <f>SUM(M613:M617)</f>
        <v>1190</v>
      </c>
      <c r="N618" s="345">
        <f t="shared" si="786"/>
        <v>0.15319685555191614</v>
      </c>
      <c r="O618" s="351">
        <f t="shared" si="787"/>
        <v>1.2721558230527464E-2</v>
      </c>
    </row>
    <row r="619" spans="1:15" ht="23.4" x14ac:dyDescent="0.3">
      <c r="A619" s="277" t="s">
        <v>110</v>
      </c>
      <c r="B619" s="903" t="s">
        <v>43</v>
      </c>
      <c r="C619" s="272" t="s">
        <v>204</v>
      </c>
      <c r="D619" s="272"/>
      <c r="E619" s="273">
        <v>0</v>
      </c>
      <c r="F619" s="274"/>
      <c r="G619" s="338">
        <f t="shared" ref="G619:G621" si="807">+H619+I619</f>
        <v>0</v>
      </c>
      <c r="H619" s="275">
        <v>0</v>
      </c>
      <c r="I619" s="275">
        <v>0</v>
      </c>
      <c r="J619" s="357" t="str">
        <f>IFERROR(G619/#REF!,"-")</f>
        <v>-</v>
      </c>
      <c r="K619" s="338">
        <f t="shared" ref="K619:K621" si="808">+L619+M619</f>
        <v>0</v>
      </c>
      <c r="L619" s="275">
        <f t="shared" ref="L619:L621" si="809">+H619+L516</f>
        <v>0</v>
      </c>
      <c r="M619" s="276">
        <f t="shared" ref="M619:M621" si="810">+I619+M516</f>
        <v>0</v>
      </c>
      <c r="N619" s="342" t="str">
        <f t="shared" si="786"/>
        <v>-</v>
      </c>
      <c r="O619" s="352" t="str">
        <f t="shared" si="787"/>
        <v>-</v>
      </c>
    </row>
    <row r="620" spans="1:15" ht="23.4" x14ac:dyDescent="0.3">
      <c r="A620" s="277" t="s">
        <v>110</v>
      </c>
      <c r="B620" s="904"/>
      <c r="C620" s="278" t="s">
        <v>168</v>
      </c>
      <c r="D620" s="278"/>
      <c r="E620" s="279">
        <v>0</v>
      </c>
      <c r="F620" s="280"/>
      <c r="G620" s="339">
        <f t="shared" si="807"/>
        <v>0</v>
      </c>
      <c r="H620" s="281">
        <v>0</v>
      </c>
      <c r="I620" s="281">
        <v>0</v>
      </c>
      <c r="J620" s="378" t="str">
        <f>IFERROR(G620/#REF!,"-")</f>
        <v>-</v>
      </c>
      <c r="K620" s="339">
        <f t="shared" si="808"/>
        <v>0</v>
      </c>
      <c r="L620" s="281">
        <f t="shared" si="809"/>
        <v>0</v>
      </c>
      <c r="M620" s="251">
        <f t="shared" si="810"/>
        <v>0</v>
      </c>
      <c r="N620" s="367" t="str">
        <f t="shared" si="786"/>
        <v>-</v>
      </c>
      <c r="O620" s="368" t="str">
        <f t="shared" si="787"/>
        <v>-</v>
      </c>
    </row>
    <row r="621" spans="1:15" ht="24" thickBot="1" x14ac:dyDescent="0.35">
      <c r="A621" s="277" t="s">
        <v>110</v>
      </c>
      <c r="B621" s="905"/>
      <c r="C621" s="282" t="s">
        <v>204</v>
      </c>
      <c r="D621" s="282"/>
      <c r="E621" s="283">
        <v>0</v>
      </c>
      <c r="F621" s="284"/>
      <c r="G621" s="340">
        <f t="shared" si="807"/>
        <v>0</v>
      </c>
      <c r="H621" s="285">
        <v>0</v>
      </c>
      <c r="I621" s="285">
        <v>0</v>
      </c>
      <c r="J621" s="379" t="str">
        <f>IFERROR(G621/#REF!,"-")</f>
        <v>-</v>
      </c>
      <c r="K621" s="340">
        <f t="shared" si="808"/>
        <v>0</v>
      </c>
      <c r="L621" s="285">
        <f t="shared" si="809"/>
        <v>0</v>
      </c>
      <c r="M621" s="286">
        <f t="shared" si="810"/>
        <v>0</v>
      </c>
      <c r="N621" s="369" t="str">
        <f t="shared" si="786"/>
        <v>-</v>
      </c>
      <c r="O621" s="370" t="str">
        <f t="shared" si="787"/>
        <v>-</v>
      </c>
    </row>
    <row r="622" spans="1:15" ht="24" thickBot="1" x14ac:dyDescent="0.35">
      <c r="A622" s="277" t="s">
        <v>110</v>
      </c>
      <c r="B622" s="909" t="s">
        <v>44</v>
      </c>
      <c r="C622" s="910"/>
      <c r="D622" s="911"/>
      <c r="E622" s="326">
        <v>0</v>
      </c>
      <c r="F622" s="289"/>
      <c r="G622" s="326">
        <f>SUM(G619:G621)</f>
        <v>0</v>
      </c>
      <c r="H622" s="327">
        <f t="shared" ref="H622:I622" si="811">SUM(H619:H621)</f>
        <v>0</v>
      </c>
      <c r="I622" s="327">
        <f t="shared" si="811"/>
        <v>0</v>
      </c>
      <c r="J622" s="351" t="str">
        <f>IFERROR(G622/#REF!,"-")</f>
        <v>-</v>
      </c>
      <c r="K622" s="326">
        <f t="shared" ref="K622:M622" si="812">SUM(K619:K621)</f>
        <v>0</v>
      </c>
      <c r="L622" s="327">
        <f t="shared" si="812"/>
        <v>0</v>
      </c>
      <c r="M622" s="328">
        <f t="shared" si="812"/>
        <v>0</v>
      </c>
      <c r="N622" s="345" t="str">
        <f t="shared" si="786"/>
        <v>-</v>
      </c>
      <c r="O622" s="351" t="str">
        <f t="shared" si="787"/>
        <v>-</v>
      </c>
    </row>
    <row r="623" spans="1:15" ht="23.4" x14ac:dyDescent="0.3">
      <c r="A623" s="277" t="s">
        <v>110</v>
      </c>
      <c r="B623" s="903" t="s">
        <v>45</v>
      </c>
      <c r="C623" s="272" t="s">
        <v>169</v>
      </c>
      <c r="D623" s="272"/>
      <c r="E623" s="273">
        <v>0</v>
      </c>
      <c r="F623" s="274"/>
      <c r="G623" s="338">
        <f t="shared" ref="G623:G624" si="813">+H623+I623</f>
        <v>0</v>
      </c>
      <c r="H623" s="275">
        <v>0</v>
      </c>
      <c r="I623" s="275">
        <v>0</v>
      </c>
      <c r="J623" s="377" t="str">
        <f>IFERROR(G623/#REF!,"-")</f>
        <v>-</v>
      </c>
      <c r="K623" s="338">
        <f t="shared" ref="K623:K624" si="814">+L623+M623</f>
        <v>0</v>
      </c>
      <c r="L623" s="275">
        <f t="shared" ref="L623:L624" si="815">+H623+L520</f>
        <v>0</v>
      </c>
      <c r="M623" s="276">
        <f t="shared" ref="M623:M624" si="816">+I623+M520</f>
        <v>0</v>
      </c>
      <c r="N623" s="365" t="str">
        <f t="shared" si="786"/>
        <v>-</v>
      </c>
      <c r="O623" s="366" t="str">
        <f t="shared" si="787"/>
        <v>-</v>
      </c>
    </row>
    <row r="624" spans="1:15" ht="24" thickBot="1" x14ac:dyDescent="0.35">
      <c r="A624" s="277" t="s">
        <v>110</v>
      </c>
      <c r="B624" s="905"/>
      <c r="C624" s="282" t="s">
        <v>170</v>
      </c>
      <c r="D624" s="282"/>
      <c r="E624" s="283">
        <v>0</v>
      </c>
      <c r="F624" s="284"/>
      <c r="G624" s="340">
        <f t="shared" si="813"/>
        <v>0</v>
      </c>
      <c r="H624" s="285">
        <v>0</v>
      </c>
      <c r="I624" s="285">
        <v>0</v>
      </c>
      <c r="J624" s="379" t="str">
        <f>IFERROR(G624/#REF!,"-")</f>
        <v>-</v>
      </c>
      <c r="K624" s="340">
        <f t="shared" si="814"/>
        <v>0</v>
      </c>
      <c r="L624" s="285">
        <f t="shared" si="815"/>
        <v>0</v>
      </c>
      <c r="M624" s="286">
        <f t="shared" si="816"/>
        <v>0</v>
      </c>
      <c r="N624" s="369" t="str">
        <f t="shared" si="786"/>
        <v>-</v>
      </c>
      <c r="O624" s="370" t="str">
        <f t="shared" si="787"/>
        <v>-</v>
      </c>
    </row>
    <row r="625" spans="1:15" ht="24" thickBot="1" x14ac:dyDescent="0.35">
      <c r="A625" s="277" t="s">
        <v>110</v>
      </c>
      <c r="B625" s="909" t="s">
        <v>46</v>
      </c>
      <c r="C625" s="910"/>
      <c r="D625" s="911"/>
      <c r="E625" s="288">
        <v>11100</v>
      </c>
      <c r="F625" s="289">
        <v>25000</v>
      </c>
      <c r="G625" s="326">
        <f>SUM(G623:G624)</f>
        <v>0</v>
      </c>
      <c r="H625" s="327">
        <f t="shared" ref="H625:I625" si="817">SUM(H623:H624)</f>
        <v>0</v>
      </c>
      <c r="I625" s="327">
        <f t="shared" si="817"/>
        <v>0</v>
      </c>
      <c r="J625" s="351" t="str">
        <f>IFERROR(G625/#REF!,"-")</f>
        <v>-</v>
      </c>
      <c r="K625" s="326">
        <f t="shared" ref="K625:M625" si="818">SUM(K623:K624)</f>
        <v>0</v>
      </c>
      <c r="L625" s="327">
        <f t="shared" si="818"/>
        <v>0</v>
      </c>
      <c r="M625" s="328">
        <f t="shared" si="818"/>
        <v>0</v>
      </c>
      <c r="N625" s="345">
        <f t="shared" si="786"/>
        <v>0</v>
      </c>
      <c r="O625" s="351" t="str">
        <f t="shared" si="787"/>
        <v>-</v>
      </c>
    </row>
    <row r="626" spans="1:15" ht="24" thickBot="1" x14ac:dyDescent="0.35">
      <c r="A626" s="277" t="s">
        <v>110</v>
      </c>
      <c r="B626" s="912" t="s">
        <v>25</v>
      </c>
      <c r="C626" s="913"/>
      <c r="D626" s="914"/>
      <c r="E626" s="332">
        <f t="shared" ref="E626:F626" si="819">+E604+E609+E612+E618+E622+E625</f>
        <v>745700</v>
      </c>
      <c r="F626" s="333">
        <f t="shared" si="819"/>
        <v>59300</v>
      </c>
      <c r="G626" s="332">
        <f>+G604+G609+G612+G618+G622+G625</f>
        <v>2300</v>
      </c>
      <c r="H626" s="330">
        <f t="shared" ref="H626:I626" si="820">+H604+H609+H612+H618+H622+H625</f>
        <v>1880</v>
      </c>
      <c r="I626" s="330">
        <f t="shared" si="820"/>
        <v>420</v>
      </c>
      <c r="J626" s="355" t="str">
        <f>IFERROR(G626/#REF!,"-")</f>
        <v>-</v>
      </c>
      <c r="K626" s="332">
        <f>+K604+K609+K612+K618+K622+K625</f>
        <v>97909</v>
      </c>
      <c r="L626" s="330">
        <f t="shared" ref="L626:M626" si="821">+L604+L609+L612+L618+L622+L625</f>
        <v>95912</v>
      </c>
      <c r="M626" s="331">
        <f t="shared" si="821"/>
        <v>1997</v>
      </c>
      <c r="N626" s="347">
        <f t="shared" si="786"/>
        <v>0.1312981091591793</v>
      </c>
      <c r="O626" s="355">
        <f t="shared" si="787"/>
        <v>2.0396490618839944E-2</v>
      </c>
    </row>
    <row r="627" spans="1:15" ht="24" thickBot="1" x14ac:dyDescent="0.35">
      <c r="A627" s="324" t="s">
        <v>110</v>
      </c>
      <c r="B627" s="901" t="s">
        <v>182</v>
      </c>
      <c r="C627" s="901"/>
      <c r="D627" s="902"/>
      <c r="E627" s="336">
        <f>+E626</f>
        <v>745700</v>
      </c>
      <c r="F627" s="337">
        <f t="shared" ref="F627:O627" si="822">+F626</f>
        <v>59300</v>
      </c>
      <c r="G627" s="336">
        <f t="shared" si="822"/>
        <v>2300</v>
      </c>
      <c r="H627" s="334">
        <f t="shared" si="822"/>
        <v>1880</v>
      </c>
      <c r="I627" s="334">
        <f t="shared" si="822"/>
        <v>420</v>
      </c>
      <c r="J627" s="356" t="str">
        <f t="shared" si="822"/>
        <v>-</v>
      </c>
      <c r="K627" s="336">
        <f t="shared" si="822"/>
        <v>97909</v>
      </c>
      <c r="L627" s="334">
        <f t="shared" si="822"/>
        <v>95912</v>
      </c>
      <c r="M627" s="335">
        <f t="shared" si="822"/>
        <v>1997</v>
      </c>
      <c r="N627" s="348">
        <f t="shared" si="822"/>
        <v>0.1312981091591793</v>
      </c>
      <c r="O627" s="356">
        <f t="shared" si="822"/>
        <v>2.0396490618839944E-2</v>
      </c>
    </row>
    <row r="628" spans="1:15" ht="24.6" thickBot="1" x14ac:dyDescent="0.35">
      <c r="A628" s="325"/>
      <c r="B628" s="915" t="s">
        <v>183</v>
      </c>
      <c r="C628" s="916"/>
      <c r="D628" s="917"/>
      <c r="E628" s="380">
        <f>+E573+E600+E627</f>
        <v>9494400</v>
      </c>
      <c r="F628" s="380">
        <f>+F573+F600+F627</f>
        <v>748300</v>
      </c>
      <c r="G628" s="380">
        <f>+G573+G600+G627</f>
        <v>211329</v>
      </c>
      <c r="H628" s="380">
        <f>+H573+H600+H627</f>
        <v>209502</v>
      </c>
      <c r="I628" s="380">
        <f>+I573+I600+I627</f>
        <v>1827</v>
      </c>
      <c r="J628" s="381" t="str">
        <f>IFERROR(G628/#REF!,"-")</f>
        <v>-</v>
      </c>
      <c r="K628" s="380">
        <f>+K573+K600+K627</f>
        <v>1490455</v>
      </c>
      <c r="L628" s="380">
        <f>+L573+L600+L627</f>
        <v>1474233</v>
      </c>
      <c r="M628" s="380">
        <f>+M573+M600+M627</f>
        <v>16222</v>
      </c>
      <c r="N628" s="381">
        <f>IFERROR(K628/E628,"-")</f>
        <v>0.15698253707448601</v>
      </c>
      <c r="O628" s="381">
        <f>IFERROR(M628/K628,"-")</f>
        <v>1.0883924707555746E-2</v>
      </c>
    </row>
    <row r="629" spans="1:15" ht="23.4" x14ac:dyDescent="0.3">
      <c r="A629" s="935" t="s">
        <v>1</v>
      </c>
      <c r="B629" s="938" t="s">
        <v>2</v>
      </c>
      <c r="C629" s="941" t="s">
        <v>3</v>
      </c>
      <c r="D629" s="941" t="s">
        <v>93</v>
      </c>
      <c r="E629" s="944" t="s">
        <v>4</v>
      </c>
      <c r="F629" s="945"/>
      <c r="G629" s="945"/>
      <c r="H629" s="945"/>
      <c r="I629" s="945"/>
      <c r="J629" s="945"/>
      <c r="K629" s="945"/>
      <c r="L629" s="945"/>
      <c r="M629" s="945"/>
      <c r="N629" s="945"/>
      <c r="O629" s="946"/>
    </row>
    <row r="630" spans="1:15" ht="23.4" x14ac:dyDescent="0.3">
      <c r="A630" s="936"/>
      <c r="B630" s="939"/>
      <c r="C630" s="942"/>
      <c r="D630" s="942"/>
      <c r="E630" s="947" t="s">
        <v>7</v>
      </c>
      <c r="F630" s="949" t="s">
        <v>116</v>
      </c>
      <c r="G630" s="951">
        <v>44509</v>
      </c>
      <c r="H630" s="952"/>
      <c r="I630" s="952"/>
      <c r="J630" s="953"/>
      <c r="K630" s="954" t="s">
        <v>8</v>
      </c>
      <c r="L630" s="955"/>
      <c r="M630" s="956"/>
      <c r="N630" s="957" t="s">
        <v>174</v>
      </c>
      <c r="O630" s="959" t="s">
        <v>173</v>
      </c>
    </row>
    <row r="631" spans="1:15" ht="41.4" thickBot="1" x14ac:dyDescent="0.35">
      <c r="A631" s="937"/>
      <c r="B631" s="940"/>
      <c r="C631" s="943"/>
      <c r="D631" s="943"/>
      <c r="E631" s="948"/>
      <c r="F631" s="950"/>
      <c r="G631" s="462" t="s">
        <v>13</v>
      </c>
      <c r="H631" s="463" t="s">
        <v>14</v>
      </c>
      <c r="I631" s="463" t="s">
        <v>15</v>
      </c>
      <c r="J631" s="464" t="s">
        <v>175</v>
      </c>
      <c r="K631" s="462" t="s">
        <v>13</v>
      </c>
      <c r="L631" s="463" t="s">
        <v>14</v>
      </c>
      <c r="M631" s="465" t="s">
        <v>15</v>
      </c>
      <c r="N631" s="958"/>
      <c r="O631" s="960"/>
    </row>
    <row r="632" spans="1:15" ht="23.4" x14ac:dyDescent="0.3">
      <c r="A632" s="271" t="s">
        <v>111</v>
      </c>
      <c r="B632" s="922" t="s">
        <v>16</v>
      </c>
      <c r="C632" s="272" t="s">
        <v>186</v>
      </c>
      <c r="D632" s="272" t="s">
        <v>184</v>
      </c>
      <c r="E632" s="273">
        <v>0</v>
      </c>
      <c r="F632" s="274"/>
      <c r="G632" s="338">
        <f>+H632+I632</f>
        <v>0</v>
      </c>
      <c r="H632" s="275">
        <v>0</v>
      </c>
      <c r="I632" s="275">
        <v>0</v>
      </c>
      <c r="J632" s="357" t="str">
        <f>IFERROR(G632/#REF!,"-")</f>
        <v>-</v>
      </c>
      <c r="K632" s="468">
        <f>+L632+M632</f>
        <v>0</v>
      </c>
      <c r="L632" s="469">
        <f>+H632+L529</f>
        <v>0</v>
      </c>
      <c r="M632" s="469">
        <f>+I632+M529</f>
        <v>0</v>
      </c>
      <c r="N632" s="342" t="str">
        <f>IFERROR(K632/E632,"-")</f>
        <v>-</v>
      </c>
      <c r="O632" s="349" t="str">
        <f t="shared" ref="O632:O633" si="823">IFERROR(M632/K632,"-")</f>
        <v>-</v>
      </c>
    </row>
    <row r="633" spans="1:15" ht="23.4" x14ac:dyDescent="0.3">
      <c r="A633" s="277" t="s">
        <v>111</v>
      </c>
      <c r="B633" s="923"/>
      <c r="C633" s="278" t="s">
        <v>190</v>
      </c>
      <c r="D633" s="278" t="s">
        <v>101</v>
      </c>
      <c r="E633" s="279">
        <v>0</v>
      </c>
      <c r="F633" s="280"/>
      <c r="G633" s="339">
        <f t="shared" ref="G633:G635" si="824">+H633+I633</f>
        <v>0</v>
      </c>
      <c r="H633" s="281">
        <v>0</v>
      </c>
      <c r="I633" s="281">
        <v>0</v>
      </c>
      <c r="J633" s="358" t="str">
        <f>IFERROR(G633/#REF!,"-")</f>
        <v>-</v>
      </c>
      <c r="K633" s="339">
        <f t="shared" ref="K633:K635" si="825">+L633+M633</f>
        <v>0</v>
      </c>
      <c r="L633" s="281">
        <f t="shared" ref="L633:L635" si="826">+H633+L530</f>
        <v>0</v>
      </c>
      <c r="M633" s="442">
        <f t="shared" ref="M633:M635" si="827">+I633+M530</f>
        <v>0</v>
      </c>
      <c r="N633" s="343" t="str">
        <f t="shared" ref="N633:N635" si="828">IFERROR(K633/E633,"-")</f>
        <v>-</v>
      </c>
      <c r="O633" s="268" t="str">
        <f t="shared" si="823"/>
        <v>-</v>
      </c>
    </row>
    <row r="634" spans="1:15" ht="23.4" x14ac:dyDescent="0.3">
      <c r="A634" s="277" t="s">
        <v>111</v>
      </c>
      <c r="B634" s="923"/>
      <c r="C634" s="278" t="s">
        <v>187</v>
      </c>
      <c r="D634" s="278" t="s">
        <v>185</v>
      </c>
      <c r="E634" s="279">
        <v>0</v>
      </c>
      <c r="F634" s="280"/>
      <c r="G634" s="339">
        <f t="shared" si="824"/>
        <v>0</v>
      </c>
      <c r="H634" s="281">
        <v>0</v>
      </c>
      <c r="I634" s="281">
        <v>0</v>
      </c>
      <c r="J634" s="358" t="str">
        <f>IFERROR(G634/#REF!,"-")</f>
        <v>-</v>
      </c>
      <c r="K634" s="339">
        <f t="shared" si="825"/>
        <v>0</v>
      </c>
      <c r="L634" s="281">
        <f t="shared" si="826"/>
        <v>0</v>
      </c>
      <c r="M634" s="442">
        <f t="shared" si="827"/>
        <v>0</v>
      </c>
      <c r="N634" s="343" t="str">
        <f t="shared" si="828"/>
        <v>-</v>
      </c>
      <c r="O634" s="268" t="str">
        <f>IFERROR(M634/K634,"-")</f>
        <v>-</v>
      </c>
    </row>
    <row r="635" spans="1:15" ht="24" thickBot="1" x14ac:dyDescent="0.35">
      <c r="A635" s="277" t="s">
        <v>111</v>
      </c>
      <c r="B635" s="924"/>
      <c r="C635" s="282" t="s">
        <v>255</v>
      </c>
      <c r="D635" s="282" t="s">
        <v>256</v>
      </c>
      <c r="E635" s="283">
        <v>0</v>
      </c>
      <c r="F635" s="284"/>
      <c r="G635" s="340">
        <f t="shared" si="824"/>
        <v>12484</v>
      </c>
      <c r="H635" s="285">
        <v>12288</v>
      </c>
      <c r="I635" s="285">
        <v>196</v>
      </c>
      <c r="J635" s="359" t="str">
        <f>IFERROR(G635/#REF!,"-")</f>
        <v>-</v>
      </c>
      <c r="K635" s="471">
        <f t="shared" si="825"/>
        <v>87859</v>
      </c>
      <c r="L635" s="472">
        <f t="shared" si="826"/>
        <v>86528</v>
      </c>
      <c r="M635" s="473">
        <f t="shared" si="827"/>
        <v>1331</v>
      </c>
      <c r="N635" s="344" t="str">
        <f t="shared" si="828"/>
        <v>-</v>
      </c>
      <c r="O635" s="350">
        <f t="shared" ref="O635:O699" si="829">IFERROR(M635/K635,"-")</f>
        <v>1.5149273267394348E-2</v>
      </c>
    </row>
    <row r="636" spans="1:15" ht="24" thickBot="1" x14ac:dyDescent="0.35">
      <c r="A636" s="277" t="s">
        <v>111</v>
      </c>
      <c r="B636" s="906" t="s">
        <v>47</v>
      </c>
      <c r="C636" s="907"/>
      <c r="D636" s="908"/>
      <c r="E636" s="326">
        <v>144600</v>
      </c>
      <c r="F636" s="289">
        <v>15000</v>
      </c>
      <c r="G636" s="326">
        <f>SUM(G632:G635)</f>
        <v>12484</v>
      </c>
      <c r="H636" s="327">
        <f t="shared" ref="H636:I636" si="830">SUM(H632:H635)</f>
        <v>12288</v>
      </c>
      <c r="I636" s="327">
        <f t="shared" si="830"/>
        <v>196</v>
      </c>
      <c r="J636" s="351" t="str">
        <f>IFERROR(G636/#REF!,"-")</f>
        <v>-</v>
      </c>
      <c r="K636" s="326">
        <f t="shared" ref="K636:M636" si="831">SUM(K632:K635)</f>
        <v>87859</v>
      </c>
      <c r="L636" s="327">
        <f t="shared" si="831"/>
        <v>86528</v>
      </c>
      <c r="M636" s="328">
        <f t="shared" si="831"/>
        <v>1331</v>
      </c>
      <c r="N636" s="345">
        <f>IFERROR(K636/E636,"-")</f>
        <v>0.60760027662517291</v>
      </c>
      <c r="O636" s="351">
        <f t="shared" si="829"/>
        <v>1.5149273267394348E-2</v>
      </c>
    </row>
    <row r="637" spans="1:15" ht="23.4" x14ac:dyDescent="0.3">
      <c r="A637" s="277" t="s">
        <v>111</v>
      </c>
      <c r="B637" s="922" t="s">
        <v>17</v>
      </c>
      <c r="C637" s="272" t="s">
        <v>331</v>
      </c>
      <c r="D637" s="272"/>
      <c r="E637" s="273">
        <v>0</v>
      </c>
      <c r="F637" s="274"/>
      <c r="G637" s="338">
        <f t="shared" ref="G637:G643" si="832">+H637+I637</f>
        <v>0</v>
      </c>
      <c r="H637" s="275">
        <v>0</v>
      </c>
      <c r="I637" s="275">
        <v>0</v>
      </c>
      <c r="J637" s="357" t="str">
        <f>IFERROR(G637/#REF!,"-")</f>
        <v>-</v>
      </c>
      <c r="K637" s="468">
        <f t="shared" ref="K637:K643" si="833">+L637+M637</f>
        <v>0</v>
      </c>
      <c r="L637" s="469">
        <f t="shared" ref="L637:L643" si="834">+H637+L534</f>
        <v>0</v>
      </c>
      <c r="M637" s="470">
        <f t="shared" ref="M637:M643" si="835">+I637+M534</f>
        <v>0</v>
      </c>
      <c r="N637" s="342" t="str">
        <f t="shared" ref="N637:N678" si="836">IFERROR(K637/E637,"-")</f>
        <v>-</v>
      </c>
      <c r="O637" s="352" t="str">
        <f t="shared" si="829"/>
        <v>-</v>
      </c>
    </row>
    <row r="638" spans="1:15" ht="23.4" x14ac:dyDescent="0.3">
      <c r="A638" s="277" t="s">
        <v>111</v>
      </c>
      <c r="B638" s="923"/>
      <c r="C638" s="278" t="s">
        <v>421</v>
      </c>
      <c r="D638" s="278" t="s">
        <v>257</v>
      </c>
      <c r="E638" s="279">
        <v>0</v>
      </c>
      <c r="F638" s="280"/>
      <c r="G638" s="339">
        <f t="shared" si="832"/>
        <v>0</v>
      </c>
      <c r="H638" s="281">
        <v>0</v>
      </c>
      <c r="I638" s="281">
        <v>0</v>
      </c>
      <c r="J638" s="358" t="str">
        <f>IFERROR(G638/#REF!,"-")</f>
        <v>-</v>
      </c>
      <c r="K638" s="339">
        <f t="shared" si="833"/>
        <v>254619</v>
      </c>
      <c r="L638" s="281">
        <f t="shared" si="834"/>
        <v>253368</v>
      </c>
      <c r="M638" s="442">
        <f t="shared" si="835"/>
        <v>1251</v>
      </c>
      <c r="N638" s="343" t="str">
        <f t="shared" si="836"/>
        <v>-</v>
      </c>
      <c r="O638" s="264">
        <f t="shared" si="829"/>
        <v>4.9132232865575628E-3</v>
      </c>
    </row>
    <row r="639" spans="1:15" ht="23.4" x14ac:dyDescent="0.3">
      <c r="A639" s="277" t="s">
        <v>111</v>
      </c>
      <c r="B639" s="923"/>
      <c r="C639" s="278" t="s">
        <v>290</v>
      </c>
      <c r="D639" s="278" t="s">
        <v>205</v>
      </c>
      <c r="E639" s="279">
        <v>0</v>
      </c>
      <c r="F639" s="280"/>
      <c r="G639" s="339">
        <f t="shared" si="832"/>
        <v>0</v>
      </c>
      <c r="H639" s="281">
        <v>0</v>
      </c>
      <c r="I639" s="281">
        <v>0</v>
      </c>
      <c r="J639" s="358" t="str">
        <f>IFERROR(G639/#REF!,"-")</f>
        <v>-</v>
      </c>
      <c r="K639" s="339">
        <f t="shared" si="833"/>
        <v>0</v>
      </c>
      <c r="L639" s="281">
        <f t="shared" si="834"/>
        <v>0</v>
      </c>
      <c r="M639" s="442">
        <f t="shared" si="835"/>
        <v>0</v>
      </c>
      <c r="N639" s="343" t="str">
        <f t="shared" si="836"/>
        <v>-</v>
      </c>
      <c r="O639" s="264" t="str">
        <f t="shared" si="829"/>
        <v>-</v>
      </c>
    </row>
    <row r="640" spans="1:15" ht="23.4" x14ac:dyDescent="0.3">
      <c r="A640" s="277" t="s">
        <v>111</v>
      </c>
      <c r="B640" s="923"/>
      <c r="C640" s="278" t="s">
        <v>330</v>
      </c>
      <c r="D640" s="278" t="s">
        <v>206</v>
      </c>
      <c r="E640" s="279">
        <v>0</v>
      </c>
      <c r="F640" s="280"/>
      <c r="G640" s="339">
        <f t="shared" si="832"/>
        <v>0</v>
      </c>
      <c r="H640" s="281">
        <v>0</v>
      </c>
      <c r="I640" s="281">
        <v>0</v>
      </c>
      <c r="J640" s="358" t="str">
        <f>IFERROR(G640/#REF!,"-")</f>
        <v>-</v>
      </c>
      <c r="K640" s="339">
        <f t="shared" si="833"/>
        <v>1836</v>
      </c>
      <c r="L640" s="281">
        <f t="shared" si="834"/>
        <v>1836</v>
      </c>
      <c r="M640" s="442">
        <f t="shared" si="835"/>
        <v>0</v>
      </c>
      <c r="N640" s="343" t="str">
        <f t="shared" si="836"/>
        <v>-</v>
      </c>
      <c r="O640" s="264">
        <f t="shared" si="829"/>
        <v>0</v>
      </c>
    </row>
    <row r="641" spans="1:15" ht="23.4" x14ac:dyDescent="0.3">
      <c r="A641" s="277" t="s">
        <v>111</v>
      </c>
      <c r="B641" s="923"/>
      <c r="C641" s="278" t="s">
        <v>377</v>
      </c>
      <c r="D641" s="278" t="s">
        <v>371</v>
      </c>
      <c r="E641" s="279">
        <v>0</v>
      </c>
      <c r="F641" s="280"/>
      <c r="G641" s="339">
        <f t="shared" si="832"/>
        <v>0</v>
      </c>
      <c r="H641" s="281">
        <v>0</v>
      </c>
      <c r="I641" s="281">
        <v>0</v>
      </c>
      <c r="J641" s="358" t="str">
        <f>IFERROR(G641/#REF!,"-")</f>
        <v>-</v>
      </c>
      <c r="K641" s="339">
        <f t="shared" si="833"/>
        <v>8312</v>
      </c>
      <c r="L641" s="281">
        <f t="shared" si="834"/>
        <v>8312</v>
      </c>
      <c r="M641" s="442">
        <f t="shared" si="835"/>
        <v>0</v>
      </c>
      <c r="N641" s="343" t="str">
        <f t="shared" si="836"/>
        <v>-</v>
      </c>
      <c r="O641" s="264">
        <f t="shared" si="829"/>
        <v>0</v>
      </c>
    </row>
    <row r="642" spans="1:15" ht="23.4" x14ac:dyDescent="0.3">
      <c r="A642" s="277" t="s">
        <v>111</v>
      </c>
      <c r="B642" s="923"/>
      <c r="C642" s="278" t="s">
        <v>443</v>
      </c>
      <c r="D642" s="278" t="s">
        <v>207</v>
      </c>
      <c r="E642" s="279">
        <v>0</v>
      </c>
      <c r="F642" s="280"/>
      <c r="G642" s="339">
        <f t="shared" si="832"/>
        <v>12520</v>
      </c>
      <c r="H642" s="281">
        <v>12240</v>
      </c>
      <c r="I642" s="281">
        <v>280</v>
      </c>
      <c r="J642" s="358" t="str">
        <f>IFERROR(G642/#REF!,"-")</f>
        <v>-</v>
      </c>
      <c r="K642" s="339">
        <f t="shared" si="833"/>
        <v>43299</v>
      </c>
      <c r="L642" s="281">
        <f t="shared" si="834"/>
        <v>42840</v>
      </c>
      <c r="M642" s="442">
        <f t="shared" si="835"/>
        <v>459</v>
      </c>
      <c r="N642" s="343" t="str">
        <f t="shared" si="836"/>
        <v>-</v>
      </c>
      <c r="O642" s="264">
        <f t="shared" si="829"/>
        <v>1.0600706713780919E-2</v>
      </c>
    </row>
    <row r="643" spans="1:15" ht="24" thickBot="1" x14ac:dyDescent="0.35">
      <c r="A643" s="277" t="s">
        <v>111</v>
      </c>
      <c r="B643" s="924"/>
      <c r="C643" s="282" t="s">
        <v>416</v>
      </c>
      <c r="D643" s="282" t="s">
        <v>257</v>
      </c>
      <c r="E643" s="283">
        <v>0</v>
      </c>
      <c r="F643" s="284"/>
      <c r="G643" s="340">
        <f t="shared" si="832"/>
        <v>0</v>
      </c>
      <c r="H643" s="285">
        <v>0</v>
      </c>
      <c r="I643" s="285">
        <v>0</v>
      </c>
      <c r="J643" s="359" t="str">
        <f>IFERROR(G643/#REF!,"-")</f>
        <v>-</v>
      </c>
      <c r="K643" s="471">
        <f t="shared" si="833"/>
        <v>73650</v>
      </c>
      <c r="L643" s="719">
        <f t="shared" si="834"/>
        <v>73440</v>
      </c>
      <c r="M643" s="473">
        <f t="shared" si="835"/>
        <v>210</v>
      </c>
      <c r="N643" s="344" t="str">
        <f t="shared" si="836"/>
        <v>-</v>
      </c>
      <c r="O643" s="353">
        <f t="shared" si="829"/>
        <v>2.8513238289205704E-3</v>
      </c>
    </row>
    <row r="644" spans="1:15" ht="24" thickBot="1" x14ac:dyDescent="0.35">
      <c r="A644" s="277" t="s">
        <v>111</v>
      </c>
      <c r="B644" s="906" t="s">
        <v>48</v>
      </c>
      <c r="C644" s="907"/>
      <c r="D644" s="908"/>
      <c r="E644" s="326">
        <v>3480000</v>
      </c>
      <c r="F644" s="289">
        <v>100000</v>
      </c>
      <c r="G644" s="326">
        <f>SUM(G637:G643)</f>
        <v>12520</v>
      </c>
      <c r="H644" s="327">
        <f t="shared" ref="H644:I644" si="837">SUM(H637:H643)</f>
        <v>12240</v>
      </c>
      <c r="I644" s="327">
        <f t="shared" si="837"/>
        <v>280</v>
      </c>
      <c r="J644" s="351" t="str">
        <f>IFERROR(G644/#REF!,"-")</f>
        <v>-</v>
      </c>
      <c r="K644" s="326">
        <f t="shared" ref="K644:M644" si="838">SUM(K637:K643)</f>
        <v>381716</v>
      </c>
      <c r="L644" s="327">
        <f t="shared" si="838"/>
        <v>379796</v>
      </c>
      <c r="M644" s="328">
        <f t="shared" si="838"/>
        <v>1920</v>
      </c>
      <c r="N644" s="345">
        <f t="shared" si="836"/>
        <v>0.10968850574712644</v>
      </c>
      <c r="O644" s="351">
        <f t="shared" si="829"/>
        <v>5.0299175303104926E-3</v>
      </c>
    </row>
    <row r="645" spans="1:15" ht="23.4" x14ac:dyDescent="0.3">
      <c r="A645" s="277" t="s">
        <v>111</v>
      </c>
      <c r="B645" s="922" t="s">
        <v>18</v>
      </c>
      <c r="C645" s="272" t="s">
        <v>359</v>
      </c>
      <c r="D645" s="272" t="s">
        <v>99</v>
      </c>
      <c r="E645" s="273">
        <v>0</v>
      </c>
      <c r="F645" s="274"/>
      <c r="G645" s="338">
        <f t="shared" ref="G645:G651" si="839">+H645+I645</f>
        <v>0</v>
      </c>
      <c r="H645" s="275">
        <v>0</v>
      </c>
      <c r="I645" s="275">
        <v>0</v>
      </c>
      <c r="J645" s="357" t="str">
        <f>IFERROR(G645/#REF!,"-")</f>
        <v>-</v>
      </c>
      <c r="K645" s="338">
        <f t="shared" ref="K645:K651" si="840">+L645+M645</f>
        <v>0</v>
      </c>
      <c r="L645" s="275">
        <f t="shared" ref="L645:L651" si="841">+H645+L542</f>
        <v>0</v>
      </c>
      <c r="M645" s="276">
        <f t="shared" ref="M645:M651" si="842">+I645+M542</f>
        <v>0</v>
      </c>
      <c r="N645" s="342" t="str">
        <f t="shared" si="836"/>
        <v>-</v>
      </c>
      <c r="O645" s="352" t="str">
        <f t="shared" si="829"/>
        <v>-</v>
      </c>
    </row>
    <row r="646" spans="1:15" ht="23.4" x14ac:dyDescent="0.3">
      <c r="A646" s="277" t="s">
        <v>111</v>
      </c>
      <c r="B646" s="923"/>
      <c r="C646" s="278" t="s">
        <v>258</v>
      </c>
      <c r="D646" s="278" t="s">
        <v>259</v>
      </c>
      <c r="E646" s="279">
        <v>0</v>
      </c>
      <c r="F646" s="280"/>
      <c r="G646" s="339">
        <f t="shared" si="839"/>
        <v>0</v>
      </c>
      <c r="H646" s="281">
        <v>0</v>
      </c>
      <c r="I646" s="281">
        <v>0</v>
      </c>
      <c r="J646" s="358" t="str">
        <f>IFERROR(G646/#REF!,"-")</f>
        <v>-</v>
      </c>
      <c r="K646" s="339">
        <f t="shared" si="840"/>
        <v>0</v>
      </c>
      <c r="L646" s="281">
        <f t="shared" si="841"/>
        <v>0</v>
      </c>
      <c r="M646" s="251">
        <f t="shared" si="842"/>
        <v>0</v>
      </c>
      <c r="N646" s="343" t="str">
        <f t="shared" si="836"/>
        <v>-</v>
      </c>
      <c r="O646" s="264" t="str">
        <f t="shared" si="829"/>
        <v>-</v>
      </c>
    </row>
    <row r="647" spans="1:15" ht="23.4" x14ac:dyDescent="0.3">
      <c r="A647" s="277" t="s">
        <v>111</v>
      </c>
      <c r="B647" s="923"/>
      <c r="C647" s="278" t="s">
        <v>123</v>
      </c>
      <c r="D647" s="278"/>
      <c r="E647" s="279">
        <v>0</v>
      </c>
      <c r="F647" s="280"/>
      <c r="G647" s="339">
        <f t="shared" si="839"/>
        <v>0</v>
      </c>
      <c r="H647" s="281">
        <v>0</v>
      </c>
      <c r="I647" s="281">
        <v>0</v>
      </c>
      <c r="J647" s="358" t="str">
        <f>IFERROR(G647/#REF!,"-")</f>
        <v>-</v>
      </c>
      <c r="K647" s="339">
        <f t="shared" si="840"/>
        <v>0</v>
      </c>
      <c r="L647" s="281">
        <f t="shared" si="841"/>
        <v>0</v>
      </c>
      <c r="M647" s="251">
        <f t="shared" si="842"/>
        <v>0</v>
      </c>
      <c r="N647" s="343" t="str">
        <f t="shared" si="836"/>
        <v>-</v>
      </c>
      <c r="O647" s="264" t="str">
        <f t="shared" si="829"/>
        <v>-</v>
      </c>
    </row>
    <row r="648" spans="1:15" ht="23.4" x14ac:dyDescent="0.3">
      <c r="A648" s="277" t="s">
        <v>111</v>
      </c>
      <c r="B648" s="923"/>
      <c r="C648" s="278" t="s">
        <v>130</v>
      </c>
      <c r="D648" s="278"/>
      <c r="E648" s="279">
        <v>0</v>
      </c>
      <c r="F648" s="280"/>
      <c r="G648" s="339">
        <f t="shared" si="839"/>
        <v>0</v>
      </c>
      <c r="H648" s="281">
        <v>0</v>
      </c>
      <c r="I648" s="281">
        <v>0</v>
      </c>
      <c r="J648" s="358" t="str">
        <f>IFERROR(G648/#REF!,"-")</f>
        <v>-</v>
      </c>
      <c r="K648" s="339">
        <f t="shared" si="840"/>
        <v>0</v>
      </c>
      <c r="L648" s="281">
        <f t="shared" si="841"/>
        <v>0</v>
      </c>
      <c r="M648" s="251">
        <f t="shared" si="842"/>
        <v>0</v>
      </c>
      <c r="N648" s="343" t="str">
        <f t="shared" si="836"/>
        <v>-</v>
      </c>
      <c r="O648" s="264" t="str">
        <f t="shared" si="829"/>
        <v>-</v>
      </c>
    </row>
    <row r="649" spans="1:15" ht="23.4" x14ac:dyDescent="0.3">
      <c r="A649" s="277" t="s">
        <v>111</v>
      </c>
      <c r="B649" s="923"/>
      <c r="C649" s="278" t="s">
        <v>191</v>
      </c>
      <c r="D649" s="278" t="s">
        <v>192</v>
      </c>
      <c r="E649" s="279">
        <v>0</v>
      </c>
      <c r="F649" s="280"/>
      <c r="G649" s="339">
        <f t="shared" si="839"/>
        <v>0</v>
      </c>
      <c r="H649" s="281">
        <v>0</v>
      </c>
      <c r="I649" s="281">
        <v>0</v>
      </c>
      <c r="J649" s="358" t="str">
        <f>IFERROR(G649/#REF!,"-")</f>
        <v>-</v>
      </c>
      <c r="K649" s="339">
        <f t="shared" si="840"/>
        <v>0</v>
      </c>
      <c r="L649" s="281">
        <f t="shared" si="841"/>
        <v>0</v>
      </c>
      <c r="M649" s="251">
        <f t="shared" si="842"/>
        <v>0</v>
      </c>
      <c r="N649" s="343" t="str">
        <f t="shared" si="836"/>
        <v>-</v>
      </c>
      <c r="O649" s="264" t="str">
        <f t="shared" si="829"/>
        <v>-</v>
      </c>
    </row>
    <row r="650" spans="1:15" ht="23.4" x14ac:dyDescent="0.3">
      <c r="A650" s="277" t="s">
        <v>111</v>
      </c>
      <c r="B650" s="923"/>
      <c r="C650" s="278" t="s">
        <v>194</v>
      </c>
      <c r="D650" s="278" t="s">
        <v>193</v>
      </c>
      <c r="E650" s="279">
        <v>0</v>
      </c>
      <c r="F650" s="280"/>
      <c r="G650" s="339">
        <f t="shared" si="839"/>
        <v>0</v>
      </c>
      <c r="H650" s="281">
        <v>0</v>
      </c>
      <c r="I650" s="281">
        <v>0</v>
      </c>
      <c r="J650" s="358" t="str">
        <f>IFERROR(G650/#REF!,"-")</f>
        <v>-</v>
      </c>
      <c r="K650" s="339">
        <f t="shared" si="840"/>
        <v>0</v>
      </c>
      <c r="L650" s="281">
        <f t="shared" si="841"/>
        <v>0</v>
      </c>
      <c r="M650" s="251">
        <f t="shared" si="842"/>
        <v>0</v>
      </c>
      <c r="N650" s="343" t="str">
        <f t="shared" si="836"/>
        <v>-</v>
      </c>
      <c r="O650" s="264" t="str">
        <f t="shared" si="829"/>
        <v>-</v>
      </c>
    </row>
    <row r="651" spans="1:15" ht="24" thickBot="1" x14ac:dyDescent="0.35">
      <c r="A651" s="277" t="s">
        <v>111</v>
      </c>
      <c r="B651" s="924"/>
      <c r="C651" s="290" t="s">
        <v>195</v>
      </c>
      <c r="D651" s="290" t="s">
        <v>115</v>
      </c>
      <c r="E651" s="283">
        <v>0</v>
      </c>
      <c r="F651" s="284"/>
      <c r="G651" s="340">
        <f t="shared" si="839"/>
        <v>0</v>
      </c>
      <c r="H651" s="285">
        <v>0</v>
      </c>
      <c r="I651" s="285">
        <v>0</v>
      </c>
      <c r="J651" s="359" t="str">
        <f>IFERROR(G651/#REF!,"-")</f>
        <v>-</v>
      </c>
      <c r="K651" s="340">
        <f t="shared" si="840"/>
        <v>0</v>
      </c>
      <c r="L651" s="285">
        <f t="shared" si="841"/>
        <v>0</v>
      </c>
      <c r="M651" s="286">
        <f t="shared" si="842"/>
        <v>0</v>
      </c>
      <c r="N651" s="344" t="str">
        <f t="shared" si="836"/>
        <v>-</v>
      </c>
      <c r="O651" s="353" t="str">
        <f t="shared" si="829"/>
        <v>-</v>
      </c>
    </row>
    <row r="652" spans="1:15" ht="24" thickBot="1" x14ac:dyDescent="0.35">
      <c r="A652" s="277" t="s">
        <v>111</v>
      </c>
      <c r="B652" s="906" t="s">
        <v>29</v>
      </c>
      <c r="C652" s="907"/>
      <c r="D652" s="908"/>
      <c r="E652" s="326">
        <f t="shared" ref="E652" si="843">SUM(E645:E651)</f>
        <v>0</v>
      </c>
      <c r="F652" s="289">
        <v>80000</v>
      </c>
      <c r="G652" s="326">
        <f>SUM(G645:G651)</f>
        <v>0</v>
      </c>
      <c r="H652" s="327">
        <f t="shared" ref="H652:I652" si="844">SUM(H645:H651)</f>
        <v>0</v>
      </c>
      <c r="I652" s="327">
        <f t="shared" si="844"/>
        <v>0</v>
      </c>
      <c r="J652" s="351" t="str">
        <f>IFERROR(G652/#REF!,"-")</f>
        <v>-</v>
      </c>
      <c r="K652" s="326">
        <f t="shared" ref="K652:M652" si="845">SUM(K645:K651)</f>
        <v>0</v>
      </c>
      <c r="L652" s="327">
        <f t="shared" si="845"/>
        <v>0</v>
      </c>
      <c r="M652" s="328">
        <f t="shared" si="845"/>
        <v>0</v>
      </c>
      <c r="N652" s="345" t="str">
        <f t="shared" si="836"/>
        <v>-</v>
      </c>
      <c r="O652" s="351" t="str">
        <f t="shared" si="829"/>
        <v>-</v>
      </c>
    </row>
    <row r="653" spans="1:15" ht="23.4" x14ac:dyDescent="0.3">
      <c r="A653" s="252" t="s">
        <v>111</v>
      </c>
      <c r="B653" s="918" t="s">
        <v>19</v>
      </c>
      <c r="C653" s="678" t="s">
        <v>260</v>
      </c>
      <c r="D653" s="676" t="s">
        <v>192</v>
      </c>
      <c r="E653" s="293">
        <v>2000000</v>
      </c>
      <c r="F653" s="294">
        <v>110000</v>
      </c>
      <c r="G653" s="468">
        <f t="shared" ref="G653:G654" si="846">+H653+I653</f>
        <v>76238</v>
      </c>
      <c r="H653" s="674">
        <v>76032</v>
      </c>
      <c r="I653" s="674">
        <v>206</v>
      </c>
      <c r="J653" s="675" t="str">
        <f>IFERROR(G653/#REF!,"-")</f>
        <v>-</v>
      </c>
      <c r="K653" s="673">
        <f>+L653+M653</f>
        <v>229201</v>
      </c>
      <c r="L653" s="295">
        <f t="shared" ref="L653:L654" si="847">+H653+L550</f>
        <v>228096</v>
      </c>
      <c r="M653" s="295">
        <f t="shared" ref="M653:M654" si="848">+I653+M550</f>
        <v>1105</v>
      </c>
      <c r="N653" s="346">
        <f t="shared" si="836"/>
        <v>0.11460049999999999</v>
      </c>
      <c r="O653" s="354">
        <f t="shared" si="829"/>
        <v>4.821095893996972E-3</v>
      </c>
    </row>
    <row r="654" spans="1:15" ht="24" thickBot="1" x14ac:dyDescent="0.35">
      <c r="A654" s="252"/>
      <c r="B654" s="920"/>
      <c r="C654" s="679" t="s">
        <v>417</v>
      </c>
      <c r="D654" s="677"/>
      <c r="E654" s="285">
        <v>150000</v>
      </c>
      <c r="F654" s="285">
        <v>110000</v>
      </c>
      <c r="G654" s="607">
        <f t="shared" si="846"/>
        <v>0</v>
      </c>
      <c r="H654" s="285">
        <v>0</v>
      </c>
      <c r="I654" s="285">
        <v>0</v>
      </c>
      <c r="J654" s="359"/>
      <c r="K654" s="607">
        <f>+L654+M654</f>
        <v>0</v>
      </c>
      <c r="L654" s="285">
        <f t="shared" si="847"/>
        <v>0</v>
      </c>
      <c r="M654" s="285">
        <f t="shared" si="848"/>
        <v>0</v>
      </c>
      <c r="N654" s="680">
        <f t="shared" si="836"/>
        <v>0</v>
      </c>
      <c r="O654" s="680" t="str">
        <f t="shared" si="829"/>
        <v>-</v>
      </c>
    </row>
    <row r="655" spans="1:15" ht="24" thickBot="1" x14ac:dyDescent="0.35">
      <c r="A655" s="277" t="s">
        <v>111</v>
      </c>
      <c r="B655" s="921" t="s">
        <v>49</v>
      </c>
      <c r="C655" s="907"/>
      <c r="D655" s="908"/>
      <c r="E655" s="326">
        <f>SUM(E653:E654)</f>
        <v>2150000</v>
      </c>
      <c r="F655" s="329">
        <f t="shared" ref="F655" si="849">SUM(F653)</f>
        <v>110000</v>
      </c>
      <c r="G655" s="326">
        <f>SUM(G653)</f>
        <v>76238</v>
      </c>
      <c r="H655" s="327">
        <f t="shared" ref="H655:I655" si="850">SUM(H653)</f>
        <v>76032</v>
      </c>
      <c r="I655" s="327">
        <f t="shared" si="850"/>
        <v>206</v>
      </c>
      <c r="J655" s="351" t="str">
        <f>IFERROR(G655/#REF!,"-")</f>
        <v>-</v>
      </c>
      <c r="K655" s="681">
        <f t="shared" ref="K655:M655" si="851">SUM(K653)</f>
        <v>229201</v>
      </c>
      <c r="L655" s="327">
        <f t="shared" si="851"/>
        <v>228096</v>
      </c>
      <c r="M655" s="328">
        <f t="shared" si="851"/>
        <v>1105</v>
      </c>
      <c r="N655" s="345">
        <f t="shared" si="836"/>
        <v>0.10660511627906977</v>
      </c>
      <c r="O655" s="351">
        <f t="shared" si="829"/>
        <v>4.821095893996972E-3</v>
      </c>
    </row>
    <row r="656" spans="1:15" ht="23.4" x14ac:dyDescent="0.3">
      <c r="A656" s="277" t="s">
        <v>111</v>
      </c>
      <c r="B656" s="922" t="s">
        <v>20</v>
      </c>
      <c r="C656" s="297" t="s">
        <v>370</v>
      </c>
      <c r="D656" s="297" t="s">
        <v>324</v>
      </c>
      <c r="E656" s="273">
        <v>0</v>
      </c>
      <c r="F656" s="274"/>
      <c r="G656" s="338">
        <f t="shared" ref="G656:G658" si="852">+H656+I656</f>
        <v>0</v>
      </c>
      <c r="H656" s="275">
        <v>0</v>
      </c>
      <c r="I656" s="275">
        <v>0</v>
      </c>
      <c r="J656" s="357" t="str">
        <f>IFERROR(G656/#REF!,"-")</f>
        <v>-</v>
      </c>
      <c r="K656" s="338">
        <f t="shared" ref="K656:K658" si="853">+L656+M656</f>
        <v>0</v>
      </c>
      <c r="L656" s="275">
        <f t="shared" ref="L656:L658" si="854">+H656+L553</f>
        <v>0</v>
      </c>
      <c r="M656" s="276">
        <f t="shared" ref="M656:M658" si="855">+I656+M553</f>
        <v>0</v>
      </c>
      <c r="N656" s="342" t="str">
        <f t="shared" si="836"/>
        <v>-</v>
      </c>
      <c r="O656" s="352" t="str">
        <f t="shared" si="829"/>
        <v>-</v>
      </c>
    </row>
    <row r="657" spans="1:15" ht="23.4" x14ac:dyDescent="0.3">
      <c r="A657" s="277" t="s">
        <v>111</v>
      </c>
      <c r="B657" s="923"/>
      <c r="C657" s="298" t="s">
        <v>122</v>
      </c>
      <c r="D657" s="298"/>
      <c r="E657" s="279">
        <v>0</v>
      </c>
      <c r="F657" s="280"/>
      <c r="G657" s="339">
        <f t="shared" si="852"/>
        <v>0</v>
      </c>
      <c r="H657" s="281">
        <v>0</v>
      </c>
      <c r="I657" s="281">
        <v>0</v>
      </c>
      <c r="J657" s="358" t="str">
        <f>IFERROR(G657/#REF!,"-")</f>
        <v>-</v>
      </c>
      <c r="K657" s="339">
        <f t="shared" si="853"/>
        <v>0</v>
      </c>
      <c r="L657" s="281">
        <f t="shared" si="854"/>
        <v>0</v>
      </c>
      <c r="M657" s="251">
        <f t="shared" si="855"/>
        <v>0</v>
      </c>
      <c r="N657" s="343" t="str">
        <f t="shared" si="836"/>
        <v>-</v>
      </c>
      <c r="O657" s="264" t="str">
        <f t="shared" si="829"/>
        <v>-</v>
      </c>
    </row>
    <row r="658" spans="1:15" ht="24" thickBot="1" x14ac:dyDescent="0.35">
      <c r="A658" s="277" t="s">
        <v>111</v>
      </c>
      <c r="B658" s="924"/>
      <c r="C658" s="299" t="s">
        <v>128</v>
      </c>
      <c r="D658" s="299"/>
      <c r="E658" s="283">
        <v>0</v>
      </c>
      <c r="F658" s="284"/>
      <c r="G658" s="340">
        <f t="shared" si="852"/>
        <v>0</v>
      </c>
      <c r="H658" s="285">
        <v>0</v>
      </c>
      <c r="I658" s="285">
        <v>0</v>
      </c>
      <c r="J658" s="359" t="str">
        <f>IFERROR(G658/#REF!,"-")</f>
        <v>-</v>
      </c>
      <c r="K658" s="340">
        <f t="shared" si="853"/>
        <v>0</v>
      </c>
      <c r="L658" s="285">
        <f t="shared" si="854"/>
        <v>0</v>
      </c>
      <c r="M658" s="286">
        <f t="shared" si="855"/>
        <v>0</v>
      </c>
      <c r="N658" s="344" t="str">
        <f t="shared" si="836"/>
        <v>-</v>
      </c>
      <c r="O658" s="353" t="str">
        <f t="shared" si="829"/>
        <v>-</v>
      </c>
    </row>
    <row r="659" spans="1:15" ht="24" thickBot="1" x14ac:dyDescent="0.35">
      <c r="A659" s="277" t="s">
        <v>111</v>
      </c>
      <c r="B659" s="907" t="s">
        <v>50</v>
      </c>
      <c r="C659" s="907"/>
      <c r="D659" s="925"/>
      <c r="E659" s="326">
        <f t="shared" ref="E659" si="856">SUM(E656:E658)</f>
        <v>0</v>
      </c>
      <c r="F659" s="289">
        <v>50000</v>
      </c>
      <c r="G659" s="326">
        <f>SUM(G656:G658)</f>
        <v>0</v>
      </c>
      <c r="H659" s="327">
        <f t="shared" ref="H659:I659" si="857">SUM(H656:H658)</f>
        <v>0</v>
      </c>
      <c r="I659" s="327">
        <f t="shared" si="857"/>
        <v>0</v>
      </c>
      <c r="J659" s="351" t="str">
        <f>IFERROR(G659/#REF!,"-")</f>
        <v>-</v>
      </c>
      <c r="K659" s="326">
        <f t="shared" ref="K659:M659" si="858">SUM(K656:K658)</f>
        <v>0</v>
      </c>
      <c r="L659" s="327">
        <f t="shared" si="858"/>
        <v>0</v>
      </c>
      <c r="M659" s="328">
        <f t="shared" si="858"/>
        <v>0</v>
      </c>
      <c r="N659" s="345" t="str">
        <f t="shared" si="836"/>
        <v>-</v>
      </c>
      <c r="O659" s="351" t="str">
        <f t="shared" si="829"/>
        <v>-</v>
      </c>
    </row>
    <row r="660" spans="1:15" ht="24" thickBot="1" x14ac:dyDescent="0.35">
      <c r="A660" s="277" t="s">
        <v>111</v>
      </c>
      <c r="B660" s="926" t="s">
        <v>21</v>
      </c>
      <c r="C660" s="927"/>
      <c r="D660" s="928"/>
      <c r="E660" s="332">
        <f>+E636+E644+E652+E655+E659</f>
        <v>5774600</v>
      </c>
      <c r="F660" s="333">
        <f>+F636+F644+F652+F655+F659</f>
        <v>355000</v>
      </c>
      <c r="G660" s="332">
        <f>+G636+G644+G652+G655+G659</f>
        <v>101242</v>
      </c>
      <c r="H660" s="330">
        <f>+H636+H644+H652+H655+H659</f>
        <v>100560</v>
      </c>
      <c r="I660" s="330">
        <f>+I636+I644+I652+I655+I659</f>
        <v>682</v>
      </c>
      <c r="J660" s="355" t="str">
        <f>IFERROR(G660/#REF!,"-")</f>
        <v>-</v>
      </c>
      <c r="K660" s="332">
        <f>+K636+K644+K652+K655+K659</f>
        <v>698776</v>
      </c>
      <c r="L660" s="330">
        <f>+L636+L644+L652+L655+L659</f>
        <v>694420</v>
      </c>
      <c r="M660" s="331">
        <f>+M636+M644+M652+M655+M659</f>
        <v>4356</v>
      </c>
      <c r="N660" s="347">
        <f t="shared" si="836"/>
        <v>0.1210085547050878</v>
      </c>
      <c r="O660" s="355">
        <f t="shared" si="829"/>
        <v>6.2337573127869304E-3</v>
      </c>
    </row>
    <row r="661" spans="1:15" ht="23.4" x14ac:dyDescent="0.3">
      <c r="A661" s="277" t="s">
        <v>111</v>
      </c>
      <c r="B661" s="922" t="s">
        <v>22</v>
      </c>
      <c r="C661" s="272" t="s">
        <v>133</v>
      </c>
      <c r="D661" s="272"/>
      <c r="E661" s="273">
        <v>0</v>
      </c>
      <c r="F661" s="274"/>
      <c r="G661" s="338">
        <f t="shared" ref="G661:G664" si="859">+H661+I661</f>
        <v>0</v>
      </c>
      <c r="H661" s="275">
        <v>0</v>
      </c>
      <c r="I661" s="275">
        <v>0</v>
      </c>
      <c r="J661" s="357" t="str">
        <f>IFERROR(G661/#REF!,"-")</f>
        <v>-</v>
      </c>
      <c r="K661" s="338">
        <f t="shared" ref="K661:K664" si="860">+L661+M661</f>
        <v>0</v>
      </c>
      <c r="L661" s="275">
        <f t="shared" ref="L661:L664" si="861">+H661+L558</f>
        <v>0</v>
      </c>
      <c r="M661" s="276">
        <f t="shared" ref="M661:M664" si="862">+I661+M558</f>
        <v>0</v>
      </c>
      <c r="N661" s="342" t="str">
        <f t="shared" si="836"/>
        <v>-</v>
      </c>
      <c r="O661" s="352" t="str">
        <f t="shared" si="829"/>
        <v>-</v>
      </c>
    </row>
    <row r="662" spans="1:15" ht="23.4" x14ac:dyDescent="0.3">
      <c r="A662" s="277" t="s">
        <v>111</v>
      </c>
      <c r="B662" s="923"/>
      <c r="C662" s="301" t="s">
        <v>291</v>
      </c>
      <c r="D662" s="301" t="s">
        <v>196</v>
      </c>
      <c r="E662" s="279">
        <v>0</v>
      </c>
      <c r="F662" s="280"/>
      <c r="G662" s="339">
        <f t="shared" si="859"/>
        <v>0</v>
      </c>
      <c r="H662" s="281">
        <v>0</v>
      </c>
      <c r="I662" s="281">
        <v>0</v>
      </c>
      <c r="J662" s="358" t="str">
        <f>IFERROR(G662/#REF!,"-")</f>
        <v>-</v>
      </c>
      <c r="K662" s="339">
        <f t="shared" si="860"/>
        <v>0</v>
      </c>
      <c r="L662" s="281">
        <f t="shared" si="861"/>
        <v>0</v>
      </c>
      <c r="M662" s="251">
        <f t="shared" si="862"/>
        <v>0</v>
      </c>
      <c r="N662" s="343" t="str">
        <f t="shared" si="836"/>
        <v>-</v>
      </c>
      <c r="O662" s="264" t="str">
        <f t="shared" si="829"/>
        <v>-</v>
      </c>
    </row>
    <row r="663" spans="1:15" ht="23.4" x14ac:dyDescent="0.3">
      <c r="A663" s="277" t="s">
        <v>111</v>
      </c>
      <c r="B663" s="923"/>
      <c r="C663" s="301" t="s">
        <v>198</v>
      </c>
      <c r="D663" s="301" t="s">
        <v>100</v>
      </c>
      <c r="E663" s="279">
        <v>0</v>
      </c>
      <c r="F663" s="280"/>
      <c r="G663" s="339">
        <f t="shared" si="859"/>
        <v>0</v>
      </c>
      <c r="H663" s="281">
        <v>0</v>
      </c>
      <c r="I663" s="281">
        <v>0</v>
      </c>
      <c r="J663" s="358" t="str">
        <f>IFERROR(G663/#REF!,"-")</f>
        <v>-</v>
      </c>
      <c r="K663" s="339">
        <f t="shared" si="860"/>
        <v>0</v>
      </c>
      <c r="L663" s="281">
        <f t="shared" si="861"/>
        <v>0</v>
      </c>
      <c r="M663" s="251">
        <f t="shared" si="862"/>
        <v>0</v>
      </c>
      <c r="N663" s="343" t="str">
        <f t="shared" si="836"/>
        <v>-</v>
      </c>
      <c r="O663" s="264" t="str">
        <f t="shared" si="829"/>
        <v>-</v>
      </c>
    </row>
    <row r="664" spans="1:15" ht="24" thickBot="1" x14ac:dyDescent="0.35">
      <c r="A664" s="277" t="s">
        <v>111</v>
      </c>
      <c r="B664" s="924"/>
      <c r="C664" s="282" t="s">
        <v>197</v>
      </c>
      <c r="D664" s="282" t="s">
        <v>100</v>
      </c>
      <c r="E664" s="283">
        <v>0</v>
      </c>
      <c r="F664" s="284"/>
      <c r="G664" s="340">
        <f t="shared" si="859"/>
        <v>0</v>
      </c>
      <c r="H664" s="285">
        <v>0</v>
      </c>
      <c r="I664" s="285">
        <v>0</v>
      </c>
      <c r="J664" s="359" t="str">
        <f>IFERROR(G664/#REF!,"-")</f>
        <v>-</v>
      </c>
      <c r="K664" s="340">
        <f t="shared" si="860"/>
        <v>0</v>
      </c>
      <c r="L664" s="285">
        <f t="shared" si="861"/>
        <v>0</v>
      </c>
      <c r="M664" s="286">
        <f t="shared" si="862"/>
        <v>0</v>
      </c>
      <c r="N664" s="344" t="str">
        <f t="shared" si="836"/>
        <v>-</v>
      </c>
      <c r="O664" s="353" t="str">
        <f t="shared" si="829"/>
        <v>-</v>
      </c>
    </row>
    <row r="665" spans="1:15" ht="24" thickBot="1" x14ac:dyDescent="0.35">
      <c r="A665" s="277" t="s">
        <v>111</v>
      </c>
      <c r="B665" s="906" t="s">
        <v>51</v>
      </c>
      <c r="C665" s="907"/>
      <c r="D665" s="908"/>
      <c r="E665" s="288">
        <v>0</v>
      </c>
      <c r="F665" s="289">
        <v>80000</v>
      </c>
      <c r="G665" s="326">
        <f>SUM(G661:G664)</f>
        <v>0</v>
      </c>
      <c r="H665" s="327">
        <f t="shared" ref="H665:I665" si="863">SUM(H661:H664)</f>
        <v>0</v>
      </c>
      <c r="I665" s="327">
        <f t="shared" si="863"/>
        <v>0</v>
      </c>
      <c r="J665" s="351" t="str">
        <f>IFERROR(G665/#REF!,"-")</f>
        <v>-</v>
      </c>
      <c r="K665" s="326">
        <f t="shared" ref="K665:M665" si="864">SUM(K661:K664)</f>
        <v>0</v>
      </c>
      <c r="L665" s="327">
        <f t="shared" si="864"/>
        <v>0</v>
      </c>
      <c r="M665" s="328">
        <f t="shared" si="864"/>
        <v>0</v>
      </c>
      <c r="N665" s="345" t="str">
        <f t="shared" si="836"/>
        <v>-</v>
      </c>
      <c r="O665" s="351" t="str">
        <f t="shared" si="829"/>
        <v>-</v>
      </c>
    </row>
    <row r="666" spans="1:15" ht="23.4" x14ac:dyDescent="0.3">
      <c r="A666" s="277" t="s">
        <v>111</v>
      </c>
      <c r="B666" s="922" t="s">
        <v>23</v>
      </c>
      <c r="C666" s="302" t="s">
        <v>348</v>
      </c>
      <c r="D666" s="302" t="s">
        <v>263</v>
      </c>
      <c r="E666" s="273">
        <v>0</v>
      </c>
      <c r="F666" s="274"/>
      <c r="G666" s="338">
        <f t="shared" ref="G666:G673" si="865">+H666+I666</f>
        <v>0</v>
      </c>
      <c r="H666" s="275">
        <v>0</v>
      </c>
      <c r="I666" s="275">
        <v>0</v>
      </c>
      <c r="J666" s="357" t="str">
        <f>IFERROR(G666/#REF!,"-")</f>
        <v>-</v>
      </c>
      <c r="K666" s="338">
        <f t="shared" ref="K666:K673" si="866">+L666+M666</f>
        <v>0</v>
      </c>
      <c r="L666" s="275">
        <f t="shared" ref="L666:L673" si="867">+H666+L563</f>
        <v>0</v>
      </c>
      <c r="M666" s="276">
        <f t="shared" ref="M666:M673" si="868">+I666+M563</f>
        <v>0</v>
      </c>
      <c r="N666" s="342" t="str">
        <f t="shared" si="836"/>
        <v>-</v>
      </c>
      <c r="O666" s="352" t="str">
        <f t="shared" si="829"/>
        <v>-</v>
      </c>
    </row>
    <row r="667" spans="1:15" ht="23.4" x14ac:dyDescent="0.3">
      <c r="A667" s="277" t="s">
        <v>111</v>
      </c>
      <c r="B667" s="923"/>
      <c r="C667" s="278" t="s">
        <v>24</v>
      </c>
      <c r="D667" s="278" t="s">
        <v>263</v>
      </c>
      <c r="E667" s="279">
        <v>0</v>
      </c>
      <c r="F667" s="280"/>
      <c r="G667" s="339">
        <f t="shared" si="865"/>
        <v>2720</v>
      </c>
      <c r="H667" s="281">
        <v>2625</v>
      </c>
      <c r="I667" s="281">
        <v>95</v>
      </c>
      <c r="J667" s="358" t="str">
        <f>IFERROR(G667/#REF!,"-")</f>
        <v>-</v>
      </c>
      <c r="K667" s="339">
        <f t="shared" si="866"/>
        <v>31810</v>
      </c>
      <c r="L667" s="281">
        <f t="shared" si="867"/>
        <v>31500</v>
      </c>
      <c r="M667" s="251">
        <f t="shared" si="868"/>
        <v>310</v>
      </c>
      <c r="N667" s="343" t="str">
        <f t="shared" si="836"/>
        <v>-</v>
      </c>
      <c r="O667" s="264">
        <f t="shared" si="829"/>
        <v>9.7453630933668663E-3</v>
      </c>
    </row>
    <row r="668" spans="1:15" ht="23.4" x14ac:dyDescent="0.3">
      <c r="A668" s="277" t="s">
        <v>111</v>
      </c>
      <c r="B668" s="923"/>
      <c r="C668" s="278" t="s">
        <v>261</v>
      </c>
      <c r="D668" s="278" t="s">
        <v>263</v>
      </c>
      <c r="E668" s="279">
        <v>0</v>
      </c>
      <c r="F668" s="280"/>
      <c r="G668" s="339">
        <f t="shared" si="865"/>
        <v>0</v>
      </c>
      <c r="H668" s="281">
        <v>0</v>
      </c>
      <c r="I668" s="281">
        <v>0</v>
      </c>
      <c r="J668" s="358" t="str">
        <f>IFERROR(G668/#REF!,"-")</f>
        <v>-</v>
      </c>
      <c r="K668" s="339">
        <f t="shared" si="866"/>
        <v>0</v>
      </c>
      <c r="L668" s="281">
        <f t="shared" si="867"/>
        <v>0</v>
      </c>
      <c r="M668" s="251">
        <f t="shared" si="868"/>
        <v>0</v>
      </c>
      <c r="N668" s="343" t="str">
        <f t="shared" si="836"/>
        <v>-</v>
      </c>
      <c r="O668" s="264" t="str">
        <f t="shared" si="829"/>
        <v>-</v>
      </c>
    </row>
    <row r="669" spans="1:15" ht="23.4" x14ac:dyDescent="0.3">
      <c r="A669" s="277" t="s">
        <v>111</v>
      </c>
      <c r="B669" s="923"/>
      <c r="C669" s="278" t="s">
        <v>262</v>
      </c>
      <c r="D669" s="278" t="s">
        <v>263</v>
      </c>
      <c r="E669" s="279">
        <v>0</v>
      </c>
      <c r="F669" s="280"/>
      <c r="G669" s="339">
        <f t="shared" si="865"/>
        <v>0</v>
      </c>
      <c r="H669" s="281">
        <v>0</v>
      </c>
      <c r="I669" s="281">
        <v>0</v>
      </c>
      <c r="J669" s="358" t="str">
        <f>IFERROR(G669/#REF!,"-")</f>
        <v>-</v>
      </c>
      <c r="K669" s="339">
        <f t="shared" si="866"/>
        <v>0</v>
      </c>
      <c r="L669" s="281">
        <f t="shared" si="867"/>
        <v>0</v>
      </c>
      <c r="M669" s="251">
        <f t="shared" si="868"/>
        <v>0</v>
      </c>
      <c r="N669" s="343" t="str">
        <f t="shared" si="836"/>
        <v>-</v>
      </c>
      <c r="O669" s="264" t="str">
        <f t="shared" si="829"/>
        <v>-</v>
      </c>
    </row>
    <row r="670" spans="1:15" ht="23.4" x14ac:dyDescent="0.3">
      <c r="A670" s="277" t="s">
        <v>111</v>
      </c>
      <c r="B670" s="923"/>
      <c r="C670" s="301" t="s">
        <v>264</v>
      </c>
      <c r="D670" s="278" t="s">
        <v>263</v>
      </c>
      <c r="E670" s="279">
        <v>0</v>
      </c>
      <c r="F670" s="280"/>
      <c r="G670" s="339">
        <f t="shared" si="865"/>
        <v>0</v>
      </c>
      <c r="H670" s="281">
        <v>0</v>
      </c>
      <c r="I670" s="281">
        <v>0</v>
      </c>
      <c r="J670" s="358" t="str">
        <f>IFERROR(G670/#REF!,"-")</f>
        <v>-</v>
      </c>
      <c r="K670" s="339">
        <f t="shared" si="866"/>
        <v>0</v>
      </c>
      <c r="L670" s="281">
        <f t="shared" si="867"/>
        <v>0</v>
      </c>
      <c r="M670" s="251">
        <f t="shared" si="868"/>
        <v>0</v>
      </c>
      <c r="N670" s="343" t="str">
        <f t="shared" si="836"/>
        <v>-</v>
      </c>
      <c r="O670" s="264" t="str">
        <f t="shared" si="829"/>
        <v>-</v>
      </c>
    </row>
    <row r="671" spans="1:15" ht="23.4" x14ac:dyDescent="0.3">
      <c r="A671" s="277" t="s">
        <v>111</v>
      </c>
      <c r="B671" s="923"/>
      <c r="C671" s="301" t="s">
        <v>265</v>
      </c>
      <c r="D671" s="278" t="s">
        <v>263</v>
      </c>
      <c r="E671" s="279">
        <v>0</v>
      </c>
      <c r="F671" s="280"/>
      <c r="G671" s="339">
        <f t="shared" si="865"/>
        <v>0</v>
      </c>
      <c r="H671" s="281">
        <v>0</v>
      </c>
      <c r="I671" s="281">
        <v>0</v>
      </c>
      <c r="J671" s="358" t="str">
        <f>IFERROR(G671/#REF!,"-")</f>
        <v>-</v>
      </c>
      <c r="K671" s="339">
        <f t="shared" si="866"/>
        <v>0</v>
      </c>
      <c r="L671" s="281">
        <f t="shared" si="867"/>
        <v>0</v>
      </c>
      <c r="M671" s="251">
        <f t="shared" si="868"/>
        <v>0</v>
      </c>
      <c r="N671" s="343" t="str">
        <f t="shared" si="836"/>
        <v>-</v>
      </c>
      <c r="O671" s="264" t="str">
        <f t="shared" si="829"/>
        <v>-</v>
      </c>
    </row>
    <row r="672" spans="1:15" ht="23.4" x14ac:dyDescent="0.3">
      <c r="A672" s="277" t="s">
        <v>111</v>
      </c>
      <c r="B672" s="923"/>
      <c r="C672" s="301" t="s">
        <v>266</v>
      </c>
      <c r="D672" s="278" t="s">
        <v>268</v>
      </c>
      <c r="E672" s="279">
        <v>0</v>
      </c>
      <c r="F672" s="280"/>
      <c r="G672" s="339">
        <f t="shared" si="865"/>
        <v>0</v>
      </c>
      <c r="H672" s="281">
        <v>0</v>
      </c>
      <c r="I672" s="281">
        <v>0</v>
      </c>
      <c r="J672" s="358" t="str">
        <f>IFERROR(G672/#REF!,"-")</f>
        <v>-</v>
      </c>
      <c r="K672" s="339">
        <f t="shared" si="866"/>
        <v>0</v>
      </c>
      <c r="L672" s="281">
        <f t="shared" si="867"/>
        <v>0</v>
      </c>
      <c r="M672" s="251">
        <f t="shared" si="868"/>
        <v>0</v>
      </c>
      <c r="N672" s="343" t="str">
        <f t="shared" si="836"/>
        <v>-</v>
      </c>
      <c r="O672" s="264" t="str">
        <f t="shared" si="829"/>
        <v>-</v>
      </c>
    </row>
    <row r="673" spans="1:15" ht="24" thickBot="1" x14ac:dyDescent="0.35">
      <c r="A673" s="277" t="s">
        <v>111</v>
      </c>
      <c r="B673" s="924"/>
      <c r="C673" s="301" t="s">
        <v>267</v>
      </c>
      <c r="D673" s="278" t="s">
        <v>263</v>
      </c>
      <c r="E673" s="283">
        <v>0</v>
      </c>
      <c r="F673" s="284"/>
      <c r="G673" s="340">
        <f t="shared" si="865"/>
        <v>7030</v>
      </c>
      <c r="H673" s="285">
        <v>7000</v>
      </c>
      <c r="I673" s="285">
        <v>30</v>
      </c>
      <c r="J673" s="359" t="str">
        <f>IFERROR(G673/#REF!,"-")</f>
        <v>-</v>
      </c>
      <c r="K673" s="340">
        <f t="shared" si="866"/>
        <v>7030</v>
      </c>
      <c r="L673" s="285">
        <f t="shared" si="867"/>
        <v>7000</v>
      </c>
      <c r="M673" s="286">
        <f t="shared" si="868"/>
        <v>30</v>
      </c>
      <c r="N673" s="344" t="str">
        <f t="shared" si="836"/>
        <v>-</v>
      </c>
      <c r="O673" s="353">
        <f t="shared" si="829"/>
        <v>4.2674253200568994E-3</v>
      </c>
    </row>
    <row r="674" spans="1:15" ht="24" thickBot="1" x14ac:dyDescent="0.35">
      <c r="A674" s="277" t="s">
        <v>111</v>
      </c>
      <c r="B674" s="906" t="s">
        <v>52</v>
      </c>
      <c r="C674" s="907"/>
      <c r="D674" s="908"/>
      <c r="E674" s="288">
        <v>157500</v>
      </c>
      <c r="F674" s="289">
        <v>14000</v>
      </c>
      <c r="G674" s="326">
        <f>SUM(G666:G673)</f>
        <v>9750</v>
      </c>
      <c r="H674" s="327">
        <f t="shared" ref="H674:I674" si="869">SUM(H666:H673)</f>
        <v>9625</v>
      </c>
      <c r="I674" s="327">
        <f t="shared" si="869"/>
        <v>125</v>
      </c>
      <c r="J674" s="351" t="str">
        <f>IFERROR(G674/#REF!,"-")</f>
        <v>-</v>
      </c>
      <c r="K674" s="326">
        <f t="shared" ref="K674:M674" si="870">SUM(K666:K673)</f>
        <v>38840</v>
      </c>
      <c r="L674" s="327">
        <f t="shared" si="870"/>
        <v>38500</v>
      </c>
      <c r="M674" s="328">
        <f t="shared" si="870"/>
        <v>340</v>
      </c>
      <c r="N674" s="345">
        <f t="shared" si="836"/>
        <v>0.2466031746031746</v>
      </c>
      <c r="O674" s="351">
        <f t="shared" si="829"/>
        <v>8.7538619979402685E-3</v>
      </c>
    </row>
    <row r="675" spans="1:15" ht="24" thickBot="1" x14ac:dyDescent="0.35">
      <c r="A675" s="277" t="s">
        <v>111</v>
      </c>
      <c r="B675" s="926" t="s">
        <v>25</v>
      </c>
      <c r="C675" s="927"/>
      <c r="D675" s="928"/>
      <c r="E675" s="332">
        <f t="shared" ref="E675:F675" si="871">+E665+E674</f>
        <v>157500</v>
      </c>
      <c r="F675" s="333">
        <f t="shared" si="871"/>
        <v>94000</v>
      </c>
      <c r="G675" s="332">
        <f>+G665+G674</f>
        <v>9750</v>
      </c>
      <c r="H675" s="330">
        <f t="shared" ref="H675:I675" si="872">+H665+H674</f>
        <v>9625</v>
      </c>
      <c r="I675" s="330">
        <f t="shared" si="872"/>
        <v>125</v>
      </c>
      <c r="J675" s="355" t="str">
        <f>IFERROR(G675/#REF!,"-")</f>
        <v>-</v>
      </c>
      <c r="K675" s="332">
        <f t="shared" ref="K675" si="873">+K665+K674</f>
        <v>38840</v>
      </c>
      <c r="L675" s="330">
        <f>+L665+L674</f>
        <v>38500</v>
      </c>
      <c r="M675" s="331">
        <f t="shared" ref="M675" si="874">+M665+M674</f>
        <v>340</v>
      </c>
      <c r="N675" s="347">
        <f t="shared" si="836"/>
        <v>0.2466031746031746</v>
      </c>
      <c r="O675" s="355">
        <f t="shared" si="829"/>
        <v>8.7538619979402685E-3</v>
      </c>
    </row>
    <row r="676" spans="1:15" ht="24" thickBot="1" x14ac:dyDescent="0.35">
      <c r="A676" s="277" t="s">
        <v>111</v>
      </c>
      <c r="B676" s="900" t="s">
        <v>181</v>
      </c>
      <c r="C676" s="901"/>
      <c r="D676" s="902"/>
      <c r="E676" s="336">
        <f>+E660+E675</f>
        <v>5932100</v>
      </c>
      <c r="F676" s="337">
        <f t="shared" ref="F676:I676" si="875">+F660+F675</f>
        <v>449000</v>
      </c>
      <c r="G676" s="336">
        <f t="shared" si="875"/>
        <v>110992</v>
      </c>
      <c r="H676" s="334">
        <f t="shared" si="875"/>
        <v>110185</v>
      </c>
      <c r="I676" s="334">
        <f t="shared" si="875"/>
        <v>807</v>
      </c>
      <c r="J676" s="356" t="str">
        <f>IFERROR(G676/#REF!,"-")</f>
        <v>-</v>
      </c>
      <c r="K676" s="336">
        <f t="shared" ref="K676:M676" si="876">+K660+K675</f>
        <v>737616</v>
      </c>
      <c r="L676" s="334">
        <f t="shared" si="876"/>
        <v>732920</v>
      </c>
      <c r="M676" s="335">
        <f t="shared" si="876"/>
        <v>4696</v>
      </c>
      <c r="N676" s="348">
        <f t="shared" si="836"/>
        <v>0.12434314998061395</v>
      </c>
      <c r="O676" s="356">
        <f t="shared" si="829"/>
        <v>6.3664562590833168E-3</v>
      </c>
    </row>
    <row r="677" spans="1:15" ht="23.4" x14ac:dyDescent="0.3">
      <c r="A677" s="271" t="s">
        <v>109</v>
      </c>
      <c r="B677" s="929" t="s">
        <v>26</v>
      </c>
      <c r="C677" s="303" t="s">
        <v>334</v>
      </c>
      <c r="D677" s="303" t="s">
        <v>192</v>
      </c>
      <c r="E677" s="273">
        <v>0</v>
      </c>
      <c r="F677" s="274"/>
      <c r="G677" s="338">
        <f t="shared" ref="G677:G685" si="877">+H677+I677</f>
        <v>0</v>
      </c>
      <c r="H677" s="275">
        <v>0</v>
      </c>
      <c r="I677" s="275">
        <v>0</v>
      </c>
      <c r="J677" s="357" t="str">
        <f>IFERROR(G677/#REF!,"-")</f>
        <v>-</v>
      </c>
      <c r="K677" s="338">
        <f t="shared" ref="K677:K685" si="878">+L677+M677</f>
        <v>326708</v>
      </c>
      <c r="L677" s="275">
        <f t="shared" ref="L677:L685" si="879">+H677+L574</f>
        <v>322218</v>
      </c>
      <c r="M677" s="276">
        <f t="shared" ref="M677:M685" si="880">+I677+M574</f>
        <v>4490</v>
      </c>
      <c r="N677" s="342" t="str">
        <f t="shared" si="836"/>
        <v>-</v>
      </c>
      <c r="O677" s="352">
        <f t="shared" si="829"/>
        <v>1.3743159028857574E-2</v>
      </c>
    </row>
    <row r="678" spans="1:15" ht="23.4" x14ac:dyDescent="0.3">
      <c r="A678" s="277" t="s">
        <v>109</v>
      </c>
      <c r="B678" s="929"/>
      <c r="C678" s="304" t="s">
        <v>199</v>
      </c>
      <c r="D678" s="304" t="s">
        <v>115</v>
      </c>
      <c r="E678" s="279">
        <v>0</v>
      </c>
      <c r="F678" s="280"/>
      <c r="G678" s="339">
        <f t="shared" si="877"/>
        <v>0</v>
      </c>
      <c r="H678" s="281">
        <v>0</v>
      </c>
      <c r="I678" s="281">
        <v>0</v>
      </c>
      <c r="J678" s="358" t="str">
        <f>IFERROR(G678/#REF!,"-")</f>
        <v>-</v>
      </c>
      <c r="K678" s="339">
        <f t="shared" si="878"/>
        <v>0</v>
      </c>
      <c r="L678" s="281">
        <f t="shared" si="879"/>
        <v>0</v>
      </c>
      <c r="M678" s="251">
        <f t="shared" si="880"/>
        <v>0</v>
      </c>
      <c r="N678" s="343" t="str">
        <f t="shared" si="836"/>
        <v>-</v>
      </c>
      <c r="O678" s="264" t="str">
        <f t="shared" si="829"/>
        <v>-</v>
      </c>
    </row>
    <row r="679" spans="1:15" ht="23.4" x14ac:dyDescent="0.3">
      <c r="A679" s="277" t="s">
        <v>109</v>
      </c>
      <c r="B679" s="929"/>
      <c r="C679" s="305" t="s">
        <v>27</v>
      </c>
      <c r="D679" s="305" t="s">
        <v>310</v>
      </c>
      <c r="E679" s="283">
        <v>0</v>
      </c>
      <c r="F679" s="284"/>
      <c r="G679" s="339">
        <f t="shared" si="877"/>
        <v>0</v>
      </c>
      <c r="H679" s="285">
        <v>0</v>
      </c>
      <c r="I679" s="285">
        <v>0</v>
      </c>
      <c r="J679" s="359" t="str">
        <f>IFERROR(G679/#REF!,"-")</f>
        <v>-</v>
      </c>
      <c r="K679" s="339">
        <f t="shared" si="878"/>
        <v>0</v>
      </c>
      <c r="L679" s="285">
        <f t="shared" si="879"/>
        <v>0</v>
      </c>
      <c r="M679" s="286">
        <f t="shared" si="880"/>
        <v>0</v>
      </c>
      <c r="N679" s="287"/>
      <c r="O679" s="264" t="str">
        <f t="shared" si="829"/>
        <v>-</v>
      </c>
    </row>
    <row r="680" spans="1:15" ht="23.4" x14ac:dyDescent="0.3">
      <c r="A680" s="277" t="s">
        <v>109</v>
      </c>
      <c r="B680" s="929"/>
      <c r="C680" s="305" t="s">
        <v>27</v>
      </c>
      <c r="D680" s="305" t="s">
        <v>311</v>
      </c>
      <c r="E680" s="283">
        <v>0</v>
      </c>
      <c r="F680" s="284"/>
      <c r="G680" s="339">
        <f t="shared" si="877"/>
        <v>0</v>
      </c>
      <c r="H680" s="285">
        <v>0</v>
      </c>
      <c r="I680" s="285">
        <v>0</v>
      </c>
      <c r="J680" s="359" t="str">
        <f>IFERROR(G680/#REF!,"-")</f>
        <v>-</v>
      </c>
      <c r="K680" s="339">
        <f t="shared" si="878"/>
        <v>0</v>
      </c>
      <c r="L680" s="285">
        <f t="shared" si="879"/>
        <v>0</v>
      </c>
      <c r="M680" s="286">
        <f t="shared" si="880"/>
        <v>0</v>
      </c>
      <c r="N680" s="287"/>
      <c r="O680" s="264" t="str">
        <f t="shared" si="829"/>
        <v>-</v>
      </c>
    </row>
    <row r="681" spans="1:15" ht="23.4" x14ac:dyDescent="0.3">
      <c r="A681" s="277" t="s">
        <v>109</v>
      </c>
      <c r="B681" s="929"/>
      <c r="C681" s="305" t="s">
        <v>325</v>
      </c>
      <c r="D681" s="305" t="s">
        <v>324</v>
      </c>
      <c r="E681" s="283">
        <v>0</v>
      </c>
      <c r="F681" s="284"/>
      <c r="G681" s="339">
        <f t="shared" si="877"/>
        <v>0</v>
      </c>
      <c r="H681" s="285">
        <v>0</v>
      </c>
      <c r="I681" s="285">
        <v>0</v>
      </c>
      <c r="J681" s="359" t="str">
        <f>IFERROR(G681/#REF!,"-")</f>
        <v>-</v>
      </c>
      <c r="K681" s="339">
        <f t="shared" si="878"/>
        <v>0</v>
      </c>
      <c r="L681" s="285">
        <f t="shared" si="879"/>
        <v>0</v>
      </c>
      <c r="M681" s="286">
        <f t="shared" si="880"/>
        <v>0</v>
      </c>
      <c r="N681" s="287"/>
      <c r="O681" s="264" t="str">
        <f t="shared" si="829"/>
        <v>-</v>
      </c>
    </row>
    <row r="682" spans="1:15" ht="23.4" x14ac:dyDescent="0.3">
      <c r="A682" s="277"/>
      <c r="B682" s="929"/>
      <c r="C682" s="305" t="s">
        <v>325</v>
      </c>
      <c r="D682" s="305" t="s">
        <v>192</v>
      </c>
      <c r="E682" s="283">
        <v>0</v>
      </c>
      <c r="F682" s="284"/>
      <c r="G682" s="340">
        <f t="shared" si="877"/>
        <v>0</v>
      </c>
      <c r="H682" s="285">
        <v>0</v>
      </c>
      <c r="I682" s="285">
        <v>0</v>
      </c>
      <c r="J682" s="359" t="str">
        <f>IFERROR(G682/#REF!,"-")</f>
        <v>-</v>
      </c>
      <c r="K682" s="340">
        <f t="shared" si="878"/>
        <v>0</v>
      </c>
      <c r="L682" s="285">
        <f t="shared" si="879"/>
        <v>0</v>
      </c>
      <c r="M682" s="286">
        <f t="shared" si="880"/>
        <v>0</v>
      </c>
      <c r="N682" s="287"/>
      <c r="O682" s="264" t="str">
        <f t="shared" si="829"/>
        <v>-</v>
      </c>
    </row>
    <row r="683" spans="1:15" ht="23.4" x14ac:dyDescent="0.3">
      <c r="A683" s="277"/>
      <c r="B683" s="929"/>
      <c r="C683" s="305" t="s">
        <v>325</v>
      </c>
      <c r="D683" s="305" t="s">
        <v>101</v>
      </c>
      <c r="E683" s="283">
        <v>0</v>
      </c>
      <c r="F683" s="284"/>
      <c r="G683" s="340">
        <f t="shared" si="877"/>
        <v>0</v>
      </c>
      <c r="H683" s="285">
        <v>0</v>
      </c>
      <c r="I683" s="285">
        <v>0</v>
      </c>
      <c r="J683" s="359" t="str">
        <f>IFERROR(G683/#REF!,"-")</f>
        <v>-</v>
      </c>
      <c r="K683" s="340">
        <f t="shared" si="878"/>
        <v>0</v>
      </c>
      <c r="L683" s="285">
        <f t="shared" si="879"/>
        <v>0</v>
      </c>
      <c r="M683" s="286">
        <f t="shared" si="880"/>
        <v>0</v>
      </c>
      <c r="N683" s="287"/>
      <c r="O683" s="264" t="str">
        <f t="shared" si="829"/>
        <v>-</v>
      </c>
    </row>
    <row r="684" spans="1:15" ht="23.4" x14ac:dyDescent="0.3">
      <c r="A684" s="277"/>
      <c r="B684" s="929"/>
      <c r="C684" s="305" t="s">
        <v>393</v>
      </c>
      <c r="D684" s="305" t="s">
        <v>394</v>
      </c>
      <c r="E684" s="283">
        <v>0</v>
      </c>
      <c r="F684" s="284"/>
      <c r="G684" s="340">
        <f t="shared" si="877"/>
        <v>116394</v>
      </c>
      <c r="H684" s="285">
        <v>115362</v>
      </c>
      <c r="I684" s="285">
        <v>1032</v>
      </c>
      <c r="J684" s="359" t="str">
        <f>IFERROR(G684/#REF!,"-")</f>
        <v>-</v>
      </c>
      <c r="K684" s="340">
        <f t="shared" si="878"/>
        <v>252794</v>
      </c>
      <c r="L684" s="285">
        <f t="shared" si="879"/>
        <v>250614</v>
      </c>
      <c r="M684" s="286">
        <f t="shared" si="880"/>
        <v>2180</v>
      </c>
      <c r="N684" s="287"/>
      <c r="O684" s="264">
        <f t="shared" si="829"/>
        <v>8.6236223961011736E-3</v>
      </c>
    </row>
    <row r="685" spans="1:15" ht="24" thickBot="1" x14ac:dyDescent="0.35">
      <c r="A685" s="277" t="s">
        <v>109</v>
      </c>
      <c r="B685" s="929"/>
      <c r="C685" s="306" t="s">
        <v>326</v>
      </c>
      <c r="D685" s="305" t="s">
        <v>324</v>
      </c>
      <c r="E685" s="283">
        <v>0</v>
      </c>
      <c r="F685" s="284"/>
      <c r="G685" s="340">
        <f t="shared" si="877"/>
        <v>0</v>
      </c>
      <c r="H685" s="285">
        <v>0</v>
      </c>
      <c r="I685" s="285">
        <v>0</v>
      </c>
      <c r="J685" s="359" t="str">
        <f>IFERROR(G685/#REF!,"-")</f>
        <v>-</v>
      </c>
      <c r="K685" s="340">
        <f t="shared" si="878"/>
        <v>7956</v>
      </c>
      <c r="L685" s="285">
        <f t="shared" si="879"/>
        <v>7956</v>
      </c>
      <c r="M685" s="286">
        <f t="shared" si="880"/>
        <v>0</v>
      </c>
      <c r="N685" s="344" t="str">
        <f t="shared" ref="N685:N702" si="881">IFERROR(K685/E685,"-")</f>
        <v>-</v>
      </c>
      <c r="O685" s="353">
        <f t="shared" si="829"/>
        <v>0</v>
      </c>
    </row>
    <row r="686" spans="1:15" ht="24" thickBot="1" x14ac:dyDescent="0.35">
      <c r="A686" s="277" t="s">
        <v>109</v>
      </c>
      <c r="B686" s="930"/>
      <c r="C686" s="307"/>
      <c r="D686" s="308" t="s">
        <v>55</v>
      </c>
      <c r="E686" s="288">
        <v>0</v>
      </c>
      <c r="F686" s="289"/>
      <c r="G686" s="326">
        <f>SUM(G677:G685)</f>
        <v>116394</v>
      </c>
      <c r="H686" s="327">
        <f>SUM(H677:H685)</f>
        <v>115362</v>
      </c>
      <c r="I686" s="327">
        <f>SUM(I677:I685)</f>
        <v>1032</v>
      </c>
      <c r="J686" s="351" t="str">
        <f>IFERROR(G686/#REF!,"-")</f>
        <v>-</v>
      </c>
      <c r="K686" s="326">
        <f>SUM(K677:K685)</f>
        <v>587458</v>
      </c>
      <c r="L686" s="327">
        <f>SUM(L677:L685)</f>
        <v>580788</v>
      </c>
      <c r="M686" s="328">
        <f>SUM(M677:M685)</f>
        <v>6670</v>
      </c>
      <c r="N686" s="345" t="str">
        <f t="shared" si="881"/>
        <v>-</v>
      </c>
      <c r="O686" s="351">
        <f t="shared" si="829"/>
        <v>1.1354003179801789E-2</v>
      </c>
    </row>
    <row r="687" spans="1:15" ht="23.4" x14ac:dyDescent="0.3">
      <c r="A687" s="277" t="s">
        <v>109</v>
      </c>
      <c r="B687" s="931" t="s">
        <v>28</v>
      </c>
      <c r="C687" s="303" t="s">
        <v>322</v>
      </c>
      <c r="D687" s="303" t="s">
        <v>193</v>
      </c>
      <c r="E687" s="273">
        <v>0</v>
      </c>
      <c r="F687" s="274"/>
      <c r="G687" s="338">
        <f t="shared" ref="G687:G689" si="882">+H687+I687</f>
        <v>0</v>
      </c>
      <c r="H687" s="275">
        <v>0</v>
      </c>
      <c r="I687" s="275">
        <v>0</v>
      </c>
      <c r="J687" s="357" t="str">
        <f>IFERROR(G687/#REF!,"-")</f>
        <v>-</v>
      </c>
      <c r="K687" s="338">
        <f t="shared" ref="K687:K689" si="883">+L687+M687</f>
        <v>0</v>
      </c>
      <c r="L687" s="275">
        <f t="shared" ref="L687:L689" si="884">+H687+L584</f>
        <v>0</v>
      </c>
      <c r="M687" s="276">
        <f t="shared" ref="M687:M689" si="885">+I687+M584</f>
        <v>0</v>
      </c>
      <c r="N687" s="342" t="str">
        <f t="shared" si="881"/>
        <v>-</v>
      </c>
      <c r="O687" s="352" t="str">
        <f t="shared" si="829"/>
        <v>-</v>
      </c>
    </row>
    <row r="688" spans="1:15" ht="23.4" x14ac:dyDescent="0.3">
      <c r="A688" s="277" t="s">
        <v>109</v>
      </c>
      <c r="B688" s="929"/>
      <c r="C688" s="305" t="s">
        <v>27</v>
      </c>
      <c r="D688" s="305" t="s">
        <v>311</v>
      </c>
      <c r="E688" s="279">
        <v>0</v>
      </c>
      <c r="F688" s="280"/>
      <c r="G688" s="339">
        <f t="shared" si="882"/>
        <v>0</v>
      </c>
      <c r="H688" s="281">
        <v>0</v>
      </c>
      <c r="I688" s="281">
        <v>0</v>
      </c>
      <c r="J688" s="358" t="str">
        <f>IFERROR(G688/#REF!,"-")</f>
        <v>-</v>
      </c>
      <c r="K688" s="339">
        <f t="shared" si="883"/>
        <v>0</v>
      </c>
      <c r="L688" s="281">
        <f t="shared" si="884"/>
        <v>0</v>
      </c>
      <c r="M688" s="251">
        <f t="shared" si="885"/>
        <v>0</v>
      </c>
      <c r="N688" s="343" t="str">
        <f t="shared" si="881"/>
        <v>-</v>
      </c>
      <c r="O688" s="264" t="str">
        <f t="shared" si="829"/>
        <v>-</v>
      </c>
    </row>
    <row r="689" spans="1:15" ht="24" thickBot="1" x14ac:dyDescent="0.35">
      <c r="A689" s="277" t="s">
        <v>109</v>
      </c>
      <c r="B689" s="929"/>
      <c r="C689" s="305" t="s">
        <v>27</v>
      </c>
      <c r="D689" s="306" t="s">
        <v>259</v>
      </c>
      <c r="E689" s="283">
        <v>0</v>
      </c>
      <c r="F689" s="284"/>
      <c r="G689" s="340">
        <f t="shared" si="882"/>
        <v>0</v>
      </c>
      <c r="H689" s="285">
        <v>0</v>
      </c>
      <c r="I689" s="285">
        <v>0</v>
      </c>
      <c r="J689" s="359" t="str">
        <f>IFERROR(G689/#REF!,"-")</f>
        <v>-</v>
      </c>
      <c r="K689" s="340">
        <f t="shared" si="883"/>
        <v>0</v>
      </c>
      <c r="L689" s="285">
        <f t="shared" si="884"/>
        <v>0</v>
      </c>
      <c r="M689" s="286">
        <f t="shared" si="885"/>
        <v>0</v>
      </c>
      <c r="N689" s="344" t="str">
        <f t="shared" si="881"/>
        <v>-</v>
      </c>
      <c r="O689" s="353" t="str">
        <f t="shared" si="829"/>
        <v>-</v>
      </c>
    </row>
    <row r="690" spans="1:15" ht="24" thickBot="1" x14ac:dyDescent="0.35">
      <c r="A690" s="277" t="s">
        <v>109</v>
      </c>
      <c r="B690" s="929"/>
      <c r="C690" s="310"/>
      <c r="D690" s="311" t="s">
        <v>55</v>
      </c>
      <c r="E690" s="312">
        <v>0</v>
      </c>
      <c r="F690" s="313"/>
      <c r="G690" s="372">
        <f>SUM(G687:G689)</f>
        <v>0</v>
      </c>
      <c r="H690" s="371">
        <f t="shared" ref="H690:I690" si="886">SUM(H687:H689)</f>
        <v>0</v>
      </c>
      <c r="I690" s="371">
        <f t="shared" si="886"/>
        <v>0</v>
      </c>
      <c r="J690" s="362" t="str">
        <f>IFERROR(G690/#REF!,"-")</f>
        <v>-</v>
      </c>
      <c r="K690" s="372">
        <f>SUM(K687:K689)</f>
        <v>0</v>
      </c>
      <c r="L690" s="371">
        <f t="shared" ref="L690:M690" si="887">SUM(L687:L689)</f>
        <v>0</v>
      </c>
      <c r="M690" s="373">
        <f t="shared" si="887"/>
        <v>0</v>
      </c>
      <c r="N690" s="361" t="str">
        <f t="shared" si="881"/>
        <v>-</v>
      </c>
      <c r="O690" s="362" t="str">
        <f t="shared" si="829"/>
        <v>-</v>
      </c>
    </row>
    <row r="691" spans="1:15" ht="24" thickBot="1" x14ac:dyDescent="0.35">
      <c r="A691" s="717" t="s">
        <v>109</v>
      </c>
      <c r="B691" s="932" t="s">
        <v>171</v>
      </c>
      <c r="C691" s="933"/>
      <c r="D691" s="934"/>
      <c r="E691" s="314">
        <v>2167000</v>
      </c>
      <c r="F691" s="315">
        <v>80000</v>
      </c>
      <c r="G691" s="375">
        <f>+G686+G690</f>
        <v>116394</v>
      </c>
      <c r="H691" s="374">
        <f t="shared" ref="H691:I691" si="888">+H686+H690</f>
        <v>115362</v>
      </c>
      <c r="I691" s="374">
        <f t="shared" si="888"/>
        <v>1032</v>
      </c>
      <c r="J691" s="364" t="str">
        <f>IFERROR(G691/#REF!,"-")</f>
        <v>-</v>
      </c>
      <c r="K691" s="375">
        <f>+K686+K690</f>
        <v>587458</v>
      </c>
      <c r="L691" s="374">
        <f>+L686+L690</f>
        <v>580788</v>
      </c>
      <c r="M691" s="376">
        <f t="shared" ref="M691" si="889">+M686+M690</f>
        <v>6670</v>
      </c>
      <c r="N691" s="363">
        <f t="shared" si="881"/>
        <v>0.27109275496077528</v>
      </c>
      <c r="O691" s="364">
        <f t="shared" si="829"/>
        <v>1.1354003179801789E-2</v>
      </c>
    </row>
    <row r="692" spans="1:15" ht="23.4" x14ac:dyDescent="0.3">
      <c r="A692" s="277" t="s">
        <v>109</v>
      </c>
      <c r="B692" s="929" t="s">
        <v>30</v>
      </c>
      <c r="C692" s="309" t="s">
        <v>396</v>
      </c>
      <c r="D692" s="303" t="s">
        <v>193</v>
      </c>
      <c r="E692" s="273">
        <v>0</v>
      </c>
      <c r="F692" s="274"/>
      <c r="G692" s="338">
        <f t="shared" ref="G692:G694" si="890">+H692+I692</f>
        <v>0</v>
      </c>
      <c r="H692" s="275">
        <v>0</v>
      </c>
      <c r="I692" s="275">
        <v>0</v>
      </c>
      <c r="J692" s="357" t="str">
        <f>IFERROR(G692/#REF!,"-")</f>
        <v>-</v>
      </c>
      <c r="K692" s="338">
        <f t="shared" ref="K692:K694" si="891">+L692+M692</f>
        <v>0</v>
      </c>
      <c r="L692" s="275">
        <f t="shared" ref="L692:L694" si="892">+H692+L589</f>
        <v>0</v>
      </c>
      <c r="M692" s="276">
        <f t="shared" ref="M692:M694" si="893">+I692+M589</f>
        <v>0</v>
      </c>
      <c r="N692" s="342" t="str">
        <f t="shared" si="881"/>
        <v>-</v>
      </c>
      <c r="O692" s="352" t="str">
        <f t="shared" si="829"/>
        <v>-</v>
      </c>
    </row>
    <row r="693" spans="1:15" ht="23.4" x14ac:dyDescent="0.3">
      <c r="A693" s="277" t="s">
        <v>109</v>
      </c>
      <c r="B693" s="929"/>
      <c r="C693" s="309" t="s">
        <v>395</v>
      </c>
      <c r="D693" s="309" t="s">
        <v>324</v>
      </c>
      <c r="E693" s="279">
        <v>0</v>
      </c>
      <c r="F693" s="280"/>
      <c r="G693" s="339">
        <f t="shared" si="890"/>
        <v>0</v>
      </c>
      <c r="H693" s="281">
        <v>0</v>
      </c>
      <c r="I693" s="281">
        <v>0</v>
      </c>
      <c r="J693" s="358" t="str">
        <f>IFERROR(G693/#REF!,"-")</f>
        <v>-</v>
      </c>
      <c r="K693" s="339">
        <f t="shared" si="891"/>
        <v>0</v>
      </c>
      <c r="L693" s="281">
        <f t="shared" si="892"/>
        <v>0</v>
      </c>
      <c r="M693" s="251">
        <f t="shared" si="893"/>
        <v>0</v>
      </c>
      <c r="N693" s="343" t="str">
        <f t="shared" si="881"/>
        <v>-</v>
      </c>
      <c r="O693" s="264" t="str">
        <f t="shared" si="829"/>
        <v>-</v>
      </c>
    </row>
    <row r="694" spans="1:15" ht="24" thickBot="1" x14ac:dyDescent="0.35">
      <c r="A694" s="277" t="s">
        <v>109</v>
      </c>
      <c r="B694" s="929"/>
      <c r="C694" s="306" t="s">
        <v>327</v>
      </c>
      <c r="D694" s="306"/>
      <c r="E694" s="283">
        <v>0</v>
      </c>
      <c r="F694" s="284"/>
      <c r="G694" s="340">
        <f t="shared" si="890"/>
        <v>0</v>
      </c>
      <c r="H694" s="285">
        <v>0</v>
      </c>
      <c r="I694" s="285">
        <v>0</v>
      </c>
      <c r="J694" s="359" t="str">
        <f>IFERROR(G694/#REF!,"-")</f>
        <v>-</v>
      </c>
      <c r="K694" s="340">
        <f t="shared" si="891"/>
        <v>0</v>
      </c>
      <c r="L694" s="285">
        <f t="shared" si="892"/>
        <v>0</v>
      </c>
      <c r="M694" s="286">
        <f t="shared" si="893"/>
        <v>0</v>
      </c>
      <c r="N694" s="344" t="str">
        <f t="shared" si="881"/>
        <v>-</v>
      </c>
      <c r="O694" s="353" t="str">
        <f t="shared" si="829"/>
        <v>-</v>
      </c>
    </row>
    <row r="695" spans="1:15" ht="24" thickBot="1" x14ac:dyDescent="0.35">
      <c r="A695" s="277" t="s">
        <v>109</v>
      </c>
      <c r="B695" s="929"/>
      <c r="C695" s="307"/>
      <c r="D695" s="308" t="s">
        <v>53</v>
      </c>
      <c r="E695" s="288">
        <v>0</v>
      </c>
      <c r="F695" s="289"/>
      <c r="G695" s="326">
        <f>SUM(G692:G694)</f>
        <v>0</v>
      </c>
      <c r="H695" s="327">
        <f t="shared" ref="H695:I695" si="894">SUM(H692:H694)</f>
        <v>0</v>
      </c>
      <c r="I695" s="327">
        <f t="shared" si="894"/>
        <v>0</v>
      </c>
      <c r="J695" s="351" t="str">
        <f>IFERROR(G695/#REF!,"-")</f>
        <v>-</v>
      </c>
      <c r="K695" s="326">
        <f t="shared" ref="K695" si="895">SUM(K692:K694)</f>
        <v>0</v>
      </c>
      <c r="L695" s="327">
        <f>SUM(L692:L694)</f>
        <v>0</v>
      </c>
      <c r="M695" s="328">
        <f t="shared" ref="M695" si="896">SUM(M692:M694)</f>
        <v>0</v>
      </c>
      <c r="N695" s="345" t="str">
        <f t="shared" si="881"/>
        <v>-</v>
      </c>
      <c r="O695" s="351" t="str">
        <f t="shared" si="829"/>
        <v>-</v>
      </c>
    </row>
    <row r="696" spans="1:15" ht="23.4" x14ac:dyDescent="0.3">
      <c r="A696" s="277" t="s">
        <v>109</v>
      </c>
      <c r="B696" s="929"/>
      <c r="C696" s="303" t="s">
        <v>352</v>
      </c>
      <c r="D696" s="303"/>
      <c r="E696" s="273">
        <v>0</v>
      </c>
      <c r="F696" s="274"/>
      <c r="G696" s="338">
        <f t="shared" ref="G696:G698" si="897">+H696+I696</f>
        <v>0</v>
      </c>
      <c r="H696" s="275">
        <v>0</v>
      </c>
      <c r="I696" s="275">
        <v>0</v>
      </c>
      <c r="J696" s="357" t="str">
        <f>IFERROR(G696/#REF!,"-")</f>
        <v>-</v>
      </c>
      <c r="K696" s="338">
        <f t="shared" ref="K696:K698" si="898">+L696+M696</f>
        <v>0</v>
      </c>
      <c r="L696" s="275">
        <f t="shared" ref="L696:L698" si="899">+H696+L593</f>
        <v>0</v>
      </c>
      <c r="M696" s="276">
        <f t="shared" ref="M696:M698" si="900">+I696+M593</f>
        <v>0</v>
      </c>
      <c r="N696" s="342" t="str">
        <f t="shared" si="881"/>
        <v>-</v>
      </c>
      <c r="O696" s="352" t="str">
        <f t="shared" si="829"/>
        <v>-</v>
      </c>
    </row>
    <row r="697" spans="1:15" ht="23.4" x14ac:dyDescent="0.3">
      <c r="A697" s="277" t="s">
        <v>109</v>
      </c>
      <c r="B697" s="929"/>
      <c r="C697" s="309" t="s">
        <v>397</v>
      </c>
      <c r="D697" s="309" t="s">
        <v>259</v>
      </c>
      <c r="E697" s="279">
        <v>0</v>
      </c>
      <c r="F697" s="280"/>
      <c r="G697" s="339">
        <f t="shared" si="897"/>
        <v>24826</v>
      </c>
      <c r="H697" s="281">
        <v>24336</v>
      </c>
      <c r="I697" s="281">
        <v>490</v>
      </c>
      <c r="J697" s="358" t="str">
        <f>IFERROR(G697/#REF!,"-")</f>
        <v>-</v>
      </c>
      <c r="K697" s="339">
        <f t="shared" si="898"/>
        <v>319684</v>
      </c>
      <c r="L697" s="281">
        <f t="shared" si="899"/>
        <v>314496</v>
      </c>
      <c r="M697" s="251">
        <f t="shared" si="900"/>
        <v>5188</v>
      </c>
      <c r="N697" s="343" t="str">
        <f t="shared" si="881"/>
        <v>-</v>
      </c>
      <c r="O697" s="264">
        <f t="shared" si="829"/>
        <v>1.6228525669098236E-2</v>
      </c>
    </row>
    <row r="698" spans="1:15" ht="24" thickBot="1" x14ac:dyDescent="0.35">
      <c r="A698" s="277" t="s">
        <v>109</v>
      </c>
      <c r="B698" s="929"/>
      <c r="C698" s="306" t="s">
        <v>146</v>
      </c>
      <c r="D698" s="306"/>
      <c r="E698" s="283">
        <v>0</v>
      </c>
      <c r="F698" s="284"/>
      <c r="G698" s="340">
        <f t="shared" si="897"/>
        <v>0</v>
      </c>
      <c r="H698" s="285">
        <v>0</v>
      </c>
      <c r="I698" s="285">
        <v>0</v>
      </c>
      <c r="J698" s="359" t="str">
        <f>IFERROR(G698/#REF!,"-")</f>
        <v>-</v>
      </c>
      <c r="K698" s="340">
        <f t="shared" si="898"/>
        <v>0</v>
      </c>
      <c r="L698" s="285">
        <f t="shared" si="899"/>
        <v>0</v>
      </c>
      <c r="M698" s="286">
        <f t="shared" si="900"/>
        <v>0</v>
      </c>
      <c r="N698" s="344" t="str">
        <f t="shared" si="881"/>
        <v>-</v>
      </c>
      <c r="O698" s="353" t="str">
        <f t="shared" si="829"/>
        <v>-</v>
      </c>
    </row>
    <row r="699" spans="1:15" ht="24" thickBot="1" x14ac:dyDescent="0.35">
      <c r="A699" s="277" t="s">
        <v>109</v>
      </c>
      <c r="B699" s="929"/>
      <c r="C699" s="310"/>
      <c r="D699" s="311" t="s">
        <v>54</v>
      </c>
      <c r="E699" s="312">
        <v>0</v>
      </c>
      <c r="F699" s="313"/>
      <c r="G699" s="372">
        <f>SUM(G696:G698)</f>
        <v>24826</v>
      </c>
      <c r="H699" s="371">
        <f t="shared" ref="H699:I699" si="901">SUM(H696:H698)</f>
        <v>24336</v>
      </c>
      <c r="I699" s="371">
        <f t="shared" si="901"/>
        <v>490</v>
      </c>
      <c r="J699" s="362" t="str">
        <f>IFERROR(G699/#REF!,"-")</f>
        <v>-</v>
      </c>
      <c r="K699" s="372">
        <f t="shared" ref="K699:M699" si="902">SUM(K696:K698)</f>
        <v>319684</v>
      </c>
      <c r="L699" s="371">
        <f t="shared" si="902"/>
        <v>314496</v>
      </c>
      <c r="M699" s="373">
        <f t="shared" si="902"/>
        <v>5188</v>
      </c>
      <c r="N699" s="361" t="str">
        <f t="shared" si="881"/>
        <v>-</v>
      </c>
      <c r="O699" s="362">
        <f t="shared" si="829"/>
        <v>1.6228525669098236E-2</v>
      </c>
    </row>
    <row r="700" spans="1:15" ht="24" thickBot="1" x14ac:dyDescent="0.35">
      <c r="A700" s="277" t="s">
        <v>109</v>
      </c>
      <c r="B700" s="932" t="s">
        <v>172</v>
      </c>
      <c r="C700" s="933"/>
      <c r="D700" s="934"/>
      <c r="E700" s="314">
        <v>649600</v>
      </c>
      <c r="F700" s="315">
        <v>50000</v>
      </c>
      <c r="G700" s="375">
        <f>+G695+G699</f>
        <v>24826</v>
      </c>
      <c r="H700" s="374">
        <f t="shared" ref="H700:I700" si="903">+H695+H699</f>
        <v>24336</v>
      </c>
      <c r="I700" s="374">
        <f t="shared" si="903"/>
        <v>490</v>
      </c>
      <c r="J700" s="364" t="str">
        <f>IFERROR(G700/#REF!,"-")</f>
        <v>-</v>
      </c>
      <c r="K700" s="375">
        <f t="shared" ref="K700:M700" si="904">+K695+K699</f>
        <v>319684</v>
      </c>
      <c r="L700" s="374">
        <f t="shared" si="904"/>
        <v>314496</v>
      </c>
      <c r="M700" s="376">
        <f t="shared" si="904"/>
        <v>5188</v>
      </c>
      <c r="N700" s="363">
        <f t="shared" si="881"/>
        <v>0.49212438423645322</v>
      </c>
      <c r="O700" s="364">
        <f t="shared" ref="O700:O702" si="905">IFERROR(M700/K700,"-")</f>
        <v>1.6228525669098236E-2</v>
      </c>
    </row>
    <row r="701" spans="1:15" ht="24" thickBot="1" x14ac:dyDescent="0.35">
      <c r="A701" s="277" t="s">
        <v>109</v>
      </c>
      <c r="B701" s="616" t="s">
        <v>32</v>
      </c>
      <c r="C701" s="714"/>
      <c r="D701" s="316" t="s">
        <v>32</v>
      </c>
      <c r="E701" s="293">
        <v>0</v>
      </c>
      <c r="F701" s="294">
        <v>110000</v>
      </c>
      <c r="G701" s="341">
        <f t="shared" ref="G701" si="906">+H701+I701</f>
        <v>0</v>
      </c>
      <c r="H701" s="295">
        <v>0</v>
      </c>
      <c r="I701" s="295">
        <v>0</v>
      </c>
      <c r="J701" s="360" t="str">
        <f>IFERROR(G701/#REF!,"-")</f>
        <v>-</v>
      </c>
      <c r="K701" s="341">
        <f>+L701+M701</f>
        <v>0</v>
      </c>
      <c r="L701" s="295">
        <f>+H701+L598</f>
        <v>0</v>
      </c>
      <c r="M701" s="296">
        <f>+I701+M598</f>
        <v>0</v>
      </c>
      <c r="N701" s="346" t="str">
        <f t="shared" si="881"/>
        <v>-</v>
      </c>
      <c r="O701" s="354" t="str">
        <f t="shared" si="905"/>
        <v>-</v>
      </c>
    </row>
    <row r="702" spans="1:15" ht="24" thickBot="1" x14ac:dyDescent="0.35">
      <c r="A702" s="277" t="s">
        <v>109</v>
      </c>
      <c r="B702" s="926" t="s">
        <v>21</v>
      </c>
      <c r="C702" s="927"/>
      <c r="D702" s="928"/>
      <c r="E702" s="332">
        <f>+E691+E700+E701</f>
        <v>2816600</v>
      </c>
      <c r="F702" s="333">
        <f t="shared" ref="F702" si="907">+F691+F700+F701</f>
        <v>240000</v>
      </c>
      <c r="G702" s="332">
        <f>+G691+G700+G701</f>
        <v>141220</v>
      </c>
      <c r="H702" s="330">
        <f t="shared" ref="H702:I702" si="908">+H691+H700+H701</f>
        <v>139698</v>
      </c>
      <c r="I702" s="330">
        <f t="shared" si="908"/>
        <v>1522</v>
      </c>
      <c r="J702" s="355" t="str">
        <f>IFERROR(G702/#REF!,"-")</f>
        <v>-</v>
      </c>
      <c r="K702" s="332">
        <f>+K691+K700+K701</f>
        <v>907142</v>
      </c>
      <c r="L702" s="330">
        <f>+L691+L700+L701</f>
        <v>895284</v>
      </c>
      <c r="M702" s="331">
        <f t="shared" ref="M702" si="909">+M691+M700+M701</f>
        <v>11858</v>
      </c>
      <c r="N702" s="347">
        <f t="shared" si="881"/>
        <v>0.32206987147624794</v>
      </c>
      <c r="O702" s="355">
        <f t="shared" si="905"/>
        <v>1.3071823374951221E-2</v>
      </c>
    </row>
    <row r="703" spans="1:15" ht="24" thickBot="1" x14ac:dyDescent="0.35">
      <c r="A703" s="277" t="s">
        <v>109</v>
      </c>
      <c r="B703" s="900" t="s">
        <v>180</v>
      </c>
      <c r="C703" s="901"/>
      <c r="D703" s="902"/>
      <c r="E703" s="336">
        <f>+E702</f>
        <v>2816600</v>
      </c>
      <c r="F703" s="337">
        <f t="shared" ref="F703:I703" si="910">+F702</f>
        <v>240000</v>
      </c>
      <c r="G703" s="336">
        <f t="shared" si="910"/>
        <v>141220</v>
      </c>
      <c r="H703" s="334">
        <f t="shared" si="910"/>
        <v>139698</v>
      </c>
      <c r="I703" s="334">
        <f t="shared" si="910"/>
        <v>1522</v>
      </c>
      <c r="J703" s="356" t="str">
        <f>+J702</f>
        <v>-</v>
      </c>
      <c r="K703" s="336">
        <f>+K702</f>
        <v>907142</v>
      </c>
      <c r="L703" s="334">
        <f t="shared" ref="L703" si="911">+L702</f>
        <v>895284</v>
      </c>
      <c r="M703" s="335">
        <f>+M702</f>
        <v>11858</v>
      </c>
      <c r="N703" s="348">
        <f t="shared" ref="N703:O703" si="912">+N702</f>
        <v>0.32206987147624794</v>
      </c>
      <c r="O703" s="356">
        <f t="shared" si="912"/>
        <v>1.3071823374951221E-2</v>
      </c>
    </row>
    <row r="704" spans="1:15" ht="23.4" x14ac:dyDescent="0.3">
      <c r="A704" s="271" t="s">
        <v>110</v>
      </c>
      <c r="B704" s="903" t="s">
        <v>33</v>
      </c>
      <c r="C704" s="317" t="s">
        <v>121</v>
      </c>
      <c r="D704" s="317"/>
      <c r="E704" s="273">
        <v>0</v>
      </c>
      <c r="F704" s="274"/>
      <c r="G704" s="338">
        <f t="shared" ref="G704:G706" si="913">+H704+I704</f>
        <v>0</v>
      </c>
      <c r="H704" s="275">
        <v>0</v>
      </c>
      <c r="I704" s="275">
        <v>0</v>
      </c>
      <c r="J704" s="357" t="str">
        <f>IFERROR(G704/#REF!,"-")</f>
        <v>-</v>
      </c>
      <c r="K704" s="338">
        <f t="shared" ref="K704:K706" si="914">+L704+M704</f>
        <v>0</v>
      </c>
      <c r="L704" s="275">
        <f t="shared" ref="L704:L706" si="915">+H704+L601</f>
        <v>0</v>
      </c>
      <c r="M704" s="276">
        <f t="shared" ref="M704:M706" si="916">+I704+M601</f>
        <v>0</v>
      </c>
      <c r="N704" s="342" t="str">
        <f t="shared" ref="N704:N729" si="917">IFERROR(K704/E704,"-")</f>
        <v>-</v>
      </c>
      <c r="O704" s="352" t="str">
        <f t="shared" ref="O704:O729" si="918">IFERROR(M704/K704,"-")</f>
        <v>-</v>
      </c>
    </row>
    <row r="705" spans="1:15" ht="23.4" x14ac:dyDescent="0.3">
      <c r="A705" s="277" t="s">
        <v>110</v>
      </c>
      <c r="B705" s="904"/>
      <c r="C705" s="318" t="s">
        <v>274</v>
      </c>
      <c r="D705" s="318"/>
      <c r="E705" s="279">
        <v>0</v>
      </c>
      <c r="F705" s="280"/>
      <c r="G705" s="339">
        <f t="shared" si="913"/>
        <v>2400</v>
      </c>
      <c r="H705" s="281">
        <v>2300</v>
      </c>
      <c r="I705" s="281">
        <v>100</v>
      </c>
      <c r="J705" s="358" t="str">
        <f>IFERROR(G705/#REF!,"-")</f>
        <v>-</v>
      </c>
      <c r="K705" s="339">
        <f t="shared" si="914"/>
        <v>6767</v>
      </c>
      <c r="L705" s="281">
        <f t="shared" si="915"/>
        <v>5860</v>
      </c>
      <c r="M705" s="251">
        <f t="shared" si="916"/>
        <v>907</v>
      </c>
      <c r="N705" s="343" t="str">
        <f t="shared" si="917"/>
        <v>-</v>
      </c>
      <c r="O705" s="264">
        <f t="shared" si="918"/>
        <v>0.13403280626570119</v>
      </c>
    </row>
    <row r="706" spans="1:15" ht="24" thickBot="1" x14ac:dyDescent="0.35">
      <c r="A706" s="277" t="s">
        <v>110</v>
      </c>
      <c r="B706" s="905"/>
      <c r="C706" s="319" t="s">
        <v>34</v>
      </c>
      <c r="D706" s="319"/>
      <c r="E706" s="283">
        <v>0</v>
      </c>
      <c r="F706" s="284"/>
      <c r="G706" s="340">
        <f t="shared" si="913"/>
        <v>0</v>
      </c>
      <c r="H706" s="285">
        <v>0</v>
      </c>
      <c r="I706" s="285">
        <v>0</v>
      </c>
      <c r="J706" s="359" t="str">
        <f>IFERROR(G706/#REF!,"-")</f>
        <v>-</v>
      </c>
      <c r="K706" s="340">
        <f t="shared" si="914"/>
        <v>0</v>
      </c>
      <c r="L706" s="285">
        <f t="shared" si="915"/>
        <v>0</v>
      </c>
      <c r="M706" s="286">
        <f t="shared" si="916"/>
        <v>0</v>
      </c>
      <c r="N706" s="344" t="str">
        <f t="shared" si="917"/>
        <v>-</v>
      </c>
      <c r="O706" s="353" t="str">
        <f t="shared" si="918"/>
        <v>-</v>
      </c>
    </row>
    <row r="707" spans="1:15" ht="24" thickBot="1" x14ac:dyDescent="0.35">
      <c r="A707" s="277" t="s">
        <v>110</v>
      </c>
      <c r="B707" s="906" t="s">
        <v>35</v>
      </c>
      <c r="C707" s="907"/>
      <c r="D707" s="908"/>
      <c r="E707" s="288">
        <v>83700</v>
      </c>
      <c r="F707" s="289"/>
      <c r="G707" s="326">
        <f>SUM(G704:G706)</f>
        <v>2400</v>
      </c>
      <c r="H707" s="327">
        <f t="shared" ref="H707:I707" si="919">SUM(H704:H706)</f>
        <v>2300</v>
      </c>
      <c r="I707" s="327">
        <f t="shared" si="919"/>
        <v>100</v>
      </c>
      <c r="J707" s="351" t="str">
        <f>IFERROR(G707/#REF!,"-")</f>
        <v>-</v>
      </c>
      <c r="K707" s="326">
        <f t="shared" ref="K707:M707" si="920">SUM(K704:K706)</f>
        <v>6767</v>
      </c>
      <c r="L707" s="327">
        <f t="shared" si="920"/>
        <v>5860</v>
      </c>
      <c r="M707" s="328">
        <f t="shared" si="920"/>
        <v>907</v>
      </c>
      <c r="N707" s="345">
        <f t="shared" si="917"/>
        <v>8.0848267622461167E-2</v>
      </c>
      <c r="O707" s="351">
        <f t="shared" si="918"/>
        <v>0.13403280626570119</v>
      </c>
    </row>
    <row r="708" spans="1:15" ht="23.4" x14ac:dyDescent="0.3">
      <c r="A708" s="277" t="s">
        <v>110</v>
      </c>
      <c r="B708" s="903" t="s">
        <v>36</v>
      </c>
      <c r="C708" s="317" t="s">
        <v>121</v>
      </c>
      <c r="D708" s="317"/>
      <c r="E708" s="273">
        <v>0</v>
      </c>
      <c r="F708" s="274"/>
      <c r="G708" s="338">
        <f t="shared" ref="G708:G711" si="921">+H708+I708</f>
        <v>0</v>
      </c>
      <c r="H708" s="275">
        <v>0</v>
      </c>
      <c r="I708" s="275">
        <v>0</v>
      </c>
      <c r="J708" s="357" t="str">
        <f>IFERROR(G708/#REF!,"-")</f>
        <v>-</v>
      </c>
      <c r="K708" s="338">
        <f t="shared" ref="K708:K711" si="922">+L708+M708</f>
        <v>0</v>
      </c>
      <c r="L708" s="275">
        <f t="shared" ref="L708:L711" si="923">+H708+L605</f>
        <v>0</v>
      </c>
      <c r="M708" s="276">
        <f t="shared" ref="M708:M711" si="924">+I708+M605</f>
        <v>0</v>
      </c>
      <c r="N708" s="342" t="str">
        <f t="shared" si="917"/>
        <v>-</v>
      </c>
      <c r="O708" s="352" t="str">
        <f t="shared" si="918"/>
        <v>-</v>
      </c>
    </row>
    <row r="709" spans="1:15" ht="23.4" x14ac:dyDescent="0.3">
      <c r="A709" s="277" t="s">
        <v>110</v>
      </c>
      <c r="B709" s="904"/>
      <c r="C709" s="318" t="s">
        <v>274</v>
      </c>
      <c r="D709" s="318"/>
      <c r="E709" s="279">
        <v>0</v>
      </c>
      <c r="F709" s="280"/>
      <c r="G709" s="339">
        <f t="shared" si="921"/>
        <v>5244</v>
      </c>
      <c r="H709" s="281">
        <v>5120</v>
      </c>
      <c r="I709" s="281">
        <v>124</v>
      </c>
      <c r="J709" s="358" t="str">
        <f>IFERROR(G709/#REF!,"-")</f>
        <v>-</v>
      </c>
      <c r="K709" s="339">
        <f t="shared" si="922"/>
        <v>5244</v>
      </c>
      <c r="L709" s="281">
        <f t="shared" si="923"/>
        <v>5120</v>
      </c>
      <c r="M709" s="251">
        <f t="shared" si="924"/>
        <v>124</v>
      </c>
      <c r="N709" s="343" t="str">
        <f t="shared" si="917"/>
        <v>-</v>
      </c>
      <c r="O709" s="264">
        <f t="shared" si="918"/>
        <v>2.364607170099161E-2</v>
      </c>
    </row>
    <row r="710" spans="1:15" ht="23.4" x14ac:dyDescent="0.3">
      <c r="A710" s="277" t="s">
        <v>110</v>
      </c>
      <c r="B710" s="904"/>
      <c r="C710" s="318" t="s">
        <v>201</v>
      </c>
      <c r="D710" s="318"/>
      <c r="E710" s="279">
        <v>0</v>
      </c>
      <c r="F710" s="280"/>
      <c r="G710" s="339">
        <f t="shared" si="921"/>
        <v>0</v>
      </c>
      <c r="H710" s="281">
        <v>0</v>
      </c>
      <c r="I710" s="281">
        <v>0</v>
      </c>
      <c r="J710" s="358" t="str">
        <f>IFERROR(G710/#REF!,"-")</f>
        <v>-</v>
      </c>
      <c r="K710" s="339">
        <f t="shared" si="922"/>
        <v>0</v>
      </c>
      <c r="L710" s="281">
        <f t="shared" si="923"/>
        <v>0</v>
      </c>
      <c r="M710" s="251">
        <f t="shared" si="924"/>
        <v>0</v>
      </c>
      <c r="N710" s="343" t="str">
        <f t="shared" si="917"/>
        <v>-</v>
      </c>
      <c r="O710" s="264" t="str">
        <f t="shared" si="918"/>
        <v>-</v>
      </c>
    </row>
    <row r="711" spans="1:15" ht="24" thickBot="1" x14ac:dyDescent="0.35">
      <c r="A711" s="277" t="s">
        <v>110</v>
      </c>
      <c r="B711" s="905"/>
      <c r="C711" s="319" t="s">
        <v>37</v>
      </c>
      <c r="D711" s="319"/>
      <c r="E711" s="283">
        <v>0</v>
      </c>
      <c r="F711" s="284"/>
      <c r="G711" s="340">
        <f t="shared" si="921"/>
        <v>0</v>
      </c>
      <c r="H711" s="285">
        <v>0</v>
      </c>
      <c r="I711" s="285">
        <v>0</v>
      </c>
      <c r="J711" s="359" t="str">
        <f>IFERROR(G711/#REF!,"-")</f>
        <v>-</v>
      </c>
      <c r="K711" s="340">
        <f t="shared" si="922"/>
        <v>0</v>
      </c>
      <c r="L711" s="285">
        <f t="shared" si="923"/>
        <v>0</v>
      </c>
      <c r="M711" s="286">
        <f t="shared" si="924"/>
        <v>0</v>
      </c>
      <c r="N711" s="344" t="str">
        <f t="shared" si="917"/>
        <v>-</v>
      </c>
      <c r="O711" s="353" t="str">
        <f t="shared" si="918"/>
        <v>-</v>
      </c>
    </row>
    <row r="712" spans="1:15" ht="24" thickBot="1" x14ac:dyDescent="0.35">
      <c r="A712" s="277" t="s">
        <v>110</v>
      </c>
      <c r="B712" s="906" t="s">
        <v>38</v>
      </c>
      <c r="C712" s="907"/>
      <c r="D712" s="908"/>
      <c r="E712" s="288">
        <v>10300</v>
      </c>
      <c r="F712" s="289">
        <v>6500</v>
      </c>
      <c r="G712" s="326">
        <f>SUM(G708:G711)</f>
        <v>5244</v>
      </c>
      <c r="H712" s="327">
        <f t="shared" ref="H712:I712" si="925">SUM(H708:H711)</f>
        <v>5120</v>
      </c>
      <c r="I712" s="327">
        <f t="shared" si="925"/>
        <v>124</v>
      </c>
      <c r="J712" s="351" t="str">
        <f>IFERROR(G712/#REF!,"-")</f>
        <v>-</v>
      </c>
      <c r="K712" s="326">
        <f t="shared" ref="K712:M712" si="926">SUM(K708:K711)</f>
        <v>5244</v>
      </c>
      <c r="L712" s="327">
        <f t="shared" si="926"/>
        <v>5120</v>
      </c>
      <c r="M712" s="328">
        <f t="shared" si="926"/>
        <v>124</v>
      </c>
      <c r="N712" s="345">
        <f t="shared" si="917"/>
        <v>0.50912621359223298</v>
      </c>
      <c r="O712" s="351">
        <f t="shared" si="918"/>
        <v>2.364607170099161E-2</v>
      </c>
    </row>
    <row r="713" spans="1:15" ht="23.4" x14ac:dyDescent="0.3">
      <c r="A713" s="277" t="s">
        <v>110</v>
      </c>
      <c r="B713" s="903" t="s">
        <v>39</v>
      </c>
      <c r="C713" s="320" t="s">
        <v>124</v>
      </c>
      <c r="D713" s="320"/>
      <c r="E713" s="273">
        <v>0</v>
      </c>
      <c r="F713" s="274"/>
      <c r="G713" s="338">
        <f t="shared" ref="G713:G714" si="927">+H713+I713</f>
        <v>0</v>
      </c>
      <c r="H713" s="275">
        <v>0</v>
      </c>
      <c r="I713" s="275">
        <v>0</v>
      </c>
      <c r="J713" s="357" t="str">
        <f>IFERROR(G713/#REF!,"-")</f>
        <v>-</v>
      </c>
      <c r="K713" s="338">
        <f t="shared" ref="K713:K714" si="928">+L713+M713</f>
        <v>0</v>
      </c>
      <c r="L713" s="275">
        <f t="shared" ref="L713:L714" si="929">+H713+L610</f>
        <v>0</v>
      </c>
      <c r="M713" s="276">
        <f t="shared" ref="M713:M714" si="930">+I713+M610</f>
        <v>0</v>
      </c>
      <c r="N713" s="342" t="str">
        <f t="shared" si="917"/>
        <v>-</v>
      </c>
      <c r="O713" s="352" t="str">
        <f t="shared" si="918"/>
        <v>-</v>
      </c>
    </row>
    <row r="714" spans="1:15" ht="24" thickBot="1" x14ac:dyDescent="0.35">
      <c r="A714" s="277" t="s">
        <v>110</v>
      </c>
      <c r="B714" s="905"/>
      <c r="C714" s="290" t="s">
        <v>140</v>
      </c>
      <c r="D714" s="290"/>
      <c r="E714" s="283">
        <v>0</v>
      </c>
      <c r="F714" s="284"/>
      <c r="G714" s="340">
        <f t="shared" si="927"/>
        <v>0</v>
      </c>
      <c r="H714" s="285">
        <v>0</v>
      </c>
      <c r="I714" s="285">
        <v>0</v>
      </c>
      <c r="J714" s="359" t="str">
        <f>IFERROR(G714/#REF!,"-")</f>
        <v>-</v>
      </c>
      <c r="K714" s="340">
        <f t="shared" si="928"/>
        <v>0</v>
      </c>
      <c r="L714" s="285">
        <f t="shared" si="929"/>
        <v>0</v>
      </c>
      <c r="M714" s="286">
        <f t="shared" si="930"/>
        <v>0</v>
      </c>
      <c r="N714" s="344" t="str">
        <f t="shared" si="917"/>
        <v>-</v>
      </c>
      <c r="O714" s="353" t="str">
        <f t="shared" si="918"/>
        <v>-</v>
      </c>
    </row>
    <row r="715" spans="1:15" ht="24" thickBot="1" x14ac:dyDescent="0.35">
      <c r="A715" s="717" t="s">
        <v>110</v>
      </c>
      <c r="B715" s="906" t="s">
        <v>40</v>
      </c>
      <c r="C715" s="907"/>
      <c r="D715" s="908"/>
      <c r="E715" s="288">
        <v>30000</v>
      </c>
      <c r="F715" s="289">
        <v>2800</v>
      </c>
      <c r="G715" s="326">
        <f>SUM(G713:G714)</f>
        <v>0</v>
      </c>
      <c r="H715" s="327">
        <f t="shared" ref="H715:I715" si="931">SUM(H713:H714)</f>
        <v>0</v>
      </c>
      <c r="I715" s="327">
        <f t="shared" si="931"/>
        <v>0</v>
      </c>
      <c r="J715" s="351" t="str">
        <f>IFERROR(G715/#REF!,"-")</f>
        <v>-</v>
      </c>
      <c r="K715" s="326">
        <f t="shared" ref="K715:M715" si="932">SUM(K713:K714)</f>
        <v>0</v>
      </c>
      <c r="L715" s="327">
        <f t="shared" si="932"/>
        <v>0</v>
      </c>
      <c r="M715" s="328">
        <f t="shared" si="932"/>
        <v>0</v>
      </c>
      <c r="N715" s="345">
        <f t="shared" si="917"/>
        <v>0</v>
      </c>
      <c r="O715" s="351" t="str">
        <f t="shared" si="918"/>
        <v>-</v>
      </c>
    </row>
    <row r="716" spans="1:15" ht="23.4" x14ac:dyDescent="0.3">
      <c r="A716" s="277" t="s">
        <v>110</v>
      </c>
      <c r="B716" s="903" t="s">
        <v>41</v>
      </c>
      <c r="C716" s="272" t="s">
        <v>346</v>
      </c>
      <c r="D716" s="272"/>
      <c r="E716" s="273">
        <v>0</v>
      </c>
      <c r="F716" s="321"/>
      <c r="G716" s="338">
        <f t="shared" ref="G716:G720" si="933">+H716+I716</f>
        <v>28775</v>
      </c>
      <c r="H716" s="275">
        <v>28524</v>
      </c>
      <c r="I716" s="275">
        <v>251</v>
      </c>
      <c r="J716" s="377" t="str">
        <f>IFERROR(G716/#REF!,"-")</f>
        <v>-</v>
      </c>
      <c r="K716" s="338">
        <f t="shared" ref="K716:K720" si="934">+L716+M716</f>
        <v>87781</v>
      </c>
      <c r="L716" s="275">
        <f t="shared" ref="L716:L720" si="935">+H716+L613</f>
        <v>86916</v>
      </c>
      <c r="M716" s="276">
        <f t="shared" ref="M716:M720" si="936">+I716+M613</f>
        <v>865</v>
      </c>
      <c r="N716" s="365" t="str">
        <f t="shared" si="917"/>
        <v>-</v>
      </c>
      <c r="O716" s="366">
        <f t="shared" si="918"/>
        <v>9.854068648112918E-3</v>
      </c>
    </row>
    <row r="717" spans="1:15" ht="23.4" x14ac:dyDescent="0.3">
      <c r="A717" s="277" t="s">
        <v>110</v>
      </c>
      <c r="B717" s="904"/>
      <c r="C717" s="272" t="s">
        <v>347</v>
      </c>
      <c r="D717" s="278"/>
      <c r="E717" s="279">
        <v>0</v>
      </c>
      <c r="F717" s="322"/>
      <c r="G717" s="339">
        <f t="shared" si="933"/>
        <v>0</v>
      </c>
      <c r="H717" s="281">
        <v>0</v>
      </c>
      <c r="I717" s="281">
        <v>0</v>
      </c>
      <c r="J717" s="378" t="str">
        <f>IFERROR(G717/#REF!,"-")</f>
        <v>-</v>
      </c>
      <c r="K717" s="339">
        <f t="shared" si="934"/>
        <v>0</v>
      </c>
      <c r="L717" s="281">
        <f t="shared" si="935"/>
        <v>0</v>
      </c>
      <c r="M717" s="251">
        <f t="shared" si="936"/>
        <v>0</v>
      </c>
      <c r="N717" s="367" t="str">
        <f t="shared" si="917"/>
        <v>-</v>
      </c>
      <c r="O717" s="368" t="str">
        <f t="shared" si="918"/>
        <v>-</v>
      </c>
    </row>
    <row r="718" spans="1:15" ht="23.4" x14ac:dyDescent="0.3">
      <c r="A718" s="277" t="s">
        <v>110</v>
      </c>
      <c r="B718" s="904"/>
      <c r="C718" s="278" t="s">
        <v>423</v>
      </c>
      <c r="D718" s="278"/>
      <c r="E718" s="279">
        <v>0</v>
      </c>
      <c r="F718" s="322"/>
      <c r="G718" s="339">
        <f t="shared" si="933"/>
        <v>0</v>
      </c>
      <c r="H718" s="281">
        <v>0</v>
      </c>
      <c r="I718" s="281">
        <v>0</v>
      </c>
      <c r="J718" s="378" t="str">
        <f>IFERROR(G718/#REF!,"-")</f>
        <v>-</v>
      </c>
      <c r="K718" s="339">
        <f t="shared" si="934"/>
        <v>34536</v>
      </c>
      <c r="L718" s="281">
        <f t="shared" si="935"/>
        <v>33960</v>
      </c>
      <c r="M718" s="251">
        <f t="shared" si="936"/>
        <v>576</v>
      </c>
      <c r="N718" s="367" t="str">
        <f t="shared" si="917"/>
        <v>-</v>
      </c>
      <c r="O718" s="368">
        <f t="shared" si="918"/>
        <v>1.6678248783877692E-2</v>
      </c>
    </row>
    <row r="719" spans="1:15" ht="23.4" x14ac:dyDescent="0.3">
      <c r="A719" s="277" t="s">
        <v>110</v>
      </c>
      <c r="B719" s="904"/>
      <c r="C719" s="278" t="s">
        <v>166</v>
      </c>
      <c r="D719" s="278"/>
      <c r="E719" s="279">
        <v>0</v>
      </c>
      <c r="F719" s="322"/>
      <c r="G719" s="339">
        <f t="shared" si="933"/>
        <v>0</v>
      </c>
      <c r="H719" s="281">
        <v>0</v>
      </c>
      <c r="I719" s="281">
        <v>0</v>
      </c>
      <c r="J719" s="378" t="str">
        <f>IFERROR(G719/#REF!,"-")</f>
        <v>-</v>
      </c>
      <c r="K719" s="339">
        <f t="shared" si="934"/>
        <v>0</v>
      </c>
      <c r="L719" s="281">
        <f t="shared" si="935"/>
        <v>0</v>
      </c>
      <c r="M719" s="251">
        <f t="shared" si="936"/>
        <v>0</v>
      </c>
      <c r="N719" s="367" t="str">
        <f t="shared" si="917"/>
        <v>-</v>
      </c>
      <c r="O719" s="368" t="str">
        <f t="shared" si="918"/>
        <v>-</v>
      </c>
    </row>
    <row r="720" spans="1:15" ht="24" thickBot="1" x14ac:dyDescent="0.35">
      <c r="A720" s="277" t="s">
        <v>110</v>
      </c>
      <c r="B720" s="905"/>
      <c r="C720" s="282" t="s">
        <v>167</v>
      </c>
      <c r="D720" s="282"/>
      <c r="E720" s="283">
        <v>0</v>
      </c>
      <c r="F720" s="323"/>
      <c r="G720" s="340">
        <f t="shared" si="933"/>
        <v>0</v>
      </c>
      <c r="H720" s="285">
        <v>0</v>
      </c>
      <c r="I720" s="285">
        <v>0</v>
      </c>
      <c r="J720" s="379" t="str">
        <f>IFERROR(G720/#REF!,"-")</f>
        <v>-</v>
      </c>
      <c r="K720" s="340">
        <f t="shared" si="934"/>
        <v>0</v>
      </c>
      <c r="L720" s="285">
        <f t="shared" si="935"/>
        <v>0</v>
      </c>
      <c r="M720" s="286">
        <f t="shared" si="936"/>
        <v>0</v>
      </c>
      <c r="N720" s="369" t="str">
        <f t="shared" si="917"/>
        <v>-</v>
      </c>
      <c r="O720" s="370" t="str">
        <f t="shared" si="918"/>
        <v>-</v>
      </c>
    </row>
    <row r="721" spans="1:15" ht="24" thickBot="1" x14ac:dyDescent="0.35">
      <c r="A721" s="277" t="s">
        <v>110</v>
      </c>
      <c r="B721" s="906" t="s">
        <v>42</v>
      </c>
      <c r="C721" s="907"/>
      <c r="D721" s="908"/>
      <c r="E721" s="326">
        <v>610600</v>
      </c>
      <c r="F721" s="289">
        <v>25000</v>
      </c>
      <c r="G721" s="326">
        <f>SUM(G717:G720)</f>
        <v>0</v>
      </c>
      <c r="H721" s="327">
        <f t="shared" ref="H721:I721" si="937">SUM(H717:H720)</f>
        <v>0</v>
      </c>
      <c r="I721" s="327">
        <f t="shared" si="937"/>
        <v>0</v>
      </c>
      <c r="J721" s="351" t="str">
        <f>IFERROR(G721/#REF!,"-")</f>
        <v>-</v>
      </c>
      <c r="K721" s="326">
        <f>SUM(K716:K720)</f>
        <v>122317</v>
      </c>
      <c r="L721" s="327">
        <f>SUM(L716:L720)</f>
        <v>120876</v>
      </c>
      <c r="M721" s="328">
        <f>SUM(M716:M720)</f>
        <v>1441</v>
      </c>
      <c r="N721" s="345">
        <f t="shared" si="917"/>
        <v>0.20032263347527024</v>
      </c>
      <c r="O721" s="351">
        <f t="shared" si="918"/>
        <v>1.1780864475093404E-2</v>
      </c>
    </row>
    <row r="722" spans="1:15" ht="23.4" x14ac:dyDescent="0.3">
      <c r="A722" s="277" t="s">
        <v>110</v>
      </c>
      <c r="B722" s="903" t="s">
        <v>43</v>
      </c>
      <c r="C722" s="272" t="s">
        <v>204</v>
      </c>
      <c r="D722" s="272"/>
      <c r="E722" s="273">
        <v>0</v>
      </c>
      <c r="F722" s="274"/>
      <c r="G722" s="338">
        <f t="shared" ref="G722:G724" si="938">+H722+I722</f>
        <v>0</v>
      </c>
      <c r="H722" s="275">
        <v>0</v>
      </c>
      <c r="I722" s="275">
        <v>0</v>
      </c>
      <c r="J722" s="357" t="str">
        <f>IFERROR(G722/#REF!,"-")</f>
        <v>-</v>
      </c>
      <c r="K722" s="338">
        <f t="shared" ref="K722:K724" si="939">+L722+M722</f>
        <v>0</v>
      </c>
      <c r="L722" s="275">
        <f t="shared" ref="L722:L724" si="940">+H722+L619</f>
        <v>0</v>
      </c>
      <c r="M722" s="276">
        <f t="shared" ref="M722:M724" si="941">+I722+M619</f>
        <v>0</v>
      </c>
      <c r="N722" s="342" t="str">
        <f t="shared" si="917"/>
        <v>-</v>
      </c>
      <c r="O722" s="352" t="str">
        <f t="shared" si="918"/>
        <v>-</v>
      </c>
    </row>
    <row r="723" spans="1:15" ht="23.4" x14ac:dyDescent="0.3">
      <c r="A723" s="277" t="s">
        <v>110</v>
      </c>
      <c r="B723" s="904"/>
      <c r="C723" s="278" t="s">
        <v>168</v>
      </c>
      <c r="D723" s="278"/>
      <c r="E723" s="279">
        <v>0</v>
      </c>
      <c r="F723" s="280"/>
      <c r="G723" s="339">
        <f t="shared" si="938"/>
        <v>0</v>
      </c>
      <c r="H723" s="281">
        <v>0</v>
      </c>
      <c r="I723" s="281">
        <v>0</v>
      </c>
      <c r="J723" s="378" t="str">
        <f>IFERROR(G723/#REF!,"-")</f>
        <v>-</v>
      </c>
      <c r="K723" s="339">
        <f t="shared" si="939"/>
        <v>0</v>
      </c>
      <c r="L723" s="281">
        <f t="shared" si="940"/>
        <v>0</v>
      </c>
      <c r="M723" s="251">
        <f t="shared" si="941"/>
        <v>0</v>
      </c>
      <c r="N723" s="367" t="str">
        <f t="shared" si="917"/>
        <v>-</v>
      </c>
      <c r="O723" s="368" t="str">
        <f t="shared" si="918"/>
        <v>-</v>
      </c>
    </row>
    <row r="724" spans="1:15" ht="24" thickBot="1" x14ac:dyDescent="0.35">
      <c r="A724" s="277" t="s">
        <v>110</v>
      </c>
      <c r="B724" s="905"/>
      <c r="C724" s="282" t="s">
        <v>204</v>
      </c>
      <c r="D724" s="282"/>
      <c r="E724" s="283">
        <v>0</v>
      </c>
      <c r="F724" s="284"/>
      <c r="G724" s="340">
        <f t="shared" si="938"/>
        <v>0</v>
      </c>
      <c r="H724" s="285">
        <v>0</v>
      </c>
      <c r="I724" s="285">
        <v>0</v>
      </c>
      <c r="J724" s="379" t="str">
        <f>IFERROR(G724/#REF!,"-")</f>
        <v>-</v>
      </c>
      <c r="K724" s="340">
        <f t="shared" si="939"/>
        <v>0</v>
      </c>
      <c r="L724" s="285">
        <f t="shared" si="940"/>
        <v>0</v>
      </c>
      <c r="M724" s="286">
        <f t="shared" si="941"/>
        <v>0</v>
      </c>
      <c r="N724" s="369" t="str">
        <f t="shared" si="917"/>
        <v>-</v>
      </c>
      <c r="O724" s="370" t="str">
        <f t="shared" si="918"/>
        <v>-</v>
      </c>
    </row>
    <row r="725" spans="1:15" ht="24" thickBot="1" x14ac:dyDescent="0.35">
      <c r="A725" s="277" t="s">
        <v>110</v>
      </c>
      <c r="B725" s="909" t="s">
        <v>44</v>
      </c>
      <c r="C725" s="910"/>
      <c r="D725" s="911"/>
      <c r="E725" s="326">
        <v>0</v>
      </c>
      <c r="F725" s="289"/>
      <c r="G725" s="326">
        <f>SUM(G722:G724)</f>
        <v>0</v>
      </c>
      <c r="H725" s="327">
        <f t="shared" ref="H725:I725" si="942">SUM(H722:H724)</f>
        <v>0</v>
      </c>
      <c r="I725" s="327">
        <f t="shared" si="942"/>
        <v>0</v>
      </c>
      <c r="J725" s="351" t="str">
        <f>IFERROR(G725/#REF!,"-")</f>
        <v>-</v>
      </c>
      <c r="K725" s="326">
        <f t="shared" ref="K725:M725" si="943">SUM(K722:K724)</f>
        <v>0</v>
      </c>
      <c r="L725" s="327">
        <f t="shared" si="943"/>
        <v>0</v>
      </c>
      <c r="M725" s="328">
        <f t="shared" si="943"/>
        <v>0</v>
      </c>
      <c r="N725" s="345" t="str">
        <f t="shared" si="917"/>
        <v>-</v>
      </c>
      <c r="O725" s="351" t="str">
        <f t="shared" si="918"/>
        <v>-</v>
      </c>
    </row>
    <row r="726" spans="1:15" ht="23.4" x14ac:dyDescent="0.3">
      <c r="A726" s="277" t="s">
        <v>110</v>
      </c>
      <c r="B726" s="903" t="s">
        <v>45</v>
      </c>
      <c r="C726" s="272" t="s">
        <v>169</v>
      </c>
      <c r="D726" s="272"/>
      <c r="E726" s="273">
        <v>0</v>
      </c>
      <c r="F726" s="274"/>
      <c r="G726" s="338">
        <f t="shared" ref="G726:G727" si="944">+H726+I726</f>
        <v>0</v>
      </c>
      <c r="H726" s="275">
        <v>0</v>
      </c>
      <c r="I726" s="275">
        <v>0</v>
      </c>
      <c r="J726" s="377" t="str">
        <f>IFERROR(G726/#REF!,"-")</f>
        <v>-</v>
      </c>
      <c r="K726" s="338">
        <f t="shared" ref="K726:K727" si="945">+L726+M726</f>
        <v>0</v>
      </c>
      <c r="L726" s="275">
        <f t="shared" ref="L726:L727" si="946">+H726+L623</f>
        <v>0</v>
      </c>
      <c r="M726" s="276">
        <f t="shared" ref="M726:M727" si="947">+I726+M623</f>
        <v>0</v>
      </c>
      <c r="N726" s="365" t="str">
        <f t="shared" si="917"/>
        <v>-</v>
      </c>
      <c r="O726" s="366" t="str">
        <f t="shared" si="918"/>
        <v>-</v>
      </c>
    </row>
    <row r="727" spans="1:15" ht="24" thickBot="1" x14ac:dyDescent="0.35">
      <c r="A727" s="277" t="s">
        <v>110</v>
      </c>
      <c r="B727" s="905"/>
      <c r="C727" s="282" t="s">
        <v>170</v>
      </c>
      <c r="D727" s="282"/>
      <c r="E727" s="283">
        <v>0</v>
      </c>
      <c r="F727" s="284"/>
      <c r="G727" s="340">
        <f t="shared" si="944"/>
        <v>0</v>
      </c>
      <c r="H727" s="285">
        <v>0</v>
      </c>
      <c r="I727" s="285">
        <v>0</v>
      </c>
      <c r="J727" s="379" t="str">
        <f>IFERROR(G727/#REF!,"-")</f>
        <v>-</v>
      </c>
      <c r="K727" s="340">
        <f t="shared" si="945"/>
        <v>0</v>
      </c>
      <c r="L727" s="285">
        <f t="shared" si="946"/>
        <v>0</v>
      </c>
      <c r="M727" s="286">
        <f t="shared" si="947"/>
        <v>0</v>
      </c>
      <c r="N727" s="369" t="str">
        <f t="shared" si="917"/>
        <v>-</v>
      </c>
      <c r="O727" s="370" t="str">
        <f t="shared" si="918"/>
        <v>-</v>
      </c>
    </row>
    <row r="728" spans="1:15" ht="24" thickBot="1" x14ac:dyDescent="0.35">
      <c r="A728" s="277" t="s">
        <v>110</v>
      </c>
      <c r="B728" s="909" t="s">
        <v>46</v>
      </c>
      <c r="C728" s="910"/>
      <c r="D728" s="911"/>
      <c r="E728" s="288">
        <v>11100</v>
      </c>
      <c r="F728" s="289">
        <v>25000</v>
      </c>
      <c r="G728" s="326">
        <f>SUM(G726:G727)</f>
        <v>0</v>
      </c>
      <c r="H728" s="327">
        <f t="shared" ref="H728:I728" si="948">SUM(H726:H727)</f>
        <v>0</v>
      </c>
      <c r="I728" s="327">
        <f t="shared" si="948"/>
        <v>0</v>
      </c>
      <c r="J728" s="351" t="str">
        <f>IFERROR(G728/#REF!,"-")</f>
        <v>-</v>
      </c>
      <c r="K728" s="326">
        <f t="shared" ref="K728:M728" si="949">SUM(K726:K727)</f>
        <v>0</v>
      </c>
      <c r="L728" s="327">
        <f t="shared" si="949"/>
        <v>0</v>
      </c>
      <c r="M728" s="328">
        <f t="shared" si="949"/>
        <v>0</v>
      </c>
      <c r="N728" s="345">
        <f t="shared" si="917"/>
        <v>0</v>
      </c>
      <c r="O728" s="351" t="str">
        <f t="shared" si="918"/>
        <v>-</v>
      </c>
    </row>
    <row r="729" spans="1:15" ht="24" thickBot="1" x14ac:dyDescent="0.35">
      <c r="A729" s="277" t="s">
        <v>110</v>
      </c>
      <c r="B729" s="912" t="s">
        <v>25</v>
      </c>
      <c r="C729" s="913"/>
      <c r="D729" s="914"/>
      <c r="E729" s="332">
        <f t="shared" ref="E729:F729" si="950">+E707+E712+E715+E721+E725+E728</f>
        <v>745700</v>
      </c>
      <c r="F729" s="333">
        <f t="shared" si="950"/>
        <v>59300</v>
      </c>
      <c r="G729" s="332">
        <f>+G707+G712+G715+G721+G725+G728</f>
        <v>7644</v>
      </c>
      <c r="H729" s="330">
        <f t="shared" ref="H729:I729" si="951">+H707+H712+H715+H721+H725+H728</f>
        <v>7420</v>
      </c>
      <c r="I729" s="330">
        <f t="shared" si="951"/>
        <v>224</v>
      </c>
      <c r="J729" s="355" t="str">
        <f>IFERROR(G729/#REF!,"-")</f>
        <v>-</v>
      </c>
      <c r="K729" s="332">
        <f>+K707+K712+K715+K721+K725+K728</f>
        <v>134328</v>
      </c>
      <c r="L729" s="330">
        <f t="shared" ref="L729:M729" si="952">+L707+L712+L715+L721+L725+L728</f>
        <v>131856</v>
      </c>
      <c r="M729" s="331">
        <f t="shared" si="952"/>
        <v>2472</v>
      </c>
      <c r="N729" s="347">
        <f t="shared" si="917"/>
        <v>0.18013678422958293</v>
      </c>
      <c r="O729" s="355">
        <f t="shared" si="918"/>
        <v>1.8402715740575309E-2</v>
      </c>
    </row>
    <row r="730" spans="1:15" ht="24" thickBot="1" x14ac:dyDescent="0.35">
      <c r="A730" s="324" t="s">
        <v>110</v>
      </c>
      <c r="B730" s="901" t="s">
        <v>182</v>
      </c>
      <c r="C730" s="901"/>
      <c r="D730" s="902"/>
      <c r="E730" s="336">
        <f>+E729</f>
        <v>745700</v>
      </c>
      <c r="F730" s="337">
        <f t="shared" ref="F730:O730" si="953">+F729</f>
        <v>59300</v>
      </c>
      <c r="G730" s="336">
        <f t="shared" si="953"/>
        <v>7644</v>
      </c>
      <c r="H730" s="334">
        <f t="shared" si="953"/>
        <v>7420</v>
      </c>
      <c r="I730" s="334">
        <f t="shared" si="953"/>
        <v>224</v>
      </c>
      <c r="J730" s="356" t="str">
        <f t="shared" si="953"/>
        <v>-</v>
      </c>
      <c r="K730" s="336">
        <f t="shared" si="953"/>
        <v>134328</v>
      </c>
      <c r="L730" s="334">
        <f t="shared" si="953"/>
        <v>131856</v>
      </c>
      <c r="M730" s="335">
        <f t="shared" si="953"/>
        <v>2472</v>
      </c>
      <c r="N730" s="348">
        <f t="shared" si="953"/>
        <v>0.18013678422958293</v>
      </c>
      <c r="O730" s="356">
        <f t="shared" si="953"/>
        <v>1.8402715740575309E-2</v>
      </c>
    </row>
    <row r="731" spans="1:15" ht="24.6" thickBot="1" x14ac:dyDescent="0.35">
      <c r="A731" s="325"/>
      <c r="B731" s="915" t="s">
        <v>183</v>
      </c>
      <c r="C731" s="916"/>
      <c r="D731" s="917"/>
      <c r="E731" s="380">
        <f>+E676+E703+E730</f>
        <v>9494400</v>
      </c>
      <c r="F731" s="380">
        <f>+F676+F703+F730</f>
        <v>748300</v>
      </c>
      <c r="G731" s="380">
        <f>+G676+G703+G730</f>
        <v>259856</v>
      </c>
      <c r="H731" s="380">
        <f>+H676+H703+H730</f>
        <v>257303</v>
      </c>
      <c r="I731" s="380">
        <f>+I676+I703+I730</f>
        <v>2553</v>
      </c>
      <c r="J731" s="381" t="str">
        <f>IFERROR(G731/#REF!,"-")</f>
        <v>-</v>
      </c>
      <c r="K731" s="380">
        <f>+K676+K703+K730</f>
        <v>1779086</v>
      </c>
      <c r="L731" s="380">
        <f>+L676+L703+L730</f>
        <v>1760060</v>
      </c>
      <c r="M731" s="380">
        <f>+M676+M703+M730</f>
        <v>19026</v>
      </c>
      <c r="N731" s="381">
        <f>IFERROR(K731/E731,"-")</f>
        <v>0.18738266767778902</v>
      </c>
      <c r="O731" s="381">
        <f>IFERROR(M731/K731,"-")</f>
        <v>1.0694255364833403E-2</v>
      </c>
    </row>
    <row r="732" spans="1:15" ht="23.4" x14ac:dyDescent="0.3">
      <c r="A732" s="935" t="s">
        <v>1</v>
      </c>
      <c r="B732" s="938" t="s">
        <v>2</v>
      </c>
      <c r="C732" s="941" t="s">
        <v>3</v>
      </c>
      <c r="D732" s="941" t="s">
        <v>93</v>
      </c>
      <c r="E732" s="944" t="s">
        <v>4</v>
      </c>
      <c r="F732" s="945"/>
      <c r="G732" s="945"/>
      <c r="H732" s="945"/>
      <c r="I732" s="945"/>
      <c r="J732" s="945"/>
      <c r="K732" s="945"/>
      <c r="L732" s="945"/>
      <c r="M732" s="945"/>
      <c r="N732" s="945"/>
      <c r="O732" s="946"/>
    </row>
    <row r="733" spans="1:15" ht="23.4" x14ac:dyDescent="0.3">
      <c r="A733" s="936"/>
      <c r="B733" s="939"/>
      <c r="C733" s="942"/>
      <c r="D733" s="942"/>
      <c r="E733" s="947" t="s">
        <v>7</v>
      </c>
      <c r="F733" s="949" t="s">
        <v>116</v>
      </c>
      <c r="G733" s="951">
        <v>44510</v>
      </c>
      <c r="H733" s="952"/>
      <c r="I733" s="952"/>
      <c r="J733" s="953"/>
      <c r="K733" s="954" t="s">
        <v>8</v>
      </c>
      <c r="L733" s="955"/>
      <c r="M733" s="956"/>
      <c r="N733" s="957" t="s">
        <v>174</v>
      </c>
      <c r="O733" s="959" t="s">
        <v>173</v>
      </c>
    </row>
    <row r="734" spans="1:15" ht="41.4" thickBot="1" x14ac:dyDescent="0.35">
      <c r="A734" s="937"/>
      <c r="B734" s="940"/>
      <c r="C734" s="943"/>
      <c r="D734" s="943"/>
      <c r="E734" s="948"/>
      <c r="F734" s="950"/>
      <c r="G734" s="462" t="s">
        <v>13</v>
      </c>
      <c r="H734" s="463" t="s">
        <v>14</v>
      </c>
      <c r="I734" s="463" t="s">
        <v>15</v>
      </c>
      <c r="J734" s="464" t="s">
        <v>175</v>
      </c>
      <c r="K734" s="462" t="s">
        <v>13</v>
      </c>
      <c r="L734" s="463" t="s">
        <v>14</v>
      </c>
      <c r="M734" s="465" t="s">
        <v>15</v>
      </c>
      <c r="N734" s="958"/>
      <c r="O734" s="960"/>
    </row>
    <row r="735" spans="1:15" ht="23.4" x14ac:dyDescent="0.3">
      <c r="A735" s="271" t="s">
        <v>111</v>
      </c>
      <c r="B735" s="922" t="s">
        <v>16</v>
      </c>
      <c r="C735" s="272" t="s">
        <v>186</v>
      </c>
      <c r="D735" s="272" t="s">
        <v>184</v>
      </c>
      <c r="E735" s="273">
        <v>0</v>
      </c>
      <c r="F735" s="274"/>
      <c r="G735" s="338">
        <f>+H735+I735</f>
        <v>0</v>
      </c>
      <c r="H735" s="275">
        <v>0</v>
      </c>
      <c r="I735" s="275">
        <v>0</v>
      </c>
      <c r="J735" s="357" t="str">
        <f>IFERROR(G735/#REF!,"-")</f>
        <v>-</v>
      </c>
      <c r="K735" s="468">
        <f>+L735+M735</f>
        <v>0</v>
      </c>
      <c r="L735" s="469">
        <f>+H735+L632</f>
        <v>0</v>
      </c>
      <c r="M735" s="469">
        <f>+I735+M632</f>
        <v>0</v>
      </c>
      <c r="N735" s="342" t="str">
        <f>IFERROR(K735/E735,"-")</f>
        <v>-</v>
      </c>
      <c r="O735" s="349" t="str">
        <f t="shared" ref="O735:O736" si="954">IFERROR(M735/K735,"-")</f>
        <v>-</v>
      </c>
    </row>
    <row r="736" spans="1:15" ht="23.4" x14ac:dyDescent="0.3">
      <c r="A736" s="277" t="s">
        <v>111</v>
      </c>
      <c r="B736" s="923"/>
      <c r="C736" s="278" t="s">
        <v>190</v>
      </c>
      <c r="D736" s="278" t="s">
        <v>101</v>
      </c>
      <c r="E736" s="279">
        <v>0</v>
      </c>
      <c r="F736" s="280"/>
      <c r="G736" s="339">
        <f t="shared" ref="G736:G738" si="955">+H736+I736</f>
        <v>0</v>
      </c>
      <c r="H736" s="281">
        <v>0</v>
      </c>
      <c r="I736" s="281">
        <v>0</v>
      </c>
      <c r="J736" s="358" t="str">
        <f>IFERROR(G736/#REF!,"-")</f>
        <v>-</v>
      </c>
      <c r="K736" s="339">
        <f t="shared" ref="K736:K738" si="956">+L736+M736</f>
        <v>0</v>
      </c>
      <c r="L736" s="281">
        <f t="shared" ref="L736:L738" si="957">+H736+L633</f>
        <v>0</v>
      </c>
      <c r="M736" s="442">
        <f t="shared" ref="M736:M738" si="958">+I736+M633</f>
        <v>0</v>
      </c>
      <c r="N736" s="343" t="str">
        <f t="shared" ref="N736:N738" si="959">IFERROR(K736/E736,"-")</f>
        <v>-</v>
      </c>
      <c r="O736" s="268" t="str">
        <f t="shared" si="954"/>
        <v>-</v>
      </c>
    </row>
    <row r="737" spans="1:15" ht="23.4" x14ac:dyDescent="0.3">
      <c r="A737" s="277" t="s">
        <v>111</v>
      </c>
      <c r="B737" s="923"/>
      <c r="C737" s="278" t="s">
        <v>187</v>
      </c>
      <c r="D737" s="278" t="s">
        <v>185</v>
      </c>
      <c r="E737" s="279">
        <v>0</v>
      </c>
      <c r="F737" s="280"/>
      <c r="G737" s="339">
        <f t="shared" si="955"/>
        <v>0</v>
      </c>
      <c r="H737" s="281">
        <v>0</v>
      </c>
      <c r="I737" s="281">
        <v>0</v>
      </c>
      <c r="J737" s="358" t="str">
        <f>IFERROR(G737/#REF!,"-")</f>
        <v>-</v>
      </c>
      <c r="K737" s="339">
        <f t="shared" si="956"/>
        <v>0</v>
      </c>
      <c r="L737" s="281">
        <f t="shared" si="957"/>
        <v>0</v>
      </c>
      <c r="M737" s="442">
        <f t="shared" si="958"/>
        <v>0</v>
      </c>
      <c r="N737" s="343" t="str">
        <f t="shared" si="959"/>
        <v>-</v>
      </c>
      <c r="O737" s="268" t="str">
        <f>IFERROR(M737/K737,"-")</f>
        <v>-</v>
      </c>
    </row>
    <row r="738" spans="1:15" ht="24" thickBot="1" x14ac:dyDescent="0.35">
      <c r="A738" s="277" t="s">
        <v>111</v>
      </c>
      <c r="B738" s="924"/>
      <c r="C738" s="282" t="s">
        <v>255</v>
      </c>
      <c r="D738" s="282" t="s">
        <v>256</v>
      </c>
      <c r="E738" s="283">
        <v>0</v>
      </c>
      <c r="F738" s="284"/>
      <c r="G738" s="340">
        <f t="shared" si="955"/>
        <v>10456</v>
      </c>
      <c r="H738" s="285">
        <v>10240</v>
      </c>
      <c r="I738" s="285">
        <v>216</v>
      </c>
      <c r="J738" s="359" t="str">
        <f>IFERROR(G738/#REF!,"-")</f>
        <v>-</v>
      </c>
      <c r="K738" s="471">
        <f t="shared" si="956"/>
        <v>98315</v>
      </c>
      <c r="L738" s="472">
        <f t="shared" si="957"/>
        <v>96768</v>
      </c>
      <c r="M738" s="473">
        <f t="shared" si="958"/>
        <v>1547</v>
      </c>
      <c r="N738" s="344" t="str">
        <f t="shared" si="959"/>
        <v>-</v>
      </c>
      <c r="O738" s="350">
        <f t="shared" ref="O738:O802" si="960">IFERROR(M738/K738,"-")</f>
        <v>1.5735137059451763E-2</v>
      </c>
    </row>
    <row r="739" spans="1:15" ht="24" thickBot="1" x14ac:dyDescent="0.35">
      <c r="A739" s="277" t="s">
        <v>111</v>
      </c>
      <c r="B739" s="906" t="s">
        <v>47</v>
      </c>
      <c r="C739" s="907"/>
      <c r="D739" s="908"/>
      <c r="E739" s="326">
        <v>144600</v>
      </c>
      <c r="F739" s="289">
        <v>15000</v>
      </c>
      <c r="G739" s="326">
        <f>SUM(G735:G738)</f>
        <v>10456</v>
      </c>
      <c r="H739" s="327">
        <f t="shared" ref="H739:I739" si="961">SUM(H735:H738)</f>
        <v>10240</v>
      </c>
      <c r="I739" s="327">
        <f t="shared" si="961"/>
        <v>216</v>
      </c>
      <c r="J739" s="351" t="str">
        <f>IFERROR(G739/#REF!,"-")</f>
        <v>-</v>
      </c>
      <c r="K739" s="326">
        <f t="shared" ref="K739:M739" si="962">SUM(K735:K738)</f>
        <v>98315</v>
      </c>
      <c r="L739" s="327">
        <f t="shared" si="962"/>
        <v>96768</v>
      </c>
      <c r="M739" s="328">
        <f t="shared" si="962"/>
        <v>1547</v>
      </c>
      <c r="N739" s="345">
        <f>IFERROR(K739/E739,"-")</f>
        <v>0.67991009681881054</v>
      </c>
      <c r="O739" s="351">
        <f t="shared" si="960"/>
        <v>1.5735137059451763E-2</v>
      </c>
    </row>
    <row r="740" spans="1:15" ht="23.4" x14ac:dyDescent="0.3">
      <c r="A740" s="277" t="s">
        <v>111</v>
      </c>
      <c r="B740" s="922" t="s">
        <v>17</v>
      </c>
      <c r="C740" s="272" t="s">
        <v>331</v>
      </c>
      <c r="D740" s="272"/>
      <c r="E740" s="273">
        <v>0</v>
      </c>
      <c r="F740" s="274"/>
      <c r="G740" s="338">
        <f t="shared" ref="G740:G746" si="963">+H740+I740</f>
        <v>0</v>
      </c>
      <c r="H740" s="275">
        <v>0</v>
      </c>
      <c r="I740" s="275">
        <v>0</v>
      </c>
      <c r="J740" s="357" t="str">
        <f>IFERROR(G740/#REF!,"-")</f>
        <v>-</v>
      </c>
      <c r="K740" s="468">
        <f t="shared" ref="K740:K746" si="964">+L740+M740</f>
        <v>0</v>
      </c>
      <c r="L740" s="469">
        <f t="shared" ref="L740:L746" si="965">+H740+L637</f>
        <v>0</v>
      </c>
      <c r="M740" s="470">
        <f t="shared" ref="M740:M746" si="966">+I740+M637</f>
        <v>0</v>
      </c>
      <c r="N740" s="342" t="str">
        <f t="shared" ref="N740:N781" si="967">IFERROR(K740/E740,"-")</f>
        <v>-</v>
      </c>
      <c r="O740" s="352" t="str">
        <f t="shared" si="960"/>
        <v>-</v>
      </c>
    </row>
    <row r="741" spans="1:15" ht="23.4" x14ac:dyDescent="0.3">
      <c r="A741" s="277" t="s">
        <v>111</v>
      </c>
      <c r="B741" s="923"/>
      <c r="C741" s="278" t="s">
        <v>421</v>
      </c>
      <c r="D741" s="278" t="s">
        <v>257</v>
      </c>
      <c r="E741" s="279">
        <v>0</v>
      </c>
      <c r="F741" s="280"/>
      <c r="G741" s="339">
        <f t="shared" si="963"/>
        <v>0</v>
      </c>
      <c r="H741" s="281">
        <v>0</v>
      </c>
      <c r="I741" s="281">
        <v>0</v>
      </c>
      <c r="J741" s="358" t="str">
        <f>IFERROR(G741/#REF!,"-")</f>
        <v>-</v>
      </c>
      <c r="K741" s="339">
        <f t="shared" si="964"/>
        <v>254619</v>
      </c>
      <c r="L741" s="281">
        <f t="shared" si="965"/>
        <v>253368</v>
      </c>
      <c r="M741" s="442">
        <f t="shared" si="966"/>
        <v>1251</v>
      </c>
      <c r="N741" s="343" t="str">
        <f t="shared" si="967"/>
        <v>-</v>
      </c>
      <c r="O741" s="264">
        <f t="shared" si="960"/>
        <v>4.9132232865575628E-3</v>
      </c>
    </row>
    <row r="742" spans="1:15" ht="23.4" x14ac:dyDescent="0.3">
      <c r="A742" s="277" t="s">
        <v>111</v>
      </c>
      <c r="B742" s="923"/>
      <c r="C742" s="278" t="s">
        <v>290</v>
      </c>
      <c r="D742" s="278" t="s">
        <v>205</v>
      </c>
      <c r="E742" s="279">
        <v>0</v>
      </c>
      <c r="F742" s="280"/>
      <c r="G742" s="339">
        <f t="shared" si="963"/>
        <v>0</v>
      </c>
      <c r="H742" s="281">
        <v>0</v>
      </c>
      <c r="I742" s="281">
        <v>0</v>
      </c>
      <c r="J742" s="358" t="str">
        <f>IFERROR(G742/#REF!,"-")</f>
        <v>-</v>
      </c>
      <c r="K742" s="339">
        <f t="shared" si="964"/>
        <v>0</v>
      </c>
      <c r="L742" s="281">
        <f t="shared" si="965"/>
        <v>0</v>
      </c>
      <c r="M742" s="442">
        <f t="shared" si="966"/>
        <v>0</v>
      </c>
      <c r="N742" s="343" t="str">
        <f t="shared" si="967"/>
        <v>-</v>
      </c>
      <c r="O742" s="264" t="str">
        <f t="shared" si="960"/>
        <v>-</v>
      </c>
    </row>
    <row r="743" spans="1:15" ht="23.4" x14ac:dyDescent="0.3">
      <c r="A743" s="277" t="s">
        <v>111</v>
      </c>
      <c r="B743" s="923"/>
      <c r="C743" s="278" t="s">
        <v>330</v>
      </c>
      <c r="D743" s="278" t="s">
        <v>206</v>
      </c>
      <c r="E743" s="279">
        <v>0</v>
      </c>
      <c r="F743" s="280"/>
      <c r="G743" s="339">
        <f t="shared" si="963"/>
        <v>0</v>
      </c>
      <c r="H743" s="281">
        <v>0</v>
      </c>
      <c r="I743" s="281">
        <v>0</v>
      </c>
      <c r="J743" s="358" t="str">
        <f>IFERROR(G743/#REF!,"-")</f>
        <v>-</v>
      </c>
      <c r="K743" s="339">
        <f t="shared" si="964"/>
        <v>1836</v>
      </c>
      <c r="L743" s="281">
        <f t="shared" si="965"/>
        <v>1836</v>
      </c>
      <c r="M743" s="442">
        <f t="shared" si="966"/>
        <v>0</v>
      </c>
      <c r="N743" s="343" t="str">
        <f t="shared" si="967"/>
        <v>-</v>
      </c>
      <c r="O743" s="264">
        <f t="shared" si="960"/>
        <v>0</v>
      </c>
    </row>
    <row r="744" spans="1:15" ht="23.4" x14ac:dyDescent="0.3">
      <c r="A744" s="277" t="s">
        <v>111</v>
      </c>
      <c r="B744" s="923"/>
      <c r="C744" s="278" t="s">
        <v>377</v>
      </c>
      <c r="D744" s="278" t="s">
        <v>371</v>
      </c>
      <c r="E744" s="279">
        <v>0</v>
      </c>
      <c r="F744" s="280"/>
      <c r="G744" s="339">
        <f t="shared" si="963"/>
        <v>0</v>
      </c>
      <c r="H744" s="281">
        <v>0</v>
      </c>
      <c r="I744" s="281">
        <v>0</v>
      </c>
      <c r="J744" s="358" t="str">
        <f>IFERROR(G744/#REF!,"-")</f>
        <v>-</v>
      </c>
      <c r="K744" s="339">
        <f t="shared" si="964"/>
        <v>8312</v>
      </c>
      <c r="L744" s="281">
        <f t="shared" si="965"/>
        <v>8312</v>
      </c>
      <c r="M744" s="442">
        <f t="shared" si="966"/>
        <v>0</v>
      </c>
      <c r="N744" s="343" t="str">
        <f t="shared" si="967"/>
        <v>-</v>
      </c>
      <c r="O744" s="264">
        <f t="shared" si="960"/>
        <v>0</v>
      </c>
    </row>
    <row r="745" spans="1:15" ht="23.4" x14ac:dyDescent="0.3">
      <c r="A745" s="277" t="s">
        <v>111</v>
      </c>
      <c r="B745" s="923"/>
      <c r="C745" s="278" t="s">
        <v>443</v>
      </c>
      <c r="D745" s="278" t="s">
        <v>207</v>
      </c>
      <c r="E745" s="279">
        <v>0</v>
      </c>
      <c r="F745" s="280"/>
      <c r="G745" s="339">
        <f t="shared" si="963"/>
        <v>91940</v>
      </c>
      <c r="H745" s="281">
        <f>86598+5202</f>
        <v>91800</v>
      </c>
      <c r="I745" s="281">
        <v>140</v>
      </c>
      <c r="J745" s="358" t="str">
        <f>IFERROR(G745/#REF!,"-")</f>
        <v>-</v>
      </c>
      <c r="K745" s="339">
        <f t="shared" si="964"/>
        <v>135239</v>
      </c>
      <c r="L745" s="281">
        <f t="shared" si="965"/>
        <v>134640</v>
      </c>
      <c r="M745" s="442">
        <f t="shared" si="966"/>
        <v>599</v>
      </c>
      <c r="N745" s="343" t="str">
        <f t="shared" si="967"/>
        <v>-</v>
      </c>
      <c r="O745" s="264">
        <f t="shared" si="960"/>
        <v>4.4291957201694774E-3</v>
      </c>
    </row>
    <row r="746" spans="1:15" ht="24" thickBot="1" x14ac:dyDescent="0.35">
      <c r="A746" s="277" t="s">
        <v>111</v>
      </c>
      <c r="B746" s="924"/>
      <c r="C746" s="282" t="s">
        <v>416</v>
      </c>
      <c r="D746" s="282" t="s">
        <v>257</v>
      </c>
      <c r="E746" s="283">
        <v>0</v>
      </c>
      <c r="F746" s="284"/>
      <c r="G746" s="340">
        <f t="shared" si="963"/>
        <v>0</v>
      </c>
      <c r="H746" s="285">
        <v>0</v>
      </c>
      <c r="I746" s="285">
        <v>0</v>
      </c>
      <c r="J746" s="359" t="str">
        <f>IFERROR(G746/#REF!,"-")</f>
        <v>-</v>
      </c>
      <c r="K746" s="471">
        <f t="shared" si="964"/>
        <v>73650</v>
      </c>
      <c r="L746" s="719">
        <f t="shared" si="965"/>
        <v>73440</v>
      </c>
      <c r="M746" s="473">
        <f t="shared" si="966"/>
        <v>210</v>
      </c>
      <c r="N746" s="344" t="str">
        <f t="shared" si="967"/>
        <v>-</v>
      </c>
      <c r="O746" s="353">
        <f t="shared" si="960"/>
        <v>2.8513238289205704E-3</v>
      </c>
    </row>
    <row r="747" spans="1:15" ht="24" thickBot="1" x14ac:dyDescent="0.35">
      <c r="A747" s="277" t="s">
        <v>111</v>
      </c>
      <c r="B747" s="906" t="s">
        <v>48</v>
      </c>
      <c r="C747" s="907"/>
      <c r="D747" s="908"/>
      <c r="E747" s="326">
        <v>3480000</v>
      </c>
      <c r="F747" s="289">
        <v>100000</v>
      </c>
      <c r="G747" s="326">
        <f>SUM(G740:G746)</f>
        <v>91940</v>
      </c>
      <c r="H747" s="327">
        <f t="shared" ref="H747:I747" si="968">SUM(H740:H746)</f>
        <v>91800</v>
      </c>
      <c r="I747" s="327">
        <f t="shared" si="968"/>
        <v>140</v>
      </c>
      <c r="J747" s="351" t="str">
        <f>IFERROR(G747/#REF!,"-")</f>
        <v>-</v>
      </c>
      <c r="K747" s="326">
        <f t="shared" ref="K747:M747" si="969">SUM(K740:K746)</f>
        <v>473656</v>
      </c>
      <c r="L747" s="327">
        <f t="shared" si="969"/>
        <v>471596</v>
      </c>
      <c r="M747" s="328">
        <f t="shared" si="969"/>
        <v>2060</v>
      </c>
      <c r="N747" s="345">
        <f t="shared" si="967"/>
        <v>0.13610804597701148</v>
      </c>
      <c r="O747" s="351">
        <f t="shared" si="960"/>
        <v>4.349147904808553E-3</v>
      </c>
    </row>
    <row r="748" spans="1:15" ht="23.4" x14ac:dyDescent="0.3">
      <c r="A748" s="277" t="s">
        <v>111</v>
      </c>
      <c r="B748" s="922" t="s">
        <v>18</v>
      </c>
      <c r="C748" s="272" t="s">
        <v>359</v>
      </c>
      <c r="D748" s="272" t="s">
        <v>99</v>
      </c>
      <c r="E748" s="273">
        <v>0</v>
      </c>
      <c r="F748" s="274"/>
      <c r="G748" s="338">
        <f t="shared" ref="G748:G754" si="970">+H748+I748</f>
        <v>0</v>
      </c>
      <c r="H748" s="275">
        <v>0</v>
      </c>
      <c r="I748" s="275">
        <v>0</v>
      </c>
      <c r="J748" s="357" t="str">
        <f>IFERROR(G748/#REF!,"-")</f>
        <v>-</v>
      </c>
      <c r="K748" s="338">
        <f t="shared" ref="K748:K754" si="971">+L748+M748</f>
        <v>0</v>
      </c>
      <c r="L748" s="275">
        <f t="shared" ref="L748:L754" si="972">+H748+L645</f>
        <v>0</v>
      </c>
      <c r="M748" s="276">
        <f t="shared" ref="M748:M754" si="973">+I748+M645</f>
        <v>0</v>
      </c>
      <c r="N748" s="342" t="str">
        <f t="shared" si="967"/>
        <v>-</v>
      </c>
      <c r="O748" s="352" t="str">
        <f t="shared" si="960"/>
        <v>-</v>
      </c>
    </row>
    <row r="749" spans="1:15" ht="23.4" x14ac:dyDescent="0.3">
      <c r="A749" s="277" t="s">
        <v>111</v>
      </c>
      <c r="B749" s="923"/>
      <c r="C749" s="278" t="s">
        <v>258</v>
      </c>
      <c r="D749" s="278" t="s">
        <v>259</v>
      </c>
      <c r="E749" s="279">
        <v>0</v>
      </c>
      <c r="F749" s="280"/>
      <c r="G749" s="339">
        <f t="shared" si="970"/>
        <v>0</v>
      </c>
      <c r="H749" s="281">
        <v>0</v>
      </c>
      <c r="I749" s="281">
        <v>0</v>
      </c>
      <c r="J749" s="358" t="str">
        <f>IFERROR(G749/#REF!,"-")</f>
        <v>-</v>
      </c>
      <c r="K749" s="339">
        <f t="shared" si="971"/>
        <v>0</v>
      </c>
      <c r="L749" s="281">
        <f t="shared" si="972"/>
        <v>0</v>
      </c>
      <c r="M749" s="251">
        <f t="shared" si="973"/>
        <v>0</v>
      </c>
      <c r="N749" s="343" t="str">
        <f t="shared" si="967"/>
        <v>-</v>
      </c>
      <c r="O749" s="264" t="str">
        <f t="shared" si="960"/>
        <v>-</v>
      </c>
    </row>
    <row r="750" spans="1:15" ht="23.4" x14ac:dyDescent="0.3">
      <c r="A750" s="277" t="s">
        <v>111</v>
      </c>
      <c r="B750" s="923"/>
      <c r="C750" s="278" t="s">
        <v>123</v>
      </c>
      <c r="D750" s="278"/>
      <c r="E750" s="279">
        <v>0</v>
      </c>
      <c r="F750" s="280"/>
      <c r="G750" s="339">
        <f t="shared" si="970"/>
        <v>0</v>
      </c>
      <c r="H750" s="281">
        <v>0</v>
      </c>
      <c r="I750" s="281">
        <v>0</v>
      </c>
      <c r="J750" s="358" t="str">
        <f>IFERROR(G750/#REF!,"-")</f>
        <v>-</v>
      </c>
      <c r="K750" s="339">
        <f t="shared" si="971"/>
        <v>0</v>
      </c>
      <c r="L750" s="281">
        <f t="shared" si="972"/>
        <v>0</v>
      </c>
      <c r="M750" s="251">
        <f t="shared" si="973"/>
        <v>0</v>
      </c>
      <c r="N750" s="343" t="str">
        <f t="shared" si="967"/>
        <v>-</v>
      </c>
      <c r="O750" s="264" t="str">
        <f t="shared" si="960"/>
        <v>-</v>
      </c>
    </row>
    <row r="751" spans="1:15" ht="23.4" x14ac:dyDescent="0.3">
      <c r="A751" s="277" t="s">
        <v>111</v>
      </c>
      <c r="B751" s="923"/>
      <c r="C751" s="278" t="s">
        <v>130</v>
      </c>
      <c r="D751" s="278"/>
      <c r="E751" s="279">
        <v>0</v>
      </c>
      <c r="F751" s="280"/>
      <c r="G751" s="339">
        <f t="shared" si="970"/>
        <v>0</v>
      </c>
      <c r="H751" s="281">
        <v>0</v>
      </c>
      <c r="I751" s="281">
        <v>0</v>
      </c>
      <c r="J751" s="358" t="str">
        <f>IFERROR(G751/#REF!,"-")</f>
        <v>-</v>
      </c>
      <c r="K751" s="339">
        <f t="shared" si="971"/>
        <v>0</v>
      </c>
      <c r="L751" s="281">
        <f t="shared" si="972"/>
        <v>0</v>
      </c>
      <c r="M751" s="251">
        <f t="shared" si="973"/>
        <v>0</v>
      </c>
      <c r="N751" s="343" t="str">
        <f t="shared" si="967"/>
        <v>-</v>
      </c>
      <c r="O751" s="264" t="str">
        <f t="shared" si="960"/>
        <v>-</v>
      </c>
    </row>
    <row r="752" spans="1:15" ht="23.4" x14ac:dyDescent="0.3">
      <c r="A752" s="277" t="s">
        <v>111</v>
      </c>
      <c r="B752" s="923"/>
      <c r="C752" s="278" t="s">
        <v>191</v>
      </c>
      <c r="D752" s="278" t="s">
        <v>192</v>
      </c>
      <c r="E752" s="279">
        <v>0</v>
      </c>
      <c r="F752" s="280"/>
      <c r="G752" s="339">
        <f t="shared" si="970"/>
        <v>0</v>
      </c>
      <c r="H752" s="281">
        <v>0</v>
      </c>
      <c r="I752" s="281">
        <v>0</v>
      </c>
      <c r="J752" s="358" t="str">
        <f>IFERROR(G752/#REF!,"-")</f>
        <v>-</v>
      </c>
      <c r="K752" s="339">
        <f t="shared" si="971"/>
        <v>0</v>
      </c>
      <c r="L752" s="281">
        <f t="shared" si="972"/>
        <v>0</v>
      </c>
      <c r="M752" s="251">
        <f t="shared" si="973"/>
        <v>0</v>
      </c>
      <c r="N752" s="343" t="str">
        <f t="shared" si="967"/>
        <v>-</v>
      </c>
      <c r="O752" s="264" t="str">
        <f t="shared" si="960"/>
        <v>-</v>
      </c>
    </row>
    <row r="753" spans="1:15" ht="23.4" x14ac:dyDescent="0.3">
      <c r="A753" s="277" t="s">
        <v>111</v>
      </c>
      <c r="B753" s="923"/>
      <c r="C753" s="278" t="s">
        <v>194</v>
      </c>
      <c r="D753" s="278" t="s">
        <v>193</v>
      </c>
      <c r="E753" s="279">
        <v>0</v>
      </c>
      <c r="F753" s="280"/>
      <c r="G753" s="339">
        <f t="shared" si="970"/>
        <v>0</v>
      </c>
      <c r="H753" s="281">
        <v>0</v>
      </c>
      <c r="I753" s="281">
        <v>0</v>
      </c>
      <c r="J753" s="358" t="str">
        <f>IFERROR(G753/#REF!,"-")</f>
        <v>-</v>
      </c>
      <c r="K753" s="339">
        <f t="shared" si="971"/>
        <v>0</v>
      </c>
      <c r="L753" s="281">
        <f t="shared" si="972"/>
        <v>0</v>
      </c>
      <c r="M753" s="251">
        <f t="shared" si="973"/>
        <v>0</v>
      </c>
      <c r="N753" s="343" t="str">
        <f t="shared" si="967"/>
        <v>-</v>
      </c>
      <c r="O753" s="264" t="str">
        <f t="shared" si="960"/>
        <v>-</v>
      </c>
    </row>
    <row r="754" spans="1:15" ht="24" thickBot="1" x14ac:dyDescent="0.35">
      <c r="A754" s="277" t="s">
        <v>111</v>
      </c>
      <c r="B754" s="924"/>
      <c r="C754" s="290" t="s">
        <v>195</v>
      </c>
      <c r="D754" s="290" t="s">
        <v>115</v>
      </c>
      <c r="E754" s="283">
        <v>0</v>
      </c>
      <c r="F754" s="284"/>
      <c r="G754" s="340">
        <f t="shared" si="970"/>
        <v>0</v>
      </c>
      <c r="H754" s="285">
        <v>0</v>
      </c>
      <c r="I754" s="285">
        <v>0</v>
      </c>
      <c r="J754" s="359" t="str">
        <f>IFERROR(G754/#REF!,"-")</f>
        <v>-</v>
      </c>
      <c r="K754" s="340">
        <f t="shared" si="971"/>
        <v>0</v>
      </c>
      <c r="L754" s="285">
        <f t="shared" si="972"/>
        <v>0</v>
      </c>
      <c r="M754" s="286">
        <f t="shared" si="973"/>
        <v>0</v>
      </c>
      <c r="N754" s="344" t="str">
        <f t="shared" si="967"/>
        <v>-</v>
      </c>
      <c r="O754" s="353" t="str">
        <f t="shared" si="960"/>
        <v>-</v>
      </c>
    </row>
    <row r="755" spans="1:15" ht="24" thickBot="1" x14ac:dyDescent="0.35">
      <c r="A755" s="277" t="s">
        <v>111</v>
      </c>
      <c r="B755" s="906" t="s">
        <v>29</v>
      </c>
      <c r="C755" s="907"/>
      <c r="D755" s="908"/>
      <c r="E755" s="326">
        <f t="shared" ref="E755" si="974">SUM(E748:E754)</f>
        <v>0</v>
      </c>
      <c r="F755" s="289">
        <v>80000</v>
      </c>
      <c r="G755" s="326">
        <f>SUM(G748:G754)</f>
        <v>0</v>
      </c>
      <c r="H755" s="327">
        <f t="shared" ref="H755:I755" si="975">SUM(H748:H754)</f>
        <v>0</v>
      </c>
      <c r="I755" s="327">
        <f t="shared" si="975"/>
        <v>0</v>
      </c>
      <c r="J755" s="351" t="str">
        <f>IFERROR(G755/#REF!,"-")</f>
        <v>-</v>
      </c>
      <c r="K755" s="326">
        <f t="shared" ref="K755:M755" si="976">SUM(K748:K754)</f>
        <v>0</v>
      </c>
      <c r="L755" s="327">
        <f t="shared" si="976"/>
        <v>0</v>
      </c>
      <c r="M755" s="328">
        <f t="shared" si="976"/>
        <v>0</v>
      </c>
      <c r="N755" s="345" t="str">
        <f t="shared" si="967"/>
        <v>-</v>
      </c>
      <c r="O755" s="351" t="str">
        <f t="shared" si="960"/>
        <v>-</v>
      </c>
    </row>
    <row r="756" spans="1:15" ht="23.4" x14ac:dyDescent="0.3">
      <c r="A756" s="252" t="s">
        <v>111</v>
      </c>
      <c r="B756" s="918" t="s">
        <v>19</v>
      </c>
      <c r="C756" s="678" t="s">
        <v>260</v>
      </c>
      <c r="D756" s="676" t="s">
        <v>192</v>
      </c>
      <c r="E756" s="293">
        <v>2000000</v>
      </c>
      <c r="F756" s="294">
        <v>110000</v>
      </c>
      <c r="G756" s="468">
        <f t="shared" ref="G756:G757" si="977">+H756+I756</f>
        <v>42456</v>
      </c>
      <c r="H756" s="674">
        <v>42240</v>
      </c>
      <c r="I756" s="674">
        <v>216</v>
      </c>
      <c r="J756" s="675" t="str">
        <f>IFERROR(G756/#REF!,"-")</f>
        <v>-</v>
      </c>
      <c r="K756" s="673">
        <f>+L756+M756</f>
        <v>271657</v>
      </c>
      <c r="L756" s="295">
        <f t="shared" ref="L756:L757" si="978">+H756+L653</f>
        <v>270336</v>
      </c>
      <c r="M756" s="295">
        <f t="shared" ref="M756:M757" si="979">+I756+M653</f>
        <v>1321</v>
      </c>
      <c r="N756" s="346">
        <f t="shared" si="967"/>
        <v>0.13582849999999999</v>
      </c>
      <c r="O756" s="354">
        <f t="shared" si="960"/>
        <v>4.8627497174746096E-3</v>
      </c>
    </row>
    <row r="757" spans="1:15" ht="24" thickBot="1" x14ac:dyDescent="0.35">
      <c r="A757" s="252"/>
      <c r="B757" s="920"/>
      <c r="C757" s="679" t="s">
        <v>417</v>
      </c>
      <c r="D757" s="677"/>
      <c r="E757" s="285">
        <v>150000</v>
      </c>
      <c r="F757" s="285">
        <v>110000</v>
      </c>
      <c r="G757" s="607">
        <f t="shared" si="977"/>
        <v>0</v>
      </c>
      <c r="H757" s="285">
        <v>0</v>
      </c>
      <c r="I757" s="285">
        <v>0</v>
      </c>
      <c r="J757" s="359"/>
      <c r="K757" s="607">
        <f>+L757+M757</f>
        <v>0</v>
      </c>
      <c r="L757" s="285">
        <f t="shared" si="978"/>
        <v>0</v>
      </c>
      <c r="M757" s="285">
        <f t="shared" si="979"/>
        <v>0</v>
      </c>
      <c r="N757" s="680">
        <f t="shared" si="967"/>
        <v>0</v>
      </c>
      <c r="O757" s="680" t="str">
        <f t="shared" si="960"/>
        <v>-</v>
      </c>
    </row>
    <row r="758" spans="1:15" ht="24" thickBot="1" x14ac:dyDescent="0.35">
      <c r="A758" s="277" t="s">
        <v>111</v>
      </c>
      <c r="B758" s="921" t="s">
        <v>49</v>
      </c>
      <c r="C758" s="907"/>
      <c r="D758" s="908"/>
      <c r="E758" s="326">
        <f>SUM(E756:E757)</f>
        <v>2150000</v>
      </c>
      <c r="F758" s="329">
        <f t="shared" ref="F758" si="980">SUM(F756)</f>
        <v>110000</v>
      </c>
      <c r="G758" s="326">
        <f>SUM(G756)</f>
        <v>42456</v>
      </c>
      <c r="H758" s="327">
        <f t="shared" ref="H758:I758" si="981">SUM(H756)</f>
        <v>42240</v>
      </c>
      <c r="I758" s="327">
        <f t="shared" si="981"/>
        <v>216</v>
      </c>
      <c r="J758" s="351" t="str">
        <f>IFERROR(G758/#REF!,"-")</f>
        <v>-</v>
      </c>
      <c r="K758" s="681">
        <f t="shared" ref="K758:M758" si="982">SUM(K756)</f>
        <v>271657</v>
      </c>
      <c r="L758" s="327">
        <f t="shared" si="982"/>
        <v>270336</v>
      </c>
      <c r="M758" s="328">
        <f t="shared" si="982"/>
        <v>1321</v>
      </c>
      <c r="N758" s="345">
        <f t="shared" si="967"/>
        <v>0.12635209302325581</v>
      </c>
      <c r="O758" s="351">
        <f t="shared" si="960"/>
        <v>4.8627497174746096E-3</v>
      </c>
    </row>
    <row r="759" spans="1:15" ht="23.4" x14ac:dyDescent="0.3">
      <c r="A759" s="277" t="s">
        <v>111</v>
      </c>
      <c r="B759" s="922" t="s">
        <v>20</v>
      </c>
      <c r="C759" s="297" t="s">
        <v>370</v>
      </c>
      <c r="D759" s="297" t="s">
        <v>324</v>
      </c>
      <c r="E759" s="273">
        <v>0</v>
      </c>
      <c r="F759" s="274"/>
      <c r="G759" s="338">
        <f t="shared" ref="G759:G761" si="983">+H759+I759</f>
        <v>0</v>
      </c>
      <c r="H759" s="275">
        <v>0</v>
      </c>
      <c r="I759" s="275">
        <v>0</v>
      </c>
      <c r="J759" s="357" t="str">
        <f>IFERROR(G759/#REF!,"-")</f>
        <v>-</v>
      </c>
      <c r="K759" s="338">
        <f t="shared" ref="K759:K761" si="984">+L759+M759</f>
        <v>0</v>
      </c>
      <c r="L759" s="275">
        <f t="shared" ref="L759:L761" si="985">+H759+L656</f>
        <v>0</v>
      </c>
      <c r="M759" s="276">
        <f t="shared" ref="M759:M761" si="986">+I759+M656</f>
        <v>0</v>
      </c>
      <c r="N759" s="342" t="str">
        <f t="shared" si="967"/>
        <v>-</v>
      </c>
      <c r="O759" s="352" t="str">
        <f t="shared" si="960"/>
        <v>-</v>
      </c>
    </row>
    <row r="760" spans="1:15" ht="23.4" x14ac:dyDescent="0.3">
      <c r="A760" s="277" t="s">
        <v>111</v>
      </c>
      <c r="B760" s="923"/>
      <c r="C760" s="298" t="s">
        <v>122</v>
      </c>
      <c r="D760" s="298"/>
      <c r="E760" s="279">
        <v>0</v>
      </c>
      <c r="F760" s="280"/>
      <c r="G760" s="339">
        <f t="shared" si="983"/>
        <v>0</v>
      </c>
      <c r="H760" s="281">
        <v>0</v>
      </c>
      <c r="I760" s="281">
        <v>0</v>
      </c>
      <c r="J760" s="358" t="str">
        <f>IFERROR(G760/#REF!,"-")</f>
        <v>-</v>
      </c>
      <c r="K760" s="339">
        <f t="shared" si="984"/>
        <v>0</v>
      </c>
      <c r="L760" s="281">
        <f t="shared" si="985"/>
        <v>0</v>
      </c>
      <c r="M760" s="251">
        <f t="shared" si="986"/>
        <v>0</v>
      </c>
      <c r="N760" s="343" t="str">
        <f t="shared" si="967"/>
        <v>-</v>
      </c>
      <c r="O760" s="264" t="str">
        <f t="shared" si="960"/>
        <v>-</v>
      </c>
    </row>
    <row r="761" spans="1:15" ht="24" thickBot="1" x14ac:dyDescent="0.35">
      <c r="A761" s="277" t="s">
        <v>111</v>
      </c>
      <c r="B761" s="924"/>
      <c r="C761" s="299" t="s">
        <v>128</v>
      </c>
      <c r="D761" s="299"/>
      <c r="E761" s="283">
        <v>0</v>
      </c>
      <c r="F761" s="284"/>
      <c r="G761" s="340">
        <f t="shared" si="983"/>
        <v>0</v>
      </c>
      <c r="H761" s="285">
        <v>0</v>
      </c>
      <c r="I761" s="285">
        <v>0</v>
      </c>
      <c r="J761" s="359" t="str">
        <f>IFERROR(G761/#REF!,"-")</f>
        <v>-</v>
      </c>
      <c r="K761" s="340">
        <f t="shared" si="984"/>
        <v>0</v>
      </c>
      <c r="L761" s="285">
        <f t="shared" si="985"/>
        <v>0</v>
      </c>
      <c r="M761" s="286">
        <f t="shared" si="986"/>
        <v>0</v>
      </c>
      <c r="N761" s="344" t="str">
        <f t="shared" si="967"/>
        <v>-</v>
      </c>
      <c r="O761" s="353" t="str">
        <f t="shared" si="960"/>
        <v>-</v>
      </c>
    </row>
    <row r="762" spans="1:15" ht="24" thickBot="1" x14ac:dyDescent="0.35">
      <c r="A762" s="277" t="s">
        <v>111</v>
      </c>
      <c r="B762" s="907" t="s">
        <v>50</v>
      </c>
      <c r="C762" s="907"/>
      <c r="D762" s="925"/>
      <c r="E762" s="326">
        <f t="shared" ref="E762" si="987">SUM(E759:E761)</f>
        <v>0</v>
      </c>
      <c r="F762" s="289">
        <v>50000</v>
      </c>
      <c r="G762" s="326">
        <f>SUM(G759:G761)</f>
        <v>0</v>
      </c>
      <c r="H762" s="327">
        <f t="shared" ref="H762:I762" si="988">SUM(H759:H761)</f>
        <v>0</v>
      </c>
      <c r="I762" s="327">
        <f t="shared" si="988"/>
        <v>0</v>
      </c>
      <c r="J762" s="351" t="str">
        <f>IFERROR(G762/#REF!,"-")</f>
        <v>-</v>
      </c>
      <c r="K762" s="326">
        <f t="shared" ref="K762:M762" si="989">SUM(K759:K761)</f>
        <v>0</v>
      </c>
      <c r="L762" s="327">
        <f t="shared" si="989"/>
        <v>0</v>
      </c>
      <c r="M762" s="328">
        <f t="shared" si="989"/>
        <v>0</v>
      </c>
      <c r="N762" s="345" t="str">
        <f t="shared" si="967"/>
        <v>-</v>
      </c>
      <c r="O762" s="351" t="str">
        <f t="shared" si="960"/>
        <v>-</v>
      </c>
    </row>
    <row r="763" spans="1:15" ht="24" thickBot="1" x14ac:dyDescent="0.35">
      <c r="A763" s="277" t="s">
        <v>111</v>
      </c>
      <c r="B763" s="926" t="s">
        <v>21</v>
      </c>
      <c r="C763" s="927"/>
      <c r="D763" s="928"/>
      <c r="E763" s="332">
        <f>+E739+E747+E755+E758+E762</f>
        <v>5774600</v>
      </c>
      <c r="F763" s="333">
        <f>+F739+F747+F755+F758+F762</f>
        <v>355000</v>
      </c>
      <c r="G763" s="332">
        <f>+G739+G747+G755+G758+G762</f>
        <v>144852</v>
      </c>
      <c r="H763" s="330">
        <f>+H739+H747+H755+H758+H762</f>
        <v>144280</v>
      </c>
      <c r="I763" s="330">
        <f>+I739+I747+I755+I758+I762</f>
        <v>572</v>
      </c>
      <c r="J763" s="355" t="str">
        <f>IFERROR(G763/#REF!,"-")</f>
        <v>-</v>
      </c>
      <c r="K763" s="332">
        <f>+K739+K747+K755+K758+K762</f>
        <v>843628</v>
      </c>
      <c r="L763" s="330">
        <f>+L739+L747+L755+L758+L762</f>
        <v>838700</v>
      </c>
      <c r="M763" s="331">
        <f>+M739+M747+M755+M758+M762</f>
        <v>4928</v>
      </c>
      <c r="N763" s="347">
        <f t="shared" si="967"/>
        <v>0.14609288955079139</v>
      </c>
      <c r="O763" s="355">
        <f t="shared" si="960"/>
        <v>5.8414372211448651E-3</v>
      </c>
    </row>
    <row r="764" spans="1:15" ht="23.4" x14ac:dyDescent="0.3">
      <c r="A764" s="277" t="s">
        <v>111</v>
      </c>
      <c r="B764" s="922" t="s">
        <v>22</v>
      </c>
      <c r="C764" s="272" t="s">
        <v>133</v>
      </c>
      <c r="D764" s="272"/>
      <c r="E764" s="273">
        <v>0</v>
      </c>
      <c r="F764" s="274"/>
      <c r="G764" s="338">
        <f t="shared" ref="G764:G767" si="990">+H764+I764</f>
        <v>0</v>
      </c>
      <c r="H764" s="275">
        <v>0</v>
      </c>
      <c r="I764" s="275">
        <v>0</v>
      </c>
      <c r="J764" s="357" t="str">
        <f>IFERROR(G764/#REF!,"-")</f>
        <v>-</v>
      </c>
      <c r="K764" s="338">
        <f t="shared" ref="K764:K767" si="991">+L764+M764</f>
        <v>0</v>
      </c>
      <c r="L764" s="275">
        <f t="shared" ref="L764:L767" si="992">+H764+L661</f>
        <v>0</v>
      </c>
      <c r="M764" s="276">
        <f t="shared" ref="M764:M767" si="993">+I764+M661</f>
        <v>0</v>
      </c>
      <c r="N764" s="342" t="str">
        <f t="shared" si="967"/>
        <v>-</v>
      </c>
      <c r="O764" s="352" t="str">
        <f t="shared" si="960"/>
        <v>-</v>
      </c>
    </row>
    <row r="765" spans="1:15" ht="23.4" x14ac:dyDescent="0.3">
      <c r="A765" s="277" t="s">
        <v>111</v>
      </c>
      <c r="B765" s="923"/>
      <c r="C765" s="301" t="s">
        <v>291</v>
      </c>
      <c r="D765" s="301" t="s">
        <v>196</v>
      </c>
      <c r="E765" s="279">
        <v>0</v>
      </c>
      <c r="F765" s="280"/>
      <c r="G765" s="339">
        <f t="shared" si="990"/>
        <v>0</v>
      </c>
      <c r="H765" s="281">
        <v>0</v>
      </c>
      <c r="I765" s="281">
        <v>0</v>
      </c>
      <c r="J765" s="358" t="str">
        <f>IFERROR(G765/#REF!,"-")</f>
        <v>-</v>
      </c>
      <c r="K765" s="339">
        <f t="shared" si="991"/>
        <v>0</v>
      </c>
      <c r="L765" s="281">
        <f t="shared" si="992"/>
        <v>0</v>
      </c>
      <c r="M765" s="251">
        <f t="shared" si="993"/>
        <v>0</v>
      </c>
      <c r="N765" s="343" t="str">
        <f t="shared" si="967"/>
        <v>-</v>
      </c>
      <c r="O765" s="264" t="str">
        <f t="shared" si="960"/>
        <v>-</v>
      </c>
    </row>
    <row r="766" spans="1:15" ht="23.4" x14ac:dyDescent="0.3">
      <c r="A766" s="277" t="s">
        <v>111</v>
      </c>
      <c r="B766" s="923"/>
      <c r="C766" s="301" t="s">
        <v>198</v>
      </c>
      <c r="D766" s="301" t="s">
        <v>100</v>
      </c>
      <c r="E766" s="279">
        <v>0</v>
      </c>
      <c r="F766" s="280"/>
      <c r="G766" s="339">
        <f t="shared" si="990"/>
        <v>0</v>
      </c>
      <c r="H766" s="281">
        <v>0</v>
      </c>
      <c r="I766" s="281">
        <v>0</v>
      </c>
      <c r="J766" s="358" t="str">
        <f>IFERROR(G766/#REF!,"-")</f>
        <v>-</v>
      </c>
      <c r="K766" s="339">
        <f t="shared" si="991"/>
        <v>0</v>
      </c>
      <c r="L766" s="281">
        <f t="shared" si="992"/>
        <v>0</v>
      </c>
      <c r="M766" s="251">
        <f t="shared" si="993"/>
        <v>0</v>
      </c>
      <c r="N766" s="343" t="str">
        <f t="shared" si="967"/>
        <v>-</v>
      </c>
      <c r="O766" s="264" t="str">
        <f t="shared" si="960"/>
        <v>-</v>
      </c>
    </row>
    <row r="767" spans="1:15" ht="24" thickBot="1" x14ac:dyDescent="0.35">
      <c r="A767" s="277" t="s">
        <v>111</v>
      </c>
      <c r="B767" s="924"/>
      <c r="C767" s="282" t="s">
        <v>197</v>
      </c>
      <c r="D767" s="282" t="s">
        <v>100</v>
      </c>
      <c r="E767" s="283">
        <v>0</v>
      </c>
      <c r="F767" s="284"/>
      <c r="G767" s="340">
        <f t="shared" si="990"/>
        <v>0</v>
      </c>
      <c r="H767" s="285">
        <v>0</v>
      </c>
      <c r="I767" s="285">
        <v>0</v>
      </c>
      <c r="J767" s="359" t="str">
        <f>IFERROR(G767/#REF!,"-")</f>
        <v>-</v>
      </c>
      <c r="K767" s="340">
        <f t="shared" si="991"/>
        <v>0</v>
      </c>
      <c r="L767" s="285">
        <f t="shared" si="992"/>
        <v>0</v>
      </c>
      <c r="M767" s="286">
        <f t="shared" si="993"/>
        <v>0</v>
      </c>
      <c r="N767" s="344" t="str">
        <f t="shared" si="967"/>
        <v>-</v>
      </c>
      <c r="O767" s="353" t="str">
        <f t="shared" si="960"/>
        <v>-</v>
      </c>
    </row>
    <row r="768" spans="1:15" ht="24" thickBot="1" x14ac:dyDescent="0.35">
      <c r="A768" s="277" t="s">
        <v>111</v>
      </c>
      <c r="B768" s="906" t="s">
        <v>51</v>
      </c>
      <c r="C768" s="907"/>
      <c r="D768" s="908"/>
      <c r="E768" s="288">
        <v>0</v>
      </c>
      <c r="F768" s="289">
        <v>80000</v>
      </c>
      <c r="G768" s="326">
        <f>SUM(G764:G767)</f>
        <v>0</v>
      </c>
      <c r="H768" s="327">
        <f t="shared" ref="H768:I768" si="994">SUM(H764:H767)</f>
        <v>0</v>
      </c>
      <c r="I768" s="327">
        <f t="shared" si="994"/>
        <v>0</v>
      </c>
      <c r="J768" s="351" t="str">
        <f>IFERROR(G768/#REF!,"-")</f>
        <v>-</v>
      </c>
      <c r="K768" s="326">
        <f t="shared" ref="K768:M768" si="995">SUM(K764:K767)</f>
        <v>0</v>
      </c>
      <c r="L768" s="327">
        <f t="shared" si="995"/>
        <v>0</v>
      </c>
      <c r="M768" s="328">
        <f t="shared" si="995"/>
        <v>0</v>
      </c>
      <c r="N768" s="345" t="str">
        <f t="shared" si="967"/>
        <v>-</v>
      </c>
      <c r="O768" s="351" t="str">
        <f t="shared" si="960"/>
        <v>-</v>
      </c>
    </row>
    <row r="769" spans="1:15" ht="23.4" x14ac:dyDescent="0.3">
      <c r="A769" s="277" t="s">
        <v>111</v>
      </c>
      <c r="B769" s="922" t="s">
        <v>23</v>
      </c>
      <c r="C769" s="302" t="s">
        <v>348</v>
      </c>
      <c r="D769" s="302" t="s">
        <v>263</v>
      </c>
      <c r="E769" s="273">
        <v>0</v>
      </c>
      <c r="F769" s="274"/>
      <c r="G769" s="338">
        <f t="shared" ref="G769:G776" si="996">+H769+I769</f>
        <v>0</v>
      </c>
      <c r="H769" s="275">
        <v>0</v>
      </c>
      <c r="I769" s="275">
        <v>0</v>
      </c>
      <c r="J769" s="357" t="str">
        <f>IFERROR(G769/#REF!,"-")</f>
        <v>-</v>
      </c>
      <c r="K769" s="338">
        <f t="shared" ref="K769:K776" si="997">+L769+M769</f>
        <v>0</v>
      </c>
      <c r="L769" s="275">
        <f t="shared" ref="L769:L776" si="998">+H769+L666</f>
        <v>0</v>
      </c>
      <c r="M769" s="276">
        <f t="shared" ref="M769:M776" si="999">+I769+M666</f>
        <v>0</v>
      </c>
      <c r="N769" s="342" t="str">
        <f t="shared" si="967"/>
        <v>-</v>
      </c>
      <c r="O769" s="352" t="str">
        <f t="shared" si="960"/>
        <v>-</v>
      </c>
    </row>
    <row r="770" spans="1:15" ht="23.4" x14ac:dyDescent="0.3">
      <c r="A770" s="277" t="s">
        <v>111</v>
      </c>
      <c r="B770" s="923"/>
      <c r="C770" s="278" t="s">
        <v>24</v>
      </c>
      <c r="D770" s="278" t="s">
        <v>263</v>
      </c>
      <c r="E770" s="279">
        <v>0</v>
      </c>
      <c r="F770" s="280"/>
      <c r="G770" s="339">
        <f t="shared" si="996"/>
        <v>0</v>
      </c>
      <c r="H770" s="281">
        <v>0</v>
      </c>
      <c r="I770" s="281">
        <v>0</v>
      </c>
      <c r="J770" s="358" t="str">
        <f>IFERROR(G770/#REF!,"-")</f>
        <v>-</v>
      </c>
      <c r="K770" s="339">
        <f t="shared" si="997"/>
        <v>31810</v>
      </c>
      <c r="L770" s="281">
        <f t="shared" si="998"/>
        <v>31500</v>
      </c>
      <c r="M770" s="251">
        <f t="shared" si="999"/>
        <v>310</v>
      </c>
      <c r="N770" s="343" t="str">
        <f t="shared" si="967"/>
        <v>-</v>
      </c>
      <c r="O770" s="264">
        <f t="shared" si="960"/>
        <v>9.7453630933668663E-3</v>
      </c>
    </row>
    <row r="771" spans="1:15" ht="23.4" x14ac:dyDescent="0.3">
      <c r="A771" s="277" t="s">
        <v>111</v>
      </c>
      <c r="B771" s="923"/>
      <c r="C771" s="278" t="s">
        <v>261</v>
      </c>
      <c r="D771" s="278" t="s">
        <v>263</v>
      </c>
      <c r="E771" s="279">
        <v>0</v>
      </c>
      <c r="F771" s="280"/>
      <c r="G771" s="339">
        <f t="shared" si="996"/>
        <v>0</v>
      </c>
      <c r="H771" s="281">
        <v>0</v>
      </c>
      <c r="I771" s="281">
        <v>0</v>
      </c>
      <c r="J771" s="358" t="str">
        <f>IFERROR(G771/#REF!,"-")</f>
        <v>-</v>
      </c>
      <c r="K771" s="339">
        <f t="shared" si="997"/>
        <v>0</v>
      </c>
      <c r="L771" s="281">
        <f t="shared" si="998"/>
        <v>0</v>
      </c>
      <c r="M771" s="251">
        <f t="shared" si="999"/>
        <v>0</v>
      </c>
      <c r="N771" s="343" t="str">
        <f t="shared" si="967"/>
        <v>-</v>
      </c>
      <c r="O771" s="264" t="str">
        <f t="shared" si="960"/>
        <v>-</v>
      </c>
    </row>
    <row r="772" spans="1:15" ht="23.4" x14ac:dyDescent="0.3">
      <c r="A772" s="277" t="s">
        <v>111</v>
      </c>
      <c r="B772" s="923"/>
      <c r="C772" s="278" t="s">
        <v>262</v>
      </c>
      <c r="D772" s="278" t="s">
        <v>263</v>
      </c>
      <c r="E772" s="279">
        <v>0</v>
      </c>
      <c r="F772" s="280"/>
      <c r="G772" s="339">
        <f t="shared" si="996"/>
        <v>0</v>
      </c>
      <c r="H772" s="281">
        <v>0</v>
      </c>
      <c r="I772" s="281">
        <v>0</v>
      </c>
      <c r="J772" s="358" t="str">
        <f>IFERROR(G772/#REF!,"-")</f>
        <v>-</v>
      </c>
      <c r="K772" s="339">
        <f t="shared" si="997"/>
        <v>0</v>
      </c>
      <c r="L772" s="281">
        <f t="shared" si="998"/>
        <v>0</v>
      </c>
      <c r="M772" s="251">
        <f t="shared" si="999"/>
        <v>0</v>
      </c>
      <c r="N772" s="343" t="str">
        <f t="shared" si="967"/>
        <v>-</v>
      </c>
      <c r="O772" s="264" t="str">
        <f t="shared" si="960"/>
        <v>-</v>
      </c>
    </row>
    <row r="773" spans="1:15" ht="23.4" x14ac:dyDescent="0.3">
      <c r="A773" s="277" t="s">
        <v>111</v>
      </c>
      <c r="B773" s="923"/>
      <c r="C773" s="301" t="s">
        <v>264</v>
      </c>
      <c r="D773" s="278" t="s">
        <v>263</v>
      </c>
      <c r="E773" s="279">
        <v>0</v>
      </c>
      <c r="F773" s="280"/>
      <c r="G773" s="339">
        <f t="shared" si="996"/>
        <v>0</v>
      </c>
      <c r="H773" s="281">
        <v>0</v>
      </c>
      <c r="I773" s="281">
        <v>0</v>
      </c>
      <c r="J773" s="358" t="str">
        <f>IFERROR(G773/#REF!,"-")</f>
        <v>-</v>
      </c>
      <c r="K773" s="339">
        <f t="shared" si="997"/>
        <v>0</v>
      </c>
      <c r="L773" s="281">
        <f t="shared" si="998"/>
        <v>0</v>
      </c>
      <c r="M773" s="251">
        <f t="shared" si="999"/>
        <v>0</v>
      </c>
      <c r="N773" s="343" t="str">
        <f t="shared" si="967"/>
        <v>-</v>
      </c>
      <c r="O773" s="264" t="str">
        <f t="shared" si="960"/>
        <v>-</v>
      </c>
    </row>
    <row r="774" spans="1:15" ht="23.4" x14ac:dyDescent="0.3">
      <c r="A774" s="277" t="s">
        <v>111</v>
      </c>
      <c r="B774" s="923"/>
      <c r="C774" s="301" t="s">
        <v>265</v>
      </c>
      <c r="D774" s="278" t="s">
        <v>263</v>
      </c>
      <c r="E774" s="279">
        <v>0</v>
      </c>
      <c r="F774" s="280"/>
      <c r="G774" s="339">
        <f t="shared" si="996"/>
        <v>0</v>
      </c>
      <c r="H774" s="281">
        <v>0</v>
      </c>
      <c r="I774" s="281">
        <v>0</v>
      </c>
      <c r="J774" s="358" t="str">
        <f>IFERROR(G774/#REF!,"-")</f>
        <v>-</v>
      </c>
      <c r="K774" s="339">
        <f t="shared" si="997"/>
        <v>0</v>
      </c>
      <c r="L774" s="281">
        <f t="shared" si="998"/>
        <v>0</v>
      </c>
      <c r="M774" s="251">
        <f t="shared" si="999"/>
        <v>0</v>
      </c>
      <c r="N774" s="343" t="str">
        <f t="shared" si="967"/>
        <v>-</v>
      </c>
      <c r="O774" s="264" t="str">
        <f t="shared" si="960"/>
        <v>-</v>
      </c>
    </row>
    <row r="775" spans="1:15" ht="23.4" x14ac:dyDescent="0.3">
      <c r="A775" s="277" t="s">
        <v>111</v>
      </c>
      <c r="B775" s="923"/>
      <c r="C775" s="301" t="s">
        <v>266</v>
      </c>
      <c r="D775" s="278" t="s">
        <v>268</v>
      </c>
      <c r="E775" s="279">
        <v>0</v>
      </c>
      <c r="F775" s="280"/>
      <c r="G775" s="339">
        <f t="shared" si="996"/>
        <v>8765</v>
      </c>
      <c r="H775" s="281">
        <v>8750</v>
      </c>
      <c r="I775" s="281">
        <v>15</v>
      </c>
      <c r="J775" s="358" t="str">
        <f>IFERROR(G775/#REF!,"-")</f>
        <v>-</v>
      </c>
      <c r="K775" s="339">
        <f t="shared" si="997"/>
        <v>8765</v>
      </c>
      <c r="L775" s="281">
        <f t="shared" si="998"/>
        <v>8750</v>
      </c>
      <c r="M775" s="251">
        <f t="shared" si="999"/>
        <v>15</v>
      </c>
      <c r="N775" s="343" t="str">
        <f t="shared" si="967"/>
        <v>-</v>
      </c>
      <c r="O775" s="264">
        <f t="shared" si="960"/>
        <v>1.7113519680547634E-3</v>
      </c>
    </row>
    <row r="776" spans="1:15" ht="24" thickBot="1" x14ac:dyDescent="0.35">
      <c r="A776" s="277" t="s">
        <v>111</v>
      </c>
      <c r="B776" s="924"/>
      <c r="C776" s="301" t="s">
        <v>267</v>
      </c>
      <c r="D776" s="278" t="s">
        <v>263</v>
      </c>
      <c r="E776" s="283">
        <v>0</v>
      </c>
      <c r="F776" s="284"/>
      <c r="G776" s="340">
        <f t="shared" si="996"/>
        <v>7058</v>
      </c>
      <c r="H776" s="285">
        <v>7000</v>
      </c>
      <c r="I776" s="285">
        <v>58</v>
      </c>
      <c r="J776" s="359" t="str">
        <f>IFERROR(G776/#REF!,"-")</f>
        <v>-</v>
      </c>
      <c r="K776" s="340">
        <f t="shared" si="997"/>
        <v>14088</v>
      </c>
      <c r="L776" s="285">
        <f t="shared" si="998"/>
        <v>14000</v>
      </c>
      <c r="M776" s="286">
        <f t="shared" si="999"/>
        <v>88</v>
      </c>
      <c r="N776" s="344" t="str">
        <f t="shared" si="967"/>
        <v>-</v>
      </c>
      <c r="O776" s="353">
        <f t="shared" si="960"/>
        <v>6.2464508801817146E-3</v>
      </c>
    </row>
    <row r="777" spans="1:15" ht="24" thickBot="1" x14ac:dyDescent="0.35">
      <c r="A777" s="277" t="s">
        <v>111</v>
      </c>
      <c r="B777" s="906" t="s">
        <v>52</v>
      </c>
      <c r="C777" s="907"/>
      <c r="D777" s="908"/>
      <c r="E777" s="288">
        <v>157500</v>
      </c>
      <c r="F777" s="289">
        <v>14000</v>
      </c>
      <c r="G777" s="326">
        <f>SUM(G769:G776)</f>
        <v>15823</v>
      </c>
      <c r="H777" s="327">
        <f t="shared" ref="H777:I777" si="1000">SUM(H769:H776)</f>
        <v>15750</v>
      </c>
      <c r="I777" s="327">
        <f t="shared" si="1000"/>
        <v>73</v>
      </c>
      <c r="J777" s="351" t="str">
        <f>IFERROR(G777/#REF!,"-")</f>
        <v>-</v>
      </c>
      <c r="K777" s="326">
        <f t="shared" ref="K777:M777" si="1001">SUM(K769:K776)</f>
        <v>54663</v>
      </c>
      <c r="L777" s="327">
        <f t="shared" si="1001"/>
        <v>54250</v>
      </c>
      <c r="M777" s="328">
        <f t="shared" si="1001"/>
        <v>413</v>
      </c>
      <c r="N777" s="345">
        <f t="shared" si="967"/>
        <v>0.34706666666666669</v>
      </c>
      <c r="O777" s="351">
        <f t="shared" si="960"/>
        <v>7.5553848123959535E-3</v>
      </c>
    </row>
    <row r="778" spans="1:15" ht="24" thickBot="1" x14ac:dyDescent="0.35">
      <c r="A778" s="277" t="s">
        <v>111</v>
      </c>
      <c r="B778" s="926" t="s">
        <v>25</v>
      </c>
      <c r="C778" s="927"/>
      <c r="D778" s="928"/>
      <c r="E778" s="332">
        <f t="shared" ref="E778:F778" si="1002">+E768+E777</f>
        <v>157500</v>
      </c>
      <c r="F778" s="333">
        <f t="shared" si="1002"/>
        <v>94000</v>
      </c>
      <c r="G778" s="332">
        <f>+G768+G777</f>
        <v>15823</v>
      </c>
      <c r="H778" s="330">
        <f t="shared" ref="H778:I778" si="1003">+H768+H777</f>
        <v>15750</v>
      </c>
      <c r="I778" s="330">
        <f t="shared" si="1003"/>
        <v>73</v>
      </c>
      <c r="J778" s="355" t="str">
        <f>IFERROR(G778/#REF!,"-")</f>
        <v>-</v>
      </c>
      <c r="K778" s="332">
        <f t="shared" ref="K778" si="1004">+K768+K777</f>
        <v>54663</v>
      </c>
      <c r="L778" s="330">
        <f>+L768+L777</f>
        <v>54250</v>
      </c>
      <c r="M778" s="331">
        <f t="shared" ref="M778" si="1005">+M768+M777</f>
        <v>413</v>
      </c>
      <c r="N778" s="347">
        <f t="shared" si="967"/>
        <v>0.34706666666666669</v>
      </c>
      <c r="O778" s="355">
        <f t="shared" si="960"/>
        <v>7.5553848123959535E-3</v>
      </c>
    </row>
    <row r="779" spans="1:15" ht="24" thickBot="1" x14ac:dyDescent="0.35">
      <c r="A779" s="277" t="s">
        <v>111</v>
      </c>
      <c r="B779" s="900" t="s">
        <v>181</v>
      </c>
      <c r="C779" s="901"/>
      <c r="D779" s="902"/>
      <c r="E779" s="336">
        <f>+E763+E778</f>
        <v>5932100</v>
      </c>
      <c r="F779" s="337">
        <f t="shared" ref="F779:I779" si="1006">+F763+F778</f>
        <v>449000</v>
      </c>
      <c r="G779" s="336">
        <f t="shared" si="1006"/>
        <v>160675</v>
      </c>
      <c r="H779" s="334">
        <f t="shared" si="1006"/>
        <v>160030</v>
      </c>
      <c r="I779" s="334">
        <f t="shared" si="1006"/>
        <v>645</v>
      </c>
      <c r="J779" s="356" t="str">
        <f>IFERROR(G779/#REF!,"-")</f>
        <v>-</v>
      </c>
      <c r="K779" s="336">
        <f t="shared" ref="K779:M779" si="1007">+K763+K778</f>
        <v>898291</v>
      </c>
      <c r="L779" s="334">
        <f t="shared" si="1007"/>
        <v>892950</v>
      </c>
      <c r="M779" s="335">
        <f t="shared" si="1007"/>
        <v>5341</v>
      </c>
      <c r="N779" s="348">
        <f t="shared" si="967"/>
        <v>0.15142883633114748</v>
      </c>
      <c r="O779" s="356">
        <f t="shared" si="960"/>
        <v>5.9457347340672456E-3</v>
      </c>
    </row>
    <row r="780" spans="1:15" ht="23.4" x14ac:dyDescent="0.3">
      <c r="A780" s="271" t="s">
        <v>109</v>
      </c>
      <c r="B780" s="929" t="s">
        <v>26</v>
      </c>
      <c r="C780" s="303" t="s">
        <v>334</v>
      </c>
      <c r="D780" s="303" t="s">
        <v>192</v>
      </c>
      <c r="E780" s="273">
        <v>0</v>
      </c>
      <c r="F780" s="274"/>
      <c r="G780" s="338">
        <f t="shared" ref="G780:G788" si="1008">+H780+I780</f>
        <v>0</v>
      </c>
      <c r="H780" s="275">
        <v>0</v>
      </c>
      <c r="I780" s="275">
        <v>0</v>
      </c>
      <c r="J780" s="357" t="str">
        <f>IFERROR(G780/#REF!,"-")</f>
        <v>-</v>
      </c>
      <c r="K780" s="338">
        <f t="shared" ref="K780:K788" si="1009">+L780+M780</f>
        <v>326708</v>
      </c>
      <c r="L780" s="275">
        <f t="shared" ref="L780:L788" si="1010">+H780+L677</f>
        <v>322218</v>
      </c>
      <c r="M780" s="276">
        <f t="shared" ref="M780:M788" si="1011">+I780+M677</f>
        <v>4490</v>
      </c>
      <c r="N780" s="342" t="str">
        <f t="shared" si="967"/>
        <v>-</v>
      </c>
      <c r="O780" s="352">
        <f t="shared" si="960"/>
        <v>1.3743159028857574E-2</v>
      </c>
    </row>
    <row r="781" spans="1:15" ht="23.4" x14ac:dyDescent="0.3">
      <c r="A781" s="277" t="s">
        <v>109</v>
      </c>
      <c r="B781" s="929"/>
      <c r="C781" s="304" t="s">
        <v>199</v>
      </c>
      <c r="D781" s="304" t="s">
        <v>115</v>
      </c>
      <c r="E781" s="279">
        <v>0</v>
      </c>
      <c r="F781" s="280"/>
      <c r="G781" s="339">
        <f t="shared" si="1008"/>
        <v>0</v>
      </c>
      <c r="H781" s="281">
        <v>0</v>
      </c>
      <c r="I781" s="281">
        <v>0</v>
      </c>
      <c r="J781" s="358" t="str">
        <f>IFERROR(G781/#REF!,"-")</f>
        <v>-</v>
      </c>
      <c r="K781" s="339">
        <f t="shared" si="1009"/>
        <v>0</v>
      </c>
      <c r="L781" s="281">
        <f t="shared" si="1010"/>
        <v>0</v>
      </c>
      <c r="M781" s="251">
        <f t="shared" si="1011"/>
        <v>0</v>
      </c>
      <c r="N781" s="343" t="str">
        <f t="shared" si="967"/>
        <v>-</v>
      </c>
      <c r="O781" s="264" t="str">
        <f t="shared" si="960"/>
        <v>-</v>
      </c>
    </row>
    <row r="782" spans="1:15" ht="23.4" x14ac:dyDescent="0.3">
      <c r="A782" s="277" t="s">
        <v>109</v>
      </c>
      <c r="B782" s="929"/>
      <c r="C782" s="305" t="s">
        <v>27</v>
      </c>
      <c r="D782" s="305" t="s">
        <v>310</v>
      </c>
      <c r="E782" s="283">
        <v>0</v>
      </c>
      <c r="F782" s="284"/>
      <c r="G782" s="339">
        <f t="shared" si="1008"/>
        <v>0</v>
      </c>
      <c r="H782" s="285">
        <v>0</v>
      </c>
      <c r="I782" s="285">
        <v>0</v>
      </c>
      <c r="J782" s="359" t="str">
        <f>IFERROR(G782/#REF!,"-")</f>
        <v>-</v>
      </c>
      <c r="K782" s="339">
        <f t="shared" si="1009"/>
        <v>0</v>
      </c>
      <c r="L782" s="285">
        <f t="shared" si="1010"/>
        <v>0</v>
      </c>
      <c r="M782" s="286">
        <f t="shared" si="1011"/>
        <v>0</v>
      </c>
      <c r="N782" s="287"/>
      <c r="O782" s="264" t="str">
        <f t="shared" si="960"/>
        <v>-</v>
      </c>
    </row>
    <row r="783" spans="1:15" ht="23.4" x14ac:dyDescent="0.3">
      <c r="A783" s="277" t="s">
        <v>109</v>
      </c>
      <c r="B783" s="929"/>
      <c r="C783" s="305" t="s">
        <v>27</v>
      </c>
      <c r="D783" s="305" t="s">
        <v>311</v>
      </c>
      <c r="E783" s="283">
        <v>0</v>
      </c>
      <c r="F783" s="284"/>
      <c r="G783" s="339">
        <f t="shared" si="1008"/>
        <v>0</v>
      </c>
      <c r="H783" s="285">
        <v>0</v>
      </c>
      <c r="I783" s="285">
        <v>0</v>
      </c>
      <c r="J783" s="359" t="str">
        <f>IFERROR(G783/#REF!,"-")</f>
        <v>-</v>
      </c>
      <c r="K783" s="339">
        <f t="shared" si="1009"/>
        <v>0</v>
      </c>
      <c r="L783" s="285">
        <f t="shared" si="1010"/>
        <v>0</v>
      </c>
      <c r="M783" s="286">
        <f t="shared" si="1011"/>
        <v>0</v>
      </c>
      <c r="N783" s="287"/>
      <c r="O783" s="264" t="str">
        <f t="shared" si="960"/>
        <v>-</v>
      </c>
    </row>
    <row r="784" spans="1:15" ht="23.4" x14ac:dyDescent="0.3">
      <c r="A784" s="277" t="s">
        <v>109</v>
      </c>
      <c r="B784" s="929"/>
      <c r="C784" s="305" t="s">
        <v>325</v>
      </c>
      <c r="D784" s="305" t="s">
        <v>324</v>
      </c>
      <c r="E784" s="283">
        <v>0</v>
      </c>
      <c r="F784" s="284"/>
      <c r="G784" s="339">
        <f t="shared" si="1008"/>
        <v>0</v>
      </c>
      <c r="H784" s="285">
        <v>0</v>
      </c>
      <c r="I784" s="285">
        <v>0</v>
      </c>
      <c r="J784" s="359" t="str">
        <f>IFERROR(G784/#REF!,"-")</f>
        <v>-</v>
      </c>
      <c r="K784" s="339">
        <f t="shared" si="1009"/>
        <v>0</v>
      </c>
      <c r="L784" s="285">
        <f t="shared" si="1010"/>
        <v>0</v>
      </c>
      <c r="M784" s="286">
        <f t="shared" si="1011"/>
        <v>0</v>
      </c>
      <c r="N784" s="287"/>
      <c r="O784" s="264" t="str">
        <f t="shared" si="960"/>
        <v>-</v>
      </c>
    </row>
    <row r="785" spans="1:15" ht="23.4" x14ac:dyDescent="0.3">
      <c r="A785" s="277"/>
      <c r="B785" s="929"/>
      <c r="C785" s="305" t="s">
        <v>393</v>
      </c>
      <c r="D785" s="305" t="s">
        <v>192</v>
      </c>
      <c r="E785" s="283">
        <v>0</v>
      </c>
      <c r="F785" s="284"/>
      <c r="G785" s="340">
        <f t="shared" si="1008"/>
        <v>0</v>
      </c>
      <c r="H785" s="285">
        <v>0</v>
      </c>
      <c r="I785" s="285">
        <v>0</v>
      </c>
      <c r="J785" s="359" t="str">
        <f>IFERROR(G785/#REF!,"-")</f>
        <v>-</v>
      </c>
      <c r="K785" s="340">
        <f t="shared" si="1009"/>
        <v>0</v>
      </c>
      <c r="L785" s="285">
        <f t="shared" si="1010"/>
        <v>0</v>
      </c>
      <c r="M785" s="286">
        <f t="shared" si="1011"/>
        <v>0</v>
      </c>
      <c r="N785" s="287"/>
      <c r="O785" s="264" t="str">
        <f t="shared" si="960"/>
        <v>-</v>
      </c>
    </row>
    <row r="786" spans="1:15" ht="23.4" x14ac:dyDescent="0.3">
      <c r="A786" s="277"/>
      <c r="B786" s="929"/>
      <c r="C786" s="305" t="s">
        <v>325</v>
      </c>
      <c r="D786" s="305" t="s">
        <v>101</v>
      </c>
      <c r="E786" s="283">
        <v>0</v>
      </c>
      <c r="F786" s="284"/>
      <c r="G786" s="340">
        <f t="shared" si="1008"/>
        <v>0</v>
      </c>
      <c r="H786" s="285">
        <v>0</v>
      </c>
      <c r="I786" s="285">
        <v>0</v>
      </c>
      <c r="J786" s="359" t="str">
        <f>IFERROR(G786/#REF!,"-")</f>
        <v>-</v>
      </c>
      <c r="K786" s="340">
        <f t="shared" si="1009"/>
        <v>0</v>
      </c>
      <c r="L786" s="285">
        <f t="shared" si="1010"/>
        <v>0</v>
      </c>
      <c r="M786" s="286">
        <f t="shared" si="1011"/>
        <v>0</v>
      </c>
      <c r="N786" s="287"/>
      <c r="O786" s="264" t="str">
        <f t="shared" si="960"/>
        <v>-</v>
      </c>
    </row>
    <row r="787" spans="1:15" ht="23.4" x14ac:dyDescent="0.3">
      <c r="A787" s="277"/>
      <c r="B787" s="929"/>
      <c r="C787" s="305" t="s">
        <v>325</v>
      </c>
      <c r="D787" s="305" t="s">
        <v>394</v>
      </c>
      <c r="E787" s="283">
        <v>0</v>
      </c>
      <c r="F787" s="284"/>
      <c r="G787" s="340">
        <f t="shared" si="1008"/>
        <v>88681</v>
      </c>
      <c r="H787" s="285">
        <v>87516</v>
      </c>
      <c r="I787" s="285">
        <v>1165</v>
      </c>
      <c r="J787" s="359" t="str">
        <f>IFERROR(G787/#REF!,"-")</f>
        <v>-</v>
      </c>
      <c r="K787" s="340">
        <f t="shared" si="1009"/>
        <v>341475</v>
      </c>
      <c r="L787" s="285">
        <f t="shared" si="1010"/>
        <v>338130</v>
      </c>
      <c r="M787" s="286">
        <f t="shared" si="1011"/>
        <v>3345</v>
      </c>
      <c r="N787" s="287"/>
      <c r="O787" s="264">
        <f t="shared" si="960"/>
        <v>9.7957390731385902E-3</v>
      </c>
    </row>
    <row r="788" spans="1:15" ht="24" thickBot="1" x14ac:dyDescent="0.35">
      <c r="A788" s="277" t="s">
        <v>109</v>
      </c>
      <c r="B788" s="929"/>
      <c r="C788" s="306" t="s">
        <v>326</v>
      </c>
      <c r="D788" s="305" t="s">
        <v>324</v>
      </c>
      <c r="E788" s="283">
        <v>0</v>
      </c>
      <c r="F788" s="284"/>
      <c r="G788" s="340">
        <f t="shared" si="1008"/>
        <v>0</v>
      </c>
      <c r="H788" s="285">
        <v>0</v>
      </c>
      <c r="I788" s="285">
        <v>0</v>
      </c>
      <c r="J788" s="359" t="str">
        <f>IFERROR(G788/#REF!,"-")</f>
        <v>-</v>
      </c>
      <c r="K788" s="340">
        <f t="shared" si="1009"/>
        <v>7956</v>
      </c>
      <c r="L788" s="285">
        <f t="shared" si="1010"/>
        <v>7956</v>
      </c>
      <c r="M788" s="286">
        <f t="shared" si="1011"/>
        <v>0</v>
      </c>
      <c r="N788" s="344" t="str">
        <f t="shared" ref="N788:N805" si="1012">IFERROR(K788/E788,"-")</f>
        <v>-</v>
      </c>
      <c r="O788" s="353">
        <f t="shared" si="960"/>
        <v>0</v>
      </c>
    </row>
    <row r="789" spans="1:15" ht="24" thickBot="1" x14ac:dyDescent="0.35">
      <c r="A789" s="277" t="s">
        <v>109</v>
      </c>
      <c r="B789" s="930"/>
      <c r="C789" s="307"/>
      <c r="D789" s="308" t="s">
        <v>55</v>
      </c>
      <c r="E789" s="288">
        <v>0</v>
      </c>
      <c r="F789" s="289"/>
      <c r="G789" s="326">
        <f>SUM(G780:G788)</f>
        <v>88681</v>
      </c>
      <c r="H789" s="327">
        <f>SUM(H780:H788)</f>
        <v>87516</v>
      </c>
      <c r="I789" s="327">
        <f>SUM(I780:I788)</f>
        <v>1165</v>
      </c>
      <c r="J789" s="351" t="str">
        <f>IFERROR(G789/#REF!,"-")</f>
        <v>-</v>
      </c>
      <c r="K789" s="326">
        <f>SUM(K780:K788)</f>
        <v>676139</v>
      </c>
      <c r="L789" s="327">
        <f>SUM(L780:L788)</f>
        <v>668304</v>
      </c>
      <c r="M789" s="328">
        <f>SUM(M780:M788)</f>
        <v>7835</v>
      </c>
      <c r="N789" s="345" t="str">
        <f t="shared" si="1012"/>
        <v>-</v>
      </c>
      <c r="O789" s="351">
        <f t="shared" si="960"/>
        <v>1.1587853976771048E-2</v>
      </c>
    </row>
    <row r="790" spans="1:15" ht="23.4" x14ac:dyDescent="0.3">
      <c r="A790" s="277" t="s">
        <v>109</v>
      </c>
      <c r="B790" s="931" t="s">
        <v>28</v>
      </c>
      <c r="C790" s="303" t="s">
        <v>322</v>
      </c>
      <c r="D790" s="303" t="s">
        <v>193</v>
      </c>
      <c r="E790" s="273">
        <v>0</v>
      </c>
      <c r="F790" s="274"/>
      <c r="G790" s="338">
        <f t="shared" ref="G790:G792" si="1013">+H790+I790</f>
        <v>0</v>
      </c>
      <c r="H790" s="275">
        <v>0</v>
      </c>
      <c r="I790" s="275">
        <v>0</v>
      </c>
      <c r="J790" s="357" t="str">
        <f>IFERROR(G790/#REF!,"-")</f>
        <v>-</v>
      </c>
      <c r="K790" s="338">
        <f t="shared" ref="K790:K792" si="1014">+L790+M790</f>
        <v>0</v>
      </c>
      <c r="L790" s="275">
        <f t="shared" ref="L790:L792" si="1015">+H790+L687</f>
        <v>0</v>
      </c>
      <c r="M790" s="276">
        <f t="shared" ref="M790:M792" si="1016">+I790+M687</f>
        <v>0</v>
      </c>
      <c r="N790" s="342" t="str">
        <f t="shared" si="1012"/>
        <v>-</v>
      </c>
      <c r="O790" s="352" t="str">
        <f t="shared" si="960"/>
        <v>-</v>
      </c>
    </row>
    <row r="791" spans="1:15" ht="23.4" x14ac:dyDescent="0.3">
      <c r="A791" s="277" t="s">
        <v>109</v>
      </c>
      <c r="B791" s="929"/>
      <c r="C791" s="305" t="s">
        <v>27</v>
      </c>
      <c r="D791" s="305" t="s">
        <v>311</v>
      </c>
      <c r="E791" s="279">
        <v>0</v>
      </c>
      <c r="F791" s="280"/>
      <c r="G791" s="339">
        <f t="shared" si="1013"/>
        <v>0</v>
      </c>
      <c r="H791" s="281">
        <v>0</v>
      </c>
      <c r="I791" s="281">
        <v>0</v>
      </c>
      <c r="J791" s="358" t="str">
        <f>IFERROR(G791/#REF!,"-")</f>
        <v>-</v>
      </c>
      <c r="K791" s="339">
        <f t="shared" si="1014"/>
        <v>0</v>
      </c>
      <c r="L791" s="281">
        <f t="shared" si="1015"/>
        <v>0</v>
      </c>
      <c r="M791" s="251">
        <f t="shared" si="1016"/>
        <v>0</v>
      </c>
      <c r="N791" s="343" t="str">
        <f t="shared" si="1012"/>
        <v>-</v>
      </c>
      <c r="O791" s="264" t="str">
        <f t="shared" si="960"/>
        <v>-</v>
      </c>
    </row>
    <row r="792" spans="1:15" ht="24" thickBot="1" x14ac:dyDescent="0.35">
      <c r="A792" s="277" t="s">
        <v>109</v>
      </c>
      <c r="B792" s="929"/>
      <c r="C792" s="305" t="s">
        <v>27</v>
      </c>
      <c r="D792" s="306" t="s">
        <v>259</v>
      </c>
      <c r="E792" s="283">
        <v>0</v>
      </c>
      <c r="F792" s="284"/>
      <c r="G792" s="340">
        <f t="shared" si="1013"/>
        <v>0</v>
      </c>
      <c r="H792" s="285">
        <v>0</v>
      </c>
      <c r="I792" s="285">
        <v>0</v>
      </c>
      <c r="J792" s="359" t="str">
        <f>IFERROR(G792/#REF!,"-")</f>
        <v>-</v>
      </c>
      <c r="K792" s="340">
        <f t="shared" si="1014"/>
        <v>0</v>
      </c>
      <c r="L792" s="285">
        <f t="shared" si="1015"/>
        <v>0</v>
      </c>
      <c r="M792" s="286">
        <f t="shared" si="1016"/>
        <v>0</v>
      </c>
      <c r="N792" s="344" t="str">
        <f t="shared" si="1012"/>
        <v>-</v>
      </c>
      <c r="O792" s="353" t="str">
        <f t="shared" si="960"/>
        <v>-</v>
      </c>
    </row>
    <row r="793" spans="1:15" ht="24" thickBot="1" x14ac:dyDescent="0.35">
      <c r="A793" s="277" t="s">
        <v>109</v>
      </c>
      <c r="B793" s="929"/>
      <c r="C793" s="310"/>
      <c r="D793" s="311" t="s">
        <v>55</v>
      </c>
      <c r="E793" s="312">
        <v>0</v>
      </c>
      <c r="F793" s="313"/>
      <c r="G793" s="372">
        <f>SUM(G790:G792)</f>
        <v>0</v>
      </c>
      <c r="H793" s="371">
        <f t="shared" ref="H793:I793" si="1017">SUM(H790:H792)</f>
        <v>0</v>
      </c>
      <c r="I793" s="371">
        <f t="shared" si="1017"/>
        <v>0</v>
      </c>
      <c r="J793" s="362" t="str">
        <f>IFERROR(G793/#REF!,"-")</f>
        <v>-</v>
      </c>
      <c r="K793" s="372">
        <f>SUM(K790:K792)</f>
        <v>0</v>
      </c>
      <c r="L793" s="371">
        <f t="shared" ref="L793:M793" si="1018">SUM(L790:L792)</f>
        <v>0</v>
      </c>
      <c r="M793" s="373">
        <f t="shared" si="1018"/>
        <v>0</v>
      </c>
      <c r="N793" s="361" t="str">
        <f t="shared" si="1012"/>
        <v>-</v>
      </c>
      <c r="O793" s="362" t="str">
        <f t="shared" si="960"/>
        <v>-</v>
      </c>
    </row>
    <row r="794" spans="1:15" ht="24" thickBot="1" x14ac:dyDescent="0.35">
      <c r="A794" s="732" t="s">
        <v>109</v>
      </c>
      <c r="B794" s="932" t="s">
        <v>171</v>
      </c>
      <c r="C794" s="933"/>
      <c r="D794" s="934"/>
      <c r="E794" s="314">
        <v>2167000</v>
      </c>
      <c r="F794" s="315">
        <v>80000</v>
      </c>
      <c r="G794" s="375">
        <f>+G789+G793</f>
        <v>88681</v>
      </c>
      <c r="H794" s="374">
        <f t="shared" ref="H794:I794" si="1019">+H789+H793</f>
        <v>87516</v>
      </c>
      <c r="I794" s="374">
        <f t="shared" si="1019"/>
        <v>1165</v>
      </c>
      <c r="J794" s="364" t="str">
        <f>IFERROR(G794/#REF!,"-")</f>
        <v>-</v>
      </c>
      <c r="K794" s="375">
        <f>+K789+K793</f>
        <v>676139</v>
      </c>
      <c r="L794" s="374">
        <f>+L789+L793</f>
        <v>668304</v>
      </c>
      <c r="M794" s="376">
        <f t="shared" ref="M794" si="1020">+M789+M793</f>
        <v>7835</v>
      </c>
      <c r="N794" s="363">
        <f t="shared" si="1012"/>
        <v>0.31201615136132904</v>
      </c>
      <c r="O794" s="364">
        <f t="shared" si="960"/>
        <v>1.1587853976771048E-2</v>
      </c>
    </row>
    <row r="795" spans="1:15" ht="23.4" x14ac:dyDescent="0.3">
      <c r="A795" s="277" t="s">
        <v>109</v>
      </c>
      <c r="B795" s="929" t="s">
        <v>30</v>
      </c>
      <c r="C795" s="309" t="s">
        <v>396</v>
      </c>
      <c r="D795" s="303" t="s">
        <v>193</v>
      </c>
      <c r="E795" s="273">
        <v>0</v>
      </c>
      <c r="F795" s="274"/>
      <c r="G795" s="338">
        <f t="shared" ref="G795:G797" si="1021">+H795+I795</f>
        <v>0</v>
      </c>
      <c r="H795" s="275">
        <v>0</v>
      </c>
      <c r="I795" s="275">
        <v>0</v>
      </c>
      <c r="J795" s="357" t="str">
        <f>IFERROR(G795/#REF!,"-")</f>
        <v>-</v>
      </c>
      <c r="K795" s="338">
        <f t="shared" ref="K795:K797" si="1022">+L795+M795</f>
        <v>0</v>
      </c>
      <c r="L795" s="275">
        <f t="shared" ref="L795:L797" si="1023">+H795+L692</f>
        <v>0</v>
      </c>
      <c r="M795" s="276">
        <f t="shared" ref="M795:M797" si="1024">+I795+M692</f>
        <v>0</v>
      </c>
      <c r="N795" s="342" t="str">
        <f t="shared" si="1012"/>
        <v>-</v>
      </c>
      <c r="O795" s="352" t="str">
        <f t="shared" si="960"/>
        <v>-</v>
      </c>
    </row>
    <row r="796" spans="1:15" ht="23.4" x14ac:dyDescent="0.3">
      <c r="A796" s="277" t="s">
        <v>109</v>
      </c>
      <c r="B796" s="929"/>
      <c r="C796" s="309" t="s">
        <v>395</v>
      </c>
      <c r="D796" s="309" t="s">
        <v>324</v>
      </c>
      <c r="E796" s="279">
        <v>0</v>
      </c>
      <c r="F796" s="280"/>
      <c r="G796" s="339">
        <f t="shared" si="1021"/>
        <v>0</v>
      </c>
      <c r="H796" s="281">
        <v>0</v>
      </c>
      <c r="I796" s="281">
        <v>0</v>
      </c>
      <c r="J796" s="358" t="str">
        <f>IFERROR(G796/#REF!,"-")</f>
        <v>-</v>
      </c>
      <c r="K796" s="339">
        <f t="shared" si="1022"/>
        <v>0</v>
      </c>
      <c r="L796" s="281">
        <f t="shared" si="1023"/>
        <v>0</v>
      </c>
      <c r="M796" s="251">
        <f t="shared" si="1024"/>
        <v>0</v>
      </c>
      <c r="N796" s="343" t="str">
        <f t="shared" si="1012"/>
        <v>-</v>
      </c>
      <c r="O796" s="264" t="str">
        <f t="shared" si="960"/>
        <v>-</v>
      </c>
    </row>
    <row r="797" spans="1:15" ht="24" thickBot="1" x14ac:dyDescent="0.35">
      <c r="A797" s="277" t="s">
        <v>109</v>
      </c>
      <c r="B797" s="929"/>
      <c r="C797" s="306" t="s">
        <v>327</v>
      </c>
      <c r="D797" s="306"/>
      <c r="E797" s="283">
        <v>0</v>
      </c>
      <c r="F797" s="284"/>
      <c r="G797" s="340">
        <f t="shared" si="1021"/>
        <v>0</v>
      </c>
      <c r="H797" s="285">
        <v>0</v>
      </c>
      <c r="I797" s="285">
        <v>0</v>
      </c>
      <c r="J797" s="359" t="str">
        <f>IFERROR(G797/#REF!,"-")</f>
        <v>-</v>
      </c>
      <c r="K797" s="340">
        <f t="shared" si="1022"/>
        <v>0</v>
      </c>
      <c r="L797" s="285">
        <f t="shared" si="1023"/>
        <v>0</v>
      </c>
      <c r="M797" s="286">
        <f t="shared" si="1024"/>
        <v>0</v>
      </c>
      <c r="N797" s="344" t="str">
        <f t="shared" si="1012"/>
        <v>-</v>
      </c>
      <c r="O797" s="353" t="str">
        <f t="shared" si="960"/>
        <v>-</v>
      </c>
    </row>
    <row r="798" spans="1:15" ht="24" thickBot="1" x14ac:dyDescent="0.35">
      <c r="A798" s="277" t="s">
        <v>109</v>
      </c>
      <c r="B798" s="929"/>
      <c r="C798" s="307"/>
      <c r="D798" s="308" t="s">
        <v>53</v>
      </c>
      <c r="E798" s="288">
        <v>0</v>
      </c>
      <c r="F798" s="289"/>
      <c r="G798" s="326">
        <f>SUM(G795:G797)</f>
        <v>0</v>
      </c>
      <c r="H798" s="327">
        <f t="shared" ref="H798:I798" si="1025">SUM(H795:H797)</f>
        <v>0</v>
      </c>
      <c r="I798" s="327">
        <f t="shared" si="1025"/>
        <v>0</v>
      </c>
      <c r="J798" s="351" t="str">
        <f>IFERROR(G798/#REF!,"-")</f>
        <v>-</v>
      </c>
      <c r="K798" s="326">
        <f t="shared" ref="K798" si="1026">SUM(K795:K797)</f>
        <v>0</v>
      </c>
      <c r="L798" s="327">
        <f>SUM(L795:L797)</f>
        <v>0</v>
      </c>
      <c r="M798" s="328">
        <f t="shared" ref="M798" si="1027">SUM(M795:M797)</f>
        <v>0</v>
      </c>
      <c r="N798" s="345" t="str">
        <f t="shared" si="1012"/>
        <v>-</v>
      </c>
      <c r="O798" s="351" t="str">
        <f t="shared" si="960"/>
        <v>-</v>
      </c>
    </row>
    <row r="799" spans="1:15" ht="23.4" x14ac:dyDescent="0.3">
      <c r="A799" s="277" t="s">
        <v>109</v>
      </c>
      <c r="B799" s="929"/>
      <c r="C799" s="303" t="s">
        <v>352</v>
      </c>
      <c r="D799" s="303"/>
      <c r="E799" s="273">
        <v>0</v>
      </c>
      <c r="F799" s="274"/>
      <c r="G799" s="338">
        <f t="shared" ref="G799:G801" si="1028">+H799+I799</f>
        <v>0</v>
      </c>
      <c r="H799" s="275">
        <v>0</v>
      </c>
      <c r="I799" s="275">
        <v>0</v>
      </c>
      <c r="J799" s="357" t="str">
        <f>IFERROR(G799/#REF!,"-")</f>
        <v>-</v>
      </c>
      <c r="K799" s="338">
        <f t="shared" ref="K799:K801" si="1029">+L799+M799</f>
        <v>0</v>
      </c>
      <c r="L799" s="275">
        <f t="shared" ref="L799:L801" si="1030">+H799+L696</f>
        <v>0</v>
      </c>
      <c r="M799" s="276">
        <f t="shared" ref="M799:M801" si="1031">+I799+M696</f>
        <v>0</v>
      </c>
      <c r="N799" s="342" t="str">
        <f t="shared" si="1012"/>
        <v>-</v>
      </c>
      <c r="O799" s="352" t="str">
        <f t="shared" si="960"/>
        <v>-</v>
      </c>
    </row>
    <row r="800" spans="1:15" ht="23.4" x14ac:dyDescent="0.3">
      <c r="A800" s="277" t="s">
        <v>109</v>
      </c>
      <c r="B800" s="929"/>
      <c r="C800" s="309" t="s">
        <v>397</v>
      </c>
      <c r="D800" s="309" t="s">
        <v>259</v>
      </c>
      <c r="E800" s="279">
        <v>0</v>
      </c>
      <c r="F800" s="280"/>
      <c r="G800" s="339">
        <f t="shared" si="1028"/>
        <v>36748</v>
      </c>
      <c r="H800" s="281">
        <v>35568</v>
      </c>
      <c r="I800" s="281">
        <v>1180</v>
      </c>
      <c r="J800" s="358" t="str">
        <f>IFERROR(G800/#REF!,"-")</f>
        <v>-</v>
      </c>
      <c r="K800" s="339">
        <f t="shared" si="1029"/>
        <v>356432</v>
      </c>
      <c r="L800" s="281">
        <f t="shared" si="1030"/>
        <v>350064</v>
      </c>
      <c r="M800" s="251">
        <f t="shared" si="1031"/>
        <v>6368</v>
      </c>
      <c r="N800" s="343" t="str">
        <f t="shared" si="1012"/>
        <v>-</v>
      </c>
      <c r="O800" s="264">
        <f t="shared" si="960"/>
        <v>1.7865960407595277E-2</v>
      </c>
    </row>
    <row r="801" spans="1:15" ht="24" thickBot="1" x14ac:dyDescent="0.35">
      <c r="A801" s="277" t="s">
        <v>109</v>
      </c>
      <c r="B801" s="929"/>
      <c r="C801" s="306" t="s">
        <v>146</v>
      </c>
      <c r="D801" s="306"/>
      <c r="E801" s="283">
        <v>0</v>
      </c>
      <c r="F801" s="284"/>
      <c r="G801" s="340">
        <f t="shared" si="1028"/>
        <v>0</v>
      </c>
      <c r="H801" s="285">
        <v>0</v>
      </c>
      <c r="I801" s="285">
        <v>0</v>
      </c>
      <c r="J801" s="359" t="str">
        <f>IFERROR(G801/#REF!,"-")</f>
        <v>-</v>
      </c>
      <c r="K801" s="340">
        <f t="shared" si="1029"/>
        <v>0</v>
      </c>
      <c r="L801" s="285">
        <f t="shared" si="1030"/>
        <v>0</v>
      </c>
      <c r="M801" s="286">
        <f t="shared" si="1031"/>
        <v>0</v>
      </c>
      <c r="N801" s="344" t="str">
        <f t="shared" si="1012"/>
        <v>-</v>
      </c>
      <c r="O801" s="353" t="str">
        <f t="shared" si="960"/>
        <v>-</v>
      </c>
    </row>
    <row r="802" spans="1:15" ht="24" thickBot="1" x14ac:dyDescent="0.35">
      <c r="A802" s="277" t="s">
        <v>109</v>
      </c>
      <c r="B802" s="929"/>
      <c r="C802" s="310"/>
      <c r="D802" s="311" t="s">
        <v>54</v>
      </c>
      <c r="E802" s="312">
        <v>0</v>
      </c>
      <c r="F802" s="313"/>
      <c r="G802" s="372">
        <f>SUM(G799:G801)</f>
        <v>36748</v>
      </c>
      <c r="H802" s="371">
        <f t="shared" ref="H802:I802" si="1032">SUM(H799:H801)</f>
        <v>35568</v>
      </c>
      <c r="I802" s="371">
        <f t="shared" si="1032"/>
        <v>1180</v>
      </c>
      <c r="J802" s="362" t="str">
        <f>IFERROR(G802/#REF!,"-")</f>
        <v>-</v>
      </c>
      <c r="K802" s="372">
        <f t="shared" ref="K802:M802" si="1033">SUM(K799:K801)</f>
        <v>356432</v>
      </c>
      <c r="L802" s="371">
        <f t="shared" si="1033"/>
        <v>350064</v>
      </c>
      <c r="M802" s="373">
        <f t="shared" si="1033"/>
        <v>6368</v>
      </c>
      <c r="N802" s="361" t="str">
        <f t="shared" si="1012"/>
        <v>-</v>
      </c>
      <c r="O802" s="362">
        <f t="shared" si="960"/>
        <v>1.7865960407595277E-2</v>
      </c>
    </row>
    <row r="803" spans="1:15" ht="24" thickBot="1" x14ac:dyDescent="0.35">
      <c r="A803" s="277" t="s">
        <v>109</v>
      </c>
      <c r="B803" s="932" t="s">
        <v>172</v>
      </c>
      <c r="C803" s="933"/>
      <c r="D803" s="934"/>
      <c r="E803" s="314">
        <v>649600</v>
      </c>
      <c r="F803" s="315">
        <v>50000</v>
      </c>
      <c r="G803" s="375">
        <f>+G798+G802</f>
        <v>36748</v>
      </c>
      <c r="H803" s="374">
        <f t="shared" ref="H803:I803" si="1034">+H798+H802</f>
        <v>35568</v>
      </c>
      <c r="I803" s="374">
        <f t="shared" si="1034"/>
        <v>1180</v>
      </c>
      <c r="J803" s="364" t="str">
        <f>IFERROR(G803/#REF!,"-")</f>
        <v>-</v>
      </c>
      <c r="K803" s="375">
        <f t="shared" ref="K803:M803" si="1035">+K798+K802</f>
        <v>356432</v>
      </c>
      <c r="L803" s="374">
        <f t="shared" si="1035"/>
        <v>350064</v>
      </c>
      <c r="M803" s="376">
        <f t="shared" si="1035"/>
        <v>6368</v>
      </c>
      <c r="N803" s="363">
        <f t="shared" si="1012"/>
        <v>0.54869458128078819</v>
      </c>
      <c r="O803" s="364">
        <f t="shared" ref="O803:O805" si="1036">IFERROR(M803/K803,"-")</f>
        <v>1.7865960407595277E-2</v>
      </c>
    </row>
    <row r="804" spans="1:15" ht="24" thickBot="1" x14ac:dyDescent="0.35">
      <c r="A804" s="277" t="s">
        <v>109</v>
      </c>
      <c r="B804" s="616" t="s">
        <v>32</v>
      </c>
      <c r="C804" s="728"/>
      <c r="D804" s="316" t="s">
        <v>32</v>
      </c>
      <c r="E804" s="293">
        <v>0</v>
      </c>
      <c r="F804" s="294">
        <v>110000</v>
      </c>
      <c r="G804" s="341">
        <f t="shared" ref="G804" si="1037">+H804+I804</f>
        <v>0</v>
      </c>
      <c r="H804" s="295">
        <v>0</v>
      </c>
      <c r="I804" s="295">
        <v>0</v>
      </c>
      <c r="J804" s="360" t="str">
        <f>IFERROR(G804/#REF!,"-")</f>
        <v>-</v>
      </c>
      <c r="K804" s="341">
        <f>+L804+M804</f>
        <v>0</v>
      </c>
      <c r="L804" s="295">
        <f>+H804+L701</f>
        <v>0</v>
      </c>
      <c r="M804" s="296">
        <f>+I804+M701</f>
        <v>0</v>
      </c>
      <c r="N804" s="346" t="str">
        <f t="shared" si="1012"/>
        <v>-</v>
      </c>
      <c r="O804" s="354" t="str">
        <f t="shared" si="1036"/>
        <v>-</v>
      </c>
    </row>
    <row r="805" spans="1:15" ht="24" thickBot="1" x14ac:dyDescent="0.35">
      <c r="A805" s="277" t="s">
        <v>109</v>
      </c>
      <c r="B805" s="926" t="s">
        <v>21</v>
      </c>
      <c r="C805" s="927"/>
      <c r="D805" s="928"/>
      <c r="E805" s="332">
        <f>+E794+E803+E804</f>
        <v>2816600</v>
      </c>
      <c r="F805" s="333">
        <f t="shared" ref="F805" si="1038">+F794+F803+F804</f>
        <v>240000</v>
      </c>
      <c r="G805" s="332">
        <f>+G794+G803+G804</f>
        <v>125429</v>
      </c>
      <c r="H805" s="330">
        <f t="shared" ref="H805:I805" si="1039">+H794+H803+H804</f>
        <v>123084</v>
      </c>
      <c r="I805" s="330">
        <f t="shared" si="1039"/>
        <v>2345</v>
      </c>
      <c r="J805" s="355" t="str">
        <f>IFERROR(G805/#REF!,"-")</f>
        <v>-</v>
      </c>
      <c r="K805" s="332">
        <f>+K794+K803+K804</f>
        <v>1032571</v>
      </c>
      <c r="L805" s="330">
        <f>+L794+L803+L804</f>
        <v>1018368</v>
      </c>
      <c r="M805" s="331">
        <f t="shared" ref="M805" si="1040">+M794+M803+M804</f>
        <v>14203</v>
      </c>
      <c r="N805" s="347">
        <f t="shared" si="1012"/>
        <v>0.36660193140666053</v>
      </c>
      <c r="O805" s="355">
        <f t="shared" si="1036"/>
        <v>1.3754986339922387E-2</v>
      </c>
    </row>
    <row r="806" spans="1:15" ht="24" thickBot="1" x14ac:dyDescent="0.35">
      <c r="A806" s="277" t="s">
        <v>109</v>
      </c>
      <c r="B806" s="900" t="s">
        <v>180</v>
      </c>
      <c r="C806" s="901"/>
      <c r="D806" s="902"/>
      <c r="E806" s="336">
        <f>+E805</f>
        <v>2816600</v>
      </c>
      <c r="F806" s="337">
        <f t="shared" ref="F806:I806" si="1041">+F805</f>
        <v>240000</v>
      </c>
      <c r="G806" s="336">
        <f t="shared" si="1041"/>
        <v>125429</v>
      </c>
      <c r="H806" s="334">
        <f t="shared" si="1041"/>
        <v>123084</v>
      </c>
      <c r="I806" s="334">
        <f t="shared" si="1041"/>
        <v>2345</v>
      </c>
      <c r="J806" s="356" t="str">
        <f>+J805</f>
        <v>-</v>
      </c>
      <c r="K806" s="336">
        <f>+K805</f>
        <v>1032571</v>
      </c>
      <c r="L806" s="334">
        <f t="shared" ref="L806" si="1042">+L805</f>
        <v>1018368</v>
      </c>
      <c r="M806" s="335">
        <f>+M805</f>
        <v>14203</v>
      </c>
      <c r="N806" s="348">
        <f t="shared" ref="N806:O806" si="1043">+N805</f>
        <v>0.36660193140666053</v>
      </c>
      <c r="O806" s="356">
        <f t="shared" si="1043"/>
        <v>1.3754986339922387E-2</v>
      </c>
    </row>
    <row r="807" spans="1:15" ht="23.4" x14ac:dyDescent="0.3">
      <c r="A807" s="271" t="s">
        <v>110</v>
      </c>
      <c r="B807" s="903" t="s">
        <v>33</v>
      </c>
      <c r="C807" s="317" t="s">
        <v>121</v>
      </c>
      <c r="D807" s="317"/>
      <c r="E807" s="273">
        <v>0</v>
      </c>
      <c r="F807" s="274"/>
      <c r="G807" s="338">
        <f t="shared" ref="G807:G809" si="1044">+H807+I807</f>
        <v>0</v>
      </c>
      <c r="H807" s="275">
        <v>0</v>
      </c>
      <c r="I807" s="275">
        <v>0</v>
      </c>
      <c r="J807" s="357" t="str">
        <f>IFERROR(G807/#REF!,"-")</f>
        <v>-</v>
      </c>
      <c r="K807" s="338">
        <f t="shared" ref="K807:K809" si="1045">+L807+M807</f>
        <v>0</v>
      </c>
      <c r="L807" s="275">
        <f t="shared" ref="L807:L809" si="1046">+H807+L704</f>
        <v>0</v>
      </c>
      <c r="M807" s="276">
        <f t="shared" ref="M807:M809" si="1047">+I807+M704</f>
        <v>0</v>
      </c>
      <c r="N807" s="342" t="str">
        <f t="shared" ref="N807:N832" si="1048">IFERROR(K807/E807,"-")</f>
        <v>-</v>
      </c>
      <c r="O807" s="352" t="str">
        <f t="shared" ref="O807:O832" si="1049">IFERROR(M807/K807,"-")</f>
        <v>-</v>
      </c>
    </row>
    <row r="808" spans="1:15" ht="23.4" x14ac:dyDescent="0.3">
      <c r="A808" s="277" t="s">
        <v>110</v>
      </c>
      <c r="B808" s="904"/>
      <c r="C808" s="318" t="s">
        <v>274</v>
      </c>
      <c r="D808" s="318"/>
      <c r="E808" s="279">
        <v>0</v>
      </c>
      <c r="F808" s="280"/>
      <c r="G808" s="339">
        <f t="shared" si="1044"/>
        <v>1865</v>
      </c>
      <c r="H808" s="281">
        <v>1800</v>
      </c>
      <c r="I808" s="281">
        <v>65</v>
      </c>
      <c r="J808" s="358" t="str">
        <f>IFERROR(G808/#REF!,"-")</f>
        <v>-</v>
      </c>
      <c r="K808" s="339">
        <f t="shared" si="1045"/>
        <v>8632</v>
      </c>
      <c r="L808" s="281">
        <f t="shared" si="1046"/>
        <v>7660</v>
      </c>
      <c r="M808" s="251">
        <f t="shared" si="1047"/>
        <v>972</v>
      </c>
      <c r="N808" s="343" t="str">
        <f t="shared" si="1048"/>
        <v>-</v>
      </c>
      <c r="O808" s="264">
        <f t="shared" si="1049"/>
        <v>0.11260426320667284</v>
      </c>
    </row>
    <row r="809" spans="1:15" ht="24" thickBot="1" x14ac:dyDescent="0.35">
      <c r="A809" s="277" t="s">
        <v>110</v>
      </c>
      <c r="B809" s="905"/>
      <c r="C809" s="319" t="s">
        <v>34</v>
      </c>
      <c r="D809" s="319"/>
      <c r="E809" s="283">
        <v>0</v>
      </c>
      <c r="F809" s="284"/>
      <c r="G809" s="340">
        <f t="shared" si="1044"/>
        <v>0</v>
      </c>
      <c r="H809" s="285">
        <v>0</v>
      </c>
      <c r="I809" s="285">
        <v>0</v>
      </c>
      <c r="J809" s="359" t="str">
        <f>IFERROR(G809/#REF!,"-")</f>
        <v>-</v>
      </c>
      <c r="K809" s="340">
        <f t="shared" si="1045"/>
        <v>0</v>
      </c>
      <c r="L809" s="285">
        <f t="shared" si="1046"/>
        <v>0</v>
      </c>
      <c r="M809" s="286">
        <f t="shared" si="1047"/>
        <v>0</v>
      </c>
      <c r="N809" s="344" t="str">
        <f t="shared" si="1048"/>
        <v>-</v>
      </c>
      <c r="O809" s="353" t="str">
        <f t="shared" si="1049"/>
        <v>-</v>
      </c>
    </row>
    <row r="810" spans="1:15" ht="24" thickBot="1" x14ac:dyDescent="0.35">
      <c r="A810" s="277" t="s">
        <v>110</v>
      </c>
      <c r="B810" s="906" t="s">
        <v>35</v>
      </c>
      <c r="C810" s="907"/>
      <c r="D810" s="908"/>
      <c r="E810" s="288">
        <v>83700</v>
      </c>
      <c r="F810" s="289"/>
      <c r="G810" s="326">
        <f>SUM(G807:G809)</f>
        <v>1865</v>
      </c>
      <c r="H810" s="327">
        <f t="shared" ref="H810:I810" si="1050">SUM(H807:H809)</f>
        <v>1800</v>
      </c>
      <c r="I810" s="327">
        <f t="shared" si="1050"/>
        <v>65</v>
      </c>
      <c r="J810" s="351" t="str">
        <f>IFERROR(G810/#REF!,"-")</f>
        <v>-</v>
      </c>
      <c r="K810" s="326">
        <f t="shared" ref="K810:M810" si="1051">SUM(K807:K809)</f>
        <v>8632</v>
      </c>
      <c r="L810" s="327">
        <f t="shared" si="1051"/>
        <v>7660</v>
      </c>
      <c r="M810" s="328">
        <f t="shared" si="1051"/>
        <v>972</v>
      </c>
      <c r="N810" s="345">
        <f t="shared" si="1048"/>
        <v>0.10313022700119474</v>
      </c>
      <c r="O810" s="351">
        <f t="shared" si="1049"/>
        <v>0.11260426320667284</v>
      </c>
    </row>
    <row r="811" spans="1:15" ht="23.4" x14ac:dyDescent="0.3">
      <c r="A811" s="277" t="s">
        <v>110</v>
      </c>
      <c r="B811" s="903" t="s">
        <v>36</v>
      </c>
      <c r="C811" s="317" t="s">
        <v>121</v>
      </c>
      <c r="D811" s="317"/>
      <c r="E811" s="273">
        <v>0</v>
      </c>
      <c r="F811" s="274"/>
      <c r="G811" s="338">
        <f t="shared" ref="G811:G814" si="1052">+H811+I811</f>
        <v>0</v>
      </c>
      <c r="H811" s="275">
        <v>0</v>
      </c>
      <c r="I811" s="275">
        <v>0</v>
      </c>
      <c r="J811" s="357" t="str">
        <f>IFERROR(G811/#REF!,"-")</f>
        <v>-</v>
      </c>
      <c r="K811" s="338">
        <f t="shared" ref="K811:K814" si="1053">+L811+M811</f>
        <v>0</v>
      </c>
      <c r="L811" s="275">
        <f t="shared" ref="L811:L814" si="1054">+H811+L708</f>
        <v>0</v>
      </c>
      <c r="M811" s="276">
        <f t="shared" ref="M811:M814" si="1055">+I811+M708</f>
        <v>0</v>
      </c>
      <c r="N811" s="342" t="str">
        <f t="shared" si="1048"/>
        <v>-</v>
      </c>
      <c r="O811" s="352" t="str">
        <f t="shared" si="1049"/>
        <v>-</v>
      </c>
    </row>
    <row r="812" spans="1:15" ht="23.4" x14ac:dyDescent="0.3">
      <c r="A812" s="277" t="s">
        <v>110</v>
      </c>
      <c r="B812" s="904"/>
      <c r="C812" s="318" t="s">
        <v>274</v>
      </c>
      <c r="D812" s="318"/>
      <c r="E812" s="279">
        <v>0</v>
      </c>
      <c r="F812" s="280"/>
      <c r="G812" s="339">
        <f t="shared" si="1052"/>
        <v>4269</v>
      </c>
      <c r="H812" s="281">
        <v>4160</v>
      </c>
      <c r="I812" s="281">
        <v>109</v>
      </c>
      <c r="J812" s="358" t="str">
        <f>IFERROR(G812/#REF!,"-")</f>
        <v>-</v>
      </c>
      <c r="K812" s="339">
        <f t="shared" si="1053"/>
        <v>9513</v>
      </c>
      <c r="L812" s="281">
        <f t="shared" si="1054"/>
        <v>9280</v>
      </c>
      <c r="M812" s="251">
        <f t="shared" si="1055"/>
        <v>233</v>
      </c>
      <c r="N812" s="343" t="str">
        <f t="shared" si="1048"/>
        <v>-</v>
      </c>
      <c r="O812" s="264">
        <f t="shared" si="1049"/>
        <v>2.4492799327236414E-2</v>
      </c>
    </row>
    <row r="813" spans="1:15" ht="23.4" x14ac:dyDescent="0.3">
      <c r="A813" s="277" t="s">
        <v>110</v>
      </c>
      <c r="B813" s="904"/>
      <c r="C813" s="318" t="s">
        <v>201</v>
      </c>
      <c r="D813" s="318"/>
      <c r="E813" s="279">
        <v>0</v>
      </c>
      <c r="F813" s="280"/>
      <c r="G813" s="339">
        <f t="shared" si="1052"/>
        <v>0</v>
      </c>
      <c r="H813" s="281">
        <v>0</v>
      </c>
      <c r="I813" s="281">
        <v>0</v>
      </c>
      <c r="J813" s="358" t="str">
        <f>IFERROR(G813/#REF!,"-")</f>
        <v>-</v>
      </c>
      <c r="K813" s="339">
        <f t="shared" si="1053"/>
        <v>0</v>
      </c>
      <c r="L813" s="281">
        <f t="shared" si="1054"/>
        <v>0</v>
      </c>
      <c r="M813" s="251">
        <f t="shared" si="1055"/>
        <v>0</v>
      </c>
      <c r="N813" s="343" t="str">
        <f t="shared" si="1048"/>
        <v>-</v>
      </c>
      <c r="O813" s="264" t="str">
        <f t="shared" si="1049"/>
        <v>-</v>
      </c>
    </row>
    <row r="814" spans="1:15" ht="24" thickBot="1" x14ac:dyDescent="0.35">
      <c r="A814" s="277" t="s">
        <v>110</v>
      </c>
      <c r="B814" s="905"/>
      <c r="C814" s="319" t="s">
        <v>37</v>
      </c>
      <c r="D814" s="319"/>
      <c r="E814" s="283">
        <v>0</v>
      </c>
      <c r="F814" s="284"/>
      <c r="G814" s="340">
        <f t="shared" si="1052"/>
        <v>0</v>
      </c>
      <c r="H814" s="285">
        <v>0</v>
      </c>
      <c r="I814" s="285">
        <v>0</v>
      </c>
      <c r="J814" s="359" t="str">
        <f>IFERROR(G814/#REF!,"-")</f>
        <v>-</v>
      </c>
      <c r="K814" s="340">
        <f t="shared" si="1053"/>
        <v>0</v>
      </c>
      <c r="L814" s="285">
        <f t="shared" si="1054"/>
        <v>0</v>
      </c>
      <c r="M814" s="286">
        <f t="shared" si="1055"/>
        <v>0</v>
      </c>
      <c r="N814" s="344" t="str">
        <f t="shared" si="1048"/>
        <v>-</v>
      </c>
      <c r="O814" s="353" t="str">
        <f t="shared" si="1049"/>
        <v>-</v>
      </c>
    </row>
    <row r="815" spans="1:15" ht="24" thickBot="1" x14ac:dyDescent="0.35">
      <c r="A815" s="277" t="s">
        <v>110</v>
      </c>
      <c r="B815" s="906" t="s">
        <v>38</v>
      </c>
      <c r="C815" s="907"/>
      <c r="D815" s="908"/>
      <c r="E815" s="288">
        <v>10300</v>
      </c>
      <c r="F815" s="289">
        <v>6500</v>
      </c>
      <c r="G815" s="326">
        <f>SUM(G811:G814)</f>
        <v>4269</v>
      </c>
      <c r="H815" s="327">
        <f t="shared" ref="H815:I815" si="1056">SUM(H811:H814)</f>
        <v>4160</v>
      </c>
      <c r="I815" s="327">
        <f t="shared" si="1056"/>
        <v>109</v>
      </c>
      <c r="J815" s="351" t="str">
        <f>IFERROR(G815/#REF!,"-")</f>
        <v>-</v>
      </c>
      <c r="K815" s="326">
        <f t="shared" ref="K815:M815" si="1057">SUM(K811:K814)</f>
        <v>9513</v>
      </c>
      <c r="L815" s="327">
        <f t="shared" si="1057"/>
        <v>9280</v>
      </c>
      <c r="M815" s="328">
        <f t="shared" si="1057"/>
        <v>233</v>
      </c>
      <c r="N815" s="345">
        <f t="shared" si="1048"/>
        <v>0.92359223300970872</v>
      </c>
      <c r="O815" s="351">
        <f t="shared" si="1049"/>
        <v>2.4492799327236414E-2</v>
      </c>
    </row>
    <row r="816" spans="1:15" ht="23.4" x14ac:dyDescent="0.3">
      <c r="A816" s="277" t="s">
        <v>110</v>
      </c>
      <c r="B816" s="903" t="s">
        <v>39</v>
      </c>
      <c r="C816" s="320" t="s">
        <v>124</v>
      </c>
      <c r="D816" s="320"/>
      <c r="E816" s="273">
        <v>0</v>
      </c>
      <c r="F816" s="274"/>
      <c r="G816" s="338">
        <f t="shared" ref="G816:G817" si="1058">+H816+I816</f>
        <v>0</v>
      </c>
      <c r="H816" s="275">
        <v>0</v>
      </c>
      <c r="I816" s="275">
        <v>0</v>
      </c>
      <c r="J816" s="357" t="str">
        <f>IFERROR(G816/#REF!,"-")</f>
        <v>-</v>
      </c>
      <c r="K816" s="338">
        <f t="shared" ref="K816:K817" si="1059">+L816+M816</f>
        <v>0</v>
      </c>
      <c r="L816" s="275">
        <f t="shared" ref="L816:L817" si="1060">+H816+L713</f>
        <v>0</v>
      </c>
      <c r="M816" s="276">
        <f t="shared" ref="M816:M817" si="1061">+I816+M713</f>
        <v>0</v>
      </c>
      <c r="N816" s="342" t="str">
        <f t="shared" si="1048"/>
        <v>-</v>
      </c>
      <c r="O816" s="352" t="str">
        <f t="shared" si="1049"/>
        <v>-</v>
      </c>
    </row>
    <row r="817" spans="1:15" ht="24" thickBot="1" x14ac:dyDescent="0.35">
      <c r="A817" s="277" t="s">
        <v>110</v>
      </c>
      <c r="B817" s="905"/>
      <c r="C817" s="290" t="s">
        <v>140</v>
      </c>
      <c r="D817" s="290"/>
      <c r="E817" s="283">
        <v>0</v>
      </c>
      <c r="F817" s="284"/>
      <c r="G817" s="340">
        <f t="shared" si="1058"/>
        <v>0</v>
      </c>
      <c r="H817" s="285">
        <v>0</v>
      </c>
      <c r="I817" s="285">
        <v>0</v>
      </c>
      <c r="J817" s="359" t="str">
        <f>IFERROR(G817/#REF!,"-")</f>
        <v>-</v>
      </c>
      <c r="K817" s="340">
        <f t="shared" si="1059"/>
        <v>0</v>
      </c>
      <c r="L817" s="285">
        <f t="shared" si="1060"/>
        <v>0</v>
      </c>
      <c r="M817" s="286">
        <f t="shared" si="1061"/>
        <v>0</v>
      </c>
      <c r="N817" s="344" t="str">
        <f t="shared" si="1048"/>
        <v>-</v>
      </c>
      <c r="O817" s="353" t="str">
        <f t="shared" si="1049"/>
        <v>-</v>
      </c>
    </row>
    <row r="818" spans="1:15" ht="24" thickBot="1" x14ac:dyDescent="0.35">
      <c r="A818" s="732" t="s">
        <v>110</v>
      </c>
      <c r="B818" s="906" t="s">
        <v>40</v>
      </c>
      <c r="C818" s="907"/>
      <c r="D818" s="908"/>
      <c r="E818" s="288">
        <v>30000</v>
      </c>
      <c r="F818" s="289">
        <v>2800</v>
      </c>
      <c r="G818" s="326">
        <f>SUM(G816:G817)</f>
        <v>0</v>
      </c>
      <c r="H818" s="327">
        <f t="shared" ref="H818:I818" si="1062">SUM(H816:H817)</f>
        <v>0</v>
      </c>
      <c r="I818" s="327">
        <f t="shared" si="1062"/>
        <v>0</v>
      </c>
      <c r="J818" s="351" t="str">
        <f>IFERROR(G818/#REF!,"-")</f>
        <v>-</v>
      </c>
      <c r="K818" s="326">
        <f t="shared" ref="K818:M818" si="1063">SUM(K816:K817)</f>
        <v>0</v>
      </c>
      <c r="L818" s="327">
        <f t="shared" si="1063"/>
        <v>0</v>
      </c>
      <c r="M818" s="328">
        <f t="shared" si="1063"/>
        <v>0</v>
      </c>
      <c r="N818" s="345">
        <f t="shared" si="1048"/>
        <v>0</v>
      </c>
      <c r="O818" s="351" t="str">
        <f t="shared" si="1049"/>
        <v>-</v>
      </c>
    </row>
    <row r="819" spans="1:15" ht="23.4" x14ac:dyDescent="0.3">
      <c r="A819" s="277" t="s">
        <v>110</v>
      </c>
      <c r="B819" s="903" t="s">
        <v>41</v>
      </c>
      <c r="C819" s="272" t="s">
        <v>346</v>
      </c>
      <c r="D819" s="272"/>
      <c r="E819" s="273">
        <v>0</v>
      </c>
      <c r="F819" s="321"/>
      <c r="G819" s="338">
        <f t="shared" ref="G819:G823" si="1064">+H819+I819</f>
        <v>34754</v>
      </c>
      <c r="H819" s="275">
        <v>34344</v>
      </c>
      <c r="I819" s="275">
        <v>410</v>
      </c>
      <c r="J819" s="377" t="str">
        <f>IFERROR(G819/#REF!,"-")</f>
        <v>-</v>
      </c>
      <c r="K819" s="338">
        <f t="shared" ref="K819:K823" si="1065">+L819+M819</f>
        <v>122535</v>
      </c>
      <c r="L819" s="275">
        <f t="shared" ref="L819:L823" si="1066">+H819+L716</f>
        <v>121260</v>
      </c>
      <c r="M819" s="276">
        <f t="shared" ref="M819:M823" si="1067">+I819+M716</f>
        <v>1275</v>
      </c>
      <c r="N819" s="365" t="str">
        <f t="shared" si="1048"/>
        <v>-</v>
      </c>
      <c r="O819" s="366">
        <f t="shared" si="1049"/>
        <v>1.0405190353776472E-2</v>
      </c>
    </row>
    <row r="820" spans="1:15" ht="23.4" x14ac:dyDescent="0.3">
      <c r="A820" s="277" t="s">
        <v>110</v>
      </c>
      <c r="B820" s="904"/>
      <c r="C820" s="272" t="s">
        <v>347</v>
      </c>
      <c r="D820" s="278"/>
      <c r="E820" s="279">
        <v>0</v>
      </c>
      <c r="F820" s="322"/>
      <c r="G820" s="339">
        <f t="shared" si="1064"/>
        <v>0</v>
      </c>
      <c r="H820" s="281">
        <v>0</v>
      </c>
      <c r="I820" s="281">
        <v>0</v>
      </c>
      <c r="J820" s="378" t="str">
        <f>IFERROR(G820/#REF!,"-")</f>
        <v>-</v>
      </c>
      <c r="K820" s="339">
        <f t="shared" si="1065"/>
        <v>0</v>
      </c>
      <c r="L820" s="281">
        <f t="shared" si="1066"/>
        <v>0</v>
      </c>
      <c r="M820" s="251">
        <f t="shared" si="1067"/>
        <v>0</v>
      </c>
      <c r="N820" s="367" t="str">
        <f t="shared" si="1048"/>
        <v>-</v>
      </c>
      <c r="O820" s="368" t="str">
        <f t="shared" si="1049"/>
        <v>-</v>
      </c>
    </row>
    <row r="821" spans="1:15" ht="23.4" x14ac:dyDescent="0.3">
      <c r="A821" s="277" t="s">
        <v>110</v>
      </c>
      <c r="B821" s="904"/>
      <c r="C821" s="278" t="s">
        <v>423</v>
      </c>
      <c r="D821" s="278"/>
      <c r="E821" s="279">
        <v>0</v>
      </c>
      <c r="F821" s="322"/>
      <c r="G821" s="339">
        <f t="shared" si="1064"/>
        <v>0</v>
      </c>
      <c r="H821" s="281">
        <v>0</v>
      </c>
      <c r="I821" s="281">
        <v>0</v>
      </c>
      <c r="J821" s="378" t="str">
        <f>IFERROR(G821/#REF!,"-")</f>
        <v>-</v>
      </c>
      <c r="K821" s="339">
        <f t="shared" si="1065"/>
        <v>34536</v>
      </c>
      <c r="L821" s="281">
        <f t="shared" si="1066"/>
        <v>33960</v>
      </c>
      <c r="M821" s="251">
        <f t="shared" si="1067"/>
        <v>576</v>
      </c>
      <c r="N821" s="367" t="str">
        <f t="shared" si="1048"/>
        <v>-</v>
      </c>
      <c r="O821" s="368">
        <f t="shared" si="1049"/>
        <v>1.6678248783877692E-2</v>
      </c>
    </row>
    <row r="822" spans="1:15" ht="23.4" x14ac:dyDescent="0.3">
      <c r="A822" s="277" t="s">
        <v>110</v>
      </c>
      <c r="B822" s="904"/>
      <c r="C822" s="278" t="s">
        <v>166</v>
      </c>
      <c r="D822" s="278"/>
      <c r="E822" s="279">
        <v>0</v>
      </c>
      <c r="F822" s="322"/>
      <c r="G822" s="339">
        <f t="shared" si="1064"/>
        <v>0</v>
      </c>
      <c r="H822" s="281">
        <v>0</v>
      </c>
      <c r="I822" s="281">
        <v>0</v>
      </c>
      <c r="J822" s="378" t="str">
        <f>IFERROR(G822/#REF!,"-")</f>
        <v>-</v>
      </c>
      <c r="K822" s="339">
        <f t="shared" si="1065"/>
        <v>0</v>
      </c>
      <c r="L822" s="281">
        <f t="shared" si="1066"/>
        <v>0</v>
      </c>
      <c r="M822" s="251">
        <f t="shared" si="1067"/>
        <v>0</v>
      </c>
      <c r="N822" s="367" t="str">
        <f t="shared" si="1048"/>
        <v>-</v>
      </c>
      <c r="O822" s="368" t="str">
        <f t="shared" si="1049"/>
        <v>-</v>
      </c>
    </row>
    <row r="823" spans="1:15" ht="24" thickBot="1" x14ac:dyDescent="0.35">
      <c r="A823" s="277" t="s">
        <v>110</v>
      </c>
      <c r="B823" s="905"/>
      <c r="C823" s="282" t="s">
        <v>167</v>
      </c>
      <c r="D823" s="282"/>
      <c r="E823" s="283">
        <v>0</v>
      </c>
      <c r="F823" s="323"/>
      <c r="G823" s="340">
        <f t="shared" si="1064"/>
        <v>0</v>
      </c>
      <c r="H823" s="285">
        <v>0</v>
      </c>
      <c r="I823" s="285">
        <v>0</v>
      </c>
      <c r="J823" s="379" t="str">
        <f>IFERROR(G823/#REF!,"-")</f>
        <v>-</v>
      </c>
      <c r="K823" s="340">
        <f t="shared" si="1065"/>
        <v>0</v>
      </c>
      <c r="L823" s="285">
        <f t="shared" si="1066"/>
        <v>0</v>
      </c>
      <c r="M823" s="286">
        <f t="shared" si="1067"/>
        <v>0</v>
      </c>
      <c r="N823" s="369" t="str">
        <f t="shared" si="1048"/>
        <v>-</v>
      </c>
      <c r="O823" s="370" t="str">
        <f t="shared" si="1049"/>
        <v>-</v>
      </c>
    </row>
    <row r="824" spans="1:15" ht="24" thickBot="1" x14ac:dyDescent="0.35">
      <c r="A824" s="277" t="s">
        <v>110</v>
      </c>
      <c r="B824" s="906" t="s">
        <v>42</v>
      </c>
      <c r="C824" s="907"/>
      <c r="D824" s="908"/>
      <c r="E824" s="326">
        <v>610600</v>
      </c>
      <c r="F824" s="289">
        <v>25000</v>
      </c>
      <c r="G824" s="326">
        <f>SUM(G820:G823)</f>
        <v>0</v>
      </c>
      <c r="H824" s="327">
        <f t="shared" ref="H824:I824" si="1068">SUM(H820:H823)</f>
        <v>0</v>
      </c>
      <c r="I824" s="327">
        <f t="shared" si="1068"/>
        <v>0</v>
      </c>
      <c r="J824" s="351" t="str">
        <f>IFERROR(G824/#REF!,"-")</f>
        <v>-</v>
      </c>
      <c r="K824" s="326">
        <f>SUM(K819:K823)</f>
        <v>157071</v>
      </c>
      <c r="L824" s="327">
        <f>SUM(L819:L823)</f>
        <v>155220</v>
      </c>
      <c r="M824" s="328">
        <f>SUM(M819:M823)</f>
        <v>1851</v>
      </c>
      <c r="N824" s="345">
        <f t="shared" si="1048"/>
        <v>0.2572404192597445</v>
      </c>
      <c r="O824" s="351">
        <f t="shared" si="1049"/>
        <v>1.1784479630230915E-2</v>
      </c>
    </row>
    <row r="825" spans="1:15" ht="23.4" x14ac:dyDescent="0.3">
      <c r="A825" s="277" t="s">
        <v>110</v>
      </c>
      <c r="B825" s="903" t="s">
        <v>43</v>
      </c>
      <c r="C825" s="272" t="s">
        <v>204</v>
      </c>
      <c r="D825" s="272"/>
      <c r="E825" s="273">
        <v>0</v>
      </c>
      <c r="F825" s="274"/>
      <c r="G825" s="338">
        <f t="shared" ref="G825:G827" si="1069">+H825+I825</f>
        <v>0</v>
      </c>
      <c r="H825" s="275">
        <v>0</v>
      </c>
      <c r="I825" s="275">
        <v>0</v>
      </c>
      <c r="J825" s="357" t="str">
        <f>IFERROR(G825/#REF!,"-")</f>
        <v>-</v>
      </c>
      <c r="K825" s="338">
        <f t="shared" ref="K825:K827" si="1070">+L825+M825</f>
        <v>0</v>
      </c>
      <c r="L825" s="275">
        <f t="shared" ref="L825:L827" si="1071">+H825+L722</f>
        <v>0</v>
      </c>
      <c r="M825" s="276">
        <f t="shared" ref="M825:M827" si="1072">+I825+M722</f>
        <v>0</v>
      </c>
      <c r="N825" s="342" t="str">
        <f t="shared" si="1048"/>
        <v>-</v>
      </c>
      <c r="O825" s="352" t="str">
        <f t="shared" si="1049"/>
        <v>-</v>
      </c>
    </row>
    <row r="826" spans="1:15" ht="23.4" x14ac:dyDescent="0.3">
      <c r="A826" s="277" t="s">
        <v>110</v>
      </c>
      <c r="B826" s="904"/>
      <c r="C826" s="278" t="s">
        <v>168</v>
      </c>
      <c r="D826" s="278"/>
      <c r="E826" s="279">
        <v>0</v>
      </c>
      <c r="F826" s="280"/>
      <c r="G826" s="339">
        <f t="shared" si="1069"/>
        <v>0</v>
      </c>
      <c r="H826" s="281">
        <v>0</v>
      </c>
      <c r="I826" s="281">
        <v>0</v>
      </c>
      <c r="J826" s="378" t="str">
        <f>IFERROR(G826/#REF!,"-")</f>
        <v>-</v>
      </c>
      <c r="K826" s="339">
        <f t="shared" si="1070"/>
        <v>0</v>
      </c>
      <c r="L826" s="281">
        <f t="shared" si="1071"/>
        <v>0</v>
      </c>
      <c r="M826" s="251">
        <f t="shared" si="1072"/>
        <v>0</v>
      </c>
      <c r="N826" s="367" t="str">
        <f t="shared" si="1048"/>
        <v>-</v>
      </c>
      <c r="O826" s="368" t="str">
        <f t="shared" si="1049"/>
        <v>-</v>
      </c>
    </row>
    <row r="827" spans="1:15" ht="24" thickBot="1" x14ac:dyDescent="0.35">
      <c r="A827" s="277" t="s">
        <v>110</v>
      </c>
      <c r="B827" s="905"/>
      <c r="C827" s="282" t="s">
        <v>204</v>
      </c>
      <c r="D827" s="282"/>
      <c r="E827" s="283">
        <v>0</v>
      </c>
      <c r="F827" s="284"/>
      <c r="G827" s="340">
        <f t="shared" si="1069"/>
        <v>0</v>
      </c>
      <c r="H827" s="285">
        <v>0</v>
      </c>
      <c r="I827" s="285">
        <v>0</v>
      </c>
      <c r="J827" s="379" t="str">
        <f>IFERROR(G827/#REF!,"-")</f>
        <v>-</v>
      </c>
      <c r="K827" s="340">
        <f t="shared" si="1070"/>
        <v>0</v>
      </c>
      <c r="L827" s="285">
        <f t="shared" si="1071"/>
        <v>0</v>
      </c>
      <c r="M827" s="286">
        <f t="shared" si="1072"/>
        <v>0</v>
      </c>
      <c r="N827" s="369" t="str">
        <f t="shared" si="1048"/>
        <v>-</v>
      </c>
      <c r="O827" s="370" t="str">
        <f t="shared" si="1049"/>
        <v>-</v>
      </c>
    </row>
    <row r="828" spans="1:15" ht="24" thickBot="1" x14ac:dyDescent="0.35">
      <c r="A828" s="277" t="s">
        <v>110</v>
      </c>
      <c r="B828" s="909" t="s">
        <v>44</v>
      </c>
      <c r="C828" s="910"/>
      <c r="D828" s="911"/>
      <c r="E828" s="326">
        <v>0</v>
      </c>
      <c r="F828" s="289"/>
      <c r="G828" s="326">
        <f>SUM(G825:G827)</f>
        <v>0</v>
      </c>
      <c r="H828" s="327">
        <f t="shared" ref="H828:I828" si="1073">SUM(H825:H827)</f>
        <v>0</v>
      </c>
      <c r="I828" s="327">
        <f t="shared" si="1073"/>
        <v>0</v>
      </c>
      <c r="J828" s="351" t="str">
        <f>IFERROR(G828/#REF!,"-")</f>
        <v>-</v>
      </c>
      <c r="K828" s="326">
        <f t="shared" ref="K828:M828" si="1074">SUM(K825:K827)</f>
        <v>0</v>
      </c>
      <c r="L828" s="327">
        <f t="shared" si="1074"/>
        <v>0</v>
      </c>
      <c r="M828" s="328">
        <f t="shared" si="1074"/>
        <v>0</v>
      </c>
      <c r="N828" s="345" t="str">
        <f t="shared" si="1048"/>
        <v>-</v>
      </c>
      <c r="O828" s="351" t="str">
        <f t="shared" si="1049"/>
        <v>-</v>
      </c>
    </row>
    <row r="829" spans="1:15" ht="23.4" x14ac:dyDescent="0.3">
      <c r="A829" s="277" t="s">
        <v>110</v>
      </c>
      <c r="B829" s="903" t="s">
        <v>45</v>
      </c>
      <c r="C829" s="272" t="s">
        <v>169</v>
      </c>
      <c r="D829" s="272"/>
      <c r="E829" s="273">
        <v>0</v>
      </c>
      <c r="F829" s="274"/>
      <c r="G829" s="338">
        <f t="shared" ref="G829:G830" si="1075">+H829+I829</f>
        <v>0</v>
      </c>
      <c r="H829" s="275">
        <v>0</v>
      </c>
      <c r="I829" s="275">
        <v>0</v>
      </c>
      <c r="J829" s="377" t="str">
        <f>IFERROR(G829/#REF!,"-")</f>
        <v>-</v>
      </c>
      <c r="K829" s="338">
        <f t="shared" ref="K829:K830" si="1076">+L829+M829</f>
        <v>0</v>
      </c>
      <c r="L829" s="275">
        <f t="shared" ref="L829:L830" si="1077">+H829+L726</f>
        <v>0</v>
      </c>
      <c r="M829" s="276">
        <f t="shared" ref="M829:M830" si="1078">+I829+M726</f>
        <v>0</v>
      </c>
      <c r="N829" s="365" t="str">
        <f t="shared" si="1048"/>
        <v>-</v>
      </c>
      <c r="O829" s="366" t="str">
        <f t="shared" si="1049"/>
        <v>-</v>
      </c>
    </row>
    <row r="830" spans="1:15" ht="24" thickBot="1" x14ac:dyDescent="0.35">
      <c r="A830" s="277" t="s">
        <v>110</v>
      </c>
      <c r="B830" s="905"/>
      <c r="C830" s="282" t="s">
        <v>170</v>
      </c>
      <c r="D830" s="282"/>
      <c r="E830" s="283">
        <v>0</v>
      </c>
      <c r="F830" s="284"/>
      <c r="G830" s="340">
        <f t="shared" si="1075"/>
        <v>0</v>
      </c>
      <c r="H830" s="285">
        <v>0</v>
      </c>
      <c r="I830" s="285">
        <v>0</v>
      </c>
      <c r="J830" s="379" t="str">
        <f>IFERROR(G830/#REF!,"-")</f>
        <v>-</v>
      </c>
      <c r="K830" s="340">
        <f t="shared" si="1076"/>
        <v>0</v>
      </c>
      <c r="L830" s="285">
        <f t="shared" si="1077"/>
        <v>0</v>
      </c>
      <c r="M830" s="286">
        <f t="shared" si="1078"/>
        <v>0</v>
      </c>
      <c r="N830" s="369" t="str">
        <f t="shared" si="1048"/>
        <v>-</v>
      </c>
      <c r="O830" s="370" t="str">
        <f t="shared" si="1049"/>
        <v>-</v>
      </c>
    </row>
    <row r="831" spans="1:15" ht="24" thickBot="1" x14ac:dyDescent="0.35">
      <c r="A831" s="277" t="s">
        <v>110</v>
      </c>
      <c r="B831" s="909" t="s">
        <v>46</v>
      </c>
      <c r="C831" s="910"/>
      <c r="D831" s="911"/>
      <c r="E831" s="288">
        <v>11100</v>
      </c>
      <c r="F831" s="289">
        <v>25000</v>
      </c>
      <c r="G831" s="326">
        <f>SUM(G829:G830)</f>
        <v>0</v>
      </c>
      <c r="H831" s="327">
        <f t="shared" ref="H831:I831" si="1079">SUM(H829:H830)</f>
        <v>0</v>
      </c>
      <c r="I831" s="327">
        <f t="shared" si="1079"/>
        <v>0</v>
      </c>
      <c r="J831" s="351" t="str">
        <f>IFERROR(G831/#REF!,"-")</f>
        <v>-</v>
      </c>
      <c r="K831" s="326">
        <f t="shared" ref="K831:M831" si="1080">SUM(K829:K830)</f>
        <v>0</v>
      </c>
      <c r="L831" s="327">
        <f t="shared" si="1080"/>
        <v>0</v>
      </c>
      <c r="M831" s="328">
        <f t="shared" si="1080"/>
        <v>0</v>
      </c>
      <c r="N831" s="345">
        <f t="shared" si="1048"/>
        <v>0</v>
      </c>
      <c r="O831" s="351" t="str">
        <f t="shared" si="1049"/>
        <v>-</v>
      </c>
    </row>
    <row r="832" spans="1:15" ht="24" thickBot="1" x14ac:dyDescent="0.35">
      <c r="A832" s="277" t="s">
        <v>110</v>
      </c>
      <c r="B832" s="912" t="s">
        <v>25</v>
      </c>
      <c r="C832" s="913"/>
      <c r="D832" s="914"/>
      <c r="E832" s="332">
        <f t="shared" ref="E832:F832" si="1081">+E810+E815+E818+E824+E828+E831</f>
        <v>745700</v>
      </c>
      <c r="F832" s="333">
        <f t="shared" si="1081"/>
        <v>59300</v>
      </c>
      <c r="G832" s="332">
        <f>+G810+G815+G818+G824+G828+G831</f>
        <v>6134</v>
      </c>
      <c r="H832" s="330">
        <f t="shared" ref="H832:I832" si="1082">+H810+H815+H818+H824+H828+H831</f>
        <v>5960</v>
      </c>
      <c r="I832" s="330">
        <f t="shared" si="1082"/>
        <v>174</v>
      </c>
      <c r="J832" s="355" t="str">
        <f>IFERROR(G832/#REF!,"-")</f>
        <v>-</v>
      </c>
      <c r="K832" s="332">
        <f>+K810+K815+K818+K824+K828+K831</f>
        <v>175216</v>
      </c>
      <c r="L832" s="330">
        <f t="shared" ref="L832:M832" si="1083">+L810+L815+L818+L824+L828+L831</f>
        <v>172160</v>
      </c>
      <c r="M832" s="331">
        <f t="shared" si="1083"/>
        <v>3056</v>
      </c>
      <c r="N832" s="347">
        <f t="shared" si="1048"/>
        <v>0.23496848598632158</v>
      </c>
      <c r="O832" s="355">
        <f t="shared" si="1049"/>
        <v>1.7441329558944389E-2</v>
      </c>
    </row>
    <row r="833" spans="1:15" ht="24" thickBot="1" x14ac:dyDescent="0.35">
      <c r="A833" s="324" t="s">
        <v>110</v>
      </c>
      <c r="B833" s="901" t="s">
        <v>182</v>
      </c>
      <c r="C833" s="901"/>
      <c r="D833" s="902"/>
      <c r="E833" s="336">
        <f>+E832</f>
        <v>745700</v>
      </c>
      <c r="F833" s="337">
        <f t="shared" ref="F833:O833" si="1084">+F832</f>
        <v>59300</v>
      </c>
      <c r="G833" s="336">
        <f t="shared" si="1084"/>
        <v>6134</v>
      </c>
      <c r="H833" s="334">
        <f t="shared" si="1084"/>
        <v>5960</v>
      </c>
      <c r="I833" s="334">
        <f t="shared" si="1084"/>
        <v>174</v>
      </c>
      <c r="J833" s="356" t="str">
        <f t="shared" si="1084"/>
        <v>-</v>
      </c>
      <c r="K833" s="336">
        <f t="shared" si="1084"/>
        <v>175216</v>
      </c>
      <c r="L833" s="334">
        <f t="shared" si="1084"/>
        <v>172160</v>
      </c>
      <c r="M833" s="335">
        <f t="shared" si="1084"/>
        <v>3056</v>
      </c>
      <c r="N833" s="348">
        <f t="shared" si="1084"/>
        <v>0.23496848598632158</v>
      </c>
      <c r="O833" s="356">
        <f t="shared" si="1084"/>
        <v>1.7441329558944389E-2</v>
      </c>
    </row>
    <row r="834" spans="1:15" ht="24.6" thickBot="1" x14ac:dyDescent="0.35">
      <c r="A834" s="325"/>
      <c r="B834" s="915" t="s">
        <v>183</v>
      </c>
      <c r="C834" s="916"/>
      <c r="D834" s="917"/>
      <c r="E834" s="380">
        <f>+E779+E806+E833</f>
        <v>9494400</v>
      </c>
      <c r="F834" s="380">
        <f>+F779+F806+F833</f>
        <v>748300</v>
      </c>
      <c r="G834" s="380">
        <f>+G779+G806+G833</f>
        <v>292238</v>
      </c>
      <c r="H834" s="380">
        <f>+H779+H806+H833</f>
        <v>289074</v>
      </c>
      <c r="I834" s="380">
        <f>+I779+I806+I833</f>
        <v>3164</v>
      </c>
      <c r="J834" s="381" t="str">
        <f>IFERROR(G834/#REF!,"-")</f>
        <v>-</v>
      </c>
      <c r="K834" s="380">
        <f>+K779+K806+K833</f>
        <v>2106078</v>
      </c>
      <c r="L834" s="380">
        <f>+L779+L806+L833</f>
        <v>2083478</v>
      </c>
      <c r="M834" s="380">
        <f>+M779+M806+M833</f>
        <v>22600</v>
      </c>
      <c r="N834" s="381">
        <f>IFERROR(K834/E834,"-")</f>
        <v>0.22182317997977755</v>
      </c>
      <c r="O834" s="381">
        <f>IFERROR(M834/K834,"-")</f>
        <v>1.073084662581348E-2</v>
      </c>
    </row>
    <row r="835" spans="1:15" ht="23.4" x14ac:dyDescent="0.3">
      <c r="A835" s="935" t="s">
        <v>1</v>
      </c>
      <c r="B835" s="938" t="s">
        <v>2</v>
      </c>
      <c r="C835" s="941" t="s">
        <v>3</v>
      </c>
      <c r="D835" s="941" t="s">
        <v>93</v>
      </c>
      <c r="E835" s="944" t="s">
        <v>4</v>
      </c>
      <c r="F835" s="945"/>
      <c r="G835" s="945"/>
      <c r="H835" s="945"/>
      <c r="I835" s="945"/>
      <c r="J835" s="945"/>
      <c r="K835" s="945"/>
      <c r="L835" s="945"/>
      <c r="M835" s="945"/>
      <c r="N835" s="945"/>
      <c r="O835" s="946"/>
    </row>
    <row r="836" spans="1:15" ht="23.4" x14ac:dyDescent="0.3">
      <c r="A836" s="936"/>
      <c r="B836" s="939"/>
      <c r="C836" s="942"/>
      <c r="D836" s="942"/>
      <c r="E836" s="947" t="s">
        <v>7</v>
      </c>
      <c r="F836" s="949" t="s">
        <v>116</v>
      </c>
      <c r="G836" s="951">
        <v>44511</v>
      </c>
      <c r="H836" s="952"/>
      <c r="I836" s="952"/>
      <c r="J836" s="953"/>
      <c r="K836" s="954" t="s">
        <v>8</v>
      </c>
      <c r="L836" s="955"/>
      <c r="M836" s="956"/>
      <c r="N836" s="957" t="s">
        <v>174</v>
      </c>
      <c r="O836" s="959" t="s">
        <v>173</v>
      </c>
    </row>
    <row r="837" spans="1:15" ht="41.4" thickBot="1" x14ac:dyDescent="0.35">
      <c r="A837" s="937"/>
      <c r="B837" s="940"/>
      <c r="C837" s="943"/>
      <c r="D837" s="943"/>
      <c r="E837" s="948"/>
      <c r="F837" s="950"/>
      <c r="G837" s="462" t="s">
        <v>13</v>
      </c>
      <c r="H837" s="463" t="s">
        <v>14</v>
      </c>
      <c r="I837" s="463" t="s">
        <v>15</v>
      </c>
      <c r="J837" s="464" t="s">
        <v>175</v>
      </c>
      <c r="K837" s="462" t="s">
        <v>13</v>
      </c>
      <c r="L837" s="463" t="s">
        <v>14</v>
      </c>
      <c r="M837" s="465" t="s">
        <v>15</v>
      </c>
      <c r="N837" s="958"/>
      <c r="O837" s="960"/>
    </row>
    <row r="838" spans="1:15" ht="23.4" x14ac:dyDescent="0.3">
      <c r="A838" s="271" t="s">
        <v>111</v>
      </c>
      <c r="B838" s="922" t="s">
        <v>16</v>
      </c>
      <c r="C838" s="272" t="s">
        <v>186</v>
      </c>
      <c r="D838" s="272" t="s">
        <v>184</v>
      </c>
      <c r="E838" s="273">
        <v>0</v>
      </c>
      <c r="F838" s="274"/>
      <c r="G838" s="338">
        <f>+H838+I838</f>
        <v>0</v>
      </c>
      <c r="H838" s="275">
        <v>0</v>
      </c>
      <c r="I838" s="275">
        <v>0</v>
      </c>
      <c r="J838" s="357" t="str">
        <f>IFERROR(G838/#REF!,"-")</f>
        <v>-</v>
      </c>
      <c r="K838" s="468">
        <f>+L838+M838</f>
        <v>0</v>
      </c>
      <c r="L838" s="469">
        <f>+H838+L735</f>
        <v>0</v>
      </c>
      <c r="M838" s="469">
        <f>+I838+M735</f>
        <v>0</v>
      </c>
      <c r="N838" s="342" t="str">
        <f>IFERROR(K838/E838,"-")</f>
        <v>-</v>
      </c>
      <c r="O838" s="349" t="str">
        <f t="shared" ref="O838:O839" si="1085">IFERROR(M838/K838,"-")</f>
        <v>-</v>
      </c>
    </row>
    <row r="839" spans="1:15" ht="23.4" x14ac:dyDescent="0.3">
      <c r="A839" s="277" t="s">
        <v>111</v>
      </c>
      <c r="B839" s="923"/>
      <c r="C839" s="278" t="s">
        <v>190</v>
      </c>
      <c r="D839" s="278" t="s">
        <v>101</v>
      </c>
      <c r="E839" s="279">
        <v>0</v>
      </c>
      <c r="F839" s="280"/>
      <c r="G839" s="339">
        <f t="shared" ref="G839:G841" si="1086">+H839+I839</f>
        <v>0</v>
      </c>
      <c r="H839" s="281">
        <v>0</v>
      </c>
      <c r="I839" s="281">
        <v>0</v>
      </c>
      <c r="J839" s="358" t="str">
        <f>IFERROR(G839/#REF!,"-")</f>
        <v>-</v>
      </c>
      <c r="K839" s="339">
        <f t="shared" ref="K839:K841" si="1087">+L839+M839</f>
        <v>0</v>
      </c>
      <c r="L839" s="281">
        <f t="shared" ref="L839:L841" si="1088">+H839+L736</f>
        <v>0</v>
      </c>
      <c r="M839" s="442">
        <f t="shared" ref="M839:M841" si="1089">+I839+M736</f>
        <v>0</v>
      </c>
      <c r="N839" s="343" t="str">
        <f t="shared" ref="N839:N841" si="1090">IFERROR(K839/E839,"-")</f>
        <v>-</v>
      </c>
      <c r="O839" s="268" t="str">
        <f t="shared" si="1085"/>
        <v>-</v>
      </c>
    </row>
    <row r="840" spans="1:15" ht="23.4" x14ac:dyDescent="0.3">
      <c r="A840" s="277" t="s">
        <v>111</v>
      </c>
      <c r="B840" s="923"/>
      <c r="C840" s="278" t="s">
        <v>187</v>
      </c>
      <c r="D840" s="278" t="s">
        <v>185</v>
      </c>
      <c r="E840" s="279">
        <v>0</v>
      </c>
      <c r="F840" s="280"/>
      <c r="G840" s="339">
        <f t="shared" si="1086"/>
        <v>0</v>
      </c>
      <c r="H840" s="281">
        <v>0</v>
      </c>
      <c r="I840" s="281">
        <v>0</v>
      </c>
      <c r="J840" s="358" t="str">
        <f>IFERROR(G840/#REF!,"-")</f>
        <v>-</v>
      </c>
      <c r="K840" s="339">
        <f t="shared" si="1087"/>
        <v>0</v>
      </c>
      <c r="L840" s="281">
        <f t="shared" si="1088"/>
        <v>0</v>
      </c>
      <c r="M840" s="442">
        <f t="shared" si="1089"/>
        <v>0</v>
      </c>
      <c r="N840" s="343" t="str">
        <f t="shared" si="1090"/>
        <v>-</v>
      </c>
      <c r="O840" s="268" t="str">
        <f>IFERROR(M840/K840,"-")</f>
        <v>-</v>
      </c>
    </row>
    <row r="841" spans="1:15" ht="24" thickBot="1" x14ac:dyDescent="0.35">
      <c r="A841" s="277" t="s">
        <v>111</v>
      </c>
      <c r="B841" s="924"/>
      <c r="C841" s="282" t="s">
        <v>255</v>
      </c>
      <c r="D841" s="282" t="s">
        <v>256</v>
      </c>
      <c r="E841" s="283">
        <v>0</v>
      </c>
      <c r="F841" s="284"/>
      <c r="G841" s="340">
        <f t="shared" si="1086"/>
        <v>6797</v>
      </c>
      <c r="H841" s="285">
        <v>6656</v>
      </c>
      <c r="I841" s="285">
        <v>141</v>
      </c>
      <c r="J841" s="359" t="str">
        <f>IFERROR(G841/#REF!,"-")</f>
        <v>-</v>
      </c>
      <c r="K841" s="471">
        <f t="shared" si="1087"/>
        <v>105112</v>
      </c>
      <c r="L841" s="472">
        <f t="shared" si="1088"/>
        <v>103424</v>
      </c>
      <c r="M841" s="473">
        <f t="shared" si="1089"/>
        <v>1688</v>
      </c>
      <c r="N841" s="344" t="str">
        <f t="shared" si="1090"/>
        <v>-</v>
      </c>
      <c r="O841" s="350">
        <f t="shared" ref="O841:O905" si="1091">IFERROR(M841/K841,"-")</f>
        <v>1.6059060811325063E-2</v>
      </c>
    </row>
    <row r="842" spans="1:15" ht="24" thickBot="1" x14ac:dyDescent="0.35">
      <c r="A842" s="277" t="s">
        <v>111</v>
      </c>
      <c r="B842" s="906" t="s">
        <v>47</v>
      </c>
      <c r="C842" s="907"/>
      <c r="D842" s="908"/>
      <c r="E842" s="326">
        <v>144600</v>
      </c>
      <c r="F842" s="289">
        <v>15000</v>
      </c>
      <c r="G842" s="326">
        <f>SUM(G838:G841)</f>
        <v>6797</v>
      </c>
      <c r="H842" s="327">
        <f t="shared" ref="H842:I842" si="1092">SUM(H838:H841)</f>
        <v>6656</v>
      </c>
      <c r="I842" s="327">
        <f t="shared" si="1092"/>
        <v>141</v>
      </c>
      <c r="J842" s="351" t="str">
        <f>IFERROR(G842/#REF!,"-")</f>
        <v>-</v>
      </c>
      <c r="K842" s="326">
        <f t="shared" ref="K842:M842" si="1093">SUM(K838:K841)</f>
        <v>105112</v>
      </c>
      <c r="L842" s="327">
        <f t="shared" si="1093"/>
        <v>103424</v>
      </c>
      <c r="M842" s="328">
        <f t="shared" si="1093"/>
        <v>1688</v>
      </c>
      <c r="N842" s="345">
        <f>IFERROR(K842/E842,"-")</f>
        <v>0.72691562932226828</v>
      </c>
      <c r="O842" s="351">
        <f t="shared" si="1091"/>
        <v>1.6059060811325063E-2</v>
      </c>
    </row>
    <row r="843" spans="1:15" ht="23.4" x14ac:dyDescent="0.3">
      <c r="A843" s="277" t="s">
        <v>111</v>
      </c>
      <c r="B843" s="922" t="s">
        <v>17</v>
      </c>
      <c r="C843" s="272" t="s">
        <v>331</v>
      </c>
      <c r="D843" s="272"/>
      <c r="E843" s="273">
        <v>0</v>
      </c>
      <c r="F843" s="274"/>
      <c r="G843" s="338">
        <f t="shared" ref="G843:G849" si="1094">+H843+I843</f>
        <v>0</v>
      </c>
      <c r="H843" s="275">
        <v>0</v>
      </c>
      <c r="I843" s="275">
        <v>0</v>
      </c>
      <c r="J843" s="357" t="str">
        <f>IFERROR(G843/#REF!,"-")</f>
        <v>-</v>
      </c>
      <c r="K843" s="468">
        <f t="shared" ref="K843:K849" si="1095">+L843+M843</f>
        <v>0</v>
      </c>
      <c r="L843" s="469">
        <f t="shared" ref="L843:L849" si="1096">+H843+L740</f>
        <v>0</v>
      </c>
      <c r="M843" s="470">
        <f t="shared" ref="M843:M849" si="1097">+I843+M740</f>
        <v>0</v>
      </c>
      <c r="N843" s="342" t="str">
        <f t="shared" ref="N843:N884" si="1098">IFERROR(K843/E843,"-")</f>
        <v>-</v>
      </c>
      <c r="O843" s="352" t="str">
        <f t="shared" si="1091"/>
        <v>-</v>
      </c>
    </row>
    <row r="844" spans="1:15" ht="23.4" x14ac:dyDescent="0.3">
      <c r="A844" s="277" t="s">
        <v>111</v>
      </c>
      <c r="B844" s="923"/>
      <c r="C844" s="278" t="s">
        <v>421</v>
      </c>
      <c r="D844" s="278" t="s">
        <v>257</v>
      </c>
      <c r="E844" s="279">
        <v>0</v>
      </c>
      <c r="F844" s="280"/>
      <c r="G844" s="339">
        <f t="shared" si="1094"/>
        <v>5975</v>
      </c>
      <c r="H844" s="281">
        <v>5975</v>
      </c>
      <c r="I844" s="281">
        <v>0</v>
      </c>
      <c r="J844" s="358" t="str">
        <f>IFERROR(G844/#REF!,"-")</f>
        <v>-</v>
      </c>
      <c r="K844" s="339">
        <f t="shared" si="1095"/>
        <v>260594</v>
      </c>
      <c r="L844" s="281">
        <f t="shared" si="1096"/>
        <v>259343</v>
      </c>
      <c r="M844" s="442">
        <f t="shared" si="1097"/>
        <v>1251</v>
      </c>
      <c r="N844" s="343" t="str">
        <f t="shared" si="1098"/>
        <v>-</v>
      </c>
      <c r="O844" s="264">
        <f t="shared" si="1091"/>
        <v>4.8005710031696815E-3</v>
      </c>
    </row>
    <row r="845" spans="1:15" ht="23.4" x14ac:dyDescent="0.3">
      <c r="A845" s="277" t="s">
        <v>111</v>
      </c>
      <c r="B845" s="923"/>
      <c r="C845" s="278" t="s">
        <v>290</v>
      </c>
      <c r="D845" s="278" t="s">
        <v>205</v>
      </c>
      <c r="E845" s="279">
        <v>0</v>
      </c>
      <c r="F845" s="280"/>
      <c r="G845" s="339">
        <f t="shared" si="1094"/>
        <v>0</v>
      </c>
      <c r="H845" s="281">
        <v>0</v>
      </c>
      <c r="I845" s="281">
        <v>0</v>
      </c>
      <c r="J845" s="358" t="str">
        <f>IFERROR(G845/#REF!,"-")</f>
        <v>-</v>
      </c>
      <c r="K845" s="339">
        <f t="shared" si="1095"/>
        <v>0</v>
      </c>
      <c r="L845" s="281">
        <f t="shared" si="1096"/>
        <v>0</v>
      </c>
      <c r="M845" s="442">
        <f t="shared" si="1097"/>
        <v>0</v>
      </c>
      <c r="N845" s="343" t="str">
        <f t="shared" si="1098"/>
        <v>-</v>
      </c>
      <c r="O845" s="264" t="str">
        <f t="shared" si="1091"/>
        <v>-</v>
      </c>
    </row>
    <row r="846" spans="1:15" ht="23.4" x14ac:dyDescent="0.3">
      <c r="A846" s="277" t="s">
        <v>111</v>
      </c>
      <c r="B846" s="923"/>
      <c r="C846" s="278" t="s">
        <v>330</v>
      </c>
      <c r="D846" s="278" t="s">
        <v>206</v>
      </c>
      <c r="E846" s="279">
        <v>0</v>
      </c>
      <c r="F846" s="280"/>
      <c r="G846" s="339">
        <f t="shared" si="1094"/>
        <v>0</v>
      </c>
      <c r="H846" s="281">
        <v>0</v>
      </c>
      <c r="I846" s="281">
        <v>0</v>
      </c>
      <c r="J846" s="358" t="str">
        <f>IFERROR(G846/#REF!,"-")</f>
        <v>-</v>
      </c>
      <c r="K846" s="339">
        <f t="shared" si="1095"/>
        <v>1836</v>
      </c>
      <c r="L846" s="281">
        <f t="shared" si="1096"/>
        <v>1836</v>
      </c>
      <c r="M846" s="442">
        <f t="shared" si="1097"/>
        <v>0</v>
      </c>
      <c r="N846" s="343" t="str">
        <f t="shared" si="1098"/>
        <v>-</v>
      </c>
      <c r="O846" s="264">
        <f t="shared" si="1091"/>
        <v>0</v>
      </c>
    </row>
    <row r="847" spans="1:15" ht="23.4" x14ac:dyDescent="0.3">
      <c r="A847" s="277" t="s">
        <v>111</v>
      </c>
      <c r="B847" s="923"/>
      <c r="C847" s="278" t="s">
        <v>377</v>
      </c>
      <c r="D847" s="278" t="s">
        <v>371</v>
      </c>
      <c r="E847" s="279">
        <v>0</v>
      </c>
      <c r="F847" s="280"/>
      <c r="G847" s="339">
        <f t="shared" si="1094"/>
        <v>0</v>
      </c>
      <c r="H847" s="281">
        <v>0</v>
      </c>
      <c r="I847" s="281">
        <v>0</v>
      </c>
      <c r="J847" s="358" t="str">
        <f>IFERROR(G847/#REF!,"-")</f>
        <v>-</v>
      </c>
      <c r="K847" s="339">
        <f t="shared" si="1095"/>
        <v>8312</v>
      </c>
      <c r="L847" s="281">
        <f t="shared" si="1096"/>
        <v>8312</v>
      </c>
      <c r="M847" s="442">
        <f t="shared" si="1097"/>
        <v>0</v>
      </c>
      <c r="N847" s="343" t="str">
        <f t="shared" si="1098"/>
        <v>-</v>
      </c>
      <c r="O847" s="264">
        <f t="shared" si="1091"/>
        <v>0</v>
      </c>
    </row>
    <row r="848" spans="1:15" ht="23.4" x14ac:dyDescent="0.3">
      <c r="A848" s="277" t="s">
        <v>111</v>
      </c>
      <c r="B848" s="923"/>
      <c r="C848" s="278" t="s">
        <v>443</v>
      </c>
      <c r="D848" s="278" t="s">
        <v>207</v>
      </c>
      <c r="E848" s="279">
        <v>0</v>
      </c>
      <c r="F848" s="280"/>
      <c r="G848" s="339">
        <f t="shared" si="1094"/>
        <v>67480</v>
      </c>
      <c r="H848" s="281">
        <v>67320</v>
      </c>
      <c r="I848" s="281">
        <v>160</v>
      </c>
      <c r="J848" s="358" t="str">
        <f>IFERROR(G848/#REF!,"-")</f>
        <v>-</v>
      </c>
      <c r="K848" s="339">
        <f t="shared" si="1095"/>
        <v>202719</v>
      </c>
      <c r="L848" s="281">
        <f t="shared" si="1096"/>
        <v>201960</v>
      </c>
      <c r="M848" s="442">
        <f t="shared" si="1097"/>
        <v>759</v>
      </c>
      <c r="N848" s="343" t="str">
        <f t="shared" si="1098"/>
        <v>-</v>
      </c>
      <c r="O848" s="264">
        <f t="shared" si="1091"/>
        <v>3.7440989744424546E-3</v>
      </c>
    </row>
    <row r="849" spans="1:15" ht="24" thickBot="1" x14ac:dyDescent="0.35">
      <c r="A849" s="277" t="s">
        <v>111</v>
      </c>
      <c r="B849" s="924"/>
      <c r="C849" s="282" t="s">
        <v>416</v>
      </c>
      <c r="D849" s="282" t="s">
        <v>257</v>
      </c>
      <c r="E849" s="283">
        <v>0</v>
      </c>
      <c r="F849" s="284"/>
      <c r="G849" s="340">
        <f t="shared" si="1094"/>
        <v>0</v>
      </c>
      <c r="H849" s="285">
        <v>0</v>
      </c>
      <c r="I849" s="285">
        <v>0</v>
      </c>
      <c r="J849" s="359" t="str">
        <f>IFERROR(G849/#REF!,"-")</f>
        <v>-</v>
      </c>
      <c r="K849" s="471">
        <f t="shared" si="1095"/>
        <v>73650</v>
      </c>
      <c r="L849" s="719">
        <f t="shared" si="1096"/>
        <v>73440</v>
      </c>
      <c r="M849" s="473">
        <f t="shared" si="1097"/>
        <v>210</v>
      </c>
      <c r="N849" s="344" t="str">
        <f t="shared" si="1098"/>
        <v>-</v>
      </c>
      <c r="O849" s="353">
        <f t="shared" si="1091"/>
        <v>2.8513238289205704E-3</v>
      </c>
    </row>
    <row r="850" spans="1:15" ht="24" thickBot="1" x14ac:dyDescent="0.35">
      <c r="A850" s="277" t="s">
        <v>111</v>
      </c>
      <c r="B850" s="906" t="s">
        <v>48</v>
      </c>
      <c r="C850" s="907"/>
      <c r="D850" s="908"/>
      <c r="E850" s="326">
        <v>3480000</v>
      </c>
      <c r="F850" s="289">
        <v>100000</v>
      </c>
      <c r="G850" s="326">
        <f>SUM(G843:G849)</f>
        <v>73455</v>
      </c>
      <c r="H850" s="327">
        <f t="shared" ref="H850:I850" si="1099">SUM(H843:H849)</f>
        <v>73295</v>
      </c>
      <c r="I850" s="327">
        <f t="shared" si="1099"/>
        <v>160</v>
      </c>
      <c r="J850" s="351" t="str">
        <f>IFERROR(G850/#REF!,"-")</f>
        <v>-</v>
      </c>
      <c r="K850" s="326">
        <f t="shared" ref="K850:M850" si="1100">SUM(K843:K849)</f>
        <v>547111</v>
      </c>
      <c r="L850" s="327">
        <f t="shared" si="1100"/>
        <v>544891</v>
      </c>
      <c r="M850" s="328">
        <f t="shared" si="1100"/>
        <v>2220</v>
      </c>
      <c r="N850" s="345">
        <f t="shared" si="1098"/>
        <v>0.15721580459770115</v>
      </c>
      <c r="O850" s="351">
        <f t="shared" si="1091"/>
        <v>4.0576775096826789E-3</v>
      </c>
    </row>
    <row r="851" spans="1:15" ht="23.4" x14ac:dyDescent="0.3">
      <c r="A851" s="277" t="s">
        <v>111</v>
      </c>
      <c r="B851" s="922" t="s">
        <v>18</v>
      </c>
      <c r="C851" s="272" t="s">
        <v>359</v>
      </c>
      <c r="D851" s="272" t="s">
        <v>99</v>
      </c>
      <c r="E851" s="273">
        <v>0</v>
      </c>
      <c r="F851" s="274"/>
      <c r="G851" s="338">
        <f t="shared" ref="G851:G857" si="1101">+H851+I851</f>
        <v>0</v>
      </c>
      <c r="H851" s="275">
        <v>0</v>
      </c>
      <c r="I851" s="275">
        <v>0</v>
      </c>
      <c r="J851" s="357" t="str">
        <f>IFERROR(G851/#REF!,"-")</f>
        <v>-</v>
      </c>
      <c r="K851" s="338">
        <f t="shared" ref="K851:K857" si="1102">+L851+M851</f>
        <v>0</v>
      </c>
      <c r="L851" s="275">
        <f t="shared" ref="L851:L857" si="1103">+H851+L748</f>
        <v>0</v>
      </c>
      <c r="M851" s="276">
        <f t="shared" ref="M851:M857" si="1104">+I851+M748</f>
        <v>0</v>
      </c>
      <c r="N851" s="342" t="str">
        <f t="shared" si="1098"/>
        <v>-</v>
      </c>
      <c r="O851" s="352" t="str">
        <f t="shared" si="1091"/>
        <v>-</v>
      </c>
    </row>
    <row r="852" spans="1:15" ht="23.4" x14ac:dyDescent="0.3">
      <c r="A852" s="277" t="s">
        <v>111</v>
      </c>
      <c r="B852" s="923"/>
      <c r="C852" s="278" t="s">
        <v>258</v>
      </c>
      <c r="D852" s="278" t="s">
        <v>259</v>
      </c>
      <c r="E852" s="279">
        <v>0</v>
      </c>
      <c r="F852" s="280"/>
      <c r="G852" s="339">
        <f t="shared" si="1101"/>
        <v>0</v>
      </c>
      <c r="H852" s="281">
        <v>0</v>
      </c>
      <c r="I852" s="281">
        <v>0</v>
      </c>
      <c r="J852" s="358" t="str">
        <f>IFERROR(G852/#REF!,"-")</f>
        <v>-</v>
      </c>
      <c r="K852" s="339">
        <f t="shared" si="1102"/>
        <v>0</v>
      </c>
      <c r="L852" s="281">
        <f t="shared" si="1103"/>
        <v>0</v>
      </c>
      <c r="M852" s="251">
        <f t="shared" si="1104"/>
        <v>0</v>
      </c>
      <c r="N852" s="343" t="str">
        <f t="shared" si="1098"/>
        <v>-</v>
      </c>
      <c r="O852" s="264" t="str">
        <f t="shared" si="1091"/>
        <v>-</v>
      </c>
    </row>
    <row r="853" spans="1:15" ht="23.4" x14ac:dyDescent="0.3">
      <c r="A853" s="277" t="s">
        <v>111</v>
      </c>
      <c r="B853" s="923"/>
      <c r="C853" s="278" t="s">
        <v>123</v>
      </c>
      <c r="D853" s="278"/>
      <c r="E853" s="279">
        <v>0</v>
      </c>
      <c r="F853" s="280"/>
      <c r="G853" s="339">
        <f t="shared" si="1101"/>
        <v>0</v>
      </c>
      <c r="H853" s="281">
        <v>0</v>
      </c>
      <c r="I853" s="281">
        <v>0</v>
      </c>
      <c r="J853" s="358" t="str">
        <f>IFERROR(G853/#REF!,"-")</f>
        <v>-</v>
      </c>
      <c r="K853" s="339">
        <f t="shared" si="1102"/>
        <v>0</v>
      </c>
      <c r="L853" s="281">
        <f t="shared" si="1103"/>
        <v>0</v>
      </c>
      <c r="M853" s="251">
        <f t="shared" si="1104"/>
        <v>0</v>
      </c>
      <c r="N853" s="343" t="str">
        <f t="shared" si="1098"/>
        <v>-</v>
      </c>
      <c r="O853" s="264" t="str">
        <f t="shared" si="1091"/>
        <v>-</v>
      </c>
    </row>
    <row r="854" spans="1:15" ht="23.4" x14ac:dyDescent="0.3">
      <c r="A854" s="277" t="s">
        <v>111</v>
      </c>
      <c r="B854" s="923"/>
      <c r="C854" s="278" t="s">
        <v>130</v>
      </c>
      <c r="D854" s="278"/>
      <c r="E854" s="279">
        <v>0</v>
      </c>
      <c r="F854" s="280"/>
      <c r="G854" s="339">
        <f t="shared" si="1101"/>
        <v>0</v>
      </c>
      <c r="H854" s="281">
        <v>0</v>
      </c>
      <c r="I854" s="281">
        <v>0</v>
      </c>
      <c r="J854" s="358" t="str">
        <f>IFERROR(G854/#REF!,"-")</f>
        <v>-</v>
      </c>
      <c r="K854" s="339">
        <f t="shared" si="1102"/>
        <v>0</v>
      </c>
      <c r="L854" s="281">
        <f t="shared" si="1103"/>
        <v>0</v>
      </c>
      <c r="M854" s="251">
        <f t="shared" si="1104"/>
        <v>0</v>
      </c>
      <c r="N854" s="343" t="str">
        <f t="shared" si="1098"/>
        <v>-</v>
      </c>
      <c r="O854" s="264" t="str">
        <f t="shared" si="1091"/>
        <v>-</v>
      </c>
    </row>
    <row r="855" spans="1:15" ht="23.4" x14ac:dyDescent="0.3">
      <c r="A855" s="277" t="s">
        <v>111</v>
      </c>
      <c r="B855" s="923"/>
      <c r="C855" s="278" t="s">
        <v>191</v>
      </c>
      <c r="D855" s="278" t="s">
        <v>192</v>
      </c>
      <c r="E855" s="279">
        <v>0</v>
      </c>
      <c r="F855" s="280"/>
      <c r="G855" s="339">
        <f t="shared" si="1101"/>
        <v>0</v>
      </c>
      <c r="H855" s="281">
        <v>0</v>
      </c>
      <c r="I855" s="281">
        <v>0</v>
      </c>
      <c r="J855" s="358" t="str">
        <f>IFERROR(G855/#REF!,"-")</f>
        <v>-</v>
      </c>
      <c r="K855" s="339">
        <f t="shared" si="1102"/>
        <v>0</v>
      </c>
      <c r="L855" s="281">
        <f t="shared" si="1103"/>
        <v>0</v>
      </c>
      <c r="M855" s="251">
        <f t="shared" si="1104"/>
        <v>0</v>
      </c>
      <c r="N855" s="343" t="str">
        <f t="shared" si="1098"/>
        <v>-</v>
      </c>
      <c r="O855" s="264" t="str">
        <f t="shared" si="1091"/>
        <v>-</v>
      </c>
    </row>
    <row r="856" spans="1:15" ht="23.4" x14ac:dyDescent="0.3">
      <c r="A856" s="277" t="s">
        <v>111</v>
      </c>
      <c r="B856" s="923"/>
      <c r="C856" s="278" t="s">
        <v>194</v>
      </c>
      <c r="D856" s="278" t="s">
        <v>193</v>
      </c>
      <c r="E856" s="279">
        <v>0</v>
      </c>
      <c r="F856" s="280"/>
      <c r="G856" s="339">
        <f t="shared" si="1101"/>
        <v>0</v>
      </c>
      <c r="H856" s="281">
        <v>0</v>
      </c>
      <c r="I856" s="281">
        <v>0</v>
      </c>
      <c r="J856" s="358" t="str">
        <f>IFERROR(G856/#REF!,"-")</f>
        <v>-</v>
      </c>
      <c r="K856" s="339">
        <f t="shared" si="1102"/>
        <v>0</v>
      </c>
      <c r="L856" s="281">
        <f t="shared" si="1103"/>
        <v>0</v>
      </c>
      <c r="M856" s="251">
        <f t="shared" si="1104"/>
        <v>0</v>
      </c>
      <c r="N856" s="343" t="str">
        <f t="shared" si="1098"/>
        <v>-</v>
      </c>
      <c r="O856" s="264" t="str">
        <f t="shared" si="1091"/>
        <v>-</v>
      </c>
    </row>
    <row r="857" spans="1:15" ht="24" thickBot="1" x14ac:dyDescent="0.35">
      <c r="A857" s="277" t="s">
        <v>111</v>
      </c>
      <c r="B857" s="924"/>
      <c r="C857" s="290" t="s">
        <v>195</v>
      </c>
      <c r="D857" s="290" t="s">
        <v>115</v>
      </c>
      <c r="E857" s="283">
        <v>0</v>
      </c>
      <c r="F857" s="284"/>
      <c r="G857" s="340">
        <f t="shared" si="1101"/>
        <v>0</v>
      </c>
      <c r="H857" s="285">
        <v>0</v>
      </c>
      <c r="I857" s="285">
        <v>0</v>
      </c>
      <c r="J857" s="359" t="str">
        <f>IFERROR(G857/#REF!,"-")</f>
        <v>-</v>
      </c>
      <c r="K857" s="340">
        <f t="shared" si="1102"/>
        <v>0</v>
      </c>
      <c r="L857" s="285">
        <f t="shared" si="1103"/>
        <v>0</v>
      </c>
      <c r="M857" s="286">
        <f t="shared" si="1104"/>
        <v>0</v>
      </c>
      <c r="N857" s="344" t="str">
        <f t="shared" si="1098"/>
        <v>-</v>
      </c>
      <c r="O857" s="353" t="str">
        <f t="shared" si="1091"/>
        <v>-</v>
      </c>
    </row>
    <row r="858" spans="1:15" ht="24" thickBot="1" x14ac:dyDescent="0.35">
      <c r="A858" s="277" t="s">
        <v>111</v>
      </c>
      <c r="B858" s="906" t="s">
        <v>29</v>
      </c>
      <c r="C858" s="907"/>
      <c r="D858" s="908"/>
      <c r="E858" s="326">
        <f t="shared" ref="E858" si="1105">SUM(E851:E857)</f>
        <v>0</v>
      </c>
      <c r="F858" s="289">
        <v>80000</v>
      </c>
      <c r="G858" s="326">
        <f>SUM(G851:G857)</f>
        <v>0</v>
      </c>
      <c r="H858" s="327">
        <f t="shared" ref="H858:I858" si="1106">SUM(H851:H857)</f>
        <v>0</v>
      </c>
      <c r="I858" s="327">
        <f t="shared" si="1106"/>
        <v>0</v>
      </c>
      <c r="J858" s="351" t="str">
        <f>IFERROR(G858/#REF!,"-")</f>
        <v>-</v>
      </c>
      <c r="K858" s="326">
        <f t="shared" ref="K858:M858" si="1107">SUM(K851:K857)</f>
        <v>0</v>
      </c>
      <c r="L858" s="327">
        <f t="shared" si="1107"/>
        <v>0</v>
      </c>
      <c r="M858" s="328">
        <f t="shared" si="1107"/>
        <v>0</v>
      </c>
      <c r="N858" s="345" t="str">
        <f t="shared" si="1098"/>
        <v>-</v>
      </c>
      <c r="O858" s="351" t="str">
        <f t="shared" si="1091"/>
        <v>-</v>
      </c>
    </row>
    <row r="859" spans="1:15" ht="23.4" x14ac:dyDescent="0.3">
      <c r="A859" s="252" t="s">
        <v>111</v>
      </c>
      <c r="B859" s="918" t="s">
        <v>19</v>
      </c>
      <c r="C859" s="678" t="s">
        <v>260</v>
      </c>
      <c r="D859" s="676" t="s">
        <v>192</v>
      </c>
      <c r="E859" s="293">
        <v>2000000</v>
      </c>
      <c r="F859" s="294">
        <v>110000</v>
      </c>
      <c r="G859" s="468">
        <f t="shared" ref="G859:G860" si="1108">+H859+I859</f>
        <v>33970</v>
      </c>
      <c r="H859" s="674">
        <v>33792</v>
      </c>
      <c r="I859" s="674">
        <v>178</v>
      </c>
      <c r="J859" s="675" t="str">
        <f>IFERROR(G859/#REF!,"-")</f>
        <v>-</v>
      </c>
      <c r="K859" s="673">
        <f>+L859+M859</f>
        <v>305627</v>
      </c>
      <c r="L859" s="295">
        <f t="shared" ref="L859:L860" si="1109">+H859+L756</f>
        <v>304128</v>
      </c>
      <c r="M859" s="295">
        <f t="shared" ref="M859:M860" si="1110">+I859+M756</f>
        <v>1499</v>
      </c>
      <c r="N859" s="346">
        <f t="shared" si="1098"/>
        <v>0.15281349999999999</v>
      </c>
      <c r="O859" s="354">
        <f t="shared" si="1091"/>
        <v>4.9046713804735834E-3</v>
      </c>
    </row>
    <row r="860" spans="1:15" ht="24" thickBot="1" x14ac:dyDescent="0.35">
      <c r="A860" s="252"/>
      <c r="B860" s="920"/>
      <c r="C860" s="679" t="s">
        <v>417</v>
      </c>
      <c r="D860" s="677"/>
      <c r="E860" s="285">
        <v>150000</v>
      </c>
      <c r="F860" s="285">
        <v>110000</v>
      </c>
      <c r="G860" s="607">
        <f t="shared" si="1108"/>
        <v>0</v>
      </c>
      <c r="H860" s="285">
        <v>0</v>
      </c>
      <c r="I860" s="285">
        <v>0</v>
      </c>
      <c r="J860" s="359"/>
      <c r="K860" s="607">
        <f>+L860+M860</f>
        <v>0</v>
      </c>
      <c r="L860" s="285">
        <f t="shared" si="1109"/>
        <v>0</v>
      </c>
      <c r="M860" s="285">
        <f t="shared" si="1110"/>
        <v>0</v>
      </c>
      <c r="N860" s="680">
        <f t="shared" si="1098"/>
        <v>0</v>
      </c>
      <c r="O860" s="680" t="str">
        <f t="shared" si="1091"/>
        <v>-</v>
      </c>
    </row>
    <row r="861" spans="1:15" ht="24" thickBot="1" x14ac:dyDescent="0.35">
      <c r="A861" s="277" t="s">
        <v>111</v>
      </c>
      <c r="B861" s="921" t="s">
        <v>49</v>
      </c>
      <c r="C861" s="907"/>
      <c r="D861" s="908"/>
      <c r="E861" s="326">
        <f>SUM(E859:E860)</f>
        <v>2150000</v>
      </c>
      <c r="F861" s="329">
        <f t="shared" ref="F861" si="1111">SUM(F859)</f>
        <v>110000</v>
      </c>
      <c r="G861" s="326">
        <f>SUM(G859)</f>
        <v>33970</v>
      </c>
      <c r="H861" s="327">
        <f t="shared" ref="H861:I861" si="1112">SUM(H859)</f>
        <v>33792</v>
      </c>
      <c r="I861" s="327">
        <f t="shared" si="1112"/>
        <v>178</v>
      </c>
      <c r="J861" s="351" t="str">
        <f>IFERROR(G861/#REF!,"-")</f>
        <v>-</v>
      </c>
      <c r="K861" s="681">
        <f t="shared" ref="K861:M861" si="1113">SUM(K859)</f>
        <v>305627</v>
      </c>
      <c r="L861" s="327">
        <f t="shared" si="1113"/>
        <v>304128</v>
      </c>
      <c r="M861" s="328">
        <f t="shared" si="1113"/>
        <v>1499</v>
      </c>
      <c r="N861" s="345">
        <f t="shared" si="1098"/>
        <v>0.14215209302325582</v>
      </c>
      <c r="O861" s="351">
        <f t="shared" si="1091"/>
        <v>4.9046713804735834E-3</v>
      </c>
    </row>
    <row r="862" spans="1:15" ht="23.4" x14ac:dyDescent="0.3">
      <c r="A862" s="277" t="s">
        <v>111</v>
      </c>
      <c r="B862" s="922" t="s">
        <v>20</v>
      </c>
      <c r="C862" s="297" t="s">
        <v>370</v>
      </c>
      <c r="D862" s="297" t="s">
        <v>324</v>
      </c>
      <c r="E862" s="273">
        <v>0</v>
      </c>
      <c r="F862" s="274"/>
      <c r="G862" s="338">
        <f t="shared" ref="G862:G864" si="1114">+H862+I862</f>
        <v>0</v>
      </c>
      <c r="H862" s="275">
        <v>0</v>
      </c>
      <c r="I862" s="275">
        <v>0</v>
      </c>
      <c r="J862" s="357" t="str">
        <f>IFERROR(G862/#REF!,"-")</f>
        <v>-</v>
      </c>
      <c r="K862" s="338">
        <f t="shared" ref="K862:K864" si="1115">+L862+M862</f>
        <v>0</v>
      </c>
      <c r="L862" s="275">
        <f t="shared" ref="L862:L864" si="1116">+H862+L759</f>
        <v>0</v>
      </c>
      <c r="M862" s="276">
        <f t="shared" ref="M862:M864" si="1117">+I862+M759</f>
        <v>0</v>
      </c>
      <c r="N862" s="342" t="str">
        <f t="shared" si="1098"/>
        <v>-</v>
      </c>
      <c r="O862" s="352" t="str">
        <f t="shared" si="1091"/>
        <v>-</v>
      </c>
    </row>
    <row r="863" spans="1:15" ht="23.4" x14ac:dyDescent="0.3">
      <c r="A863" s="277" t="s">
        <v>111</v>
      </c>
      <c r="B863" s="923"/>
      <c r="C863" s="298" t="s">
        <v>122</v>
      </c>
      <c r="D863" s="298"/>
      <c r="E863" s="279">
        <v>0</v>
      </c>
      <c r="F863" s="280"/>
      <c r="G863" s="339">
        <f t="shared" si="1114"/>
        <v>0</v>
      </c>
      <c r="H863" s="281">
        <v>0</v>
      </c>
      <c r="I863" s="281">
        <v>0</v>
      </c>
      <c r="J863" s="358" t="str">
        <f>IFERROR(G863/#REF!,"-")</f>
        <v>-</v>
      </c>
      <c r="K863" s="339">
        <f t="shared" si="1115"/>
        <v>0</v>
      </c>
      <c r="L863" s="281">
        <f t="shared" si="1116"/>
        <v>0</v>
      </c>
      <c r="M863" s="251">
        <f t="shared" si="1117"/>
        <v>0</v>
      </c>
      <c r="N863" s="343" t="str">
        <f t="shared" si="1098"/>
        <v>-</v>
      </c>
      <c r="O863" s="264" t="str">
        <f t="shared" si="1091"/>
        <v>-</v>
      </c>
    </row>
    <row r="864" spans="1:15" ht="24" thickBot="1" x14ac:dyDescent="0.35">
      <c r="A864" s="277" t="s">
        <v>111</v>
      </c>
      <c r="B864" s="924"/>
      <c r="C864" s="299" t="s">
        <v>128</v>
      </c>
      <c r="D864" s="299"/>
      <c r="E864" s="283">
        <v>0</v>
      </c>
      <c r="F864" s="284"/>
      <c r="G864" s="340">
        <f t="shared" si="1114"/>
        <v>0</v>
      </c>
      <c r="H864" s="285">
        <v>0</v>
      </c>
      <c r="I864" s="285">
        <v>0</v>
      </c>
      <c r="J864" s="359" t="str">
        <f>IFERROR(G864/#REF!,"-")</f>
        <v>-</v>
      </c>
      <c r="K864" s="340">
        <f t="shared" si="1115"/>
        <v>0</v>
      </c>
      <c r="L864" s="285">
        <f t="shared" si="1116"/>
        <v>0</v>
      </c>
      <c r="M864" s="286">
        <f t="shared" si="1117"/>
        <v>0</v>
      </c>
      <c r="N864" s="344" t="str">
        <f t="shared" si="1098"/>
        <v>-</v>
      </c>
      <c r="O864" s="353" t="str">
        <f t="shared" si="1091"/>
        <v>-</v>
      </c>
    </row>
    <row r="865" spans="1:15" ht="24" thickBot="1" x14ac:dyDescent="0.35">
      <c r="A865" s="277" t="s">
        <v>111</v>
      </c>
      <c r="B865" s="907" t="s">
        <v>50</v>
      </c>
      <c r="C865" s="907"/>
      <c r="D865" s="925"/>
      <c r="E865" s="326">
        <f t="shared" ref="E865" si="1118">SUM(E862:E864)</f>
        <v>0</v>
      </c>
      <c r="F865" s="289">
        <v>50000</v>
      </c>
      <c r="G865" s="326">
        <f>SUM(G862:G864)</f>
        <v>0</v>
      </c>
      <c r="H865" s="327">
        <f t="shared" ref="H865:I865" si="1119">SUM(H862:H864)</f>
        <v>0</v>
      </c>
      <c r="I865" s="327">
        <f t="shared" si="1119"/>
        <v>0</v>
      </c>
      <c r="J865" s="351" t="str">
        <f>IFERROR(G865/#REF!,"-")</f>
        <v>-</v>
      </c>
      <c r="K865" s="326">
        <f t="shared" ref="K865:M865" si="1120">SUM(K862:K864)</f>
        <v>0</v>
      </c>
      <c r="L865" s="327">
        <f t="shared" si="1120"/>
        <v>0</v>
      </c>
      <c r="M865" s="328">
        <f t="shared" si="1120"/>
        <v>0</v>
      </c>
      <c r="N865" s="345" t="str">
        <f t="shared" si="1098"/>
        <v>-</v>
      </c>
      <c r="O865" s="351" t="str">
        <f t="shared" si="1091"/>
        <v>-</v>
      </c>
    </row>
    <row r="866" spans="1:15" ht="24" thickBot="1" x14ac:dyDescent="0.35">
      <c r="A866" s="277" t="s">
        <v>111</v>
      </c>
      <c r="B866" s="926" t="s">
        <v>21</v>
      </c>
      <c r="C866" s="927"/>
      <c r="D866" s="928"/>
      <c r="E866" s="332">
        <f>+E842+E850+E858+E861+E865</f>
        <v>5774600</v>
      </c>
      <c r="F866" s="333">
        <f>+F842+F850+F858+F861+F865</f>
        <v>355000</v>
      </c>
      <c r="G866" s="332">
        <f>+G842+G850+G858+G861+G865</f>
        <v>114222</v>
      </c>
      <c r="H866" s="330">
        <f>+H842+H850+H858+H861+H865</f>
        <v>113743</v>
      </c>
      <c r="I866" s="330">
        <f>+I842+I850+I858+I861+I865</f>
        <v>479</v>
      </c>
      <c r="J866" s="355" t="str">
        <f>IFERROR(G866/#REF!,"-")</f>
        <v>-</v>
      </c>
      <c r="K866" s="332">
        <f>+K842+K850+K858+K861+K865</f>
        <v>957850</v>
      </c>
      <c r="L866" s="330">
        <f>+L842+L850+L858+L861+L865</f>
        <v>952443</v>
      </c>
      <c r="M866" s="331">
        <f>+M842+M850+M858+M861+M865</f>
        <v>5407</v>
      </c>
      <c r="N866" s="347">
        <f t="shared" si="1098"/>
        <v>0.16587296089772452</v>
      </c>
      <c r="O866" s="355">
        <f t="shared" si="1091"/>
        <v>5.6449339666962469E-3</v>
      </c>
    </row>
    <row r="867" spans="1:15" ht="23.4" x14ac:dyDescent="0.3">
      <c r="A867" s="277" t="s">
        <v>111</v>
      </c>
      <c r="B867" s="922" t="s">
        <v>22</v>
      </c>
      <c r="C867" s="272" t="s">
        <v>133</v>
      </c>
      <c r="D867" s="272"/>
      <c r="E867" s="273">
        <v>0</v>
      </c>
      <c r="F867" s="274"/>
      <c r="G867" s="338">
        <f t="shared" ref="G867:G870" si="1121">+H867+I867</f>
        <v>0</v>
      </c>
      <c r="H867" s="275">
        <v>0</v>
      </c>
      <c r="I867" s="275">
        <v>0</v>
      </c>
      <c r="J867" s="357" t="str">
        <f>IFERROR(G867/#REF!,"-")</f>
        <v>-</v>
      </c>
      <c r="K867" s="338">
        <f t="shared" ref="K867:K870" si="1122">+L867+M867</f>
        <v>0</v>
      </c>
      <c r="L867" s="275">
        <f t="shared" ref="L867:L870" si="1123">+H867+L764</f>
        <v>0</v>
      </c>
      <c r="M867" s="276">
        <f t="shared" ref="M867:M870" si="1124">+I867+M764</f>
        <v>0</v>
      </c>
      <c r="N867" s="342" t="str">
        <f t="shared" si="1098"/>
        <v>-</v>
      </c>
      <c r="O867" s="352" t="str">
        <f t="shared" si="1091"/>
        <v>-</v>
      </c>
    </row>
    <row r="868" spans="1:15" ht="23.4" x14ac:dyDescent="0.3">
      <c r="A868" s="277" t="s">
        <v>111</v>
      </c>
      <c r="B868" s="923"/>
      <c r="C868" s="301" t="s">
        <v>291</v>
      </c>
      <c r="D868" s="301" t="s">
        <v>196</v>
      </c>
      <c r="E868" s="279">
        <v>0</v>
      </c>
      <c r="F868" s="280"/>
      <c r="G868" s="339">
        <f t="shared" si="1121"/>
        <v>0</v>
      </c>
      <c r="H868" s="281">
        <v>0</v>
      </c>
      <c r="I868" s="281">
        <v>0</v>
      </c>
      <c r="J868" s="358" t="str">
        <f>IFERROR(G868/#REF!,"-")</f>
        <v>-</v>
      </c>
      <c r="K868" s="339">
        <f t="shared" si="1122"/>
        <v>0</v>
      </c>
      <c r="L868" s="281">
        <f t="shared" si="1123"/>
        <v>0</v>
      </c>
      <c r="M868" s="251">
        <f t="shared" si="1124"/>
        <v>0</v>
      </c>
      <c r="N868" s="343" t="str">
        <f t="shared" si="1098"/>
        <v>-</v>
      </c>
      <c r="O868" s="264" t="str">
        <f t="shared" si="1091"/>
        <v>-</v>
      </c>
    </row>
    <row r="869" spans="1:15" ht="23.4" x14ac:dyDescent="0.3">
      <c r="A869" s="277" t="s">
        <v>111</v>
      </c>
      <c r="B869" s="923"/>
      <c r="C869" s="301" t="s">
        <v>198</v>
      </c>
      <c r="D869" s="301" t="s">
        <v>100</v>
      </c>
      <c r="E869" s="279">
        <v>0</v>
      </c>
      <c r="F869" s="280"/>
      <c r="G869" s="339">
        <f t="shared" si="1121"/>
        <v>0</v>
      </c>
      <c r="H869" s="281">
        <v>0</v>
      </c>
      <c r="I869" s="281">
        <v>0</v>
      </c>
      <c r="J869" s="358" t="str">
        <f>IFERROR(G869/#REF!,"-")</f>
        <v>-</v>
      </c>
      <c r="K869" s="339">
        <f t="shared" si="1122"/>
        <v>0</v>
      </c>
      <c r="L869" s="281">
        <f t="shared" si="1123"/>
        <v>0</v>
      </c>
      <c r="M869" s="251">
        <f t="shared" si="1124"/>
        <v>0</v>
      </c>
      <c r="N869" s="343" t="str">
        <f t="shared" si="1098"/>
        <v>-</v>
      </c>
      <c r="O869" s="264" t="str">
        <f t="shared" si="1091"/>
        <v>-</v>
      </c>
    </row>
    <row r="870" spans="1:15" ht="24" thickBot="1" x14ac:dyDescent="0.35">
      <c r="A870" s="277" t="s">
        <v>111</v>
      </c>
      <c r="B870" s="924"/>
      <c r="C870" s="282" t="s">
        <v>197</v>
      </c>
      <c r="D870" s="282" t="s">
        <v>100</v>
      </c>
      <c r="E870" s="283">
        <v>0</v>
      </c>
      <c r="F870" s="284"/>
      <c r="G870" s="340">
        <f t="shared" si="1121"/>
        <v>0</v>
      </c>
      <c r="H870" s="285">
        <v>0</v>
      </c>
      <c r="I870" s="285">
        <v>0</v>
      </c>
      <c r="J870" s="359" t="str">
        <f>IFERROR(G870/#REF!,"-")</f>
        <v>-</v>
      </c>
      <c r="K870" s="340">
        <f t="shared" si="1122"/>
        <v>0</v>
      </c>
      <c r="L870" s="285">
        <f t="shared" si="1123"/>
        <v>0</v>
      </c>
      <c r="M870" s="286">
        <f t="shared" si="1124"/>
        <v>0</v>
      </c>
      <c r="N870" s="344" t="str">
        <f t="shared" si="1098"/>
        <v>-</v>
      </c>
      <c r="O870" s="353" t="str">
        <f t="shared" si="1091"/>
        <v>-</v>
      </c>
    </row>
    <row r="871" spans="1:15" ht="24" thickBot="1" x14ac:dyDescent="0.35">
      <c r="A871" s="277" t="s">
        <v>111</v>
      </c>
      <c r="B871" s="906" t="s">
        <v>51</v>
      </c>
      <c r="C871" s="907"/>
      <c r="D871" s="908"/>
      <c r="E871" s="288">
        <v>0</v>
      </c>
      <c r="F871" s="289">
        <v>80000</v>
      </c>
      <c r="G871" s="326">
        <f>SUM(G867:G870)</f>
        <v>0</v>
      </c>
      <c r="H871" s="327">
        <f t="shared" ref="H871:I871" si="1125">SUM(H867:H870)</f>
        <v>0</v>
      </c>
      <c r="I871" s="327">
        <f t="shared" si="1125"/>
        <v>0</v>
      </c>
      <c r="J871" s="351" t="str">
        <f>IFERROR(G871/#REF!,"-")</f>
        <v>-</v>
      </c>
      <c r="K871" s="326">
        <f t="shared" ref="K871:M871" si="1126">SUM(K867:K870)</f>
        <v>0</v>
      </c>
      <c r="L871" s="327">
        <f t="shared" si="1126"/>
        <v>0</v>
      </c>
      <c r="M871" s="328">
        <f t="shared" si="1126"/>
        <v>0</v>
      </c>
      <c r="N871" s="345" t="str">
        <f t="shared" si="1098"/>
        <v>-</v>
      </c>
      <c r="O871" s="351" t="str">
        <f t="shared" si="1091"/>
        <v>-</v>
      </c>
    </row>
    <row r="872" spans="1:15" ht="23.4" x14ac:dyDescent="0.3">
      <c r="A872" s="277" t="s">
        <v>111</v>
      </c>
      <c r="B872" s="922" t="s">
        <v>23</v>
      </c>
      <c r="C872" s="302" t="s">
        <v>348</v>
      </c>
      <c r="D872" s="302" t="s">
        <v>263</v>
      </c>
      <c r="E872" s="273">
        <v>0</v>
      </c>
      <c r="F872" s="274"/>
      <c r="G872" s="338">
        <f t="shared" ref="G872:G879" si="1127">+H872+I872</f>
        <v>0</v>
      </c>
      <c r="H872" s="275">
        <v>0</v>
      </c>
      <c r="I872" s="275">
        <v>0</v>
      </c>
      <c r="J872" s="357" t="str">
        <f>IFERROR(G872/#REF!,"-")</f>
        <v>-</v>
      </c>
      <c r="K872" s="338">
        <f t="shared" ref="K872:K879" si="1128">+L872+M872</f>
        <v>0</v>
      </c>
      <c r="L872" s="275">
        <f t="shared" ref="L872:L879" si="1129">+H872+L769</f>
        <v>0</v>
      </c>
      <c r="M872" s="276">
        <f t="shared" ref="M872:M879" si="1130">+I872+M769</f>
        <v>0</v>
      </c>
      <c r="N872" s="342" t="str">
        <f t="shared" si="1098"/>
        <v>-</v>
      </c>
      <c r="O872" s="352" t="str">
        <f t="shared" si="1091"/>
        <v>-</v>
      </c>
    </row>
    <row r="873" spans="1:15" ht="23.4" x14ac:dyDescent="0.3">
      <c r="A873" s="277" t="s">
        <v>111</v>
      </c>
      <c r="B873" s="923"/>
      <c r="C873" s="278" t="s">
        <v>24</v>
      </c>
      <c r="D873" s="278" t="s">
        <v>263</v>
      </c>
      <c r="E873" s="279">
        <v>0</v>
      </c>
      <c r="F873" s="280"/>
      <c r="G873" s="339">
        <f t="shared" si="1127"/>
        <v>0</v>
      </c>
      <c r="H873" s="281">
        <v>0</v>
      </c>
      <c r="I873" s="281">
        <v>0</v>
      </c>
      <c r="J873" s="358" t="str">
        <f>IFERROR(G873/#REF!,"-")</f>
        <v>-</v>
      </c>
      <c r="K873" s="339">
        <f t="shared" si="1128"/>
        <v>31810</v>
      </c>
      <c r="L873" s="281">
        <f t="shared" si="1129"/>
        <v>31500</v>
      </c>
      <c r="M873" s="251">
        <f t="shared" si="1130"/>
        <v>310</v>
      </c>
      <c r="N873" s="343" t="str">
        <f t="shared" si="1098"/>
        <v>-</v>
      </c>
      <c r="O873" s="264">
        <f t="shared" si="1091"/>
        <v>9.7453630933668663E-3</v>
      </c>
    </row>
    <row r="874" spans="1:15" ht="23.4" x14ac:dyDescent="0.3">
      <c r="A874" s="277" t="s">
        <v>111</v>
      </c>
      <c r="B874" s="923"/>
      <c r="C874" s="278" t="s">
        <v>261</v>
      </c>
      <c r="D874" s="278" t="s">
        <v>263</v>
      </c>
      <c r="E874" s="279">
        <v>0</v>
      </c>
      <c r="F874" s="280"/>
      <c r="G874" s="339">
        <f t="shared" si="1127"/>
        <v>3522</v>
      </c>
      <c r="H874" s="281">
        <v>3500</v>
      </c>
      <c r="I874" s="281">
        <v>22</v>
      </c>
      <c r="J874" s="358" t="str">
        <f>IFERROR(G874/#REF!,"-")</f>
        <v>-</v>
      </c>
      <c r="K874" s="339">
        <f t="shared" si="1128"/>
        <v>3522</v>
      </c>
      <c r="L874" s="281">
        <f t="shared" si="1129"/>
        <v>3500</v>
      </c>
      <c r="M874" s="251">
        <f t="shared" si="1130"/>
        <v>22</v>
      </c>
      <c r="N874" s="343" t="str">
        <f t="shared" si="1098"/>
        <v>-</v>
      </c>
      <c r="O874" s="264">
        <f t="shared" si="1091"/>
        <v>6.2464508801817146E-3</v>
      </c>
    </row>
    <row r="875" spans="1:15" ht="23.4" x14ac:dyDescent="0.3">
      <c r="A875" s="277" t="s">
        <v>111</v>
      </c>
      <c r="B875" s="923"/>
      <c r="C875" s="278" t="s">
        <v>262</v>
      </c>
      <c r="D875" s="278" t="s">
        <v>263</v>
      </c>
      <c r="E875" s="279">
        <v>0</v>
      </c>
      <c r="F875" s="280"/>
      <c r="G875" s="339">
        <f t="shared" si="1127"/>
        <v>7672</v>
      </c>
      <c r="H875" s="281">
        <v>7612</v>
      </c>
      <c r="I875" s="281">
        <v>60</v>
      </c>
      <c r="J875" s="358" t="str">
        <f>IFERROR(G875/#REF!,"-")</f>
        <v>-</v>
      </c>
      <c r="K875" s="339">
        <f t="shared" si="1128"/>
        <v>7672</v>
      </c>
      <c r="L875" s="281">
        <f t="shared" si="1129"/>
        <v>7612</v>
      </c>
      <c r="M875" s="251">
        <f t="shared" si="1130"/>
        <v>60</v>
      </c>
      <c r="N875" s="343" t="str">
        <f t="shared" si="1098"/>
        <v>-</v>
      </c>
      <c r="O875" s="264">
        <f t="shared" si="1091"/>
        <v>7.8206465067778945E-3</v>
      </c>
    </row>
    <row r="876" spans="1:15" ht="23.4" x14ac:dyDescent="0.3">
      <c r="A876" s="277" t="s">
        <v>111</v>
      </c>
      <c r="B876" s="923"/>
      <c r="C876" s="301" t="s">
        <v>264</v>
      </c>
      <c r="D876" s="278" t="s">
        <v>263</v>
      </c>
      <c r="E876" s="279">
        <v>0</v>
      </c>
      <c r="F876" s="280"/>
      <c r="G876" s="339">
        <f t="shared" si="1127"/>
        <v>0</v>
      </c>
      <c r="H876" s="281">
        <v>0</v>
      </c>
      <c r="I876" s="281">
        <v>0</v>
      </c>
      <c r="J876" s="358" t="str">
        <f>IFERROR(G876/#REF!,"-")</f>
        <v>-</v>
      </c>
      <c r="K876" s="339">
        <f t="shared" si="1128"/>
        <v>0</v>
      </c>
      <c r="L876" s="281">
        <f t="shared" si="1129"/>
        <v>0</v>
      </c>
      <c r="M876" s="251">
        <f t="shared" si="1130"/>
        <v>0</v>
      </c>
      <c r="N876" s="343" t="str">
        <f t="shared" si="1098"/>
        <v>-</v>
      </c>
      <c r="O876" s="264" t="str">
        <f t="shared" si="1091"/>
        <v>-</v>
      </c>
    </row>
    <row r="877" spans="1:15" ht="23.4" x14ac:dyDescent="0.3">
      <c r="A877" s="277" t="s">
        <v>111</v>
      </c>
      <c r="B877" s="923"/>
      <c r="C877" s="301" t="s">
        <v>265</v>
      </c>
      <c r="D877" s="278" t="s">
        <v>263</v>
      </c>
      <c r="E877" s="279">
        <v>0</v>
      </c>
      <c r="F877" s="280"/>
      <c r="G877" s="339">
        <f t="shared" si="1127"/>
        <v>0</v>
      </c>
      <c r="H877" s="281">
        <v>0</v>
      </c>
      <c r="I877" s="281">
        <v>0</v>
      </c>
      <c r="J877" s="358" t="str">
        <f>IFERROR(G877/#REF!,"-")</f>
        <v>-</v>
      </c>
      <c r="K877" s="339">
        <f t="shared" si="1128"/>
        <v>0</v>
      </c>
      <c r="L877" s="281">
        <f t="shared" si="1129"/>
        <v>0</v>
      </c>
      <c r="M877" s="251">
        <f t="shared" si="1130"/>
        <v>0</v>
      </c>
      <c r="N877" s="343" t="str">
        <f t="shared" si="1098"/>
        <v>-</v>
      </c>
      <c r="O877" s="264" t="str">
        <f t="shared" si="1091"/>
        <v>-</v>
      </c>
    </row>
    <row r="878" spans="1:15" ht="23.4" x14ac:dyDescent="0.3">
      <c r="A878" s="277" t="s">
        <v>111</v>
      </c>
      <c r="B878" s="923"/>
      <c r="C878" s="301" t="s">
        <v>266</v>
      </c>
      <c r="D878" s="278" t="s">
        <v>268</v>
      </c>
      <c r="E878" s="279">
        <v>0</v>
      </c>
      <c r="F878" s="280"/>
      <c r="G878" s="339">
        <f t="shared" si="1127"/>
        <v>1699</v>
      </c>
      <c r="H878" s="281">
        <v>1667</v>
      </c>
      <c r="I878" s="281">
        <v>32</v>
      </c>
      <c r="J878" s="358" t="str">
        <f>IFERROR(G878/#REF!,"-")</f>
        <v>-</v>
      </c>
      <c r="K878" s="339">
        <f t="shared" si="1128"/>
        <v>10464</v>
      </c>
      <c r="L878" s="281">
        <f t="shared" si="1129"/>
        <v>10417</v>
      </c>
      <c r="M878" s="251">
        <f t="shared" si="1130"/>
        <v>47</v>
      </c>
      <c r="N878" s="343" t="str">
        <f t="shared" si="1098"/>
        <v>-</v>
      </c>
      <c r="O878" s="264">
        <f t="shared" si="1091"/>
        <v>4.491590214067278E-3</v>
      </c>
    </row>
    <row r="879" spans="1:15" ht="24" thickBot="1" x14ac:dyDescent="0.35">
      <c r="A879" s="277" t="s">
        <v>111</v>
      </c>
      <c r="B879" s="924"/>
      <c r="C879" s="301" t="s">
        <v>267</v>
      </c>
      <c r="D879" s="278" t="s">
        <v>263</v>
      </c>
      <c r="E879" s="283">
        <v>0</v>
      </c>
      <c r="F879" s="284"/>
      <c r="G879" s="340">
        <f t="shared" si="1127"/>
        <v>0</v>
      </c>
      <c r="H879" s="285">
        <v>0</v>
      </c>
      <c r="I879" s="285">
        <v>0</v>
      </c>
      <c r="J879" s="359" t="str">
        <f>IFERROR(G879/#REF!,"-")</f>
        <v>-</v>
      </c>
      <c r="K879" s="340">
        <f t="shared" si="1128"/>
        <v>14088</v>
      </c>
      <c r="L879" s="285">
        <f t="shared" si="1129"/>
        <v>14000</v>
      </c>
      <c r="M879" s="286">
        <f t="shared" si="1130"/>
        <v>88</v>
      </c>
      <c r="N879" s="344" t="str">
        <f t="shared" si="1098"/>
        <v>-</v>
      </c>
      <c r="O879" s="353">
        <f t="shared" si="1091"/>
        <v>6.2464508801817146E-3</v>
      </c>
    </row>
    <row r="880" spans="1:15" ht="24" thickBot="1" x14ac:dyDescent="0.35">
      <c r="A880" s="277" t="s">
        <v>111</v>
      </c>
      <c r="B880" s="906" t="s">
        <v>52</v>
      </c>
      <c r="C880" s="907"/>
      <c r="D880" s="908"/>
      <c r="E880" s="288">
        <v>157500</v>
      </c>
      <c r="F880" s="289">
        <v>14000</v>
      </c>
      <c r="G880" s="326">
        <f>SUM(G872:G879)</f>
        <v>12893</v>
      </c>
      <c r="H880" s="327">
        <f t="shared" ref="H880:I880" si="1131">SUM(H872:H879)</f>
        <v>12779</v>
      </c>
      <c r="I880" s="327">
        <f t="shared" si="1131"/>
        <v>114</v>
      </c>
      <c r="J880" s="351" t="str">
        <f>IFERROR(G880/#REF!,"-")</f>
        <v>-</v>
      </c>
      <c r="K880" s="326">
        <f t="shared" ref="K880:M880" si="1132">SUM(K872:K879)</f>
        <v>67556</v>
      </c>
      <c r="L880" s="327">
        <f t="shared" si="1132"/>
        <v>67029</v>
      </c>
      <c r="M880" s="328">
        <f t="shared" si="1132"/>
        <v>527</v>
      </c>
      <c r="N880" s="345">
        <f t="shared" si="1098"/>
        <v>0.4289269841269841</v>
      </c>
      <c r="O880" s="351">
        <f t="shared" si="1091"/>
        <v>7.8009355201610515E-3</v>
      </c>
    </row>
    <row r="881" spans="1:15" ht="24" thickBot="1" x14ac:dyDescent="0.35">
      <c r="A881" s="277" t="s">
        <v>111</v>
      </c>
      <c r="B881" s="926" t="s">
        <v>25</v>
      </c>
      <c r="C881" s="927"/>
      <c r="D881" s="928"/>
      <c r="E881" s="332">
        <f t="shared" ref="E881:F881" si="1133">+E871+E880</f>
        <v>157500</v>
      </c>
      <c r="F881" s="333">
        <f t="shared" si="1133"/>
        <v>94000</v>
      </c>
      <c r="G881" s="332">
        <f>+G871+G880</f>
        <v>12893</v>
      </c>
      <c r="H881" s="330">
        <f t="shared" ref="H881:I881" si="1134">+H871+H880</f>
        <v>12779</v>
      </c>
      <c r="I881" s="330">
        <f t="shared" si="1134"/>
        <v>114</v>
      </c>
      <c r="J881" s="355" t="str">
        <f>IFERROR(G881/#REF!,"-")</f>
        <v>-</v>
      </c>
      <c r="K881" s="332">
        <f t="shared" ref="K881" si="1135">+K871+K880</f>
        <v>67556</v>
      </c>
      <c r="L881" s="330">
        <f>+L871+L880</f>
        <v>67029</v>
      </c>
      <c r="M881" s="331">
        <f t="shared" ref="M881" si="1136">+M871+M880</f>
        <v>527</v>
      </c>
      <c r="N881" s="347">
        <f t="shared" si="1098"/>
        <v>0.4289269841269841</v>
      </c>
      <c r="O881" s="355">
        <f t="shared" si="1091"/>
        <v>7.8009355201610515E-3</v>
      </c>
    </row>
    <row r="882" spans="1:15" ht="24" thickBot="1" x14ac:dyDescent="0.35">
      <c r="A882" s="277" t="s">
        <v>111</v>
      </c>
      <c r="B882" s="900" t="s">
        <v>181</v>
      </c>
      <c r="C882" s="901"/>
      <c r="D882" s="902"/>
      <c r="E882" s="336">
        <f>+E866+E881</f>
        <v>5932100</v>
      </c>
      <c r="F882" s="337">
        <f t="shared" ref="F882:I882" si="1137">+F866+F881</f>
        <v>449000</v>
      </c>
      <c r="G882" s="336">
        <f t="shared" si="1137"/>
        <v>127115</v>
      </c>
      <c r="H882" s="334">
        <f t="shared" si="1137"/>
        <v>126522</v>
      </c>
      <c r="I882" s="334">
        <f t="shared" si="1137"/>
        <v>593</v>
      </c>
      <c r="J882" s="356" t="str">
        <f>IFERROR(G882/#REF!,"-")</f>
        <v>-</v>
      </c>
      <c r="K882" s="336">
        <f t="shared" ref="K882:M882" si="1138">+K866+K881</f>
        <v>1025406</v>
      </c>
      <c r="L882" s="334">
        <f t="shared" si="1138"/>
        <v>1019472</v>
      </c>
      <c r="M882" s="335">
        <f t="shared" si="1138"/>
        <v>5934</v>
      </c>
      <c r="N882" s="348">
        <f t="shared" si="1098"/>
        <v>0.17285716693919523</v>
      </c>
      <c r="O882" s="356">
        <f t="shared" si="1091"/>
        <v>5.7869760855700086E-3</v>
      </c>
    </row>
    <row r="883" spans="1:15" ht="23.4" x14ac:dyDescent="0.3">
      <c r="A883" s="271" t="s">
        <v>109</v>
      </c>
      <c r="B883" s="929" t="s">
        <v>26</v>
      </c>
      <c r="C883" s="303" t="s">
        <v>334</v>
      </c>
      <c r="D883" s="303" t="s">
        <v>192</v>
      </c>
      <c r="E883" s="273">
        <v>0</v>
      </c>
      <c r="F883" s="274"/>
      <c r="G883" s="338">
        <f t="shared" ref="G883:G891" si="1139">+H883+I883</f>
        <v>0</v>
      </c>
      <c r="H883" s="275">
        <v>0</v>
      </c>
      <c r="I883" s="275">
        <v>0</v>
      </c>
      <c r="J883" s="357" t="str">
        <f>IFERROR(G883/#REF!,"-")</f>
        <v>-</v>
      </c>
      <c r="K883" s="338">
        <f t="shared" ref="K883:K891" si="1140">+L883+M883</f>
        <v>326708</v>
      </c>
      <c r="L883" s="275">
        <f t="shared" ref="L883:L891" si="1141">+H883+L780</f>
        <v>322218</v>
      </c>
      <c r="M883" s="276">
        <f t="shared" ref="M883:M891" si="1142">+I883+M780</f>
        <v>4490</v>
      </c>
      <c r="N883" s="342" t="str">
        <f t="shared" si="1098"/>
        <v>-</v>
      </c>
      <c r="O883" s="352">
        <f t="shared" si="1091"/>
        <v>1.3743159028857574E-2</v>
      </c>
    </row>
    <row r="884" spans="1:15" ht="23.4" x14ac:dyDescent="0.3">
      <c r="A884" s="277" t="s">
        <v>109</v>
      </c>
      <c r="B884" s="929"/>
      <c r="C884" s="304" t="s">
        <v>199</v>
      </c>
      <c r="D884" s="304" t="s">
        <v>115</v>
      </c>
      <c r="E884" s="279">
        <v>0</v>
      </c>
      <c r="F884" s="280"/>
      <c r="G884" s="339">
        <f t="shared" si="1139"/>
        <v>0</v>
      </c>
      <c r="H884" s="281">
        <v>0</v>
      </c>
      <c r="I884" s="281">
        <v>0</v>
      </c>
      <c r="J884" s="358" t="str">
        <f>IFERROR(G884/#REF!,"-")</f>
        <v>-</v>
      </c>
      <c r="K884" s="339">
        <f t="shared" si="1140"/>
        <v>0</v>
      </c>
      <c r="L884" s="281">
        <f t="shared" si="1141"/>
        <v>0</v>
      </c>
      <c r="M884" s="251">
        <f t="shared" si="1142"/>
        <v>0</v>
      </c>
      <c r="N884" s="343" t="str">
        <f t="shared" si="1098"/>
        <v>-</v>
      </c>
      <c r="O884" s="264" t="str">
        <f t="shared" si="1091"/>
        <v>-</v>
      </c>
    </row>
    <row r="885" spans="1:15" ht="23.4" x14ac:dyDescent="0.3">
      <c r="A885" s="277" t="s">
        <v>109</v>
      </c>
      <c r="B885" s="929"/>
      <c r="C885" s="305" t="s">
        <v>27</v>
      </c>
      <c r="D885" s="305" t="s">
        <v>310</v>
      </c>
      <c r="E885" s="283">
        <v>0</v>
      </c>
      <c r="F885" s="284"/>
      <c r="G885" s="339">
        <f t="shared" si="1139"/>
        <v>0</v>
      </c>
      <c r="H885" s="285">
        <v>0</v>
      </c>
      <c r="I885" s="285">
        <v>0</v>
      </c>
      <c r="J885" s="359" t="str">
        <f>IFERROR(G885/#REF!,"-")</f>
        <v>-</v>
      </c>
      <c r="K885" s="339">
        <f t="shared" si="1140"/>
        <v>0</v>
      </c>
      <c r="L885" s="285">
        <f t="shared" si="1141"/>
        <v>0</v>
      </c>
      <c r="M885" s="286">
        <f t="shared" si="1142"/>
        <v>0</v>
      </c>
      <c r="N885" s="287"/>
      <c r="O885" s="264" t="str">
        <f t="shared" si="1091"/>
        <v>-</v>
      </c>
    </row>
    <row r="886" spans="1:15" ht="23.4" x14ac:dyDescent="0.3">
      <c r="A886" s="277" t="s">
        <v>109</v>
      </c>
      <c r="B886" s="929"/>
      <c r="C886" s="305" t="s">
        <v>27</v>
      </c>
      <c r="D886" s="305" t="s">
        <v>311</v>
      </c>
      <c r="E886" s="283">
        <v>0</v>
      </c>
      <c r="F886" s="284"/>
      <c r="G886" s="339">
        <f t="shared" si="1139"/>
        <v>0</v>
      </c>
      <c r="H886" s="285">
        <v>0</v>
      </c>
      <c r="I886" s="285">
        <v>0</v>
      </c>
      <c r="J886" s="359" t="str">
        <f>IFERROR(G886/#REF!,"-")</f>
        <v>-</v>
      </c>
      <c r="K886" s="339">
        <f t="shared" si="1140"/>
        <v>0</v>
      </c>
      <c r="L886" s="285">
        <f t="shared" si="1141"/>
        <v>0</v>
      </c>
      <c r="M886" s="286">
        <f t="shared" si="1142"/>
        <v>0</v>
      </c>
      <c r="N886" s="287"/>
      <c r="O886" s="264" t="str">
        <f t="shared" si="1091"/>
        <v>-</v>
      </c>
    </row>
    <row r="887" spans="1:15" ht="23.4" x14ac:dyDescent="0.3">
      <c r="A887" s="277" t="s">
        <v>109</v>
      </c>
      <c r="B887" s="929"/>
      <c r="C887" s="305" t="s">
        <v>325</v>
      </c>
      <c r="D887" s="305" t="s">
        <v>324</v>
      </c>
      <c r="E887" s="283">
        <v>0</v>
      </c>
      <c r="F887" s="284"/>
      <c r="G887" s="339">
        <f t="shared" si="1139"/>
        <v>0</v>
      </c>
      <c r="H887" s="285">
        <v>0</v>
      </c>
      <c r="I887" s="285">
        <v>0</v>
      </c>
      <c r="J887" s="359" t="str">
        <f>IFERROR(G887/#REF!,"-")</f>
        <v>-</v>
      </c>
      <c r="K887" s="339">
        <f t="shared" si="1140"/>
        <v>0</v>
      </c>
      <c r="L887" s="285">
        <f t="shared" si="1141"/>
        <v>0</v>
      </c>
      <c r="M887" s="286">
        <f t="shared" si="1142"/>
        <v>0</v>
      </c>
      <c r="N887" s="287"/>
      <c r="O887" s="264" t="str">
        <f t="shared" si="1091"/>
        <v>-</v>
      </c>
    </row>
    <row r="888" spans="1:15" ht="23.4" x14ac:dyDescent="0.3">
      <c r="A888" s="277"/>
      <c r="B888" s="929"/>
      <c r="C888" s="305" t="s">
        <v>393</v>
      </c>
      <c r="D888" s="305" t="s">
        <v>192</v>
      </c>
      <c r="E888" s="283">
        <v>0</v>
      </c>
      <c r="F888" s="284"/>
      <c r="G888" s="340">
        <f t="shared" si="1139"/>
        <v>0</v>
      </c>
      <c r="H888" s="285">
        <v>0</v>
      </c>
      <c r="I888" s="285">
        <v>0</v>
      </c>
      <c r="J888" s="359" t="str">
        <f>IFERROR(G888/#REF!,"-")</f>
        <v>-</v>
      </c>
      <c r="K888" s="340">
        <f t="shared" si="1140"/>
        <v>0</v>
      </c>
      <c r="L888" s="285">
        <f t="shared" si="1141"/>
        <v>0</v>
      </c>
      <c r="M888" s="286">
        <f t="shared" si="1142"/>
        <v>0</v>
      </c>
      <c r="N888" s="287"/>
      <c r="O888" s="264" t="str">
        <f t="shared" si="1091"/>
        <v>-</v>
      </c>
    </row>
    <row r="889" spans="1:15" ht="23.4" x14ac:dyDescent="0.3">
      <c r="A889" s="277"/>
      <c r="B889" s="929"/>
      <c r="C889" s="305" t="s">
        <v>325</v>
      </c>
      <c r="D889" s="305" t="s">
        <v>101</v>
      </c>
      <c r="E889" s="283">
        <v>0</v>
      </c>
      <c r="F889" s="284"/>
      <c r="G889" s="340">
        <f t="shared" si="1139"/>
        <v>0</v>
      </c>
      <c r="H889" s="285">
        <v>0</v>
      </c>
      <c r="I889" s="285">
        <v>0</v>
      </c>
      <c r="J889" s="359" t="str">
        <f>IFERROR(G889/#REF!,"-")</f>
        <v>-</v>
      </c>
      <c r="K889" s="340">
        <f t="shared" si="1140"/>
        <v>0</v>
      </c>
      <c r="L889" s="285">
        <f t="shared" si="1141"/>
        <v>0</v>
      </c>
      <c r="M889" s="286">
        <f t="shared" si="1142"/>
        <v>0</v>
      </c>
      <c r="N889" s="287"/>
      <c r="O889" s="264" t="str">
        <f t="shared" si="1091"/>
        <v>-</v>
      </c>
    </row>
    <row r="890" spans="1:15" ht="23.4" x14ac:dyDescent="0.3">
      <c r="A890" s="277"/>
      <c r="B890" s="929"/>
      <c r="C890" s="305" t="s">
        <v>325</v>
      </c>
      <c r="D890" s="305" t="s">
        <v>394</v>
      </c>
      <c r="E890" s="283">
        <v>0</v>
      </c>
      <c r="F890" s="284"/>
      <c r="G890" s="340">
        <f t="shared" si="1139"/>
        <v>197022</v>
      </c>
      <c r="H890" s="285">
        <f>107406+27846+59670</f>
        <v>194922</v>
      </c>
      <c r="I890" s="285">
        <f>1016+628+456</f>
        <v>2100</v>
      </c>
      <c r="J890" s="359" t="str">
        <f>IFERROR(G890/#REF!,"-")</f>
        <v>-</v>
      </c>
      <c r="K890" s="340">
        <f t="shared" si="1140"/>
        <v>538497</v>
      </c>
      <c r="L890" s="285">
        <f t="shared" si="1141"/>
        <v>533052</v>
      </c>
      <c r="M890" s="286">
        <f t="shared" si="1142"/>
        <v>5445</v>
      </c>
      <c r="N890" s="287"/>
      <c r="O890" s="264">
        <f t="shared" si="1091"/>
        <v>1.0111476944161249E-2</v>
      </c>
    </row>
    <row r="891" spans="1:15" ht="24" thickBot="1" x14ac:dyDescent="0.35">
      <c r="A891" s="277" t="s">
        <v>109</v>
      </c>
      <c r="B891" s="929"/>
      <c r="C891" s="306" t="s">
        <v>326</v>
      </c>
      <c r="D891" s="305" t="s">
        <v>324</v>
      </c>
      <c r="E891" s="283">
        <v>0</v>
      </c>
      <c r="F891" s="284"/>
      <c r="G891" s="340">
        <f t="shared" si="1139"/>
        <v>0</v>
      </c>
      <c r="H891" s="285">
        <v>0</v>
      </c>
      <c r="I891" s="285">
        <v>0</v>
      </c>
      <c r="J891" s="359" t="str">
        <f>IFERROR(G891/#REF!,"-")</f>
        <v>-</v>
      </c>
      <c r="K891" s="340">
        <f t="shared" si="1140"/>
        <v>7956</v>
      </c>
      <c r="L891" s="285">
        <f t="shared" si="1141"/>
        <v>7956</v>
      </c>
      <c r="M891" s="286">
        <f t="shared" si="1142"/>
        <v>0</v>
      </c>
      <c r="N891" s="344" t="str">
        <f t="shared" ref="N891:N908" si="1143">IFERROR(K891/E891,"-")</f>
        <v>-</v>
      </c>
      <c r="O891" s="353">
        <f t="shared" si="1091"/>
        <v>0</v>
      </c>
    </row>
    <row r="892" spans="1:15" ht="24" thickBot="1" x14ac:dyDescent="0.35">
      <c r="A892" s="277" t="s">
        <v>109</v>
      </c>
      <c r="B892" s="930"/>
      <c r="C892" s="307"/>
      <c r="D892" s="308" t="s">
        <v>55</v>
      </c>
      <c r="E892" s="288">
        <v>0</v>
      </c>
      <c r="F892" s="289"/>
      <c r="G892" s="326">
        <f>SUM(G883:G891)</f>
        <v>197022</v>
      </c>
      <c r="H892" s="327">
        <f>SUM(H883:H891)</f>
        <v>194922</v>
      </c>
      <c r="I892" s="327">
        <f>SUM(I883:I891)</f>
        <v>2100</v>
      </c>
      <c r="J892" s="351" t="str">
        <f>IFERROR(G892/#REF!,"-")</f>
        <v>-</v>
      </c>
      <c r="K892" s="326">
        <f>SUM(K883:K891)</f>
        <v>873161</v>
      </c>
      <c r="L892" s="327">
        <f>SUM(L883:L891)</f>
        <v>863226</v>
      </c>
      <c r="M892" s="328">
        <f>SUM(M883:M891)</f>
        <v>9935</v>
      </c>
      <c r="N892" s="345" t="str">
        <f t="shared" si="1143"/>
        <v>-</v>
      </c>
      <c r="O892" s="351">
        <f t="shared" si="1091"/>
        <v>1.1378199438591509E-2</v>
      </c>
    </row>
    <row r="893" spans="1:15" ht="23.4" x14ac:dyDescent="0.3">
      <c r="A893" s="277" t="s">
        <v>109</v>
      </c>
      <c r="B893" s="931" t="s">
        <v>28</v>
      </c>
      <c r="C893" s="303" t="s">
        <v>322</v>
      </c>
      <c r="D893" s="303" t="s">
        <v>193</v>
      </c>
      <c r="E893" s="273">
        <v>0</v>
      </c>
      <c r="F893" s="274"/>
      <c r="G893" s="338">
        <f t="shared" ref="G893:G895" si="1144">+H893+I893</f>
        <v>0</v>
      </c>
      <c r="H893" s="275">
        <v>0</v>
      </c>
      <c r="I893" s="275">
        <v>0</v>
      </c>
      <c r="J893" s="357" t="str">
        <f>IFERROR(G893/#REF!,"-")</f>
        <v>-</v>
      </c>
      <c r="K893" s="338">
        <f t="shared" ref="K893:K895" si="1145">+L893+M893</f>
        <v>0</v>
      </c>
      <c r="L893" s="275">
        <f t="shared" ref="L893:L895" si="1146">+H893+L790</f>
        <v>0</v>
      </c>
      <c r="M893" s="276">
        <f t="shared" ref="M893:M895" si="1147">+I893+M790</f>
        <v>0</v>
      </c>
      <c r="N893" s="342" t="str">
        <f t="shared" si="1143"/>
        <v>-</v>
      </c>
      <c r="O893" s="352" t="str">
        <f t="shared" si="1091"/>
        <v>-</v>
      </c>
    </row>
    <row r="894" spans="1:15" ht="23.4" x14ac:dyDescent="0.3">
      <c r="A894" s="277" t="s">
        <v>109</v>
      </c>
      <c r="B894" s="929"/>
      <c r="C894" s="305" t="s">
        <v>27</v>
      </c>
      <c r="D894" s="305" t="s">
        <v>311</v>
      </c>
      <c r="E894" s="279">
        <v>0</v>
      </c>
      <c r="F894" s="280"/>
      <c r="G894" s="339">
        <f t="shared" si="1144"/>
        <v>0</v>
      </c>
      <c r="H894" s="281">
        <v>0</v>
      </c>
      <c r="I894" s="281">
        <v>0</v>
      </c>
      <c r="J894" s="358" t="str">
        <f>IFERROR(G894/#REF!,"-")</f>
        <v>-</v>
      </c>
      <c r="K894" s="339">
        <f t="shared" si="1145"/>
        <v>0</v>
      </c>
      <c r="L894" s="281">
        <f t="shared" si="1146"/>
        <v>0</v>
      </c>
      <c r="M894" s="251">
        <f t="shared" si="1147"/>
        <v>0</v>
      </c>
      <c r="N894" s="343" t="str">
        <f t="shared" si="1143"/>
        <v>-</v>
      </c>
      <c r="O894" s="264" t="str">
        <f t="shared" si="1091"/>
        <v>-</v>
      </c>
    </row>
    <row r="895" spans="1:15" ht="24" thickBot="1" x14ac:dyDescent="0.35">
      <c r="A895" s="277" t="s">
        <v>109</v>
      </c>
      <c r="B895" s="929"/>
      <c r="C895" s="305" t="s">
        <v>27</v>
      </c>
      <c r="D895" s="306" t="s">
        <v>259</v>
      </c>
      <c r="E895" s="283">
        <v>0</v>
      </c>
      <c r="F895" s="284"/>
      <c r="G895" s="340">
        <f t="shared" si="1144"/>
        <v>0</v>
      </c>
      <c r="H895" s="285">
        <v>0</v>
      </c>
      <c r="I895" s="285">
        <v>0</v>
      </c>
      <c r="J895" s="359" t="str">
        <f>IFERROR(G895/#REF!,"-")</f>
        <v>-</v>
      </c>
      <c r="K895" s="340">
        <f t="shared" si="1145"/>
        <v>0</v>
      </c>
      <c r="L895" s="285">
        <f t="shared" si="1146"/>
        <v>0</v>
      </c>
      <c r="M895" s="286">
        <f t="shared" si="1147"/>
        <v>0</v>
      </c>
      <c r="N895" s="344" t="str">
        <f t="shared" si="1143"/>
        <v>-</v>
      </c>
      <c r="O895" s="353" t="str">
        <f t="shared" si="1091"/>
        <v>-</v>
      </c>
    </row>
    <row r="896" spans="1:15" ht="24" thickBot="1" x14ac:dyDescent="0.35">
      <c r="A896" s="277" t="s">
        <v>109</v>
      </c>
      <c r="B896" s="929"/>
      <c r="C896" s="310"/>
      <c r="D896" s="311" t="s">
        <v>55</v>
      </c>
      <c r="E896" s="312">
        <v>0</v>
      </c>
      <c r="F896" s="313"/>
      <c r="G896" s="372">
        <f>SUM(G893:G895)</f>
        <v>0</v>
      </c>
      <c r="H896" s="371">
        <f t="shared" ref="H896:I896" si="1148">SUM(H893:H895)</f>
        <v>0</v>
      </c>
      <c r="I896" s="371">
        <f t="shared" si="1148"/>
        <v>0</v>
      </c>
      <c r="J896" s="362" t="str">
        <f>IFERROR(G896/#REF!,"-")</f>
        <v>-</v>
      </c>
      <c r="K896" s="372">
        <f>SUM(K893:K895)</f>
        <v>0</v>
      </c>
      <c r="L896" s="371">
        <f t="shared" ref="L896:M896" si="1149">SUM(L893:L895)</f>
        <v>0</v>
      </c>
      <c r="M896" s="373">
        <f t="shared" si="1149"/>
        <v>0</v>
      </c>
      <c r="N896" s="361" t="str">
        <f t="shared" si="1143"/>
        <v>-</v>
      </c>
      <c r="O896" s="362" t="str">
        <f t="shared" si="1091"/>
        <v>-</v>
      </c>
    </row>
    <row r="897" spans="1:15" ht="24" thickBot="1" x14ac:dyDescent="0.35">
      <c r="A897" s="740" t="s">
        <v>109</v>
      </c>
      <c r="B897" s="932" t="s">
        <v>171</v>
      </c>
      <c r="C897" s="933"/>
      <c r="D897" s="934"/>
      <c r="E897" s="314">
        <v>2167000</v>
      </c>
      <c r="F897" s="315">
        <v>80000</v>
      </c>
      <c r="G897" s="375">
        <f>+G892+G896</f>
        <v>197022</v>
      </c>
      <c r="H897" s="374">
        <f t="shared" ref="H897:I897" si="1150">+H892+H896</f>
        <v>194922</v>
      </c>
      <c r="I897" s="374">
        <f t="shared" si="1150"/>
        <v>2100</v>
      </c>
      <c r="J897" s="364" t="str">
        <f>IFERROR(G897/#REF!,"-")</f>
        <v>-</v>
      </c>
      <c r="K897" s="375">
        <f>+K892+K896</f>
        <v>873161</v>
      </c>
      <c r="L897" s="374">
        <f>+L892+L896</f>
        <v>863226</v>
      </c>
      <c r="M897" s="376">
        <f t="shared" ref="M897" si="1151">+M892+M896</f>
        <v>9935</v>
      </c>
      <c r="N897" s="363">
        <f t="shared" si="1143"/>
        <v>0.40293539455468391</v>
      </c>
      <c r="O897" s="364">
        <f t="shared" si="1091"/>
        <v>1.1378199438591509E-2</v>
      </c>
    </row>
    <row r="898" spans="1:15" ht="23.4" x14ac:dyDescent="0.3">
      <c r="A898" s="277" t="s">
        <v>109</v>
      </c>
      <c r="B898" s="929" t="s">
        <v>30</v>
      </c>
      <c r="C898" s="309" t="s">
        <v>396</v>
      </c>
      <c r="D898" s="303" t="s">
        <v>193</v>
      </c>
      <c r="E898" s="273">
        <v>0</v>
      </c>
      <c r="F898" s="274"/>
      <c r="G898" s="338">
        <f t="shared" ref="G898:G900" si="1152">+H898+I898</f>
        <v>0</v>
      </c>
      <c r="H898" s="275">
        <v>0</v>
      </c>
      <c r="I898" s="275">
        <v>0</v>
      </c>
      <c r="J898" s="357" t="str">
        <f>IFERROR(G898/#REF!,"-")</f>
        <v>-</v>
      </c>
      <c r="K898" s="338">
        <f t="shared" ref="K898:K900" si="1153">+L898+M898</f>
        <v>0</v>
      </c>
      <c r="L898" s="275">
        <f t="shared" ref="L898:L900" si="1154">+H898+L795</f>
        <v>0</v>
      </c>
      <c r="M898" s="276">
        <f t="shared" ref="M898:M900" si="1155">+I898+M795</f>
        <v>0</v>
      </c>
      <c r="N898" s="342" t="str">
        <f t="shared" si="1143"/>
        <v>-</v>
      </c>
      <c r="O898" s="352" t="str">
        <f t="shared" si="1091"/>
        <v>-</v>
      </c>
    </row>
    <row r="899" spans="1:15" ht="23.4" x14ac:dyDescent="0.3">
      <c r="A899" s="277" t="s">
        <v>109</v>
      </c>
      <c r="B899" s="929"/>
      <c r="C899" s="309" t="s">
        <v>395</v>
      </c>
      <c r="D899" s="309" t="s">
        <v>324</v>
      </c>
      <c r="E899" s="279">
        <v>0</v>
      </c>
      <c r="F899" s="280"/>
      <c r="G899" s="339">
        <f t="shared" si="1152"/>
        <v>0</v>
      </c>
      <c r="H899" s="281">
        <v>0</v>
      </c>
      <c r="I899" s="281">
        <v>0</v>
      </c>
      <c r="J899" s="358" t="str">
        <f>IFERROR(G899/#REF!,"-")</f>
        <v>-</v>
      </c>
      <c r="K899" s="339">
        <f t="shared" si="1153"/>
        <v>0</v>
      </c>
      <c r="L899" s="281">
        <f t="shared" si="1154"/>
        <v>0</v>
      </c>
      <c r="M899" s="251">
        <f t="shared" si="1155"/>
        <v>0</v>
      </c>
      <c r="N899" s="343" t="str">
        <f t="shared" si="1143"/>
        <v>-</v>
      </c>
      <c r="O899" s="264" t="str">
        <f t="shared" si="1091"/>
        <v>-</v>
      </c>
    </row>
    <row r="900" spans="1:15" ht="24" thickBot="1" x14ac:dyDescent="0.35">
      <c r="A900" s="277" t="s">
        <v>109</v>
      </c>
      <c r="B900" s="929"/>
      <c r="C900" s="306" t="s">
        <v>327</v>
      </c>
      <c r="D900" s="306"/>
      <c r="E900" s="283">
        <v>0</v>
      </c>
      <c r="F900" s="284"/>
      <c r="G900" s="340">
        <f t="shared" si="1152"/>
        <v>0</v>
      </c>
      <c r="H900" s="285">
        <v>0</v>
      </c>
      <c r="I900" s="285">
        <v>0</v>
      </c>
      <c r="J900" s="359" t="str">
        <f>IFERROR(G900/#REF!,"-")</f>
        <v>-</v>
      </c>
      <c r="K900" s="340">
        <f t="shared" si="1153"/>
        <v>0</v>
      </c>
      <c r="L900" s="285">
        <f t="shared" si="1154"/>
        <v>0</v>
      </c>
      <c r="M900" s="286">
        <f t="shared" si="1155"/>
        <v>0</v>
      </c>
      <c r="N900" s="344" t="str">
        <f t="shared" si="1143"/>
        <v>-</v>
      </c>
      <c r="O900" s="353" t="str">
        <f t="shared" si="1091"/>
        <v>-</v>
      </c>
    </row>
    <row r="901" spans="1:15" ht="24" thickBot="1" x14ac:dyDescent="0.35">
      <c r="A901" s="277" t="s">
        <v>109</v>
      </c>
      <c r="B901" s="929"/>
      <c r="C901" s="307"/>
      <c r="D901" s="308" t="s">
        <v>53</v>
      </c>
      <c r="E901" s="288">
        <v>0</v>
      </c>
      <c r="F901" s="289"/>
      <c r="G901" s="326">
        <f>SUM(G898:G900)</f>
        <v>0</v>
      </c>
      <c r="H901" s="327">
        <f t="shared" ref="H901:I901" si="1156">SUM(H898:H900)</f>
        <v>0</v>
      </c>
      <c r="I901" s="327">
        <f t="shared" si="1156"/>
        <v>0</v>
      </c>
      <c r="J901" s="351" t="str">
        <f>IFERROR(G901/#REF!,"-")</f>
        <v>-</v>
      </c>
      <c r="K901" s="326">
        <f t="shared" ref="K901" si="1157">SUM(K898:K900)</f>
        <v>0</v>
      </c>
      <c r="L901" s="327">
        <f>SUM(L898:L900)</f>
        <v>0</v>
      </c>
      <c r="M901" s="328">
        <f t="shared" ref="M901" si="1158">SUM(M898:M900)</f>
        <v>0</v>
      </c>
      <c r="N901" s="345" t="str">
        <f t="shared" si="1143"/>
        <v>-</v>
      </c>
      <c r="O901" s="351" t="str">
        <f t="shared" si="1091"/>
        <v>-</v>
      </c>
    </row>
    <row r="902" spans="1:15" ht="23.4" x14ac:dyDescent="0.3">
      <c r="A902" s="277" t="s">
        <v>109</v>
      </c>
      <c r="B902" s="929"/>
      <c r="C902" s="303" t="s">
        <v>352</v>
      </c>
      <c r="D902" s="303"/>
      <c r="E902" s="273">
        <v>0</v>
      </c>
      <c r="F902" s="274"/>
      <c r="G902" s="338">
        <f t="shared" ref="G902:G904" si="1159">+H902+I902</f>
        <v>0</v>
      </c>
      <c r="H902" s="275">
        <v>0</v>
      </c>
      <c r="I902" s="275">
        <v>0</v>
      </c>
      <c r="J902" s="357" t="str">
        <f>IFERROR(G902/#REF!,"-")</f>
        <v>-</v>
      </c>
      <c r="K902" s="338">
        <f t="shared" ref="K902:K904" si="1160">+L902+M902</f>
        <v>0</v>
      </c>
      <c r="L902" s="275">
        <f t="shared" ref="L902:L904" si="1161">+H902+L799</f>
        <v>0</v>
      </c>
      <c r="M902" s="276">
        <f t="shared" ref="M902:M904" si="1162">+I902+M799</f>
        <v>0</v>
      </c>
      <c r="N902" s="342" t="str">
        <f t="shared" si="1143"/>
        <v>-</v>
      </c>
      <c r="O902" s="352" t="str">
        <f t="shared" si="1091"/>
        <v>-</v>
      </c>
    </row>
    <row r="903" spans="1:15" ht="23.4" x14ac:dyDescent="0.3">
      <c r="A903" s="277" t="s">
        <v>109</v>
      </c>
      <c r="B903" s="929"/>
      <c r="C903" s="309" t="s">
        <v>397</v>
      </c>
      <c r="D903" s="309" t="s">
        <v>259</v>
      </c>
      <c r="E903" s="279">
        <v>0</v>
      </c>
      <c r="F903" s="280"/>
      <c r="G903" s="339">
        <f t="shared" si="1159"/>
        <v>17341</v>
      </c>
      <c r="H903" s="281">
        <f>9360+1872+3744</f>
        <v>14976</v>
      </c>
      <c r="I903" s="281">
        <f>640+332+393+1000</f>
        <v>2365</v>
      </c>
      <c r="J903" s="358" t="str">
        <f>IFERROR(G903/#REF!,"-")</f>
        <v>-</v>
      </c>
      <c r="K903" s="339">
        <f t="shared" si="1160"/>
        <v>373773</v>
      </c>
      <c r="L903" s="281">
        <f t="shared" si="1161"/>
        <v>365040</v>
      </c>
      <c r="M903" s="251">
        <f t="shared" si="1162"/>
        <v>8733</v>
      </c>
      <c r="N903" s="343" t="str">
        <f t="shared" si="1143"/>
        <v>-</v>
      </c>
      <c r="O903" s="264">
        <f t="shared" si="1091"/>
        <v>2.3364448475411546E-2</v>
      </c>
    </row>
    <row r="904" spans="1:15" ht="24" thickBot="1" x14ac:dyDescent="0.35">
      <c r="A904" s="277" t="s">
        <v>109</v>
      </c>
      <c r="B904" s="929"/>
      <c r="C904" s="306" t="s">
        <v>146</v>
      </c>
      <c r="D904" s="306"/>
      <c r="E904" s="283">
        <v>0</v>
      </c>
      <c r="F904" s="284"/>
      <c r="G904" s="340">
        <f t="shared" si="1159"/>
        <v>0</v>
      </c>
      <c r="H904" s="285">
        <v>0</v>
      </c>
      <c r="I904" s="285">
        <v>0</v>
      </c>
      <c r="J904" s="359" t="str">
        <f>IFERROR(G904/#REF!,"-")</f>
        <v>-</v>
      </c>
      <c r="K904" s="340">
        <f t="shared" si="1160"/>
        <v>0</v>
      </c>
      <c r="L904" s="285">
        <f t="shared" si="1161"/>
        <v>0</v>
      </c>
      <c r="M904" s="286">
        <f t="shared" si="1162"/>
        <v>0</v>
      </c>
      <c r="N904" s="344" t="str">
        <f t="shared" si="1143"/>
        <v>-</v>
      </c>
      <c r="O904" s="353" t="str">
        <f t="shared" si="1091"/>
        <v>-</v>
      </c>
    </row>
    <row r="905" spans="1:15" ht="24" thickBot="1" x14ac:dyDescent="0.35">
      <c r="A905" s="277" t="s">
        <v>109</v>
      </c>
      <c r="B905" s="929"/>
      <c r="C905" s="310"/>
      <c r="D905" s="311" t="s">
        <v>54</v>
      </c>
      <c r="E905" s="312">
        <v>0</v>
      </c>
      <c r="F905" s="313"/>
      <c r="G905" s="372">
        <f>SUM(G902:G904)</f>
        <v>17341</v>
      </c>
      <c r="H905" s="371">
        <f t="shared" ref="H905:I905" si="1163">SUM(H902:H904)</f>
        <v>14976</v>
      </c>
      <c r="I905" s="371">
        <f t="shared" si="1163"/>
        <v>2365</v>
      </c>
      <c r="J905" s="362" t="str">
        <f>IFERROR(G905/#REF!,"-")</f>
        <v>-</v>
      </c>
      <c r="K905" s="372">
        <f t="shared" ref="K905:M905" si="1164">SUM(K902:K904)</f>
        <v>373773</v>
      </c>
      <c r="L905" s="371">
        <f t="shared" si="1164"/>
        <v>365040</v>
      </c>
      <c r="M905" s="373">
        <f t="shared" si="1164"/>
        <v>8733</v>
      </c>
      <c r="N905" s="361" t="str">
        <f t="shared" si="1143"/>
        <v>-</v>
      </c>
      <c r="O905" s="362">
        <f t="shared" si="1091"/>
        <v>2.3364448475411546E-2</v>
      </c>
    </row>
    <row r="906" spans="1:15" ht="24" thickBot="1" x14ac:dyDescent="0.35">
      <c r="A906" s="277" t="s">
        <v>109</v>
      </c>
      <c r="B906" s="932" t="s">
        <v>172</v>
      </c>
      <c r="C906" s="933"/>
      <c r="D906" s="934"/>
      <c r="E906" s="314">
        <v>649600</v>
      </c>
      <c r="F906" s="315">
        <v>50000</v>
      </c>
      <c r="G906" s="375">
        <f>+G901+G905</f>
        <v>17341</v>
      </c>
      <c r="H906" s="374">
        <f t="shared" ref="H906:I906" si="1165">+H901+H905</f>
        <v>14976</v>
      </c>
      <c r="I906" s="374">
        <f t="shared" si="1165"/>
        <v>2365</v>
      </c>
      <c r="J906" s="364" t="str">
        <f>IFERROR(G906/#REF!,"-")</f>
        <v>-</v>
      </c>
      <c r="K906" s="375">
        <f t="shared" ref="K906:M906" si="1166">+K901+K905</f>
        <v>373773</v>
      </c>
      <c r="L906" s="374">
        <f t="shared" si="1166"/>
        <v>365040</v>
      </c>
      <c r="M906" s="376">
        <f t="shared" si="1166"/>
        <v>8733</v>
      </c>
      <c r="N906" s="363">
        <f t="shared" si="1143"/>
        <v>0.57538947044334976</v>
      </c>
      <c r="O906" s="364">
        <f t="shared" ref="O906:O908" si="1167">IFERROR(M906/K906,"-")</f>
        <v>2.3364448475411546E-2</v>
      </c>
    </row>
    <row r="907" spans="1:15" ht="24" thickBot="1" x14ac:dyDescent="0.35">
      <c r="A907" s="277" t="s">
        <v>109</v>
      </c>
      <c r="B907" s="616" t="s">
        <v>32</v>
      </c>
      <c r="C907" s="736"/>
      <c r="D907" s="316" t="s">
        <v>32</v>
      </c>
      <c r="E907" s="293">
        <v>0</v>
      </c>
      <c r="F907" s="294">
        <v>110000</v>
      </c>
      <c r="G907" s="341">
        <f t="shared" ref="G907" si="1168">+H907+I907</f>
        <v>0</v>
      </c>
      <c r="H907" s="295">
        <v>0</v>
      </c>
      <c r="I907" s="295">
        <v>0</v>
      </c>
      <c r="J907" s="360" t="str">
        <f>IFERROR(G907/#REF!,"-")</f>
        <v>-</v>
      </c>
      <c r="K907" s="341">
        <f>+L907+M907</f>
        <v>0</v>
      </c>
      <c r="L907" s="295">
        <f>+H907+L804</f>
        <v>0</v>
      </c>
      <c r="M907" s="296">
        <f>+I907+M804</f>
        <v>0</v>
      </c>
      <c r="N907" s="346" t="str">
        <f t="shared" si="1143"/>
        <v>-</v>
      </c>
      <c r="O907" s="354" t="str">
        <f t="shared" si="1167"/>
        <v>-</v>
      </c>
    </row>
    <row r="908" spans="1:15" ht="24" thickBot="1" x14ac:dyDescent="0.35">
      <c r="A908" s="277" t="s">
        <v>109</v>
      </c>
      <c r="B908" s="926" t="s">
        <v>21</v>
      </c>
      <c r="C908" s="927"/>
      <c r="D908" s="928"/>
      <c r="E908" s="332">
        <f>+E897+E906+E907</f>
        <v>2816600</v>
      </c>
      <c r="F908" s="333">
        <f t="shared" ref="F908" si="1169">+F897+F906+F907</f>
        <v>240000</v>
      </c>
      <c r="G908" s="332">
        <f>+G897+G906+G907</f>
        <v>214363</v>
      </c>
      <c r="H908" s="330">
        <f t="shared" ref="H908:I908" si="1170">+H897+H906+H907</f>
        <v>209898</v>
      </c>
      <c r="I908" s="330">
        <f t="shared" si="1170"/>
        <v>4465</v>
      </c>
      <c r="J908" s="355" t="str">
        <f>IFERROR(G908/#REF!,"-")</f>
        <v>-</v>
      </c>
      <c r="K908" s="332">
        <f>+K897+K906+K907</f>
        <v>1246934</v>
      </c>
      <c r="L908" s="330">
        <f>+L897+L906+L907</f>
        <v>1228266</v>
      </c>
      <c r="M908" s="331">
        <f t="shared" ref="M908" si="1171">+M897+M906+M907</f>
        <v>18668</v>
      </c>
      <c r="N908" s="347">
        <f t="shared" si="1143"/>
        <v>0.44270893985656468</v>
      </c>
      <c r="O908" s="355">
        <f t="shared" si="1167"/>
        <v>1.4971121165995955E-2</v>
      </c>
    </row>
    <row r="909" spans="1:15" ht="24" thickBot="1" x14ac:dyDescent="0.35">
      <c r="A909" s="277" t="s">
        <v>109</v>
      </c>
      <c r="B909" s="900" t="s">
        <v>180</v>
      </c>
      <c r="C909" s="901"/>
      <c r="D909" s="902"/>
      <c r="E909" s="336">
        <f>+E908</f>
        <v>2816600</v>
      </c>
      <c r="F909" s="337">
        <f t="shared" ref="F909:I909" si="1172">+F908</f>
        <v>240000</v>
      </c>
      <c r="G909" s="336">
        <f t="shared" si="1172"/>
        <v>214363</v>
      </c>
      <c r="H909" s="334">
        <f t="shared" si="1172"/>
        <v>209898</v>
      </c>
      <c r="I909" s="334">
        <f t="shared" si="1172"/>
        <v>4465</v>
      </c>
      <c r="J909" s="356" t="str">
        <f>+J908</f>
        <v>-</v>
      </c>
      <c r="K909" s="336">
        <f>+K908</f>
        <v>1246934</v>
      </c>
      <c r="L909" s="334">
        <f t="shared" ref="L909" si="1173">+L908</f>
        <v>1228266</v>
      </c>
      <c r="M909" s="335">
        <f>+M908</f>
        <v>18668</v>
      </c>
      <c r="N909" s="348">
        <f t="shared" ref="N909:O909" si="1174">+N908</f>
        <v>0.44270893985656468</v>
      </c>
      <c r="O909" s="356">
        <f t="shared" si="1174"/>
        <v>1.4971121165995955E-2</v>
      </c>
    </row>
    <row r="910" spans="1:15" ht="23.4" x14ac:dyDescent="0.3">
      <c r="A910" s="271" t="s">
        <v>110</v>
      </c>
      <c r="B910" s="903" t="s">
        <v>33</v>
      </c>
      <c r="C910" s="317" t="s">
        <v>121</v>
      </c>
      <c r="D910" s="317"/>
      <c r="E910" s="273">
        <v>0</v>
      </c>
      <c r="F910" s="274"/>
      <c r="G910" s="338">
        <f t="shared" ref="G910:G912" si="1175">+H910+I910</f>
        <v>0</v>
      </c>
      <c r="H910" s="275">
        <v>0</v>
      </c>
      <c r="I910" s="275">
        <v>0</v>
      </c>
      <c r="J910" s="357" t="str">
        <f>IFERROR(G910/#REF!,"-")</f>
        <v>-</v>
      </c>
      <c r="K910" s="338">
        <f t="shared" ref="K910:K912" si="1176">+L910+M910</f>
        <v>0</v>
      </c>
      <c r="L910" s="275">
        <f t="shared" ref="L910:L912" si="1177">+H910+L807</f>
        <v>0</v>
      </c>
      <c r="M910" s="276">
        <f t="shared" ref="M910:M912" si="1178">+I910+M807</f>
        <v>0</v>
      </c>
      <c r="N910" s="342" t="str">
        <f t="shared" ref="N910:N935" si="1179">IFERROR(K910/E910,"-")</f>
        <v>-</v>
      </c>
      <c r="O910" s="352" t="str">
        <f t="shared" ref="O910:O935" si="1180">IFERROR(M910/K910,"-")</f>
        <v>-</v>
      </c>
    </row>
    <row r="911" spans="1:15" ht="23.4" x14ac:dyDescent="0.3">
      <c r="A911" s="277" t="s">
        <v>110</v>
      </c>
      <c r="B911" s="904"/>
      <c r="C911" s="318" t="s">
        <v>274</v>
      </c>
      <c r="D911" s="318"/>
      <c r="E911" s="279">
        <v>0</v>
      </c>
      <c r="F911" s="280"/>
      <c r="G911" s="339">
        <f t="shared" si="1175"/>
        <v>1620</v>
      </c>
      <c r="H911" s="281">
        <v>1620</v>
      </c>
      <c r="I911" s="281">
        <v>0</v>
      </c>
      <c r="J911" s="358" t="str">
        <f>IFERROR(G911/#REF!,"-")</f>
        <v>-</v>
      </c>
      <c r="K911" s="339">
        <f t="shared" si="1176"/>
        <v>10252</v>
      </c>
      <c r="L911" s="281">
        <f t="shared" si="1177"/>
        <v>9280</v>
      </c>
      <c r="M911" s="251">
        <f t="shared" si="1178"/>
        <v>972</v>
      </c>
      <c r="N911" s="343" t="str">
        <f t="shared" si="1179"/>
        <v>-</v>
      </c>
      <c r="O911" s="264">
        <f t="shared" si="1180"/>
        <v>9.4810768630511119E-2</v>
      </c>
    </row>
    <row r="912" spans="1:15" ht="24" thickBot="1" x14ac:dyDescent="0.35">
      <c r="A912" s="277" t="s">
        <v>110</v>
      </c>
      <c r="B912" s="905"/>
      <c r="C912" s="319" t="s">
        <v>34</v>
      </c>
      <c r="D912" s="319"/>
      <c r="E912" s="283">
        <v>0</v>
      </c>
      <c r="F912" s="284"/>
      <c r="G912" s="340">
        <f t="shared" si="1175"/>
        <v>0</v>
      </c>
      <c r="H912" s="285">
        <v>0</v>
      </c>
      <c r="I912" s="285">
        <v>0</v>
      </c>
      <c r="J912" s="359" t="str">
        <f>IFERROR(G912/#REF!,"-")</f>
        <v>-</v>
      </c>
      <c r="K912" s="340">
        <f t="shared" si="1176"/>
        <v>0</v>
      </c>
      <c r="L912" s="285">
        <f t="shared" si="1177"/>
        <v>0</v>
      </c>
      <c r="M912" s="286">
        <f t="shared" si="1178"/>
        <v>0</v>
      </c>
      <c r="N912" s="344" t="str">
        <f t="shared" si="1179"/>
        <v>-</v>
      </c>
      <c r="O912" s="353" t="str">
        <f t="shared" si="1180"/>
        <v>-</v>
      </c>
    </row>
    <row r="913" spans="1:15" ht="24" thickBot="1" x14ac:dyDescent="0.35">
      <c r="A913" s="277" t="s">
        <v>110</v>
      </c>
      <c r="B913" s="906" t="s">
        <v>35</v>
      </c>
      <c r="C913" s="907"/>
      <c r="D913" s="908"/>
      <c r="E913" s="288">
        <v>83700</v>
      </c>
      <c r="F913" s="289"/>
      <c r="G913" s="326">
        <f>SUM(G910:G912)</f>
        <v>1620</v>
      </c>
      <c r="H913" s="327">
        <f t="shared" ref="H913:I913" si="1181">SUM(H910:H912)</f>
        <v>1620</v>
      </c>
      <c r="I913" s="327">
        <f t="shared" si="1181"/>
        <v>0</v>
      </c>
      <c r="J913" s="351" t="str">
        <f>IFERROR(G913/#REF!,"-")</f>
        <v>-</v>
      </c>
      <c r="K913" s="326">
        <f t="shared" ref="K913:M913" si="1182">SUM(K910:K912)</f>
        <v>10252</v>
      </c>
      <c r="L913" s="327">
        <f t="shared" si="1182"/>
        <v>9280</v>
      </c>
      <c r="M913" s="328">
        <f t="shared" si="1182"/>
        <v>972</v>
      </c>
      <c r="N913" s="345">
        <f t="shared" si="1179"/>
        <v>0.12248506571087216</v>
      </c>
      <c r="O913" s="351">
        <f t="shared" si="1180"/>
        <v>9.4810768630511119E-2</v>
      </c>
    </row>
    <row r="914" spans="1:15" ht="23.4" x14ac:dyDescent="0.3">
      <c r="A914" s="277" t="s">
        <v>110</v>
      </c>
      <c r="B914" s="903" t="s">
        <v>36</v>
      </c>
      <c r="C914" s="317" t="s">
        <v>121</v>
      </c>
      <c r="D914" s="317"/>
      <c r="E914" s="273">
        <v>0</v>
      </c>
      <c r="F914" s="274"/>
      <c r="G914" s="338">
        <f t="shared" ref="G914:G917" si="1183">+H914+I914</f>
        <v>0</v>
      </c>
      <c r="H914" s="275">
        <v>0</v>
      </c>
      <c r="I914" s="275">
        <v>0</v>
      </c>
      <c r="J914" s="357" t="str">
        <f>IFERROR(G914/#REF!,"-")</f>
        <v>-</v>
      </c>
      <c r="K914" s="338">
        <f t="shared" ref="K914:K917" si="1184">+L914+M914</f>
        <v>0</v>
      </c>
      <c r="L914" s="275">
        <f t="shared" ref="L914:L917" si="1185">+H914+L811</f>
        <v>0</v>
      </c>
      <c r="M914" s="276">
        <f t="shared" ref="M914:M917" si="1186">+I914+M811</f>
        <v>0</v>
      </c>
      <c r="N914" s="342" t="str">
        <f t="shared" si="1179"/>
        <v>-</v>
      </c>
      <c r="O914" s="352" t="str">
        <f t="shared" si="1180"/>
        <v>-</v>
      </c>
    </row>
    <row r="915" spans="1:15" ht="23.4" x14ac:dyDescent="0.3">
      <c r="A915" s="277" t="s">
        <v>110</v>
      </c>
      <c r="B915" s="904"/>
      <c r="C915" s="318" t="s">
        <v>274</v>
      </c>
      <c r="D915" s="318"/>
      <c r="E915" s="279">
        <v>0</v>
      </c>
      <c r="F915" s="280"/>
      <c r="G915" s="339">
        <f t="shared" si="1183"/>
        <v>8941</v>
      </c>
      <c r="H915" s="281">
        <f>6080+2560</f>
        <v>8640</v>
      </c>
      <c r="I915" s="281">
        <f>161+140</f>
        <v>301</v>
      </c>
      <c r="J915" s="358" t="str">
        <f>IFERROR(G915/#REF!,"-")</f>
        <v>-</v>
      </c>
      <c r="K915" s="339">
        <f t="shared" si="1184"/>
        <v>18454</v>
      </c>
      <c r="L915" s="281">
        <f t="shared" si="1185"/>
        <v>17920</v>
      </c>
      <c r="M915" s="251">
        <f t="shared" si="1186"/>
        <v>534</v>
      </c>
      <c r="N915" s="343" t="str">
        <f t="shared" si="1179"/>
        <v>-</v>
      </c>
      <c r="O915" s="264">
        <f t="shared" si="1180"/>
        <v>2.8936815866478813E-2</v>
      </c>
    </row>
    <row r="916" spans="1:15" ht="23.4" x14ac:dyDescent="0.3">
      <c r="A916" s="277" t="s">
        <v>110</v>
      </c>
      <c r="B916" s="904"/>
      <c r="C916" s="318" t="s">
        <v>201</v>
      </c>
      <c r="D916" s="318"/>
      <c r="E916" s="279">
        <v>0</v>
      </c>
      <c r="F916" s="280"/>
      <c r="G916" s="339">
        <f t="shared" si="1183"/>
        <v>0</v>
      </c>
      <c r="H916" s="281">
        <v>0</v>
      </c>
      <c r="I916" s="281">
        <v>0</v>
      </c>
      <c r="J916" s="358" t="str">
        <f>IFERROR(G916/#REF!,"-")</f>
        <v>-</v>
      </c>
      <c r="K916" s="339">
        <f t="shared" si="1184"/>
        <v>0</v>
      </c>
      <c r="L916" s="281">
        <f t="shared" si="1185"/>
        <v>0</v>
      </c>
      <c r="M916" s="251">
        <f t="shared" si="1186"/>
        <v>0</v>
      </c>
      <c r="N916" s="343" t="str">
        <f t="shared" si="1179"/>
        <v>-</v>
      </c>
      <c r="O916" s="264" t="str">
        <f t="shared" si="1180"/>
        <v>-</v>
      </c>
    </row>
    <row r="917" spans="1:15" ht="24" thickBot="1" x14ac:dyDescent="0.35">
      <c r="A917" s="277" t="s">
        <v>110</v>
      </c>
      <c r="B917" s="905"/>
      <c r="C917" s="319" t="s">
        <v>37</v>
      </c>
      <c r="D917" s="319"/>
      <c r="E917" s="283">
        <v>0</v>
      </c>
      <c r="F917" s="284"/>
      <c r="G917" s="340">
        <f t="shared" si="1183"/>
        <v>0</v>
      </c>
      <c r="H917" s="285">
        <v>0</v>
      </c>
      <c r="I917" s="285">
        <v>0</v>
      </c>
      <c r="J917" s="359" t="str">
        <f>IFERROR(G917/#REF!,"-")</f>
        <v>-</v>
      </c>
      <c r="K917" s="340">
        <f t="shared" si="1184"/>
        <v>0</v>
      </c>
      <c r="L917" s="285">
        <f t="shared" si="1185"/>
        <v>0</v>
      </c>
      <c r="M917" s="286">
        <f t="shared" si="1186"/>
        <v>0</v>
      </c>
      <c r="N917" s="344" t="str">
        <f t="shared" si="1179"/>
        <v>-</v>
      </c>
      <c r="O917" s="353" t="str">
        <f t="shared" si="1180"/>
        <v>-</v>
      </c>
    </row>
    <row r="918" spans="1:15" ht="24" thickBot="1" x14ac:dyDescent="0.35">
      <c r="A918" s="277" t="s">
        <v>110</v>
      </c>
      <c r="B918" s="906" t="s">
        <v>38</v>
      </c>
      <c r="C918" s="907"/>
      <c r="D918" s="908"/>
      <c r="E918" s="288">
        <v>10300</v>
      </c>
      <c r="F918" s="289">
        <v>6500</v>
      </c>
      <c r="G918" s="326">
        <f>SUM(G914:G917)</f>
        <v>8941</v>
      </c>
      <c r="H918" s="327">
        <f t="shared" ref="H918:I918" si="1187">SUM(H914:H917)</f>
        <v>8640</v>
      </c>
      <c r="I918" s="327">
        <f t="shared" si="1187"/>
        <v>301</v>
      </c>
      <c r="J918" s="351" t="str">
        <f>IFERROR(G918/#REF!,"-")</f>
        <v>-</v>
      </c>
      <c r="K918" s="326">
        <f t="shared" ref="K918:M918" si="1188">SUM(K914:K917)</f>
        <v>18454</v>
      </c>
      <c r="L918" s="327">
        <f t="shared" si="1188"/>
        <v>17920</v>
      </c>
      <c r="M918" s="328">
        <f t="shared" si="1188"/>
        <v>534</v>
      </c>
      <c r="N918" s="345">
        <f t="shared" si="1179"/>
        <v>1.7916504854368933</v>
      </c>
      <c r="O918" s="351">
        <f t="shared" si="1180"/>
        <v>2.8936815866478813E-2</v>
      </c>
    </row>
    <row r="919" spans="1:15" ht="23.4" x14ac:dyDescent="0.3">
      <c r="A919" s="277" t="s">
        <v>110</v>
      </c>
      <c r="B919" s="903" t="s">
        <v>39</v>
      </c>
      <c r="C919" s="320" t="s">
        <v>124</v>
      </c>
      <c r="D919" s="320"/>
      <c r="E919" s="273">
        <v>0</v>
      </c>
      <c r="F919" s="274"/>
      <c r="G919" s="338">
        <f t="shared" ref="G919:G920" si="1189">+H919+I919</f>
        <v>0</v>
      </c>
      <c r="H919" s="275">
        <v>0</v>
      </c>
      <c r="I919" s="275">
        <v>0</v>
      </c>
      <c r="J919" s="357" t="str">
        <f>IFERROR(G919/#REF!,"-")</f>
        <v>-</v>
      </c>
      <c r="K919" s="338">
        <f t="shared" ref="K919:K920" si="1190">+L919+M919</f>
        <v>0</v>
      </c>
      <c r="L919" s="275">
        <f t="shared" ref="L919:L920" si="1191">+H919+L816</f>
        <v>0</v>
      </c>
      <c r="M919" s="276">
        <f t="shared" ref="M919:M920" si="1192">+I919+M816</f>
        <v>0</v>
      </c>
      <c r="N919" s="342" t="str">
        <f t="shared" si="1179"/>
        <v>-</v>
      </c>
      <c r="O919" s="352" t="str">
        <f t="shared" si="1180"/>
        <v>-</v>
      </c>
    </row>
    <row r="920" spans="1:15" ht="24" thickBot="1" x14ac:dyDescent="0.35">
      <c r="A920" s="277" t="s">
        <v>110</v>
      </c>
      <c r="B920" s="905"/>
      <c r="C920" s="290" t="s">
        <v>140</v>
      </c>
      <c r="D920" s="290"/>
      <c r="E920" s="283">
        <v>0</v>
      </c>
      <c r="F920" s="284"/>
      <c r="G920" s="340">
        <f t="shared" si="1189"/>
        <v>0</v>
      </c>
      <c r="H920" s="285">
        <v>0</v>
      </c>
      <c r="I920" s="285">
        <v>0</v>
      </c>
      <c r="J920" s="359" t="str">
        <f>IFERROR(G920/#REF!,"-")</f>
        <v>-</v>
      </c>
      <c r="K920" s="340">
        <f t="shared" si="1190"/>
        <v>0</v>
      </c>
      <c r="L920" s="285">
        <f t="shared" si="1191"/>
        <v>0</v>
      </c>
      <c r="M920" s="286">
        <f t="shared" si="1192"/>
        <v>0</v>
      </c>
      <c r="N920" s="344" t="str">
        <f t="shared" si="1179"/>
        <v>-</v>
      </c>
      <c r="O920" s="353" t="str">
        <f t="shared" si="1180"/>
        <v>-</v>
      </c>
    </row>
    <row r="921" spans="1:15" ht="24" thickBot="1" x14ac:dyDescent="0.35">
      <c r="A921" s="740" t="s">
        <v>110</v>
      </c>
      <c r="B921" s="906" t="s">
        <v>40</v>
      </c>
      <c r="C921" s="907"/>
      <c r="D921" s="908"/>
      <c r="E921" s="288">
        <v>30000</v>
      </c>
      <c r="F921" s="289">
        <v>2800</v>
      </c>
      <c r="G921" s="326">
        <f>SUM(G919:G920)</f>
        <v>0</v>
      </c>
      <c r="H921" s="327">
        <f t="shared" ref="H921:I921" si="1193">SUM(H919:H920)</f>
        <v>0</v>
      </c>
      <c r="I921" s="327">
        <f t="shared" si="1193"/>
        <v>0</v>
      </c>
      <c r="J921" s="351" t="str">
        <f>IFERROR(G921/#REF!,"-")</f>
        <v>-</v>
      </c>
      <c r="K921" s="326">
        <f t="shared" ref="K921:M921" si="1194">SUM(K919:K920)</f>
        <v>0</v>
      </c>
      <c r="L921" s="327">
        <f t="shared" si="1194"/>
        <v>0</v>
      </c>
      <c r="M921" s="328">
        <f t="shared" si="1194"/>
        <v>0</v>
      </c>
      <c r="N921" s="345">
        <f t="shared" si="1179"/>
        <v>0</v>
      </c>
      <c r="O921" s="351" t="str">
        <f t="shared" si="1180"/>
        <v>-</v>
      </c>
    </row>
    <row r="922" spans="1:15" ht="23.4" x14ac:dyDescent="0.3">
      <c r="A922" s="277" t="s">
        <v>110</v>
      </c>
      <c r="B922" s="903" t="s">
        <v>41</v>
      </c>
      <c r="C922" s="272" t="s">
        <v>346</v>
      </c>
      <c r="D922" s="272"/>
      <c r="E922" s="273">
        <v>0</v>
      </c>
      <c r="F922" s="321"/>
      <c r="G922" s="338">
        <f t="shared" ref="G922:G926" si="1195">+H922+I922</f>
        <v>20465</v>
      </c>
      <c r="H922" s="275">
        <v>20160</v>
      </c>
      <c r="I922" s="275">
        <v>305</v>
      </c>
      <c r="J922" s="377" t="str">
        <f>IFERROR(G922/#REF!,"-")</f>
        <v>-</v>
      </c>
      <c r="K922" s="338">
        <f t="shared" ref="K922:K926" si="1196">+L922+M922</f>
        <v>143000</v>
      </c>
      <c r="L922" s="275">
        <f t="shared" ref="L922:L926" si="1197">+H922+L819</f>
        <v>141420</v>
      </c>
      <c r="M922" s="276">
        <f t="shared" ref="M922:M926" si="1198">+I922+M819</f>
        <v>1580</v>
      </c>
      <c r="N922" s="365" t="str">
        <f t="shared" si="1179"/>
        <v>-</v>
      </c>
      <c r="O922" s="366">
        <f t="shared" si="1180"/>
        <v>1.1048951048951049E-2</v>
      </c>
    </row>
    <row r="923" spans="1:15" ht="23.4" x14ac:dyDescent="0.3">
      <c r="A923" s="277" t="s">
        <v>110</v>
      </c>
      <c r="B923" s="904"/>
      <c r="C923" s="272" t="s">
        <v>347</v>
      </c>
      <c r="D923" s="278"/>
      <c r="E923" s="279">
        <v>0</v>
      </c>
      <c r="F923" s="322"/>
      <c r="G923" s="339">
        <f t="shared" si="1195"/>
        <v>0</v>
      </c>
      <c r="H923" s="281">
        <v>0</v>
      </c>
      <c r="I923" s="281">
        <v>0</v>
      </c>
      <c r="J923" s="378" t="str">
        <f>IFERROR(G923/#REF!,"-")</f>
        <v>-</v>
      </c>
      <c r="K923" s="339">
        <f t="shared" si="1196"/>
        <v>0</v>
      </c>
      <c r="L923" s="281">
        <f t="shared" si="1197"/>
        <v>0</v>
      </c>
      <c r="M923" s="251">
        <f t="shared" si="1198"/>
        <v>0</v>
      </c>
      <c r="N923" s="367" t="str">
        <f t="shared" si="1179"/>
        <v>-</v>
      </c>
      <c r="O923" s="368" t="str">
        <f t="shared" si="1180"/>
        <v>-</v>
      </c>
    </row>
    <row r="924" spans="1:15" ht="23.4" x14ac:dyDescent="0.3">
      <c r="A924" s="277" t="s">
        <v>110</v>
      </c>
      <c r="B924" s="904"/>
      <c r="C924" s="278" t="s">
        <v>423</v>
      </c>
      <c r="D924" s="278"/>
      <c r="E924" s="279">
        <v>0</v>
      </c>
      <c r="F924" s="322"/>
      <c r="G924" s="339">
        <f t="shared" si="1195"/>
        <v>0</v>
      </c>
      <c r="H924" s="281">
        <v>0</v>
      </c>
      <c r="I924" s="281">
        <v>0</v>
      </c>
      <c r="J924" s="378" t="str">
        <f>IFERROR(G924/#REF!,"-")</f>
        <v>-</v>
      </c>
      <c r="K924" s="339">
        <f t="shared" si="1196"/>
        <v>34536</v>
      </c>
      <c r="L924" s="281">
        <f t="shared" si="1197"/>
        <v>33960</v>
      </c>
      <c r="M924" s="251">
        <f t="shared" si="1198"/>
        <v>576</v>
      </c>
      <c r="N924" s="367" t="str">
        <f t="shared" si="1179"/>
        <v>-</v>
      </c>
      <c r="O924" s="368">
        <f t="shared" si="1180"/>
        <v>1.6678248783877692E-2</v>
      </c>
    </row>
    <row r="925" spans="1:15" ht="23.4" x14ac:dyDescent="0.3">
      <c r="A925" s="277" t="s">
        <v>110</v>
      </c>
      <c r="B925" s="904"/>
      <c r="C925" s="278" t="s">
        <v>166</v>
      </c>
      <c r="D925" s="278"/>
      <c r="E925" s="279">
        <v>0</v>
      </c>
      <c r="F925" s="322"/>
      <c r="G925" s="339">
        <f t="shared" si="1195"/>
        <v>0</v>
      </c>
      <c r="H925" s="281">
        <v>0</v>
      </c>
      <c r="I925" s="281">
        <v>0</v>
      </c>
      <c r="J925" s="378" t="str">
        <f>IFERROR(G925/#REF!,"-")</f>
        <v>-</v>
      </c>
      <c r="K925" s="339">
        <f t="shared" si="1196"/>
        <v>0</v>
      </c>
      <c r="L925" s="281">
        <f t="shared" si="1197"/>
        <v>0</v>
      </c>
      <c r="M925" s="251">
        <f t="shared" si="1198"/>
        <v>0</v>
      </c>
      <c r="N925" s="367" t="str">
        <f t="shared" si="1179"/>
        <v>-</v>
      </c>
      <c r="O925" s="368" t="str">
        <f t="shared" si="1180"/>
        <v>-</v>
      </c>
    </row>
    <row r="926" spans="1:15" ht="24" thickBot="1" x14ac:dyDescent="0.35">
      <c r="A926" s="277" t="s">
        <v>110</v>
      </c>
      <c r="B926" s="905"/>
      <c r="C926" s="282" t="s">
        <v>167</v>
      </c>
      <c r="D926" s="282"/>
      <c r="E926" s="283">
        <v>0</v>
      </c>
      <c r="F926" s="323"/>
      <c r="G926" s="340">
        <f t="shared" si="1195"/>
        <v>0</v>
      </c>
      <c r="H926" s="285">
        <v>0</v>
      </c>
      <c r="I926" s="285">
        <v>0</v>
      </c>
      <c r="J926" s="379" t="str">
        <f>IFERROR(G926/#REF!,"-")</f>
        <v>-</v>
      </c>
      <c r="K926" s="340">
        <f t="shared" si="1196"/>
        <v>0</v>
      </c>
      <c r="L926" s="285">
        <f t="shared" si="1197"/>
        <v>0</v>
      </c>
      <c r="M926" s="286">
        <f t="shared" si="1198"/>
        <v>0</v>
      </c>
      <c r="N926" s="369" t="str">
        <f t="shared" si="1179"/>
        <v>-</v>
      </c>
      <c r="O926" s="370" t="str">
        <f t="shared" si="1180"/>
        <v>-</v>
      </c>
    </row>
    <row r="927" spans="1:15" ht="24" thickBot="1" x14ac:dyDescent="0.35">
      <c r="A927" s="277" t="s">
        <v>110</v>
      </c>
      <c r="B927" s="906" t="s">
        <v>42</v>
      </c>
      <c r="C927" s="907"/>
      <c r="D927" s="908"/>
      <c r="E927" s="326">
        <v>610600</v>
      </c>
      <c r="F927" s="289">
        <v>25000</v>
      </c>
      <c r="G927" s="326">
        <f>SUM(G923:G926)</f>
        <v>0</v>
      </c>
      <c r="H927" s="327">
        <f t="shared" ref="H927:I927" si="1199">SUM(H923:H926)</f>
        <v>0</v>
      </c>
      <c r="I927" s="327">
        <f t="shared" si="1199"/>
        <v>0</v>
      </c>
      <c r="J927" s="351" t="str">
        <f>IFERROR(G927/#REF!,"-")</f>
        <v>-</v>
      </c>
      <c r="K927" s="326">
        <f>SUM(K922:K926)</f>
        <v>177536</v>
      </c>
      <c r="L927" s="327">
        <f>SUM(L922:L926)</f>
        <v>175380</v>
      </c>
      <c r="M927" s="328">
        <f>SUM(M922:M926)</f>
        <v>2156</v>
      </c>
      <c r="N927" s="345">
        <f t="shared" si="1179"/>
        <v>0.29075663282017689</v>
      </c>
      <c r="O927" s="351">
        <f t="shared" si="1180"/>
        <v>1.2144015861571737E-2</v>
      </c>
    </row>
    <row r="928" spans="1:15" ht="23.4" x14ac:dyDescent="0.3">
      <c r="A928" s="277" t="s">
        <v>110</v>
      </c>
      <c r="B928" s="903" t="s">
        <v>43</v>
      </c>
      <c r="C928" s="272" t="s">
        <v>204</v>
      </c>
      <c r="D928" s="272"/>
      <c r="E928" s="273">
        <v>0</v>
      </c>
      <c r="F928" s="274"/>
      <c r="G928" s="338">
        <f t="shared" ref="G928:G930" si="1200">+H928+I928</f>
        <v>0</v>
      </c>
      <c r="H928" s="275">
        <v>0</v>
      </c>
      <c r="I928" s="275">
        <v>0</v>
      </c>
      <c r="J928" s="357" t="str">
        <f>IFERROR(G928/#REF!,"-")</f>
        <v>-</v>
      </c>
      <c r="K928" s="338">
        <f t="shared" ref="K928:K930" si="1201">+L928+M928</f>
        <v>0</v>
      </c>
      <c r="L928" s="275">
        <f t="shared" ref="L928:L930" si="1202">+H928+L825</f>
        <v>0</v>
      </c>
      <c r="M928" s="276">
        <f t="shared" ref="M928:M930" si="1203">+I928+M825</f>
        <v>0</v>
      </c>
      <c r="N928" s="342" t="str">
        <f t="shared" si="1179"/>
        <v>-</v>
      </c>
      <c r="O928" s="352" t="str">
        <f t="shared" si="1180"/>
        <v>-</v>
      </c>
    </row>
    <row r="929" spans="1:15" ht="23.4" x14ac:dyDescent="0.3">
      <c r="A929" s="277" t="s">
        <v>110</v>
      </c>
      <c r="B929" s="904"/>
      <c r="C929" s="278" t="s">
        <v>168</v>
      </c>
      <c r="D929" s="278"/>
      <c r="E929" s="279">
        <v>0</v>
      </c>
      <c r="F929" s="280"/>
      <c r="G929" s="339">
        <f t="shared" si="1200"/>
        <v>0</v>
      </c>
      <c r="H929" s="281">
        <v>0</v>
      </c>
      <c r="I929" s="281">
        <v>0</v>
      </c>
      <c r="J929" s="378" t="str">
        <f>IFERROR(G929/#REF!,"-")</f>
        <v>-</v>
      </c>
      <c r="K929" s="339">
        <f t="shared" si="1201"/>
        <v>0</v>
      </c>
      <c r="L929" s="281">
        <f t="shared" si="1202"/>
        <v>0</v>
      </c>
      <c r="M929" s="251">
        <f t="shared" si="1203"/>
        <v>0</v>
      </c>
      <c r="N929" s="367" t="str">
        <f t="shared" si="1179"/>
        <v>-</v>
      </c>
      <c r="O929" s="368" t="str">
        <f t="shared" si="1180"/>
        <v>-</v>
      </c>
    </row>
    <row r="930" spans="1:15" ht="24" thickBot="1" x14ac:dyDescent="0.35">
      <c r="A930" s="277" t="s">
        <v>110</v>
      </c>
      <c r="B930" s="905"/>
      <c r="C930" s="282" t="s">
        <v>204</v>
      </c>
      <c r="D930" s="282"/>
      <c r="E930" s="283">
        <v>0</v>
      </c>
      <c r="F930" s="284"/>
      <c r="G930" s="340">
        <f t="shared" si="1200"/>
        <v>0</v>
      </c>
      <c r="H930" s="285">
        <v>0</v>
      </c>
      <c r="I930" s="285">
        <v>0</v>
      </c>
      <c r="J930" s="379" t="str">
        <f>IFERROR(G930/#REF!,"-")</f>
        <v>-</v>
      </c>
      <c r="K930" s="340">
        <f t="shared" si="1201"/>
        <v>0</v>
      </c>
      <c r="L930" s="285">
        <f t="shared" si="1202"/>
        <v>0</v>
      </c>
      <c r="M930" s="286">
        <f t="shared" si="1203"/>
        <v>0</v>
      </c>
      <c r="N930" s="369" t="str">
        <f t="shared" si="1179"/>
        <v>-</v>
      </c>
      <c r="O930" s="370" t="str">
        <f t="shared" si="1180"/>
        <v>-</v>
      </c>
    </row>
    <row r="931" spans="1:15" ht="24" thickBot="1" x14ac:dyDescent="0.35">
      <c r="A931" s="277" t="s">
        <v>110</v>
      </c>
      <c r="B931" s="909" t="s">
        <v>44</v>
      </c>
      <c r="C931" s="910"/>
      <c r="D931" s="911"/>
      <c r="E931" s="326">
        <v>0</v>
      </c>
      <c r="F931" s="289"/>
      <c r="G931" s="326">
        <f>SUM(G928:G930)</f>
        <v>0</v>
      </c>
      <c r="H931" s="327">
        <f t="shared" ref="H931:I931" si="1204">SUM(H928:H930)</f>
        <v>0</v>
      </c>
      <c r="I931" s="327">
        <f t="shared" si="1204"/>
        <v>0</v>
      </c>
      <c r="J931" s="351" t="str">
        <f>IFERROR(G931/#REF!,"-")</f>
        <v>-</v>
      </c>
      <c r="K931" s="326">
        <f t="shared" ref="K931:M931" si="1205">SUM(K928:K930)</f>
        <v>0</v>
      </c>
      <c r="L931" s="327">
        <f t="shared" si="1205"/>
        <v>0</v>
      </c>
      <c r="M931" s="328">
        <f t="shared" si="1205"/>
        <v>0</v>
      </c>
      <c r="N931" s="345" t="str">
        <f t="shared" si="1179"/>
        <v>-</v>
      </c>
      <c r="O931" s="351" t="str">
        <f t="shared" si="1180"/>
        <v>-</v>
      </c>
    </row>
    <row r="932" spans="1:15" ht="23.4" x14ac:dyDescent="0.3">
      <c r="A932" s="277" t="s">
        <v>110</v>
      </c>
      <c r="B932" s="903" t="s">
        <v>45</v>
      </c>
      <c r="C932" s="272" t="s">
        <v>169</v>
      </c>
      <c r="D932" s="272"/>
      <c r="E932" s="273">
        <v>0</v>
      </c>
      <c r="F932" s="274"/>
      <c r="G932" s="338">
        <f t="shared" ref="G932:G933" si="1206">+H932+I932</f>
        <v>0</v>
      </c>
      <c r="H932" s="275">
        <v>0</v>
      </c>
      <c r="I932" s="275">
        <v>0</v>
      </c>
      <c r="J932" s="377" t="str">
        <f>IFERROR(G932/#REF!,"-")</f>
        <v>-</v>
      </c>
      <c r="K932" s="338">
        <f t="shared" ref="K932:K933" si="1207">+L932+M932</f>
        <v>0</v>
      </c>
      <c r="L932" s="275">
        <f t="shared" ref="L932:L933" si="1208">+H932+L829</f>
        <v>0</v>
      </c>
      <c r="M932" s="276">
        <f t="shared" ref="M932:M933" si="1209">+I932+M829</f>
        <v>0</v>
      </c>
      <c r="N932" s="365" t="str">
        <f t="shared" si="1179"/>
        <v>-</v>
      </c>
      <c r="O932" s="366" t="str">
        <f t="shared" si="1180"/>
        <v>-</v>
      </c>
    </row>
    <row r="933" spans="1:15" ht="24" thickBot="1" x14ac:dyDescent="0.35">
      <c r="A933" s="277" t="s">
        <v>110</v>
      </c>
      <c r="B933" s="905"/>
      <c r="C933" s="282" t="s">
        <v>170</v>
      </c>
      <c r="D933" s="282"/>
      <c r="E933" s="283">
        <v>0</v>
      </c>
      <c r="F933" s="284"/>
      <c r="G933" s="340">
        <f t="shared" si="1206"/>
        <v>0</v>
      </c>
      <c r="H933" s="285">
        <v>0</v>
      </c>
      <c r="I933" s="285">
        <v>0</v>
      </c>
      <c r="J933" s="379" t="str">
        <f>IFERROR(G933/#REF!,"-")</f>
        <v>-</v>
      </c>
      <c r="K933" s="340">
        <f t="shared" si="1207"/>
        <v>0</v>
      </c>
      <c r="L933" s="285">
        <f t="shared" si="1208"/>
        <v>0</v>
      </c>
      <c r="M933" s="286">
        <f t="shared" si="1209"/>
        <v>0</v>
      </c>
      <c r="N933" s="369" t="str">
        <f t="shared" si="1179"/>
        <v>-</v>
      </c>
      <c r="O933" s="370" t="str">
        <f t="shared" si="1180"/>
        <v>-</v>
      </c>
    </row>
    <row r="934" spans="1:15" ht="24" thickBot="1" x14ac:dyDescent="0.35">
      <c r="A934" s="277" t="s">
        <v>110</v>
      </c>
      <c r="B934" s="909" t="s">
        <v>46</v>
      </c>
      <c r="C934" s="910"/>
      <c r="D934" s="911"/>
      <c r="E934" s="288">
        <v>11100</v>
      </c>
      <c r="F934" s="289">
        <v>25000</v>
      </c>
      <c r="G934" s="326">
        <f>SUM(G932:G933)</f>
        <v>0</v>
      </c>
      <c r="H934" s="327">
        <f t="shared" ref="H934:I934" si="1210">SUM(H932:H933)</f>
        <v>0</v>
      </c>
      <c r="I934" s="327">
        <f t="shared" si="1210"/>
        <v>0</v>
      </c>
      <c r="J934" s="351" t="str">
        <f>IFERROR(G934/#REF!,"-")</f>
        <v>-</v>
      </c>
      <c r="K934" s="326">
        <f t="shared" ref="K934:M934" si="1211">SUM(K932:K933)</f>
        <v>0</v>
      </c>
      <c r="L934" s="327">
        <f t="shared" si="1211"/>
        <v>0</v>
      </c>
      <c r="M934" s="328">
        <f t="shared" si="1211"/>
        <v>0</v>
      </c>
      <c r="N934" s="345">
        <f t="shared" si="1179"/>
        <v>0</v>
      </c>
      <c r="O934" s="351" t="str">
        <f t="shared" si="1180"/>
        <v>-</v>
      </c>
    </row>
    <row r="935" spans="1:15" ht="24" thickBot="1" x14ac:dyDescent="0.35">
      <c r="A935" s="277" t="s">
        <v>110</v>
      </c>
      <c r="B935" s="912" t="s">
        <v>25</v>
      </c>
      <c r="C935" s="913"/>
      <c r="D935" s="914"/>
      <c r="E935" s="332">
        <f t="shared" ref="E935:F935" si="1212">+E913+E918+E921+E927+E931+E934</f>
        <v>745700</v>
      </c>
      <c r="F935" s="333">
        <f t="shared" si="1212"/>
        <v>59300</v>
      </c>
      <c r="G935" s="332">
        <f>+G913+G918+G921+G927+G931+G934</f>
        <v>10561</v>
      </c>
      <c r="H935" s="330">
        <f t="shared" ref="H935:I935" si="1213">+H913+H918+H921+H927+H931+H934</f>
        <v>10260</v>
      </c>
      <c r="I935" s="330">
        <f t="shared" si="1213"/>
        <v>301</v>
      </c>
      <c r="J935" s="355" t="str">
        <f>IFERROR(G935/#REF!,"-")</f>
        <v>-</v>
      </c>
      <c r="K935" s="332">
        <f>+K913+K918+K921+K927+K931+K934</f>
        <v>206242</v>
      </c>
      <c r="L935" s="330">
        <f t="shared" ref="L935:M935" si="1214">+L913+L918+L921+L927+L931+L934</f>
        <v>202580</v>
      </c>
      <c r="M935" s="331">
        <f t="shared" si="1214"/>
        <v>3662</v>
      </c>
      <c r="N935" s="347">
        <f t="shared" si="1179"/>
        <v>0.27657503017299184</v>
      </c>
      <c r="O935" s="355">
        <f t="shared" si="1180"/>
        <v>1.7755840226529998E-2</v>
      </c>
    </row>
    <row r="936" spans="1:15" ht="24" thickBot="1" x14ac:dyDescent="0.35">
      <c r="A936" s="324" t="s">
        <v>110</v>
      </c>
      <c r="B936" s="901" t="s">
        <v>182</v>
      </c>
      <c r="C936" s="901"/>
      <c r="D936" s="902"/>
      <c r="E936" s="336">
        <f>+E935</f>
        <v>745700</v>
      </c>
      <c r="F936" s="337">
        <f t="shared" ref="F936:O936" si="1215">+F935</f>
        <v>59300</v>
      </c>
      <c r="G936" s="336">
        <f t="shared" si="1215"/>
        <v>10561</v>
      </c>
      <c r="H936" s="334">
        <f t="shared" si="1215"/>
        <v>10260</v>
      </c>
      <c r="I936" s="334">
        <f t="shared" si="1215"/>
        <v>301</v>
      </c>
      <c r="J936" s="356" t="str">
        <f t="shared" si="1215"/>
        <v>-</v>
      </c>
      <c r="K936" s="336">
        <f t="shared" si="1215"/>
        <v>206242</v>
      </c>
      <c r="L936" s="334">
        <f t="shared" si="1215"/>
        <v>202580</v>
      </c>
      <c r="M936" s="335">
        <f t="shared" si="1215"/>
        <v>3662</v>
      </c>
      <c r="N936" s="348">
        <f t="shared" si="1215"/>
        <v>0.27657503017299184</v>
      </c>
      <c r="O936" s="356">
        <f t="shared" si="1215"/>
        <v>1.7755840226529998E-2</v>
      </c>
    </row>
    <row r="937" spans="1:15" ht="24.6" thickBot="1" x14ac:dyDescent="0.35">
      <c r="A937" s="325"/>
      <c r="B937" s="915" t="s">
        <v>183</v>
      </c>
      <c r="C937" s="916"/>
      <c r="D937" s="917"/>
      <c r="E937" s="380">
        <f>+E882+E909+E936</f>
        <v>9494400</v>
      </c>
      <c r="F937" s="380">
        <f>+F882+F909+F936</f>
        <v>748300</v>
      </c>
      <c r="G937" s="380">
        <f>+G882+G909+G936</f>
        <v>352039</v>
      </c>
      <c r="H937" s="380">
        <f>+H882+H909+H936</f>
        <v>346680</v>
      </c>
      <c r="I937" s="380">
        <f>+I882+I909+I936</f>
        <v>5359</v>
      </c>
      <c r="J937" s="381" t="str">
        <f>IFERROR(G937/#REF!,"-")</f>
        <v>-</v>
      </c>
      <c r="K937" s="380">
        <f>+K882+K909+K936</f>
        <v>2478582</v>
      </c>
      <c r="L937" s="380">
        <f>+L882+L909+L936</f>
        <v>2450318</v>
      </c>
      <c r="M937" s="380">
        <f>+M882+M909+M936</f>
        <v>28264</v>
      </c>
      <c r="N937" s="381">
        <f>IFERROR(K937/E937,"-")</f>
        <v>0.26105725480283115</v>
      </c>
      <c r="O937" s="381">
        <f>IFERROR(M937/K937,"-")</f>
        <v>1.1403294302952253E-2</v>
      </c>
    </row>
    <row r="938" spans="1:15" ht="23.4" x14ac:dyDescent="0.3">
      <c r="A938" s="935" t="s">
        <v>1</v>
      </c>
      <c r="B938" s="938" t="s">
        <v>2</v>
      </c>
      <c r="C938" s="941" t="s">
        <v>3</v>
      </c>
      <c r="D938" s="941" t="s">
        <v>93</v>
      </c>
      <c r="E938" s="944" t="s">
        <v>4</v>
      </c>
      <c r="F938" s="945"/>
      <c r="G938" s="945"/>
      <c r="H938" s="945"/>
      <c r="I938" s="945"/>
      <c r="J938" s="945"/>
      <c r="K938" s="945"/>
      <c r="L938" s="945"/>
      <c r="M938" s="945"/>
      <c r="N938" s="945"/>
      <c r="O938" s="946"/>
    </row>
    <row r="939" spans="1:15" ht="23.4" x14ac:dyDescent="0.3">
      <c r="A939" s="936"/>
      <c r="B939" s="939"/>
      <c r="C939" s="942"/>
      <c r="D939" s="942"/>
      <c r="E939" s="947" t="s">
        <v>7</v>
      </c>
      <c r="F939" s="949" t="s">
        <v>116</v>
      </c>
      <c r="G939" s="951">
        <v>44514</v>
      </c>
      <c r="H939" s="952"/>
      <c r="I939" s="952"/>
      <c r="J939" s="953"/>
      <c r="K939" s="954" t="s">
        <v>8</v>
      </c>
      <c r="L939" s="955"/>
      <c r="M939" s="956"/>
      <c r="N939" s="957" t="s">
        <v>174</v>
      </c>
      <c r="O939" s="959" t="s">
        <v>173</v>
      </c>
    </row>
    <row r="940" spans="1:15" ht="41.4" thickBot="1" x14ac:dyDescent="0.35">
      <c r="A940" s="937"/>
      <c r="B940" s="940"/>
      <c r="C940" s="943"/>
      <c r="D940" s="943"/>
      <c r="E940" s="948"/>
      <c r="F940" s="950"/>
      <c r="G940" s="462" t="s">
        <v>13</v>
      </c>
      <c r="H940" s="463" t="s">
        <v>14</v>
      </c>
      <c r="I940" s="463" t="s">
        <v>15</v>
      </c>
      <c r="J940" s="464" t="s">
        <v>175</v>
      </c>
      <c r="K940" s="462" t="s">
        <v>13</v>
      </c>
      <c r="L940" s="463" t="s">
        <v>14</v>
      </c>
      <c r="M940" s="465" t="s">
        <v>15</v>
      </c>
      <c r="N940" s="958"/>
      <c r="O940" s="960"/>
    </row>
    <row r="941" spans="1:15" ht="23.4" x14ac:dyDescent="0.3">
      <c r="A941" s="271" t="s">
        <v>111</v>
      </c>
      <c r="B941" s="922" t="s">
        <v>16</v>
      </c>
      <c r="C941" s="272" t="s">
        <v>186</v>
      </c>
      <c r="D941" s="272" t="s">
        <v>184</v>
      </c>
      <c r="E941" s="273">
        <v>0</v>
      </c>
      <c r="F941" s="274"/>
      <c r="G941" s="338">
        <f>+H941+I941</f>
        <v>0</v>
      </c>
      <c r="H941" s="275">
        <v>0</v>
      </c>
      <c r="I941" s="275">
        <v>0</v>
      </c>
      <c r="J941" s="357" t="str">
        <f>IFERROR(G941/#REF!,"-")</f>
        <v>-</v>
      </c>
      <c r="K941" s="468">
        <f>+L941+M941</f>
        <v>0</v>
      </c>
      <c r="L941" s="469">
        <f>+H941+L838</f>
        <v>0</v>
      </c>
      <c r="M941" s="469">
        <f>+I941+M838</f>
        <v>0</v>
      </c>
      <c r="N941" s="342" t="str">
        <f>IFERROR(K941/E941,"-")</f>
        <v>-</v>
      </c>
      <c r="O941" s="349" t="str">
        <f t="shared" ref="O941:O942" si="1216">IFERROR(M941/K941,"-")</f>
        <v>-</v>
      </c>
    </row>
    <row r="942" spans="1:15" ht="23.4" x14ac:dyDescent="0.3">
      <c r="A942" s="277" t="s">
        <v>111</v>
      </c>
      <c r="B942" s="923"/>
      <c r="C942" s="278" t="s">
        <v>190</v>
      </c>
      <c r="D942" s="278" t="s">
        <v>101</v>
      </c>
      <c r="E942" s="279">
        <v>0</v>
      </c>
      <c r="F942" s="280"/>
      <c r="G942" s="339">
        <f t="shared" ref="G942:G944" si="1217">+H942+I942</f>
        <v>0</v>
      </c>
      <c r="H942" s="281">
        <v>0</v>
      </c>
      <c r="I942" s="281">
        <v>0</v>
      </c>
      <c r="J942" s="358" t="str">
        <f>IFERROR(G942/#REF!,"-")</f>
        <v>-</v>
      </c>
      <c r="K942" s="339">
        <f t="shared" ref="K942:K944" si="1218">+L942+M942</f>
        <v>0</v>
      </c>
      <c r="L942" s="281">
        <f t="shared" ref="L942:L944" si="1219">+H942+L839</f>
        <v>0</v>
      </c>
      <c r="M942" s="442">
        <f t="shared" ref="M942:M944" si="1220">+I942+M839</f>
        <v>0</v>
      </c>
      <c r="N942" s="343" t="str">
        <f t="shared" ref="N942:N944" si="1221">IFERROR(K942/E942,"-")</f>
        <v>-</v>
      </c>
      <c r="O942" s="268" t="str">
        <f t="shared" si="1216"/>
        <v>-</v>
      </c>
    </row>
    <row r="943" spans="1:15" ht="23.4" x14ac:dyDescent="0.3">
      <c r="A943" s="277" t="s">
        <v>111</v>
      </c>
      <c r="B943" s="923"/>
      <c r="C943" s="278" t="s">
        <v>187</v>
      </c>
      <c r="D943" s="278" t="s">
        <v>185</v>
      </c>
      <c r="E943" s="279">
        <v>0</v>
      </c>
      <c r="F943" s="280"/>
      <c r="G943" s="339">
        <f t="shared" si="1217"/>
        <v>0</v>
      </c>
      <c r="H943" s="281">
        <v>0</v>
      </c>
      <c r="I943" s="281">
        <v>0</v>
      </c>
      <c r="J943" s="358" t="str">
        <f>IFERROR(G943/#REF!,"-")</f>
        <v>-</v>
      </c>
      <c r="K943" s="339">
        <f t="shared" si="1218"/>
        <v>0</v>
      </c>
      <c r="L943" s="281">
        <f t="shared" si="1219"/>
        <v>0</v>
      </c>
      <c r="M943" s="442">
        <f t="shared" si="1220"/>
        <v>0</v>
      </c>
      <c r="N943" s="343" t="str">
        <f t="shared" si="1221"/>
        <v>-</v>
      </c>
      <c r="O943" s="268" t="str">
        <f>IFERROR(M943/K943,"-")</f>
        <v>-</v>
      </c>
    </row>
    <row r="944" spans="1:15" ht="24" thickBot="1" x14ac:dyDescent="0.35">
      <c r="A944" s="277" t="s">
        <v>111</v>
      </c>
      <c r="B944" s="924"/>
      <c r="C944" s="282" t="s">
        <v>255</v>
      </c>
      <c r="D944" s="282" t="s">
        <v>256</v>
      </c>
      <c r="E944" s="283">
        <v>0</v>
      </c>
      <c r="F944" s="284"/>
      <c r="G944" s="340">
        <f t="shared" si="1217"/>
        <v>0</v>
      </c>
      <c r="H944" s="285">
        <v>0</v>
      </c>
      <c r="I944" s="285">
        <v>0</v>
      </c>
      <c r="J944" s="359" t="str">
        <f>IFERROR(G944/#REF!,"-")</f>
        <v>-</v>
      </c>
      <c r="K944" s="471">
        <f t="shared" si="1218"/>
        <v>105112</v>
      </c>
      <c r="L944" s="472">
        <f t="shared" si="1219"/>
        <v>103424</v>
      </c>
      <c r="M944" s="473">
        <f t="shared" si="1220"/>
        <v>1688</v>
      </c>
      <c r="N944" s="344" t="str">
        <f t="shared" si="1221"/>
        <v>-</v>
      </c>
      <c r="O944" s="350">
        <f t="shared" ref="O944:O1009" si="1222">IFERROR(M944/K944,"-")</f>
        <v>1.6059060811325063E-2</v>
      </c>
    </row>
    <row r="945" spans="1:15" ht="24" thickBot="1" x14ac:dyDescent="0.35">
      <c r="A945" s="277" t="s">
        <v>111</v>
      </c>
      <c r="B945" s="906" t="s">
        <v>47</v>
      </c>
      <c r="C945" s="907"/>
      <c r="D945" s="908"/>
      <c r="E945" s="326">
        <v>144600</v>
      </c>
      <c r="F945" s="289">
        <v>15000</v>
      </c>
      <c r="G945" s="326">
        <f>SUM(G941:G944)</f>
        <v>0</v>
      </c>
      <c r="H945" s="327">
        <f t="shared" ref="H945:I945" si="1223">SUM(H941:H944)</f>
        <v>0</v>
      </c>
      <c r="I945" s="327">
        <f t="shared" si="1223"/>
        <v>0</v>
      </c>
      <c r="J945" s="351" t="str">
        <f>IFERROR(G945/#REF!,"-")</f>
        <v>-</v>
      </c>
      <c r="K945" s="326">
        <f t="shared" ref="K945:M945" si="1224">SUM(K941:K944)</f>
        <v>105112</v>
      </c>
      <c r="L945" s="327">
        <f t="shared" si="1224"/>
        <v>103424</v>
      </c>
      <c r="M945" s="328">
        <f t="shared" si="1224"/>
        <v>1688</v>
      </c>
      <c r="N945" s="345">
        <f>IFERROR(K945/E945,"-")</f>
        <v>0.72691562932226828</v>
      </c>
      <c r="O945" s="351">
        <f t="shared" si="1222"/>
        <v>1.6059060811325063E-2</v>
      </c>
    </row>
    <row r="946" spans="1:15" ht="23.4" x14ac:dyDescent="0.3">
      <c r="A946" s="277" t="s">
        <v>111</v>
      </c>
      <c r="B946" s="922" t="s">
        <v>17</v>
      </c>
      <c r="C946" s="272" t="s">
        <v>331</v>
      </c>
      <c r="D946" s="272"/>
      <c r="E946" s="273">
        <v>0</v>
      </c>
      <c r="F946" s="274"/>
      <c r="G946" s="338">
        <f t="shared" ref="G946:G952" si="1225">+H946+I946</f>
        <v>0</v>
      </c>
      <c r="H946" s="275">
        <v>0</v>
      </c>
      <c r="I946" s="275">
        <v>0</v>
      </c>
      <c r="J946" s="357" t="str">
        <f>IFERROR(G946/#REF!,"-")</f>
        <v>-</v>
      </c>
      <c r="K946" s="468">
        <f t="shared" ref="K946:K952" si="1226">+L946+M946</f>
        <v>0</v>
      </c>
      <c r="L946" s="469">
        <f t="shared" ref="L946:L952" si="1227">+H946+L843</f>
        <v>0</v>
      </c>
      <c r="M946" s="470">
        <f t="shared" ref="M946:M952" si="1228">+I946+M843</f>
        <v>0</v>
      </c>
      <c r="N946" s="342" t="str">
        <f t="shared" ref="N946:N988" si="1229">IFERROR(K946/E946,"-")</f>
        <v>-</v>
      </c>
      <c r="O946" s="352" t="str">
        <f t="shared" si="1222"/>
        <v>-</v>
      </c>
    </row>
    <row r="947" spans="1:15" ht="23.4" x14ac:dyDescent="0.3">
      <c r="A947" s="277" t="s">
        <v>111</v>
      </c>
      <c r="B947" s="923"/>
      <c r="C947" s="278" t="s">
        <v>421</v>
      </c>
      <c r="D947" s="278" t="s">
        <v>257</v>
      </c>
      <c r="E947" s="279">
        <v>0</v>
      </c>
      <c r="F947" s="280"/>
      <c r="G947" s="339">
        <f t="shared" si="1225"/>
        <v>0</v>
      </c>
      <c r="H947" s="281">
        <v>0</v>
      </c>
      <c r="I947" s="281">
        <v>0</v>
      </c>
      <c r="J947" s="358" t="str">
        <f>IFERROR(G947/#REF!,"-")</f>
        <v>-</v>
      </c>
      <c r="K947" s="339">
        <f t="shared" si="1226"/>
        <v>260594</v>
      </c>
      <c r="L947" s="281">
        <f t="shared" si="1227"/>
        <v>259343</v>
      </c>
      <c r="M947" s="442">
        <f t="shared" si="1228"/>
        <v>1251</v>
      </c>
      <c r="N947" s="343" t="str">
        <f t="shared" si="1229"/>
        <v>-</v>
      </c>
      <c r="O947" s="264">
        <f t="shared" si="1222"/>
        <v>4.8005710031696815E-3</v>
      </c>
    </row>
    <row r="948" spans="1:15" ht="23.4" x14ac:dyDescent="0.3">
      <c r="A948" s="277" t="s">
        <v>111</v>
      </c>
      <c r="B948" s="923"/>
      <c r="C948" s="278" t="s">
        <v>290</v>
      </c>
      <c r="D948" s="278" t="s">
        <v>205</v>
      </c>
      <c r="E948" s="279">
        <v>0</v>
      </c>
      <c r="F948" s="280"/>
      <c r="G948" s="339">
        <f t="shared" si="1225"/>
        <v>0</v>
      </c>
      <c r="H948" s="281">
        <v>0</v>
      </c>
      <c r="I948" s="281">
        <v>0</v>
      </c>
      <c r="J948" s="358" t="str">
        <f>IFERROR(G948/#REF!,"-")</f>
        <v>-</v>
      </c>
      <c r="K948" s="339">
        <f t="shared" si="1226"/>
        <v>0</v>
      </c>
      <c r="L948" s="281">
        <f t="shared" si="1227"/>
        <v>0</v>
      </c>
      <c r="M948" s="442">
        <f t="shared" si="1228"/>
        <v>0</v>
      </c>
      <c r="N948" s="343" t="str">
        <f t="shared" si="1229"/>
        <v>-</v>
      </c>
      <c r="O948" s="264" t="str">
        <f t="shared" si="1222"/>
        <v>-</v>
      </c>
    </row>
    <row r="949" spans="1:15" ht="23.4" x14ac:dyDescent="0.3">
      <c r="A949" s="277" t="s">
        <v>111</v>
      </c>
      <c r="B949" s="923"/>
      <c r="C949" s="278" t="s">
        <v>330</v>
      </c>
      <c r="D949" s="278" t="s">
        <v>206</v>
      </c>
      <c r="E949" s="279">
        <v>0</v>
      </c>
      <c r="F949" s="280"/>
      <c r="G949" s="339">
        <f t="shared" si="1225"/>
        <v>0</v>
      </c>
      <c r="H949" s="281">
        <v>0</v>
      </c>
      <c r="I949" s="281">
        <v>0</v>
      </c>
      <c r="J949" s="358" t="str">
        <f>IFERROR(G949/#REF!,"-")</f>
        <v>-</v>
      </c>
      <c r="K949" s="339">
        <f t="shared" si="1226"/>
        <v>1836</v>
      </c>
      <c r="L949" s="281">
        <f t="shared" si="1227"/>
        <v>1836</v>
      </c>
      <c r="M949" s="442">
        <f t="shared" si="1228"/>
        <v>0</v>
      </c>
      <c r="N949" s="343" t="str">
        <f t="shared" si="1229"/>
        <v>-</v>
      </c>
      <c r="O949" s="264">
        <f t="shared" si="1222"/>
        <v>0</v>
      </c>
    </row>
    <row r="950" spans="1:15" ht="23.4" x14ac:dyDescent="0.3">
      <c r="A950" s="277" t="s">
        <v>111</v>
      </c>
      <c r="B950" s="923"/>
      <c r="C950" s="278" t="s">
        <v>377</v>
      </c>
      <c r="D950" s="278" t="s">
        <v>371</v>
      </c>
      <c r="E950" s="279">
        <v>0</v>
      </c>
      <c r="F950" s="280"/>
      <c r="G950" s="339">
        <f t="shared" si="1225"/>
        <v>0</v>
      </c>
      <c r="H950" s="281">
        <v>0</v>
      </c>
      <c r="I950" s="281">
        <v>0</v>
      </c>
      <c r="J950" s="358" t="str">
        <f>IFERROR(G950/#REF!,"-")</f>
        <v>-</v>
      </c>
      <c r="K950" s="339">
        <f t="shared" si="1226"/>
        <v>8312</v>
      </c>
      <c r="L950" s="281">
        <f t="shared" si="1227"/>
        <v>8312</v>
      </c>
      <c r="M950" s="442">
        <f t="shared" si="1228"/>
        <v>0</v>
      </c>
      <c r="N950" s="343" t="str">
        <f t="shared" si="1229"/>
        <v>-</v>
      </c>
      <c r="O950" s="264">
        <f t="shared" si="1222"/>
        <v>0</v>
      </c>
    </row>
    <row r="951" spans="1:15" ht="23.4" x14ac:dyDescent="0.3">
      <c r="A951" s="277" t="s">
        <v>111</v>
      </c>
      <c r="B951" s="923"/>
      <c r="C951" s="278" t="s">
        <v>443</v>
      </c>
      <c r="D951" s="278" t="s">
        <v>207</v>
      </c>
      <c r="E951" s="279">
        <v>0</v>
      </c>
      <c r="F951" s="280"/>
      <c r="G951" s="339">
        <f t="shared" si="1225"/>
        <v>147198</v>
      </c>
      <c r="H951" s="281">
        <f>116280+30600</f>
        <v>146880</v>
      </c>
      <c r="I951" s="281">
        <f>188+130</f>
        <v>318</v>
      </c>
      <c r="J951" s="358" t="str">
        <f>IFERROR(G951/#REF!,"-")</f>
        <v>-</v>
      </c>
      <c r="K951" s="339">
        <f t="shared" si="1226"/>
        <v>349917</v>
      </c>
      <c r="L951" s="281">
        <f t="shared" si="1227"/>
        <v>348840</v>
      </c>
      <c r="M951" s="442">
        <f t="shared" si="1228"/>
        <v>1077</v>
      </c>
      <c r="N951" s="343" t="str">
        <f t="shared" si="1229"/>
        <v>-</v>
      </c>
      <c r="O951" s="264">
        <f t="shared" si="1222"/>
        <v>3.0778727526813501E-3</v>
      </c>
    </row>
    <row r="952" spans="1:15" ht="24" thickBot="1" x14ac:dyDescent="0.35">
      <c r="A952" s="277" t="s">
        <v>111</v>
      </c>
      <c r="B952" s="924"/>
      <c r="C952" s="282" t="s">
        <v>416</v>
      </c>
      <c r="D952" s="282" t="s">
        <v>257</v>
      </c>
      <c r="E952" s="283">
        <v>0</v>
      </c>
      <c r="F952" s="284"/>
      <c r="G952" s="340">
        <f t="shared" si="1225"/>
        <v>0</v>
      </c>
      <c r="H952" s="285">
        <v>0</v>
      </c>
      <c r="I952" s="285">
        <v>0</v>
      </c>
      <c r="J952" s="359" t="str">
        <f>IFERROR(G952/#REF!,"-")</f>
        <v>-</v>
      </c>
      <c r="K952" s="471">
        <f t="shared" si="1226"/>
        <v>73650</v>
      </c>
      <c r="L952" s="719">
        <f t="shared" si="1227"/>
        <v>73440</v>
      </c>
      <c r="M952" s="473">
        <f t="shared" si="1228"/>
        <v>210</v>
      </c>
      <c r="N952" s="344" t="str">
        <f t="shared" si="1229"/>
        <v>-</v>
      </c>
      <c r="O952" s="353">
        <f t="shared" si="1222"/>
        <v>2.8513238289205704E-3</v>
      </c>
    </row>
    <row r="953" spans="1:15" ht="24" thickBot="1" x14ac:dyDescent="0.35">
      <c r="A953" s="277" t="s">
        <v>111</v>
      </c>
      <c r="B953" s="906" t="s">
        <v>48</v>
      </c>
      <c r="C953" s="907"/>
      <c r="D953" s="908"/>
      <c r="E953" s="326">
        <v>3480000</v>
      </c>
      <c r="F953" s="289">
        <v>100000</v>
      </c>
      <c r="G953" s="326">
        <f>SUM(G946:G952)</f>
        <v>147198</v>
      </c>
      <c r="H953" s="327">
        <f t="shared" ref="H953:I953" si="1230">SUM(H946:H952)</f>
        <v>146880</v>
      </c>
      <c r="I953" s="327">
        <f t="shared" si="1230"/>
        <v>318</v>
      </c>
      <c r="J953" s="351" t="str">
        <f>IFERROR(G953/#REF!,"-")</f>
        <v>-</v>
      </c>
      <c r="K953" s="326">
        <f t="shared" ref="K953:M953" si="1231">SUM(K946:K952)</f>
        <v>694309</v>
      </c>
      <c r="L953" s="327">
        <f t="shared" si="1231"/>
        <v>691771</v>
      </c>
      <c r="M953" s="328">
        <f t="shared" si="1231"/>
        <v>2538</v>
      </c>
      <c r="N953" s="345">
        <f t="shared" si="1229"/>
        <v>0.19951408045977012</v>
      </c>
      <c r="O953" s="351">
        <f t="shared" si="1222"/>
        <v>3.6554329556436689E-3</v>
      </c>
    </row>
    <row r="954" spans="1:15" ht="23.4" x14ac:dyDescent="0.3">
      <c r="A954" s="277" t="s">
        <v>111</v>
      </c>
      <c r="B954" s="922" t="s">
        <v>18</v>
      </c>
      <c r="C954" s="272" t="s">
        <v>359</v>
      </c>
      <c r="D954" s="272" t="s">
        <v>99</v>
      </c>
      <c r="E954" s="273">
        <v>0</v>
      </c>
      <c r="F954" s="274"/>
      <c r="G954" s="338">
        <f t="shared" ref="G954:G960" si="1232">+H954+I954</f>
        <v>0</v>
      </c>
      <c r="H954" s="275">
        <v>0</v>
      </c>
      <c r="I954" s="275">
        <v>0</v>
      </c>
      <c r="J954" s="357" t="str">
        <f>IFERROR(G954/#REF!,"-")</f>
        <v>-</v>
      </c>
      <c r="K954" s="338">
        <f t="shared" ref="K954:K960" si="1233">+L954+M954</f>
        <v>0</v>
      </c>
      <c r="L954" s="275">
        <f t="shared" ref="L954:L960" si="1234">+H954+L851</f>
        <v>0</v>
      </c>
      <c r="M954" s="276">
        <f t="shared" ref="M954:M960" si="1235">+I954+M851</f>
        <v>0</v>
      </c>
      <c r="N954" s="342" t="str">
        <f t="shared" si="1229"/>
        <v>-</v>
      </c>
      <c r="O954" s="352" t="str">
        <f t="shared" si="1222"/>
        <v>-</v>
      </c>
    </row>
    <row r="955" spans="1:15" ht="23.4" x14ac:dyDescent="0.3">
      <c r="A955" s="277" t="s">
        <v>111</v>
      </c>
      <c r="B955" s="923"/>
      <c r="C955" s="278" t="s">
        <v>258</v>
      </c>
      <c r="D955" s="278" t="s">
        <v>259</v>
      </c>
      <c r="E955" s="279">
        <v>0</v>
      </c>
      <c r="F955" s="280"/>
      <c r="G955" s="339">
        <f t="shared" si="1232"/>
        <v>0</v>
      </c>
      <c r="H955" s="281">
        <v>0</v>
      </c>
      <c r="I955" s="281">
        <v>0</v>
      </c>
      <c r="J955" s="358" t="str">
        <f>IFERROR(G955/#REF!,"-")</f>
        <v>-</v>
      </c>
      <c r="K955" s="339">
        <f t="shared" si="1233"/>
        <v>0</v>
      </c>
      <c r="L955" s="281">
        <f t="shared" si="1234"/>
        <v>0</v>
      </c>
      <c r="M955" s="251">
        <f t="shared" si="1235"/>
        <v>0</v>
      </c>
      <c r="N955" s="343" t="str">
        <f t="shared" si="1229"/>
        <v>-</v>
      </c>
      <c r="O955" s="264" t="str">
        <f t="shared" si="1222"/>
        <v>-</v>
      </c>
    </row>
    <row r="956" spans="1:15" ht="23.4" x14ac:dyDescent="0.3">
      <c r="A956" s="277" t="s">
        <v>111</v>
      </c>
      <c r="B956" s="923"/>
      <c r="C956" s="278" t="s">
        <v>123</v>
      </c>
      <c r="D956" s="278"/>
      <c r="E956" s="279">
        <v>0</v>
      </c>
      <c r="F956" s="280"/>
      <c r="G956" s="339">
        <f t="shared" si="1232"/>
        <v>0</v>
      </c>
      <c r="H956" s="281">
        <v>0</v>
      </c>
      <c r="I956" s="281">
        <v>0</v>
      </c>
      <c r="J956" s="358" t="str">
        <f>IFERROR(G956/#REF!,"-")</f>
        <v>-</v>
      </c>
      <c r="K956" s="339">
        <f t="shared" si="1233"/>
        <v>0</v>
      </c>
      <c r="L956" s="281">
        <f t="shared" si="1234"/>
        <v>0</v>
      </c>
      <c r="M956" s="251">
        <f t="shared" si="1235"/>
        <v>0</v>
      </c>
      <c r="N956" s="343" t="str">
        <f t="shared" si="1229"/>
        <v>-</v>
      </c>
      <c r="O956" s="264" t="str">
        <f t="shared" si="1222"/>
        <v>-</v>
      </c>
    </row>
    <row r="957" spans="1:15" ht="23.4" x14ac:dyDescent="0.3">
      <c r="A957" s="277" t="s">
        <v>111</v>
      </c>
      <c r="B957" s="923"/>
      <c r="C957" s="278" t="s">
        <v>130</v>
      </c>
      <c r="D957" s="278"/>
      <c r="E957" s="279">
        <v>0</v>
      </c>
      <c r="F957" s="280"/>
      <c r="G957" s="339">
        <f t="shared" si="1232"/>
        <v>0</v>
      </c>
      <c r="H957" s="281">
        <v>0</v>
      </c>
      <c r="I957" s="281">
        <v>0</v>
      </c>
      <c r="J957" s="358" t="str">
        <f>IFERROR(G957/#REF!,"-")</f>
        <v>-</v>
      </c>
      <c r="K957" s="339">
        <f t="shared" si="1233"/>
        <v>0</v>
      </c>
      <c r="L957" s="281">
        <f t="shared" si="1234"/>
        <v>0</v>
      </c>
      <c r="M957" s="251">
        <f t="shared" si="1235"/>
        <v>0</v>
      </c>
      <c r="N957" s="343" t="str">
        <f t="shared" si="1229"/>
        <v>-</v>
      </c>
      <c r="O957" s="264" t="str">
        <f t="shared" si="1222"/>
        <v>-</v>
      </c>
    </row>
    <row r="958" spans="1:15" ht="23.4" x14ac:dyDescent="0.3">
      <c r="A958" s="277" t="s">
        <v>111</v>
      </c>
      <c r="B958" s="923"/>
      <c r="C958" s="278" t="s">
        <v>191</v>
      </c>
      <c r="D958" s="278" t="s">
        <v>192</v>
      </c>
      <c r="E958" s="279">
        <v>0</v>
      </c>
      <c r="F958" s="280"/>
      <c r="G958" s="339">
        <f t="shared" si="1232"/>
        <v>0</v>
      </c>
      <c r="H958" s="281">
        <v>0</v>
      </c>
      <c r="I958" s="281">
        <v>0</v>
      </c>
      <c r="J958" s="358" t="str">
        <f>IFERROR(G958/#REF!,"-")</f>
        <v>-</v>
      </c>
      <c r="K958" s="339">
        <f t="shared" si="1233"/>
        <v>0</v>
      </c>
      <c r="L958" s="281">
        <f t="shared" si="1234"/>
        <v>0</v>
      </c>
      <c r="M958" s="251">
        <f t="shared" si="1235"/>
        <v>0</v>
      </c>
      <c r="N958" s="343" t="str">
        <f t="shared" si="1229"/>
        <v>-</v>
      </c>
      <c r="O958" s="264" t="str">
        <f t="shared" si="1222"/>
        <v>-</v>
      </c>
    </row>
    <row r="959" spans="1:15" ht="23.4" x14ac:dyDescent="0.3">
      <c r="A959" s="277" t="s">
        <v>111</v>
      </c>
      <c r="B959" s="923"/>
      <c r="C959" s="278" t="s">
        <v>194</v>
      </c>
      <c r="D959" s="278" t="s">
        <v>193</v>
      </c>
      <c r="E959" s="279">
        <v>0</v>
      </c>
      <c r="F959" s="280"/>
      <c r="G959" s="339">
        <f t="shared" si="1232"/>
        <v>0</v>
      </c>
      <c r="H959" s="281">
        <v>0</v>
      </c>
      <c r="I959" s="281">
        <v>0</v>
      </c>
      <c r="J959" s="358" t="str">
        <f>IFERROR(G959/#REF!,"-")</f>
        <v>-</v>
      </c>
      <c r="K959" s="339">
        <f t="shared" si="1233"/>
        <v>0</v>
      </c>
      <c r="L959" s="281">
        <f t="shared" si="1234"/>
        <v>0</v>
      </c>
      <c r="M959" s="251">
        <f t="shared" si="1235"/>
        <v>0</v>
      </c>
      <c r="N959" s="343" t="str">
        <f t="shared" si="1229"/>
        <v>-</v>
      </c>
      <c r="O959" s="264" t="str">
        <f t="shared" si="1222"/>
        <v>-</v>
      </c>
    </row>
    <row r="960" spans="1:15" ht="24" thickBot="1" x14ac:dyDescent="0.35">
      <c r="A960" s="277" t="s">
        <v>111</v>
      </c>
      <c r="B960" s="924"/>
      <c r="C960" s="290" t="s">
        <v>195</v>
      </c>
      <c r="D960" s="290" t="s">
        <v>115</v>
      </c>
      <c r="E960" s="283">
        <v>0</v>
      </c>
      <c r="F960" s="284"/>
      <c r="G960" s="340">
        <f t="shared" si="1232"/>
        <v>0</v>
      </c>
      <c r="H960" s="285">
        <v>0</v>
      </c>
      <c r="I960" s="285">
        <v>0</v>
      </c>
      <c r="J960" s="359" t="str">
        <f>IFERROR(G960/#REF!,"-")</f>
        <v>-</v>
      </c>
      <c r="K960" s="340">
        <f t="shared" si="1233"/>
        <v>0</v>
      </c>
      <c r="L960" s="285">
        <f t="shared" si="1234"/>
        <v>0</v>
      </c>
      <c r="M960" s="286">
        <f t="shared" si="1235"/>
        <v>0</v>
      </c>
      <c r="N960" s="344" t="str">
        <f t="shared" si="1229"/>
        <v>-</v>
      </c>
      <c r="O960" s="353" t="str">
        <f t="shared" si="1222"/>
        <v>-</v>
      </c>
    </row>
    <row r="961" spans="1:15" ht="24" thickBot="1" x14ac:dyDescent="0.35">
      <c r="A961" s="277" t="s">
        <v>111</v>
      </c>
      <c r="B961" s="906" t="s">
        <v>29</v>
      </c>
      <c r="C961" s="907"/>
      <c r="D961" s="908"/>
      <c r="E961" s="326">
        <f t="shared" ref="E961" si="1236">SUM(E954:E960)</f>
        <v>0</v>
      </c>
      <c r="F961" s="289">
        <v>80000</v>
      </c>
      <c r="G961" s="326">
        <f>SUM(G954:G960)</f>
        <v>0</v>
      </c>
      <c r="H961" s="327">
        <f t="shared" ref="H961:I961" si="1237">SUM(H954:H960)</f>
        <v>0</v>
      </c>
      <c r="I961" s="327">
        <f t="shared" si="1237"/>
        <v>0</v>
      </c>
      <c r="J961" s="351" t="str">
        <f>IFERROR(G961/#REF!,"-")</f>
        <v>-</v>
      </c>
      <c r="K961" s="326">
        <f t="shared" ref="K961:M961" si="1238">SUM(K954:K960)</f>
        <v>0</v>
      </c>
      <c r="L961" s="327">
        <f t="shared" si="1238"/>
        <v>0</v>
      </c>
      <c r="M961" s="328">
        <f t="shared" si="1238"/>
        <v>0</v>
      </c>
      <c r="N961" s="345" t="str">
        <f t="shared" si="1229"/>
        <v>-</v>
      </c>
      <c r="O961" s="351" t="str">
        <f t="shared" si="1222"/>
        <v>-</v>
      </c>
    </row>
    <row r="962" spans="1:15" ht="23.4" x14ac:dyDescent="0.3">
      <c r="A962" s="252" t="s">
        <v>111</v>
      </c>
      <c r="B962" s="918" t="s">
        <v>19</v>
      </c>
      <c r="C962" s="757" t="s">
        <v>260</v>
      </c>
      <c r="D962" s="758" t="s">
        <v>192</v>
      </c>
      <c r="E962" s="540">
        <v>2000000</v>
      </c>
      <c r="F962" s="759">
        <v>110000</v>
      </c>
      <c r="G962" s="468">
        <f t="shared" ref="G962:G964" si="1239">+H962+I962</f>
        <v>8612</v>
      </c>
      <c r="H962" s="469">
        <v>8448</v>
      </c>
      <c r="I962" s="469">
        <v>164</v>
      </c>
      <c r="J962" s="544" t="str">
        <f>IFERROR(G962/#REF!,"-")</f>
        <v>-</v>
      </c>
      <c r="K962" s="468">
        <f>+L962+M962</f>
        <v>314239</v>
      </c>
      <c r="L962" s="469">
        <f>+H962+L859</f>
        <v>312576</v>
      </c>
      <c r="M962" s="469">
        <f>+I962+M859</f>
        <v>1663</v>
      </c>
      <c r="N962" s="346">
        <f t="shared" si="1229"/>
        <v>0.1571195</v>
      </c>
      <c r="O962" s="354">
        <f t="shared" si="1222"/>
        <v>5.2921502423314741E-3</v>
      </c>
    </row>
    <row r="963" spans="1:15" ht="23.4" x14ac:dyDescent="0.3">
      <c r="A963" s="252"/>
      <c r="B963" s="919"/>
      <c r="C963" s="302" t="s">
        <v>457</v>
      </c>
      <c r="D963" s="754"/>
      <c r="E963" s="755"/>
      <c r="F963" s="274"/>
      <c r="G963" s="756">
        <f t="shared" si="1239"/>
        <v>33998</v>
      </c>
      <c r="H963" s="275">
        <v>33792</v>
      </c>
      <c r="I963" s="275">
        <v>206</v>
      </c>
      <c r="J963" s="357" t="str">
        <f>IFERROR(G963/#REF!,"-")</f>
        <v>-</v>
      </c>
      <c r="K963" s="673">
        <f>+L963+M963</f>
        <v>33998</v>
      </c>
      <c r="L963" s="295">
        <f>H963</f>
        <v>33792</v>
      </c>
      <c r="M963" s="295">
        <f>I963</f>
        <v>206</v>
      </c>
      <c r="N963" s="346"/>
      <c r="O963" s="753">
        <f t="shared" si="1222"/>
        <v>6.0591799517618686E-3</v>
      </c>
    </row>
    <row r="964" spans="1:15" ht="24" thickBot="1" x14ac:dyDescent="0.35">
      <c r="A964" s="252"/>
      <c r="B964" s="920"/>
      <c r="C964" s="679" t="s">
        <v>417</v>
      </c>
      <c r="D964" s="677"/>
      <c r="E964" s="285">
        <v>150000</v>
      </c>
      <c r="F964" s="285">
        <v>110000</v>
      </c>
      <c r="G964" s="607">
        <f t="shared" si="1239"/>
        <v>0</v>
      </c>
      <c r="H964" s="285">
        <v>0</v>
      </c>
      <c r="I964" s="285">
        <v>0</v>
      </c>
      <c r="J964" s="359"/>
      <c r="K964" s="607">
        <f>+L964+M964</f>
        <v>0</v>
      </c>
      <c r="L964" s="285">
        <f>+H964+L860</f>
        <v>0</v>
      </c>
      <c r="M964" s="285">
        <f>+I964+M860</f>
        <v>0</v>
      </c>
      <c r="N964" s="680">
        <f t="shared" si="1229"/>
        <v>0</v>
      </c>
      <c r="O964" s="680" t="str">
        <f t="shared" si="1222"/>
        <v>-</v>
      </c>
    </row>
    <row r="965" spans="1:15" ht="24" thickBot="1" x14ac:dyDescent="0.35">
      <c r="A965" s="277" t="s">
        <v>111</v>
      </c>
      <c r="B965" s="921" t="s">
        <v>49</v>
      </c>
      <c r="C965" s="907"/>
      <c r="D965" s="908"/>
      <c r="E965" s="326">
        <f>SUM(E962:E964)</f>
        <v>2150000</v>
      </c>
      <c r="F965" s="329">
        <f t="shared" ref="F965" si="1240">SUM(F962)</f>
        <v>110000</v>
      </c>
      <c r="G965" s="326">
        <f>SUM(G962)</f>
        <v>8612</v>
      </c>
      <c r="H965" s="327">
        <f t="shared" ref="H965:I965" si="1241">SUM(H962)</f>
        <v>8448</v>
      </c>
      <c r="I965" s="327">
        <f t="shared" si="1241"/>
        <v>164</v>
      </c>
      <c r="J965" s="351" t="str">
        <f>IFERROR(G965/#REF!,"-")</f>
        <v>-</v>
      </c>
      <c r="K965" s="681">
        <f t="shared" ref="K965" si="1242">SUM(K962)</f>
        <v>314239</v>
      </c>
      <c r="L965" s="327">
        <f>SUM(L962:L963)</f>
        <v>346368</v>
      </c>
      <c r="M965" s="328">
        <f>SUM(M962:M963)</f>
        <v>1869</v>
      </c>
      <c r="N965" s="345">
        <f t="shared" si="1229"/>
        <v>0.14615767441860464</v>
      </c>
      <c r="O965" s="351">
        <f t="shared" si="1222"/>
        <v>5.9477022266491431E-3</v>
      </c>
    </row>
    <row r="966" spans="1:15" ht="23.4" x14ac:dyDescent="0.3">
      <c r="A966" s="277" t="s">
        <v>111</v>
      </c>
      <c r="B966" s="922" t="s">
        <v>20</v>
      </c>
      <c r="C966" s="297" t="s">
        <v>370</v>
      </c>
      <c r="D966" s="297" t="s">
        <v>324</v>
      </c>
      <c r="E966" s="273">
        <v>0</v>
      </c>
      <c r="F966" s="274"/>
      <c r="G966" s="338">
        <f t="shared" ref="G966:G968" si="1243">+H966+I966</f>
        <v>0</v>
      </c>
      <c r="H966" s="275">
        <v>0</v>
      </c>
      <c r="I966" s="275">
        <v>0</v>
      </c>
      <c r="J966" s="357" t="str">
        <f>IFERROR(G966/#REF!,"-")</f>
        <v>-</v>
      </c>
      <c r="K966" s="338">
        <f t="shared" ref="K966:K968" si="1244">+L966+M966</f>
        <v>0</v>
      </c>
      <c r="L966" s="275">
        <f t="shared" ref="L966:M968" si="1245">+H966+L862</f>
        <v>0</v>
      </c>
      <c r="M966" s="276">
        <f t="shared" si="1245"/>
        <v>0</v>
      </c>
      <c r="N966" s="342" t="str">
        <f t="shared" si="1229"/>
        <v>-</v>
      </c>
      <c r="O966" s="352" t="str">
        <f t="shared" si="1222"/>
        <v>-</v>
      </c>
    </row>
    <row r="967" spans="1:15" ht="23.4" x14ac:dyDescent="0.3">
      <c r="A967" s="277" t="s">
        <v>111</v>
      </c>
      <c r="B967" s="923"/>
      <c r="C967" s="298" t="s">
        <v>122</v>
      </c>
      <c r="D967" s="298"/>
      <c r="E967" s="279">
        <v>0</v>
      </c>
      <c r="F967" s="280"/>
      <c r="G967" s="339">
        <f t="shared" si="1243"/>
        <v>0</v>
      </c>
      <c r="H967" s="281">
        <v>0</v>
      </c>
      <c r="I967" s="281">
        <v>0</v>
      </c>
      <c r="J967" s="358" t="str">
        <f>IFERROR(G967/#REF!,"-")</f>
        <v>-</v>
      </c>
      <c r="K967" s="339">
        <f t="shared" si="1244"/>
        <v>0</v>
      </c>
      <c r="L967" s="281">
        <f t="shared" si="1245"/>
        <v>0</v>
      </c>
      <c r="M967" s="251">
        <f t="shared" si="1245"/>
        <v>0</v>
      </c>
      <c r="N967" s="343" t="str">
        <f t="shared" si="1229"/>
        <v>-</v>
      </c>
      <c r="O967" s="264" t="str">
        <f t="shared" si="1222"/>
        <v>-</v>
      </c>
    </row>
    <row r="968" spans="1:15" ht="24" thickBot="1" x14ac:dyDescent="0.35">
      <c r="A968" s="277" t="s">
        <v>111</v>
      </c>
      <c r="B968" s="924"/>
      <c r="C968" s="299" t="s">
        <v>128</v>
      </c>
      <c r="D968" s="299"/>
      <c r="E968" s="283">
        <v>0</v>
      </c>
      <c r="F968" s="284"/>
      <c r="G968" s="340">
        <f t="shared" si="1243"/>
        <v>0</v>
      </c>
      <c r="H968" s="285">
        <v>0</v>
      </c>
      <c r="I968" s="285">
        <v>0</v>
      </c>
      <c r="J968" s="359" t="str">
        <f>IFERROR(G968/#REF!,"-")</f>
        <v>-</v>
      </c>
      <c r="K968" s="340">
        <f t="shared" si="1244"/>
        <v>0</v>
      </c>
      <c r="L968" s="285">
        <f t="shared" si="1245"/>
        <v>0</v>
      </c>
      <c r="M968" s="286">
        <f t="shared" si="1245"/>
        <v>0</v>
      </c>
      <c r="N968" s="344" t="str">
        <f t="shared" si="1229"/>
        <v>-</v>
      </c>
      <c r="O968" s="353" t="str">
        <f t="shared" si="1222"/>
        <v>-</v>
      </c>
    </row>
    <row r="969" spans="1:15" ht="24" thickBot="1" x14ac:dyDescent="0.35">
      <c r="A969" s="277" t="s">
        <v>111</v>
      </c>
      <c r="B969" s="907" t="s">
        <v>50</v>
      </c>
      <c r="C969" s="907"/>
      <c r="D969" s="925"/>
      <c r="E969" s="326">
        <f t="shared" ref="E969" si="1246">SUM(E966:E968)</f>
        <v>0</v>
      </c>
      <c r="F969" s="289">
        <v>50000</v>
      </c>
      <c r="G969" s="326">
        <f>SUM(G966:G968)</f>
        <v>0</v>
      </c>
      <c r="H969" s="327">
        <f t="shared" ref="H969:I969" si="1247">SUM(H966:H968)</f>
        <v>0</v>
      </c>
      <c r="I969" s="327">
        <f t="shared" si="1247"/>
        <v>0</v>
      </c>
      <c r="J969" s="351" t="str">
        <f>IFERROR(G969/#REF!,"-")</f>
        <v>-</v>
      </c>
      <c r="K969" s="326">
        <f t="shared" ref="K969:M969" si="1248">SUM(K966:K968)</f>
        <v>0</v>
      </c>
      <c r="L969" s="327">
        <f t="shared" si="1248"/>
        <v>0</v>
      </c>
      <c r="M969" s="328">
        <f t="shared" si="1248"/>
        <v>0</v>
      </c>
      <c r="N969" s="345" t="str">
        <f t="shared" si="1229"/>
        <v>-</v>
      </c>
      <c r="O969" s="351" t="str">
        <f t="shared" si="1222"/>
        <v>-</v>
      </c>
    </row>
    <row r="970" spans="1:15" ht="24" thickBot="1" x14ac:dyDescent="0.35">
      <c r="A970" s="277" t="s">
        <v>111</v>
      </c>
      <c r="B970" s="926" t="s">
        <v>21</v>
      </c>
      <c r="C970" s="927"/>
      <c r="D970" s="928"/>
      <c r="E970" s="332">
        <f>+E945+E953+E961+E965+E969</f>
        <v>5774600</v>
      </c>
      <c r="F970" s="333">
        <f>+F945+F953+F961+F965+F969</f>
        <v>355000</v>
      </c>
      <c r="G970" s="332">
        <f>+G945+G953+G961+G965+G969</f>
        <v>155810</v>
      </c>
      <c r="H970" s="330">
        <f>+H945+H953+H961+H965+H969</f>
        <v>155328</v>
      </c>
      <c r="I970" s="330">
        <f>+I945+I953+I961+I965+I969</f>
        <v>482</v>
      </c>
      <c r="J970" s="355" t="str">
        <f>IFERROR(G970/#REF!,"-")</f>
        <v>-</v>
      </c>
      <c r="K970" s="332">
        <f>+K945+K953+K961+K965+K969</f>
        <v>1113660</v>
      </c>
      <c r="L970" s="330">
        <f>+L945+L953+L961+L965+L969</f>
        <v>1141563</v>
      </c>
      <c r="M970" s="331">
        <f>+M945+M953+M961+M965+M969</f>
        <v>6095</v>
      </c>
      <c r="N970" s="347">
        <f t="shared" si="1229"/>
        <v>0.19285491635784296</v>
      </c>
      <c r="O970" s="355">
        <f t="shared" si="1222"/>
        <v>5.4729450640231313E-3</v>
      </c>
    </row>
    <row r="971" spans="1:15" ht="23.4" x14ac:dyDescent="0.3">
      <c r="A971" s="277" t="s">
        <v>111</v>
      </c>
      <c r="B971" s="922" t="s">
        <v>22</v>
      </c>
      <c r="C971" s="272" t="s">
        <v>133</v>
      </c>
      <c r="D971" s="272"/>
      <c r="E971" s="273">
        <v>0</v>
      </c>
      <c r="F971" s="274"/>
      <c r="G971" s="338">
        <f t="shared" ref="G971:G974" si="1249">+H971+I971</f>
        <v>0</v>
      </c>
      <c r="H971" s="275">
        <v>0</v>
      </c>
      <c r="I971" s="275">
        <v>0</v>
      </c>
      <c r="J971" s="357" t="str">
        <f>IFERROR(G971/#REF!,"-")</f>
        <v>-</v>
      </c>
      <c r="K971" s="338">
        <f t="shared" ref="K971:K974" si="1250">+L971+M971</f>
        <v>0</v>
      </c>
      <c r="L971" s="275">
        <f t="shared" ref="L971:M974" si="1251">+H971+L867</f>
        <v>0</v>
      </c>
      <c r="M971" s="276">
        <f t="shared" si="1251"/>
        <v>0</v>
      </c>
      <c r="N971" s="342" t="str">
        <f t="shared" si="1229"/>
        <v>-</v>
      </c>
      <c r="O971" s="352" t="str">
        <f t="shared" si="1222"/>
        <v>-</v>
      </c>
    </row>
    <row r="972" spans="1:15" ht="23.4" x14ac:dyDescent="0.3">
      <c r="A972" s="277" t="s">
        <v>111</v>
      </c>
      <c r="B972" s="923"/>
      <c r="C972" s="301" t="s">
        <v>291</v>
      </c>
      <c r="D972" s="301" t="s">
        <v>196</v>
      </c>
      <c r="E972" s="279">
        <v>0</v>
      </c>
      <c r="F972" s="280"/>
      <c r="G972" s="339">
        <f t="shared" si="1249"/>
        <v>0</v>
      </c>
      <c r="H972" s="281">
        <v>0</v>
      </c>
      <c r="I972" s="281">
        <v>0</v>
      </c>
      <c r="J972" s="358" t="str">
        <f>IFERROR(G972/#REF!,"-")</f>
        <v>-</v>
      </c>
      <c r="K972" s="339">
        <f t="shared" si="1250"/>
        <v>0</v>
      </c>
      <c r="L972" s="281">
        <f t="shared" si="1251"/>
        <v>0</v>
      </c>
      <c r="M972" s="251">
        <f t="shared" si="1251"/>
        <v>0</v>
      </c>
      <c r="N972" s="343" t="str">
        <f t="shared" si="1229"/>
        <v>-</v>
      </c>
      <c r="O972" s="264" t="str">
        <f t="shared" si="1222"/>
        <v>-</v>
      </c>
    </row>
    <row r="973" spans="1:15" ht="23.4" x14ac:dyDescent="0.3">
      <c r="A973" s="277" t="s">
        <v>111</v>
      </c>
      <c r="B973" s="923"/>
      <c r="C973" s="301" t="s">
        <v>198</v>
      </c>
      <c r="D973" s="301" t="s">
        <v>100</v>
      </c>
      <c r="E973" s="279">
        <v>0</v>
      </c>
      <c r="F973" s="280"/>
      <c r="G973" s="339">
        <f t="shared" si="1249"/>
        <v>0</v>
      </c>
      <c r="H973" s="281">
        <v>0</v>
      </c>
      <c r="I973" s="281">
        <v>0</v>
      </c>
      <c r="J973" s="358" t="str">
        <f>IFERROR(G973/#REF!,"-")</f>
        <v>-</v>
      </c>
      <c r="K973" s="339">
        <f t="shared" si="1250"/>
        <v>0</v>
      </c>
      <c r="L973" s="281">
        <f t="shared" si="1251"/>
        <v>0</v>
      </c>
      <c r="M973" s="251">
        <f t="shared" si="1251"/>
        <v>0</v>
      </c>
      <c r="N973" s="343" t="str">
        <f t="shared" si="1229"/>
        <v>-</v>
      </c>
      <c r="O973" s="264" t="str">
        <f t="shared" si="1222"/>
        <v>-</v>
      </c>
    </row>
    <row r="974" spans="1:15" ht="24" thickBot="1" x14ac:dyDescent="0.35">
      <c r="A974" s="277" t="s">
        <v>111</v>
      </c>
      <c r="B974" s="924"/>
      <c r="C974" s="282" t="s">
        <v>197</v>
      </c>
      <c r="D974" s="282" t="s">
        <v>100</v>
      </c>
      <c r="E974" s="283">
        <v>0</v>
      </c>
      <c r="F974" s="284"/>
      <c r="G974" s="340">
        <f t="shared" si="1249"/>
        <v>0</v>
      </c>
      <c r="H974" s="285">
        <v>0</v>
      </c>
      <c r="I974" s="285">
        <v>0</v>
      </c>
      <c r="J974" s="359" t="str">
        <f>IFERROR(G974/#REF!,"-")</f>
        <v>-</v>
      </c>
      <c r="K974" s="340">
        <f t="shared" si="1250"/>
        <v>0</v>
      </c>
      <c r="L974" s="285">
        <f t="shared" si="1251"/>
        <v>0</v>
      </c>
      <c r="M974" s="286">
        <f t="shared" si="1251"/>
        <v>0</v>
      </c>
      <c r="N974" s="344" t="str">
        <f t="shared" si="1229"/>
        <v>-</v>
      </c>
      <c r="O974" s="353" t="str">
        <f t="shared" si="1222"/>
        <v>-</v>
      </c>
    </row>
    <row r="975" spans="1:15" ht="24" thickBot="1" x14ac:dyDescent="0.35">
      <c r="A975" s="277" t="s">
        <v>111</v>
      </c>
      <c r="B975" s="906" t="s">
        <v>51</v>
      </c>
      <c r="C975" s="907"/>
      <c r="D975" s="908"/>
      <c r="E975" s="288">
        <v>0</v>
      </c>
      <c r="F975" s="289">
        <v>80000</v>
      </c>
      <c r="G975" s="326">
        <f>SUM(G971:G974)</f>
        <v>0</v>
      </c>
      <c r="H975" s="327">
        <f t="shared" ref="H975:I975" si="1252">SUM(H971:H974)</f>
        <v>0</v>
      </c>
      <c r="I975" s="327">
        <f t="shared" si="1252"/>
        <v>0</v>
      </c>
      <c r="J975" s="351" t="str">
        <f>IFERROR(G975/#REF!,"-")</f>
        <v>-</v>
      </c>
      <c r="K975" s="326">
        <f t="shared" ref="K975:M975" si="1253">SUM(K971:K974)</f>
        <v>0</v>
      </c>
      <c r="L975" s="327">
        <f t="shared" si="1253"/>
        <v>0</v>
      </c>
      <c r="M975" s="328">
        <f t="shared" si="1253"/>
        <v>0</v>
      </c>
      <c r="N975" s="345" t="str">
        <f t="shared" si="1229"/>
        <v>-</v>
      </c>
      <c r="O975" s="351" t="str">
        <f t="shared" si="1222"/>
        <v>-</v>
      </c>
    </row>
    <row r="976" spans="1:15" ht="23.4" x14ac:dyDescent="0.3">
      <c r="A976" s="277" t="s">
        <v>111</v>
      </c>
      <c r="B976" s="922" t="s">
        <v>23</v>
      </c>
      <c r="C976" s="302" t="s">
        <v>348</v>
      </c>
      <c r="D976" s="302" t="s">
        <v>263</v>
      </c>
      <c r="E976" s="273">
        <v>0</v>
      </c>
      <c r="F976" s="274"/>
      <c r="G976" s="338">
        <f t="shared" ref="G976:G983" si="1254">+H976+I976</f>
        <v>0</v>
      </c>
      <c r="H976" s="275">
        <v>0</v>
      </c>
      <c r="I976" s="275">
        <v>0</v>
      </c>
      <c r="J976" s="357" t="str">
        <f>IFERROR(G976/#REF!,"-")</f>
        <v>-</v>
      </c>
      <c r="K976" s="338">
        <f t="shared" ref="K976:K983" si="1255">+L976+M976</f>
        <v>0</v>
      </c>
      <c r="L976" s="275">
        <f t="shared" ref="L976:M983" si="1256">+H976+L872</f>
        <v>0</v>
      </c>
      <c r="M976" s="276">
        <f t="shared" si="1256"/>
        <v>0</v>
      </c>
      <c r="N976" s="342" t="str">
        <f t="shared" si="1229"/>
        <v>-</v>
      </c>
      <c r="O976" s="352" t="str">
        <f t="shared" si="1222"/>
        <v>-</v>
      </c>
    </row>
    <row r="977" spans="1:15" ht="23.4" x14ac:dyDescent="0.3">
      <c r="A977" s="277" t="s">
        <v>111</v>
      </c>
      <c r="B977" s="923"/>
      <c r="C977" s="278" t="s">
        <v>24</v>
      </c>
      <c r="D977" s="278" t="s">
        <v>263</v>
      </c>
      <c r="E977" s="279">
        <v>0</v>
      </c>
      <c r="F977" s="280"/>
      <c r="G977" s="339">
        <f t="shared" si="1254"/>
        <v>4405</v>
      </c>
      <c r="H977" s="281">
        <v>4375</v>
      </c>
      <c r="I977" s="281">
        <v>30</v>
      </c>
      <c r="J977" s="358" t="str">
        <f>IFERROR(G977/#REF!,"-")</f>
        <v>-</v>
      </c>
      <c r="K977" s="339">
        <f t="shared" si="1255"/>
        <v>36215</v>
      </c>
      <c r="L977" s="281">
        <f t="shared" si="1256"/>
        <v>35875</v>
      </c>
      <c r="M977" s="251">
        <f t="shared" si="1256"/>
        <v>340</v>
      </c>
      <c r="N977" s="343" t="str">
        <f t="shared" si="1229"/>
        <v>-</v>
      </c>
      <c r="O977" s="264">
        <f t="shared" si="1222"/>
        <v>9.3883749827419569E-3</v>
      </c>
    </row>
    <row r="978" spans="1:15" ht="23.4" x14ac:dyDescent="0.3">
      <c r="A978" s="277" t="s">
        <v>111</v>
      </c>
      <c r="B978" s="923"/>
      <c r="C978" s="278" t="s">
        <v>261</v>
      </c>
      <c r="D978" s="278" t="s">
        <v>263</v>
      </c>
      <c r="E978" s="279">
        <v>0</v>
      </c>
      <c r="F978" s="280"/>
      <c r="G978" s="339">
        <f t="shared" si="1254"/>
        <v>7526</v>
      </c>
      <c r="H978" s="281">
        <v>7401</v>
      </c>
      <c r="I978" s="281">
        <v>125</v>
      </c>
      <c r="J978" s="358" t="str">
        <f>IFERROR(G978/#REF!,"-")</f>
        <v>-</v>
      </c>
      <c r="K978" s="339">
        <f t="shared" si="1255"/>
        <v>11048</v>
      </c>
      <c r="L978" s="281">
        <f t="shared" si="1256"/>
        <v>10901</v>
      </c>
      <c r="M978" s="251">
        <f t="shared" si="1256"/>
        <v>147</v>
      </c>
      <c r="N978" s="343" t="str">
        <f t="shared" si="1229"/>
        <v>-</v>
      </c>
      <c r="O978" s="264">
        <f t="shared" si="1222"/>
        <v>1.330557566980449E-2</v>
      </c>
    </row>
    <row r="979" spans="1:15" ht="23.4" x14ac:dyDescent="0.3">
      <c r="A979" s="277" t="s">
        <v>111</v>
      </c>
      <c r="B979" s="923"/>
      <c r="C979" s="278" t="s">
        <v>262</v>
      </c>
      <c r="D979" s="278" t="s">
        <v>263</v>
      </c>
      <c r="E979" s="279">
        <v>0</v>
      </c>
      <c r="F979" s="280"/>
      <c r="G979" s="339">
        <f t="shared" si="1254"/>
        <v>0</v>
      </c>
      <c r="H979" s="281">
        <v>0</v>
      </c>
      <c r="I979" s="281">
        <v>0</v>
      </c>
      <c r="J979" s="358" t="str">
        <f>IFERROR(G979/#REF!,"-")</f>
        <v>-</v>
      </c>
      <c r="K979" s="339">
        <f t="shared" si="1255"/>
        <v>7672</v>
      </c>
      <c r="L979" s="281">
        <f t="shared" si="1256"/>
        <v>7612</v>
      </c>
      <c r="M979" s="251">
        <f t="shared" si="1256"/>
        <v>60</v>
      </c>
      <c r="N979" s="343" t="str">
        <f t="shared" si="1229"/>
        <v>-</v>
      </c>
      <c r="O979" s="264">
        <f t="shared" si="1222"/>
        <v>7.8206465067778945E-3</v>
      </c>
    </row>
    <row r="980" spans="1:15" ht="23.4" x14ac:dyDescent="0.3">
      <c r="A980" s="277" t="s">
        <v>111</v>
      </c>
      <c r="B980" s="923"/>
      <c r="C980" s="301" t="s">
        <v>264</v>
      </c>
      <c r="D980" s="278" t="s">
        <v>263</v>
      </c>
      <c r="E980" s="279">
        <v>0</v>
      </c>
      <c r="F980" s="280"/>
      <c r="G980" s="339">
        <f t="shared" si="1254"/>
        <v>0</v>
      </c>
      <c r="H980" s="281">
        <v>0</v>
      </c>
      <c r="I980" s="281">
        <v>0</v>
      </c>
      <c r="J980" s="358" t="str">
        <f>IFERROR(G980/#REF!,"-")</f>
        <v>-</v>
      </c>
      <c r="K980" s="339">
        <f t="shared" si="1255"/>
        <v>0</v>
      </c>
      <c r="L980" s="281">
        <f t="shared" si="1256"/>
        <v>0</v>
      </c>
      <c r="M980" s="251">
        <f t="shared" si="1256"/>
        <v>0</v>
      </c>
      <c r="N980" s="343" t="str">
        <f t="shared" si="1229"/>
        <v>-</v>
      </c>
      <c r="O980" s="264" t="str">
        <f t="shared" si="1222"/>
        <v>-</v>
      </c>
    </row>
    <row r="981" spans="1:15" ht="23.4" x14ac:dyDescent="0.3">
      <c r="A981" s="277" t="s">
        <v>111</v>
      </c>
      <c r="B981" s="923"/>
      <c r="C981" s="301" t="s">
        <v>265</v>
      </c>
      <c r="D981" s="278" t="s">
        <v>263</v>
      </c>
      <c r="E981" s="279">
        <v>0</v>
      </c>
      <c r="F981" s="280"/>
      <c r="G981" s="339">
        <f t="shared" si="1254"/>
        <v>0</v>
      </c>
      <c r="H981" s="281">
        <v>0</v>
      </c>
      <c r="I981" s="281">
        <v>0</v>
      </c>
      <c r="J981" s="358" t="str">
        <f>IFERROR(G981/#REF!,"-")</f>
        <v>-</v>
      </c>
      <c r="K981" s="339">
        <f t="shared" si="1255"/>
        <v>0</v>
      </c>
      <c r="L981" s="281">
        <f t="shared" si="1256"/>
        <v>0</v>
      </c>
      <c r="M981" s="251">
        <f t="shared" si="1256"/>
        <v>0</v>
      </c>
      <c r="N981" s="343" t="str">
        <f t="shared" si="1229"/>
        <v>-</v>
      </c>
      <c r="O981" s="264" t="str">
        <f t="shared" si="1222"/>
        <v>-</v>
      </c>
    </row>
    <row r="982" spans="1:15" ht="23.4" x14ac:dyDescent="0.3">
      <c r="A982" s="277" t="s">
        <v>111</v>
      </c>
      <c r="B982" s="923"/>
      <c r="C982" s="301" t="s">
        <v>266</v>
      </c>
      <c r="D982" s="278" t="s">
        <v>268</v>
      </c>
      <c r="E982" s="279">
        <v>0</v>
      </c>
      <c r="F982" s="280"/>
      <c r="G982" s="339">
        <f t="shared" si="1254"/>
        <v>0</v>
      </c>
      <c r="H982" s="281">
        <v>0</v>
      </c>
      <c r="I982" s="281">
        <v>0</v>
      </c>
      <c r="J982" s="358" t="str">
        <f>IFERROR(G982/#REF!,"-")</f>
        <v>-</v>
      </c>
      <c r="K982" s="339">
        <f t="shared" si="1255"/>
        <v>10464</v>
      </c>
      <c r="L982" s="281">
        <f t="shared" si="1256"/>
        <v>10417</v>
      </c>
      <c r="M982" s="251">
        <f t="shared" si="1256"/>
        <v>47</v>
      </c>
      <c r="N982" s="343" t="str">
        <f t="shared" si="1229"/>
        <v>-</v>
      </c>
      <c r="O982" s="264">
        <f t="shared" si="1222"/>
        <v>4.491590214067278E-3</v>
      </c>
    </row>
    <row r="983" spans="1:15" ht="24" thickBot="1" x14ac:dyDescent="0.35">
      <c r="A983" s="277" t="s">
        <v>111</v>
      </c>
      <c r="B983" s="924"/>
      <c r="C983" s="301" t="s">
        <v>267</v>
      </c>
      <c r="D983" s="278" t="s">
        <v>263</v>
      </c>
      <c r="E983" s="283">
        <v>0</v>
      </c>
      <c r="F983" s="284"/>
      <c r="G983" s="340">
        <f t="shared" si="1254"/>
        <v>0</v>
      </c>
      <c r="H983" s="285">
        <v>0</v>
      </c>
      <c r="I983" s="285">
        <v>0</v>
      </c>
      <c r="J983" s="359" t="str">
        <f>IFERROR(G983/#REF!,"-")</f>
        <v>-</v>
      </c>
      <c r="K983" s="340">
        <f t="shared" si="1255"/>
        <v>14088</v>
      </c>
      <c r="L983" s="285">
        <f t="shared" si="1256"/>
        <v>14000</v>
      </c>
      <c r="M983" s="286">
        <f t="shared" si="1256"/>
        <v>88</v>
      </c>
      <c r="N983" s="344" t="str">
        <f t="shared" si="1229"/>
        <v>-</v>
      </c>
      <c r="O983" s="353">
        <f t="shared" si="1222"/>
        <v>6.2464508801817146E-3</v>
      </c>
    </row>
    <row r="984" spans="1:15" ht="24" thickBot="1" x14ac:dyDescent="0.35">
      <c r="A984" s="277" t="s">
        <v>111</v>
      </c>
      <c r="B984" s="906" t="s">
        <v>52</v>
      </c>
      <c r="C984" s="907"/>
      <c r="D984" s="908"/>
      <c r="E984" s="288">
        <v>157500</v>
      </c>
      <c r="F984" s="289">
        <v>14000</v>
      </c>
      <c r="G984" s="326">
        <f>SUM(G976:G983)</f>
        <v>11931</v>
      </c>
      <c r="H984" s="327">
        <f t="shared" ref="H984:I984" si="1257">SUM(H976:H983)</f>
        <v>11776</v>
      </c>
      <c r="I984" s="327">
        <f t="shared" si="1257"/>
        <v>155</v>
      </c>
      <c r="J984" s="351" t="str">
        <f>IFERROR(G984/#REF!,"-")</f>
        <v>-</v>
      </c>
      <c r="K984" s="326">
        <f t="shared" ref="K984:M984" si="1258">SUM(K976:K983)</f>
        <v>79487</v>
      </c>
      <c r="L984" s="327">
        <f t="shared" si="1258"/>
        <v>78805</v>
      </c>
      <c r="M984" s="328">
        <f t="shared" si="1258"/>
        <v>682</v>
      </c>
      <c r="N984" s="345">
        <f t="shared" si="1229"/>
        <v>0.50467936507936506</v>
      </c>
      <c r="O984" s="351">
        <f t="shared" si="1222"/>
        <v>8.5800193742372969E-3</v>
      </c>
    </row>
    <row r="985" spans="1:15" ht="24" thickBot="1" x14ac:dyDescent="0.35">
      <c r="A985" s="277" t="s">
        <v>111</v>
      </c>
      <c r="B985" s="926" t="s">
        <v>25</v>
      </c>
      <c r="C985" s="927"/>
      <c r="D985" s="928"/>
      <c r="E985" s="332">
        <f t="shared" ref="E985:F985" si="1259">+E975+E984</f>
        <v>157500</v>
      </c>
      <c r="F985" s="333">
        <f t="shared" si="1259"/>
        <v>94000</v>
      </c>
      <c r="G985" s="332">
        <f>+G975+G984</f>
        <v>11931</v>
      </c>
      <c r="H985" s="330">
        <f t="shared" ref="H985:I985" si="1260">+H975+H984</f>
        <v>11776</v>
      </c>
      <c r="I985" s="330">
        <f t="shared" si="1260"/>
        <v>155</v>
      </c>
      <c r="J985" s="355" t="str">
        <f>IFERROR(G985/#REF!,"-")</f>
        <v>-</v>
      </c>
      <c r="K985" s="332">
        <f t="shared" ref="K985" si="1261">+K975+K984</f>
        <v>79487</v>
      </c>
      <c r="L985" s="330">
        <f>+L975+L984</f>
        <v>78805</v>
      </c>
      <c r="M985" s="331">
        <f t="shared" ref="M985" si="1262">+M975+M984</f>
        <v>682</v>
      </c>
      <c r="N985" s="347">
        <f t="shared" si="1229"/>
        <v>0.50467936507936506</v>
      </c>
      <c r="O985" s="355">
        <f t="shared" si="1222"/>
        <v>8.5800193742372969E-3</v>
      </c>
    </row>
    <row r="986" spans="1:15" ht="24" thickBot="1" x14ac:dyDescent="0.35">
      <c r="A986" s="277" t="s">
        <v>111</v>
      </c>
      <c r="B986" s="900" t="s">
        <v>181</v>
      </c>
      <c r="C986" s="901"/>
      <c r="D986" s="902"/>
      <c r="E986" s="336">
        <f>+E970+E985</f>
        <v>5932100</v>
      </c>
      <c r="F986" s="337">
        <f t="shared" ref="F986:I986" si="1263">+F970+F985</f>
        <v>449000</v>
      </c>
      <c r="G986" s="336">
        <f t="shared" si="1263"/>
        <v>167741</v>
      </c>
      <c r="H986" s="334">
        <f t="shared" si="1263"/>
        <v>167104</v>
      </c>
      <c r="I986" s="334">
        <f t="shared" si="1263"/>
        <v>637</v>
      </c>
      <c r="J986" s="356" t="str">
        <f>IFERROR(G986/#REF!,"-")</f>
        <v>-</v>
      </c>
      <c r="K986" s="336">
        <f t="shared" ref="K986:M986" si="1264">+K970+K985</f>
        <v>1193147</v>
      </c>
      <c r="L986" s="334">
        <f t="shared" si="1264"/>
        <v>1220368</v>
      </c>
      <c r="M986" s="335">
        <f t="shared" si="1264"/>
        <v>6777</v>
      </c>
      <c r="N986" s="348">
        <f t="shared" si="1229"/>
        <v>0.20113399976399587</v>
      </c>
      <c r="O986" s="356">
        <f t="shared" si="1222"/>
        <v>5.6799371745476458E-3</v>
      </c>
    </row>
    <row r="987" spans="1:15" ht="23.4" x14ac:dyDescent="0.3">
      <c r="A987" s="271" t="s">
        <v>109</v>
      </c>
      <c r="B987" s="929" t="s">
        <v>26</v>
      </c>
      <c r="C987" s="303" t="s">
        <v>334</v>
      </c>
      <c r="D987" s="303" t="s">
        <v>192</v>
      </c>
      <c r="E987" s="273">
        <v>0</v>
      </c>
      <c r="F987" s="274"/>
      <c r="G987" s="338">
        <f t="shared" ref="G987:G995" si="1265">+H987+I987</f>
        <v>0</v>
      </c>
      <c r="H987" s="275">
        <v>0</v>
      </c>
      <c r="I987" s="275">
        <v>0</v>
      </c>
      <c r="J987" s="357" t="str">
        <f>IFERROR(G987/#REF!,"-")</f>
        <v>-</v>
      </c>
      <c r="K987" s="338">
        <f t="shared" ref="K987:K995" si="1266">+L987+M987</f>
        <v>326708</v>
      </c>
      <c r="L987" s="275">
        <f t="shared" ref="L987:L995" si="1267">+H987+L883</f>
        <v>322218</v>
      </c>
      <c r="M987" s="276">
        <f t="shared" ref="M987:M995" si="1268">+I987+M883</f>
        <v>4490</v>
      </c>
      <c r="N987" s="342" t="str">
        <f t="shared" si="1229"/>
        <v>-</v>
      </c>
      <c r="O987" s="352">
        <f t="shared" si="1222"/>
        <v>1.3743159028857574E-2</v>
      </c>
    </row>
    <row r="988" spans="1:15" ht="23.4" x14ac:dyDescent="0.3">
      <c r="A988" s="277" t="s">
        <v>109</v>
      </c>
      <c r="B988" s="929"/>
      <c r="C988" s="304" t="s">
        <v>199</v>
      </c>
      <c r="D988" s="304" t="s">
        <v>115</v>
      </c>
      <c r="E988" s="279">
        <v>0</v>
      </c>
      <c r="F988" s="280"/>
      <c r="G988" s="339">
        <f t="shared" si="1265"/>
        <v>0</v>
      </c>
      <c r="H988" s="281">
        <v>0</v>
      </c>
      <c r="I988" s="281">
        <v>0</v>
      </c>
      <c r="J988" s="358" t="str">
        <f>IFERROR(G988/#REF!,"-")</f>
        <v>-</v>
      </c>
      <c r="K988" s="339">
        <f t="shared" si="1266"/>
        <v>0</v>
      </c>
      <c r="L988" s="281">
        <f t="shared" si="1267"/>
        <v>0</v>
      </c>
      <c r="M988" s="251">
        <f t="shared" si="1268"/>
        <v>0</v>
      </c>
      <c r="N988" s="343" t="str">
        <f t="shared" si="1229"/>
        <v>-</v>
      </c>
      <c r="O988" s="264" t="str">
        <f t="shared" si="1222"/>
        <v>-</v>
      </c>
    </row>
    <row r="989" spans="1:15" ht="23.4" x14ac:dyDescent="0.3">
      <c r="A989" s="277" t="s">
        <v>109</v>
      </c>
      <c r="B989" s="929"/>
      <c r="C989" s="305" t="s">
        <v>27</v>
      </c>
      <c r="D989" s="305" t="s">
        <v>310</v>
      </c>
      <c r="E989" s="283">
        <v>0</v>
      </c>
      <c r="F989" s="284"/>
      <c r="G989" s="339">
        <f t="shared" si="1265"/>
        <v>0</v>
      </c>
      <c r="H989" s="285">
        <v>0</v>
      </c>
      <c r="I989" s="285">
        <v>0</v>
      </c>
      <c r="J989" s="359" t="str">
        <f>IFERROR(G989/#REF!,"-")</f>
        <v>-</v>
      </c>
      <c r="K989" s="339">
        <f t="shared" si="1266"/>
        <v>0</v>
      </c>
      <c r="L989" s="285">
        <f t="shared" si="1267"/>
        <v>0</v>
      </c>
      <c r="M989" s="286">
        <f t="shared" si="1268"/>
        <v>0</v>
      </c>
      <c r="N989" s="287"/>
      <c r="O989" s="264" t="str">
        <f t="shared" si="1222"/>
        <v>-</v>
      </c>
    </row>
    <row r="990" spans="1:15" ht="23.4" x14ac:dyDescent="0.3">
      <c r="A990" s="277" t="s">
        <v>109</v>
      </c>
      <c r="B990" s="929"/>
      <c r="C990" s="305" t="s">
        <v>27</v>
      </c>
      <c r="D990" s="305" t="s">
        <v>311</v>
      </c>
      <c r="E990" s="283">
        <v>0</v>
      </c>
      <c r="F990" s="284"/>
      <c r="G990" s="339">
        <f t="shared" si="1265"/>
        <v>0</v>
      </c>
      <c r="H990" s="285">
        <v>0</v>
      </c>
      <c r="I990" s="285">
        <v>0</v>
      </c>
      <c r="J990" s="359" t="str">
        <f>IFERROR(G990/#REF!,"-")</f>
        <v>-</v>
      </c>
      <c r="K990" s="339">
        <f t="shared" si="1266"/>
        <v>0</v>
      </c>
      <c r="L990" s="285">
        <f t="shared" si="1267"/>
        <v>0</v>
      </c>
      <c r="M990" s="286">
        <f t="shared" si="1268"/>
        <v>0</v>
      </c>
      <c r="N990" s="287"/>
      <c r="O990" s="264" t="str">
        <f t="shared" si="1222"/>
        <v>-</v>
      </c>
    </row>
    <row r="991" spans="1:15" ht="23.4" x14ac:dyDescent="0.3">
      <c r="A991" s="277" t="s">
        <v>109</v>
      </c>
      <c r="B991" s="929"/>
      <c r="C991" s="305" t="s">
        <v>325</v>
      </c>
      <c r="D991" s="305" t="s">
        <v>324</v>
      </c>
      <c r="E991" s="283">
        <v>0</v>
      </c>
      <c r="F991" s="284"/>
      <c r="G991" s="339">
        <f t="shared" si="1265"/>
        <v>0</v>
      </c>
      <c r="H991" s="285">
        <v>0</v>
      </c>
      <c r="I991" s="285">
        <v>0</v>
      </c>
      <c r="J991" s="359" t="str">
        <f>IFERROR(G991/#REF!,"-")</f>
        <v>-</v>
      </c>
      <c r="K991" s="339">
        <f t="shared" si="1266"/>
        <v>0</v>
      </c>
      <c r="L991" s="285">
        <f t="shared" si="1267"/>
        <v>0</v>
      </c>
      <c r="M991" s="286">
        <f t="shared" si="1268"/>
        <v>0</v>
      </c>
      <c r="N991" s="287"/>
      <c r="O991" s="264" t="str">
        <f t="shared" si="1222"/>
        <v>-</v>
      </c>
    </row>
    <row r="992" spans="1:15" ht="23.4" x14ac:dyDescent="0.3">
      <c r="A992" s="277"/>
      <c r="B992" s="929"/>
      <c r="C992" s="305" t="s">
        <v>393</v>
      </c>
      <c r="D992" s="305" t="s">
        <v>192</v>
      </c>
      <c r="E992" s="283">
        <v>0</v>
      </c>
      <c r="F992" s="284"/>
      <c r="G992" s="340">
        <f t="shared" si="1265"/>
        <v>0</v>
      </c>
      <c r="H992" s="285">
        <v>0</v>
      </c>
      <c r="I992" s="285">
        <v>0</v>
      </c>
      <c r="J992" s="359" t="str">
        <f>IFERROR(G992/#REF!,"-")</f>
        <v>-</v>
      </c>
      <c r="K992" s="340">
        <f t="shared" si="1266"/>
        <v>0</v>
      </c>
      <c r="L992" s="285">
        <f t="shared" si="1267"/>
        <v>0</v>
      </c>
      <c r="M992" s="286">
        <f t="shared" si="1268"/>
        <v>0</v>
      </c>
      <c r="N992" s="287"/>
      <c r="O992" s="264" t="str">
        <f t="shared" si="1222"/>
        <v>-</v>
      </c>
    </row>
    <row r="993" spans="1:15" ht="23.4" x14ac:dyDescent="0.3">
      <c r="A993" s="277"/>
      <c r="B993" s="929"/>
      <c r="C993" s="305" t="s">
        <v>325</v>
      </c>
      <c r="D993" s="305" t="s">
        <v>101</v>
      </c>
      <c r="E993" s="283">
        <v>0</v>
      </c>
      <c r="F993" s="284"/>
      <c r="G993" s="340">
        <f t="shared" si="1265"/>
        <v>3978</v>
      </c>
      <c r="H993" s="285">
        <v>3978</v>
      </c>
      <c r="I993" s="285">
        <v>0</v>
      </c>
      <c r="J993" s="359" t="str">
        <f>IFERROR(G993/#REF!,"-")</f>
        <v>-</v>
      </c>
      <c r="K993" s="340">
        <f t="shared" si="1266"/>
        <v>3978</v>
      </c>
      <c r="L993" s="285">
        <f t="shared" si="1267"/>
        <v>3978</v>
      </c>
      <c r="M993" s="286">
        <f t="shared" si="1268"/>
        <v>0</v>
      </c>
      <c r="N993" s="287"/>
      <c r="O993" s="264">
        <f t="shared" si="1222"/>
        <v>0</v>
      </c>
    </row>
    <row r="994" spans="1:15" ht="23.4" x14ac:dyDescent="0.3">
      <c r="A994" s="277"/>
      <c r="B994" s="929"/>
      <c r="C994" s="305" t="s">
        <v>325</v>
      </c>
      <c r="D994" s="305" t="s">
        <v>394</v>
      </c>
      <c r="E994" s="283">
        <v>0</v>
      </c>
      <c r="F994" s="284"/>
      <c r="G994" s="340">
        <f t="shared" si="1265"/>
        <v>28739</v>
      </c>
      <c r="H994" s="285">
        <v>27846</v>
      </c>
      <c r="I994" s="285">
        <v>893</v>
      </c>
      <c r="J994" s="359" t="str">
        <f>IFERROR(G994/#REF!,"-")</f>
        <v>-</v>
      </c>
      <c r="K994" s="340">
        <f t="shared" si="1266"/>
        <v>567236</v>
      </c>
      <c r="L994" s="285">
        <f t="shared" si="1267"/>
        <v>560898</v>
      </c>
      <c r="M994" s="286">
        <f t="shared" si="1268"/>
        <v>6338</v>
      </c>
      <c r="N994" s="287"/>
      <c r="O994" s="264">
        <f t="shared" si="1222"/>
        <v>1.1173479821449979E-2</v>
      </c>
    </row>
    <row r="995" spans="1:15" ht="24" thickBot="1" x14ac:dyDescent="0.35">
      <c r="A995" s="277" t="s">
        <v>109</v>
      </c>
      <c r="B995" s="929"/>
      <c r="C995" s="306" t="s">
        <v>326</v>
      </c>
      <c r="D995" s="305" t="s">
        <v>324</v>
      </c>
      <c r="E995" s="283">
        <v>0</v>
      </c>
      <c r="F995" s="284"/>
      <c r="G995" s="340">
        <f t="shared" si="1265"/>
        <v>0</v>
      </c>
      <c r="H995" s="285">
        <v>0</v>
      </c>
      <c r="I995" s="285">
        <v>0</v>
      </c>
      <c r="J995" s="359" t="str">
        <f>IFERROR(G995/#REF!,"-")</f>
        <v>-</v>
      </c>
      <c r="K995" s="340">
        <f t="shared" si="1266"/>
        <v>7956</v>
      </c>
      <c r="L995" s="285">
        <f t="shared" si="1267"/>
        <v>7956</v>
      </c>
      <c r="M995" s="286">
        <f t="shared" si="1268"/>
        <v>0</v>
      </c>
      <c r="N995" s="344" t="str">
        <f t="shared" ref="N995:N1012" si="1269">IFERROR(K995/E995,"-")</f>
        <v>-</v>
      </c>
      <c r="O995" s="353">
        <f t="shared" si="1222"/>
        <v>0</v>
      </c>
    </row>
    <row r="996" spans="1:15" ht="24" thickBot="1" x14ac:dyDescent="0.35">
      <c r="A996" s="277" t="s">
        <v>109</v>
      </c>
      <c r="B996" s="930"/>
      <c r="C996" s="307"/>
      <c r="D996" s="308" t="s">
        <v>55</v>
      </c>
      <c r="E996" s="288">
        <v>0</v>
      </c>
      <c r="F996" s="289"/>
      <c r="G996" s="326">
        <f>SUM(G987:G995)</f>
        <v>32717</v>
      </c>
      <c r="H996" s="327">
        <f>SUM(H987:H995)</f>
        <v>31824</v>
      </c>
      <c r="I996" s="327">
        <f>SUM(I987:I995)</f>
        <v>893</v>
      </c>
      <c r="J996" s="351" t="str">
        <f>IFERROR(G996/#REF!,"-")</f>
        <v>-</v>
      </c>
      <c r="K996" s="326">
        <f>SUM(K987:K995)</f>
        <v>905878</v>
      </c>
      <c r="L996" s="327">
        <f>SUM(L987:L995)</f>
        <v>895050</v>
      </c>
      <c r="M996" s="328">
        <f>SUM(M987:M995)</f>
        <v>10828</v>
      </c>
      <c r="N996" s="345" t="str">
        <f t="shared" si="1269"/>
        <v>-</v>
      </c>
      <c r="O996" s="351">
        <f t="shared" si="1222"/>
        <v>1.195304444969411E-2</v>
      </c>
    </row>
    <row r="997" spans="1:15" ht="23.4" x14ac:dyDescent="0.3">
      <c r="A997" s="277" t="s">
        <v>109</v>
      </c>
      <c r="B997" s="931" t="s">
        <v>28</v>
      </c>
      <c r="C997" s="303" t="s">
        <v>322</v>
      </c>
      <c r="D997" s="303" t="s">
        <v>193</v>
      </c>
      <c r="E997" s="273">
        <v>0</v>
      </c>
      <c r="F997" s="274"/>
      <c r="G997" s="338">
        <f t="shared" ref="G997:G999" si="1270">+H997+I997</f>
        <v>0</v>
      </c>
      <c r="H997" s="275">
        <v>0</v>
      </c>
      <c r="I997" s="275">
        <v>0</v>
      </c>
      <c r="J997" s="357" t="str">
        <f>IFERROR(G997/#REF!,"-")</f>
        <v>-</v>
      </c>
      <c r="K997" s="338">
        <f t="shared" ref="K997:K999" si="1271">+L997+M997</f>
        <v>0</v>
      </c>
      <c r="L997" s="275">
        <f t="shared" ref="L997:M999" si="1272">+H997+L893</f>
        <v>0</v>
      </c>
      <c r="M997" s="276">
        <f t="shared" si="1272"/>
        <v>0</v>
      </c>
      <c r="N997" s="342" t="str">
        <f t="shared" si="1269"/>
        <v>-</v>
      </c>
      <c r="O997" s="352" t="str">
        <f t="shared" si="1222"/>
        <v>-</v>
      </c>
    </row>
    <row r="998" spans="1:15" ht="23.4" x14ac:dyDescent="0.3">
      <c r="A998" s="277" t="s">
        <v>109</v>
      </c>
      <c r="B998" s="929"/>
      <c r="C998" s="305" t="s">
        <v>27</v>
      </c>
      <c r="D998" s="305" t="s">
        <v>311</v>
      </c>
      <c r="E998" s="279">
        <v>0</v>
      </c>
      <c r="F998" s="280"/>
      <c r="G998" s="339">
        <f t="shared" si="1270"/>
        <v>0</v>
      </c>
      <c r="H998" s="281">
        <v>0</v>
      </c>
      <c r="I998" s="281">
        <v>0</v>
      </c>
      <c r="J998" s="358" t="str">
        <f>IFERROR(G998/#REF!,"-")</f>
        <v>-</v>
      </c>
      <c r="K998" s="339">
        <f t="shared" si="1271"/>
        <v>0</v>
      </c>
      <c r="L998" s="281">
        <f t="shared" si="1272"/>
        <v>0</v>
      </c>
      <c r="M998" s="251">
        <f t="shared" si="1272"/>
        <v>0</v>
      </c>
      <c r="N998" s="343" t="str">
        <f t="shared" si="1269"/>
        <v>-</v>
      </c>
      <c r="O998" s="264" t="str">
        <f t="shared" si="1222"/>
        <v>-</v>
      </c>
    </row>
    <row r="999" spans="1:15" ht="24" thickBot="1" x14ac:dyDescent="0.35">
      <c r="A999" s="277" t="s">
        <v>109</v>
      </c>
      <c r="B999" s="929"/>
      <c r="C999" s="305" t="s">
        <v>27</v>
      </c>
      <c r="D999" s="306" t="s">
        <v>259</v>
      </c>
      <c r="E999" s="283">
        <v>0</v>
      </c>
      <c r="F999" s="284"/>
      <c r="G999" s="340">
        <f t="shared" si="1270"/>
        <v>0</v>
      </c>
      <c r="H999" s="285">
        <v>0</v>
      </c>
      <c r="I999" s="285">
        <v>0</v>
      </c>
      <c r="J999" s="359" t="str">
        <f>IFERROR(G999/#REF!,"-")</f>
        <v>-</v>
      </c>
      <c r="K999" s="340">
        <f t="shared" si="1271"/>
        <v>0</v>
      </c>
      <c r="L999" s="285">
        <f t="shared" si="1272"/>
        <v>0</v>
      </c>
      <c r="M999" s="286">
        <f t="shared" si="1272"/>
        <v>0</v>
      </c>
      <c r="N999" s="344" t="str">
        <f t="shared" si="1269"/>
        <v>-</v>
      </c>
      <c r="O999" s="353" t="str">
        <f t="shared" si="1222"/>
        <v>-</v>
      </c>
    </row>
    <row r="1000" spans="1:15" ht="24" thickBot="1" x14ac:dyDescent="0.35">
      <c r="A1000" s="277" t="s">
        <v>109</v>
      </c>
      <c r="B1000" s="929"/>
      <c r="C1000" s="310"/>
      <c r="D1000" s="311" t="s">
        <v>55</v>
      </c>
      <c r="E1000" s="312">
        <v>0</v>
      </c>
      <c r="F1000" s="313"/>
      <c r="G1000" s="372">
        <f>SUM(G997:G999)</f>
        <v>0</v>
      </c>
      <c r="H1000" s="371">
        <f t="shared" ref="H1000:I1000" si="1273">SUM(H997:H999)</f>
        <v>0</v>
      </c>
      <c r="I1000" s="371">
        <f t="shared" si="1273"/>
        <v>0</v>
      </c>
      <c r="J1000" s="362" t="str">
        <f>IFERROR(G1000/#REF!,"-")</f>
        <v>-</v>
      </c>
      <c r="K1000" s="372">
        <f>SUM(K997:K999)</f>
        <v>0</v>
      </c>
      <c r="L1000" s="371">
        <f t="shared" ref="L1000:M1000" si="1274">SUM(L997:L999)</f>
        <v>0</v>
      </c>
      <c r="M1000" s="373">
        <f t="shared" si="1274"/>
        <v>0</v>
      </c>
      <c r="N1000" s="361" t="str">
        <f t="shared" si="1269"/>
        <v>-</v>
      </c>
      <c r="O1000" s="362" t="str">
        <f t="shared" si="1222"/>
        <v>-</v>
      </c>
    </row>
    <row r="1001" spans="1:15" ht="24" thickBot="1" x14ac:dyDescent="0.35">
      <c r="A1001" s="748" t="s">
        <v>109</v>
      </c>
      <c r="B1001" s="932" t="s">
        <v>171</v>
      </c>
      <c r="C1001" s="933"/>
      <c r="D1001" s="934"/>
      <c r="E1001" s="314">
        <v>2167000</v>
      </c>
      <c r="F1001" s="315">
        <v>80000</v>
      </c>
      <c r="G1001" s="375">
        <f>+G996+G1000</f>
        <v>32717</v>
      </c>
      <c r="H1001" s="374">
        <f t="shared" ref="H1001:I1001" si="1275">+H996+H1000</f>
        <v>31824</v>
      </c>
      <c r="I1001" s="374">
        <f t="shared" si="1275"/>
        <v>893</v>
      </c>
      <c r="J1001" s="364" t="str">
        <f>IFERROR(G1001/#REF!,"-")</f>
        <v>-</v>
      </c>
      <c r="K1001" s="375">
        <f>+K996+K1000</f>
        <v>905878</v>
      </c>
      <c r="L1001" s="374">
        <f>+L996+L1000</f>
        <v>895050</v>
      </c>
      <c r="M1001" s="376">
        <f t="shared" ref="M1001" si="1276">+M996+M1000</f>
        <v>10828</v>
      </c>
      <c r="N1001" s="363">
        <f t="shared" si="1269"/>
        <v>0.41803322565759116</v>
      </c>
      <c r="O1001" s="364">
        <f t="shared" si="1222"/>
        <v>1.195304444969411E-2</v>
      </c>
    </row>
    <row r="1002" spans="1:15" ht="23.4" x14ac:dyDescent="0.3">
      <c r="A1002" s="277" t="s">
        <v>109</v>
      </c>
      <c r="B1002" s="929" t="s">
        <v>30</v>
      </c>
      <c r="C1002" s="309" t="s">
        <v>396</v>
      </c>
      <c r="D1002" s="303" t="s">
        <v>193</v>
      </c>
      <c r="E1002" s="273">
        <v>0</v>
      </c>
      <c r="F1002" s="274"/>
      <c r="G1002" s="338">
        <f t="shared" ref="G1002:G1004" si="1277">+H1002+I1002</f>
        <v>0</v>
      </c>
      <c r="H1002" s="275">
        <v>0</v>
      </c>
      <c r="I1002" s="275">
        <v>0</v>
      </c>
      <c r="J1002" s="357" t="str">
        <f>IFERROR(G1002/#REF!,"-")</f>
        <v>-</v>
      </c>
      <c r="K1002" s="338">
        <f t="shared" ref="K1002:K1004" si="1278">+L1002+M1002</f>
        <v>0</v>
      </c>
      <c r="L1002" s="275">
        <f t="shared" ref="L1002:M1004" si="1279">+H1002+L898</f>
        <v>0</v>
      </c>
      <c r="M1002" s="276">
        <f t="shared" si="1279"/>
        <v>0</v>
      </c>
      <c r="N1002" s="342" t="str">
        <f t="shared" si="1269"/>
        <v>-</v>
      </c>
      <c r="O1002" s="352" t="str">
        <f t="shared" si="1222"/>
        <v>-</v>
      </c>
    </row>
    <row r="1003" spans="1:15" ht="23.4" x14ac:dyDescent="0.3">
      <c r="A1003" s="277" t="s">
        <v>109</v>
      </c>
      <c r="B1003" s="929"/>
      <c r="C1003" s="309" t="s">
        <v>395</v>
      </c>
      <c r="D1003" s="309" t="s">
        <v>324</v>
      </c>
      <c r="E1003" s="279">
        <v>0</v>
      </c>
      <c r="F1003" s="280"/>
      <c r="G1003" s="339">
        <f t="shared" si="1277"/>
        <v>0</v>
      </c>
      <c r="H1003" s="281">
        <v>0</v>
      </c>
      <c r="I1003" s="281">
        <v>0</v>
      </c>
      <c r="J1003" s="358" t="str">
        <f>IFERROR(G1003/#REF!,"-")</f>
        <v>-</v>
      </c>
      <c r="K1003" s="339">
        <f t="shared" si="1278"/>
        <v>0</v>
      </c>
      <c r="L1003" s="281">
        <f t="shared" si="1279"/>
        <v>0</v>
      </c>
      <c r="M1003" s="251">
        <f t="shared" si="1279"/>
        <v>0</v>
      </c>
      <c r="N1003" s="343" t="str">
        <f t="shared" si="1269"/>
        <v>-</v>
      </c>
      <c r="O1003" s="264" t="str">
        <f t="shared" si="1222"/>
        <v>-</v>
      </c>
    </row>
    <row r="1004" spans="1:15" ht="24" thickBot="1" x14ac:dyDescent="0.35">
      <c r="A1004" s="277" t="s">
        <v>109</v>
      </c>
      <c r="B1004" s="929"/>
      <c r="C1004" s="306" t="s">
        <v>327</v>
      </c>
      <c r="D1004" s="306"/>
      <c r="E1004" s="283">
        <v>0</v>
      </c>
      <c r="F1004" s="284"/>
      <c r="G1004" s="340">
        <f t="shared" si="1277"/>
        <v>0</v>
      </c>
      <c r="H1004" s="285">
        <v>0</v>
      </c>
      <c r="I1004" s="285">
        <v>0</v>
      </c>
      <c r="J1004" s="359" t="str">
        <f>IFERROR(G1004/#REF!,"-")</f>
        <v>-</v>
      </c>
      <c r="K1004" s="340">
        <f t="shared" si="1278"/>
        <v>0</v>
      </c>
      <c r="L1004" s="285">
        <f t="shared" si="1279"/>
        <v>0</v>
      </c>
      <c r="M1004" s="286">
        <f t="shared" si="1279"/>
        <v>0</v>
      </c>
      <c r="N1004" s="344" t="str">
        <f t="shared" si="1269"/>
        <v>-</v>
      </c>
      <c r="O1004" s="353" t="str">
        <f t="shared" si="1222"/>
        <v>-</v>
      </c>
    </row>
    <row r="1005" spans="1:15" ht="24" thickBot="1" x14ac:dyDescent="0.35">
      <c r="A1005" s="277" t="s">
        <v>109</v>
      </c>
      <c r="B1005" s="929"/>
      <c r="C1005" s="307"/>
      <c r="D1005" s="308" t="s">
        <v>53</v>
      </c>
      <c r="E1005" s="288">
        <v>0</v>
      </c>
      <c r="F1005" s="289"/>
      <c r="G1005" s="326">
        <f>SUM(G1002:G1004)</f>
        <v>0</v>
      </c>
      <c r="H1005" s="327">
        <f t="shared" ref="H1005:I1005" si="1280">SUM(H1002:H1004)</f>
        <v>0</v>
      </c>
      <c r="I1005" s="327">
        <f t="shared" si="1280"/>
        <v>0</v>
      </c>
      <c r="J1005" s="351" t="str">
        <f>IFERROR(G1005/#REF!,"-")</f>
        <v>-</v>
      </c>
      <c r="K1005" s="326">
        <f t="shared" ref="K1005" si="1281">SUM(K1002:K1004)</f>
        <v>0</v>
      </c>
      <c r="L1005" s="327">
        <f>SUM(L1002:L1004)</f>
        <v>0</v>
      </c>
      <c r="M1005" s="328">
        <f t="shared" ref="M1005" si="1282">SUM(M1002:M1004)</f>
        <v>0</v>
      </c>
      <c r="N1005" s="345" t="str">
        <f t="shared" si="1269"/>
        <v>-</v>
      </c>
      <c r="O1005" s="351" t="str">
        <f t="shared" si="1222"/>
        <v>-</v>
      </c>
    </row>
    <row r="1006" spans="1:15" ht="23.4" x14ac:dyDescent="0.3">
      <c r="A1006" s="277" t="s">
        <v>109</v>
      </c>
      <c r="B1006" s="929"/>
      <c r="C1006" s="303" t="s">
        <v>352</v>
      </c>
      <c r="D1006" s="303"/>
      <c r="E1006" s="273">
        <v>0</v>
      </c>
      <c r="F1006" s="274"/>
      <c r="G1006" s="338">
        <f t="shared" ref="G1006:G1008" si="1283">+H1006+I1006</f>
        <v>0</v>
      </c>
      <c r="H1006" s="275">
        <v>0</v>
      </c>
      <c r="I1006" s="275">
        <v>0</v>
      </c>
      <c r="J1006" s="357" t="str">
        <f>IFERROR(G1006/#REF!,"-")</f>
        <v>-</v>
      </c>
      <c r="K1006" s="338">
        <f t="shared" ref="K1006:K1008" si="1284">+L1006+M1006</f>
        <v>0</v>
      </c>
      <c r="L1006" s="275">
        <f t="shared" ref="L1006:M1008" si="1285">+H1006+L902</f>
        <v>0</v>
      </c>
      <c r="M1006" s="276">
        <f t="shared" si="1285"/>
        <v>0</v>
      </c>
      <c r="N1006" s="342" t="str">
        <f t="shared" si="1269"/>
        <v>-</v>
      </c>
      <c r="O1006" s="352" t="str">
        <f t="shared" si="1222"/>
        <v>-</v>
      </c>
    </row>
    <row r="1007" spans="1:15" ht="23.4" x14ac:dyDescent="0.3">
      <c r="A1007" s="277" t="s">
        <v>109</v>
      </c>
      <c r="B1007" s="929"/>
      <c r="C1007" s="309" t="s">
        <v>397</v>
      </c>
      <c r="D1007" s="309" t="s">
        <v>259</v>
      </c>
      <c r="E1007" s="279">
        <v>0</v>
      </c>
      <c r="F1007" s="280"/>
      <c r="G1007" s="339">
        <f t="shared" si="1283"/>
        <v>6136</v>
      </c>
      <c r="H1007" s="281">
        <v>5616</v>
      </c>
      <c r="I1007" s="281">
        <v>520</v>
      </c>
      <c r="J1007" s="358" t="str">
        <f>IFERROR(G1007/#REF!,"-")</f>
        <v>-</v>
      </c>
      <c r="K1007" s="339">
        <f t="shared" si="1284"/>
        <v>379909</v>
      </c>
      <c r="L1007" s="281">
        <f t="shared" si="1285"/>
        <v>370656</v>
      </c>
      <c r="M1007" s="251">
        <f t="shared" si="1285"/>
        <v>9253</v>
      </c>
      <c r="N1007" s="343" t="str">
        <f t="shared" si="1269"/>
        <v>-</v>
      </c>
      <c r="O1007" s="264">
        <f t="shared" si="1222"/>
        <v>2.4355832580960177E-2</v>
      </c>
    </row>
    <row r="1008" spans="1:15" ht="24" thickBot="1" x14ac:dyDescent="0.35">
      <c r="A1008" s="277" t="s">
        <v>109</v>
      </c>
      <c r="B1008" s="929"/>
      <c r="C1008" s="306" t="s">
        <v>146</v>
      </c>
      <c r="D1008" s="306"/>
      <c r="E1008" s="283">
        <v>0</v>
      </c>
      <c r="F1008" s="284"/>
      <c r="G1008" s="340">
        <f t="shared" si="1283"/>
        <v>0</v>
      </c>
      <c r="H1008" s="285">
        <v>0</v>
      </c>
      <c r="I1008" s="285">
        <v>0</v>
      </c>
      <c r="J1008" s="359" t="str">
        <f>IFERROR(G1008/#REF!,"-")</f>
        <v>-</v>
      </c>
      <c r="K1008" s="340">
        <f t="shared" si="1284"/>
        <v>0</v>
      </c>
      <c r="L1008" s="285">
        <f t="shared" si="1285"/>
        <v>0</v>
      </c>
      <c r="M1008" s="286">
        <f t="shared" si="1285"/>
        <v>0</v>
      </c>
      <c r="N1008" s="344" t="str">
        <f t="shared" si="1269"/>
        <v>-</v>
      </c>
      <c r="O1008" s="353" t="str">
        <f t="shared" si="1222"/>
        <v>-</v>
      </c>
    </row>
    <row r="1009" spans="1:15" ht="24" thickBot="1" x14ac:dyDescent="0.35">
      <c r="A1009" s="277" t="s">
        <v>109</v>
      </c>
      <c r="B1009" s="929"/>
      <c r="C1009" s="310"/>
      <c r="D1009" s="311" t="s">
        <v>54</v>
      </c>
      <c r="E1009" s="312">
        <v>0</v>
      </c>
      <c r="F1009" s="313"/>
      <c r="G1009" s="372">
        <f>SUM(G1006:G1008)</f>
        <v>6136</v>
      </c>
      <c r="H1009" s="371">
        <f t="shared" ref="H1009:I1009" si="1286">SUM(H1006:H1008)</f>
        <v>5616</v>
      </c>
      <c r="I1009" s="371">
        <f t="shared" si="1286"/>
        <v>520</v>
      </c>
      <c r="J1009" s="362" t="str">
        <f>IFERROR(G1009/#REF!,"-")</f>
        <v>-</v>
      </c>
      <c r="K1009" s="372">
        <f t="shared" ref="K1009:M1009" si="1287">SUM(K1006:K1008)</f>
        <v>379909</v>
      </c>
      <c r="L1009" s="371">
        <f t="shared" si="1287"/>
        <v>370656</v>
      </c>
      <c r="M1009" s="373">
        <f t="shared" si="1287"/>
        <v>9253</v>
      </c>
      <c r="N1009" s="361" t="str">
        <f t="shared" si="1269"/>
        <v>-</v>
      </c>
      <c r="O1009" s="362">
        <f t="shared" si="1222"/>
        <v>2.4355832580960177E-2</v>
      </c>
    </row>
    <row r="1010" spans="1:15" ht="24" thickBot="1" x14ac:dyDescent="0.35">
      <c r="A1010" s="277" t="s">
        <v>109</v>
      </c>
      <c r="B1010" s="932" t="s">
        <v>172</v>
      </c>
      <c r="C1010" s="933"/>
      <c r="D1010" s="934"/>
      <c r="E1010" s="314">
        <v>649600</v>
      </c>
      <c r="F1010" s="315">
        <v>50000</v>
      </c>
      <c r="G1010" s="375">
        <f>+G1005+G1009</f>
        <v>6136</v>
      </c>
      <c r="H1010" s="374">
        <f t="shared" ref="H1010:I1010" si="1288">+H1005+H1009</f>
        <v>5616</v>
      </c>
      <c r="I1010" s="374">
        <f t="shared" si="1288"/>
        <v>520</v>
      </c>
      <c r="J1010" s="364" t="str">
        <f>IFERROR(G1010/#REF!,"-")</f>
        <v>-</v>
      </c>
      <c r="K1010" s="375">
        <f t="shared" ref="K1010:M1010" si="1289">+K1005+K1009</f>
        <v>379909</v>
      </c>
      <c r="L1010" s="374">
        <f t="shared" si="1289"/>
        <v>370656</v>
      </c>
      <c r="M1010" s="376">
        <f t="shared" si="1289"/>
        <v>9253</v>
      </c>
      <c r="N1010" s="363">
        <f t="shared" si="1269"/>
        <v>0.58483528325123157</v>
      </c>
      <c r="O1010" s="364">
        <f t="shared" ref="O1010:O1012" si="1290">IFERROR(M1010/K1010,"-")</f>
        <v>2.4355832580960177E-2</v>
      </c>
    </row>
    <row r="1011" spans="1:15" ht="24" thickBot="1" x14ac:dyDescent="0.35">
      <c r="A1011" s="277" t="s">
        <v>109</v>
      </c>
      <c r="B1011" s="616" t="s">
        <v>32</v>
      </c>
      <c r="C1011" s="744"/>
      <c r="D1011" s="316" t="s">
        <v>32</v>
      </c>
      <c r="E1011" s="293">
        <v>0</v>
      </c>
      <c r="F1011" s="294">
        <v>110000</v>
      </c>
      <c r="G1011" s="341">
        <f t="shared" ref="G1011" si="1291">+H1011+I1011</f>
        <v>0</v>
      </c>
      <c r="H1011" s="295">
        <v>0</v>
      </c>
      <c r="I1011" s="295">
        <v>0</v>
      </c>
      <c r="J1011" s="360" t="str">
        <f>IFERROR(G1011/#REF!,"-")</f>
        <v>-</v>
      </c>
      <c r="K1011" s="341">
        <f>+L1011+M1011</f>
        <v>0</v>
      </c>
      <c r="L1011" s="295">
        <f>+H1011+L907</f>
        <v>0</v>
      </c>
      <c r="M1011" s="296">
        <f>+I1011+M907</f>
        <v>0</v>
      </c>
      <c r="N1011" s="346" t="str">
        <f t="shared" si="1269"/>
        <v>-</v>
      </c>
      <c r="O1011" s="354" t="str">
        <f t="shared" si="1290"/>
        <v>-</v>
      </c>
    </row>
    <row r="1012" spans="1:15" ht="24" thickBot="1" x14ac:dyDescent="0.35">
      <c r="A1012" s="277" t="s">
        <v>109</v>
      </c>
      <c r="B1012" s="926" t="s">
        <v>21</v>
      </c>
      <c r="C1012" s="927"/>
      <c r="D1012" s="928"/>
      <c r="E1012" s="332">
        <f>+E1001+E1010+E1011</f>
        <v>2816600</v>
      </c>
      <c r="F1012" s="333">
        <f t="shared" ref="F1012" si="1292">+F1001+F1010+F1011</f>
        <v>240000</v>
      </c>
      <c r="G1012" s="332">
        <f>+G1001+G1010+G1011</f>
        <v>38853</v>
      </c>
      <c r="H1012" s="330">
        <f t="shared" ref="H1012:I1012" si="1293">+H1001+H1010+H1011</f>
        <v>37440</v>
      </c>
      <c r="I1012" s="330">
        <f t="shared" si="1293"/>
        <v>1413</v>
      </c>
      <c r="J1012" s="355" t="str">
        <f>IFERROR(G1012/#REF!,"-")</f>
        <v>-</v>
      </c>
      <c r="K1012" s="332">
        <f>+K1001+K1010+K1011</f>
        <v>1285787</v>
      </c>
      <c r="L1012" s="330">
        <f>+L1001+L1010+L1011</f>
        <v>1265706</v>
      </c>
      <c r="M1012" s="331">
        <f t="shared" ref="M1012" si="1294">+M1001+M1010+M1011</f>
        <v>20081</v>
      </c>
      <c r="N1012" s="347">
        <f t="shared" si="1269"/>
        <v>0.45650323084570049</v>
      </c>
      <c r="O1012" s="355">
        <f t="shared" si="1290"/>
        <v>1.5617672289422742E-2</v>
      </c>
    </row>
    <row r="1013" spans="1:15" ht="24" thickBot="1" x14ac:dyDescent="0.35">
      <c r="A1013" s="277" t="s">
        <v>109</v>
      </c>
      <c r="B1013" s="900" t="s">
        <v>180</v>
      </c>
      <c r="C1013" s="901"/>
      <c r="D1013" s="902"/>
      <c r="E1013" s="336">
        <f>+E1012</f>
        <v>2816600</v>
      </c>
      <c r="F1013" s="337">
        <f t="shared" ref="F1013:I1013" si="1295">+F1012</f>
        <v>240000</v>
      </c>
      <c r="G1013" s="336">
        <f t="shared" si="1295"/>
        <v>38853</v>
      </c>
      <c r="H1013" s="334">
        <f t="shared" si="1295"/>
        <v>37440</v>
      </c>
      <c r="I1013" s="334">
        <f t="shared" si="1295"/>
        <v>1413</v>
      </c>
      <c r="J1013" s="356" t="str">
        <f>+J1012</f>
        <v>-</v>
      </c>
      <c r="K1013" s="336">
        <f>+K1012</f>
        <v>1285787</v>
      </c>
      <c r="L1013" s="334">
        <f t="shared" ref="L1013" si="1296">+L1012</f>
        <v>1265706</v>
      </c>
      <c r="M1013" s="335">
        <f>+M1012</f>
        <v>20081</v>
      </c>
      <c r="N1013" s="348">
        <f t="shared" ref="N1013:O1013" si="1297">+N1012</f>
        <v>0.45650323084570049</v>
      </c>
      <c r="O1013" s="356">
        <f t="shared" si="1297"/>
        <v>1.5617672289422742E-2</v>
      </c>
    </row>
    <row r="1014" spans="1:15" ht="23.4" x14ac:dyDescent="0.3">
      <c r="A1014" s="271" t="s">
        <v>110</v>
      </c>
      <c r="B1014" s="903" t="s">
        <v>33</v>
      </c>
      <c r="C1014" s="317" t="s">
        <v>121</v>
      </c>
      <c r="D1014" s="317"/>
      <c r="E1014" s="273">
        <v>0</v>
      </c>
      <c r="F1014" s="274"/>
      <c r="G1014" s="338">
        <f t="shared" ref="G1014:G1016" si="1298">+H1014+I1014</f>
        <v>0</v>
      </c>
      <c r="H1014" s="275">
        <v>0</v>
      </c>
      <c r="I1014" s="275">
        <v>0</v>
      </c>
      <c r="J1014" s="357" t="str">
        <f>IFERROR(G1014/#REF!,"-")</f>
        <v>-</v>
      </c>
      <c r="K1014" s="338">
        <f t="shared" ref="K1014:K1016" si="1299">+L1014+M1014</f>
        <v>0</v>
      </c>
      <c r="L1014" s="275">
        <f t="shared" ref="L1014:M1016" si="1300">+H1014+L910</f>
        <v>0</v>
      </c>
      <c r="M1014" s="276">
        <f t="shared" si="1300"/>
        <v>0</v>
      </c>
      <c r="N1014" s="342" t="str">
        <f t="shared" ref="N1014:N1039" si="1301">IFERROR(K1014/E1014,"-")</f>
        <v>-</v>
      </c>
      <c r="O1014" s="352" t="str">
        <f t="shared" ref="O1014:O1039" si="1302">IFERROR(M1014/K1014,"-")</f>
        <v>-</v>
      </c>
    </row>
    <row r="1015" spans="1:15" ht="23.4" x14ac:dyDescent="0.3">
      <c r="A1015" s="277" t="s">
        <v>110</v>
      </c>
      <c r="B1015" s="904"/>
      <c r="C1015" s="318" t="s">
        <v>274</v>
      </c>
      <c r="D1015" s="318"/>
      <c r="E1015" s="279">
        <v>0</v>
      </c>
      <c r="F1015" s="280"/>
      <c r="G1015" s="339">
        <f t="shared" si="1298"/>
        <v>0</v>
      </c>
      <c r="H1015" s="281">
        <v>0</v>
      </c>
      <c r="I1015" s="281">
        <v>0</v>
      </c>
      <c r="J1015" s="358" t="str">
        <f>IFERROR(G1015/#REF!,"-")</f>
        <v>-</v>
      </c>
      <c r="K1015" s="339">
        <f t="shared" si="1299"/>
        <v>10252</v>
      </c>
      <c r="L1015" s="281">
        <f t="shared" si="1300"/>
        <v>9280</v>
      </c>
      <c r="M1015" s="251">
        <f t="shared" si="1300"/>
        <v>972</v>
      </c>
      <c r="N1015" s="343" t="str">
        <f t="shared" si="1301"/>
        <v>-</v>
      </c>
      <c r="O1015" s="264">
        <f t="shared" si="1302"/>
        <v>9.4810768630511119E-2</v>
      </c>
    </row>
    <row r="1016" spans="1:15" ht="24" thickBot="1" x14ac:dyDescent="0.35">
      <c r="A1016" s="277" t="s">
        <v>110</v>
      </c>
      <c r="B1016" s="905"/>
      <c r="C1016" s="319" t="s">
        <v>34</v>
      </c>
      <c r="D1016" s="319"/>
      <c r="E1016" s="283">
        <v>0</v>
      </c>
      <c r="F1016" s="284"/>
      <c r="G1016" s="340">
        <f t="shared" si="1298"/>
        <v>0</v>
      </c>
      <c r="H1016" s="285">
        <v>0</v>
      </c>
      <c r="I1016" s="285">
        <v>0</v>
      </c>
      <c r="J1016" s="359" t="str">
        <f>IFERROR(G1016/#REF!,"-")</f>
        <v>-</v>
      </c>
      <c r="K1016" s="340">
        <f t="shared" si="1299"/>
        <v>0</v>
      </c>
      <c r="L1016" s="285">
        <f t="shared" si="1300"/>
        <v>0</v>
      </c>
      <c r="M1016" s="286">
        <f t="shared" si="1300"/>
        <v>0</v>
      </c>
      <c r="N1016" s="344" t="str">
        <f t="shared" si="1301"/>
        <v>-</v>
      </c>
      <c r="O1016" s="353" t="str">
        <f t="shared" si="1302"/>
        <v>-</v>
      </c>
    </row>
    <row r="1017" spans="1:15" ht="24" thickBot="1" x14ac:dyDescent="0.35">
      <c r="A1017" s="277" t="s">
        <v>110</v>
      </c>
      <c r="B1017" s="906" t="s">
        <v>35</v>
      </c>
      <c r="C1017" s="907"/>
      <c r="D1017" s="908"/>
      <c r="E1017" s="288">
        <v>83700</v>
      </c>
      <c r="F1017" s="289"/>
      <c r="G1017" s="326">
        <f>SUM(G1014:G1016)</f>
        <v>0</v>
      </c>
      <c r="H1017" s="327">
        <f t="shared" ref="H1017:I1017" si="1303">SUM(H1014:H1016)</f>
        <v>0</v>
      </c>
      <c r="I1017" s="327">
        <f t="shared" si="1303"/>
        <v>0</v>
      </c>
      <c r="J1017" s="351" t="str">
        <f>IFERROR(G1017/#REF!,"-")</f>
        <v>-</v>
      </c>
      <c r="K1017" s="326">
        <f t="shared" ref="K1017:M1017" si="1304">SUM(K1014:K1016)</f>
        <v>10252</v>
      </c>
      <c r="L1017" s="327">
        <f t="shared" si="1304"/>
        <v>9280</v>
      </c>
      <c r="M1017" s="328">
        <f t="shared" si="1304"/>
        <v>972</v>
      </c>
      <c r="N1017" s="345">
        <f t="shared" si="1301"/>
        <v>0.12248506571087216</v>
      </c>
      <c r="O1017" s="351">
        <f t="shared" si="1302"/>
        <v>9.4810768630511119E-2</v>
      </c>
    </row>
    <row r="1018" spans="1:15" ht="23.4" x14ac:dyDescent="0.3">
      <c r="A1018" s="277" t="s">
        <v>110</v>
      </c>
      <c r="B1018" s="903" t="s">
        <v>36</v>
      </c>
      <c r="C1018" s="317" t="s">
        <v>121</v>
      </c>
      <c r="D1018" s="317"/>
      <c r="E1018" s="273">
        <v>0</v>
      </c>
      <c r="F1018" s="274"/>
      <c r="G1018" s="338">
        <f t="shared" ref="G1018:G1021" si="1305">+H1018+I1018</f>
        <v>0</v>
      </c>
      <c r="H1018" s="275">
        <v>0</v>
      </c>
      <c r="I1018" s="275">
        <v>0</v>
      </c>
      <c r="J1018" s="357" t="str">
        <f>IFERROR(G1018/#REF!,"-")</f>
        <v>-</v>
      </c>
      <c r="K1018" s="338">
        <f t="shared" ref="K1018:K1021" si="1306">+L1018+M1018</f>
        <v>0</v>
      </c>
      <c r="L1018" s="275">
        <f t="shared" ref="L1018:M1021" si="1307">+H1018+L914</f>
        <v>0</v>
      </c>
      <c r="M1018" s="276">
        <f t="shared" si="1307"/>
        <v>0</v>
      </c>
      <c r="N1018" s="342" t="str">
        <f t="shared" si="1301"/>
        <v>-</v>
      </c>
      <c r="O1018" s="352" t="str">
        <f t="shared" si="1302"/>
        <v>-</v>
      </c>
    </row>
    <row r="1019" spans="1:15" ht="23.4" x14ac:dyDescent="0.3">
      <c r="A1019" s="277" t="s">
        <v>110</v>
      </c>
      <c r="B1019" s="904"/>
      <c r="C1019" s="318" t="s">
        <v>274</v>
      </c>
      <c r="D1019" s="318"/>
      <c r="E1019" s="279">
        <v>0</v>
      </c>
      <c r="F1019" s="280"/>
      <c r="G1019" s="339">
        <f t="shared" si="1305"/>
        <v>6551</v>
      </c>
      <c r="H1019" s="281">
        <v>6400</v>
      </c>
      <c r="I1019" s="281">
        <v>151</v>
      </c>
      <c r="J1019" s="358" t="str">
        <f>IFERROR(G1019/#REF!,"-")</f>
        <v>-</v>
      </c>
      <c r="K1019" s="339">
        <f t="shared" si="1306"/>
        <v>25005</v>
      </c>
      <c r="L1019" s="281">
        <f t="shared" si="1307"/>
        <v>24320</v>
      </c>
      <c r="M1019" s="251">
        <f t="shared" si="1307"/>
        <v>685</v>
      </c>
      <c r="N1019" s="343" t="str">
        <f t="shared" si="1301"/>
        <v>-</v>
      </c>
      <c r="O1019" s="264">
        <f t="shared" si="1302"/>
        <v>2.7394521095780843E-2</v>
      </c>
    </row>
    <row r="1020" spans="1:15" ht="23.4" x14ac:dyDescent="0.3">
      <c r="A1020" s="277" t="s">
        <v>110</v>
      </c>
      <c r="B1020" s="904"/>
      <c r="C1020" s="318" t="s">
        <v>201</v>
      </c>
      <c r="D1020" s="318"/>
      <c r="E1020" s="279">
        <v>0</v>
      </c>
      <c r="F1020" s="280"/>
      <c r="G1020" s="339">
        <f t="shared" si="1305"/>
        <v>0</v>
      </c>
      <c r="H1020" s="281">
        <v>0</v>
      </c>
      <c r="I1020" s="281">
        <v>0</v>
      </c>
      <c r="J1020" s="358" t="str">
        <f>IFERROR(G1020/#REF!,"-")</f>
        <v>-</v>
      </c>
      <c r="K1020" s="339">
        <f t="shared" si="1306"/>
        <v>0</v>
      </c>
      <c r="L1020" s="281">
        <f t="shared" si="1307"/>
        <v>0</v>
      </c>
      <c r="M1020" s="251">
        <f t="shared" si="1307"/>
        <v>0</v>
      </c>
      <c r="N1020" s="343" t="str">
        <f t="shared" si="1301"/>
        <v>-</v>
      </c>
      <c r="O1020" s="264" t="str">
        <f t="shared" si="1302"/>
        <v>-</v>
      </c>
    </row>
    <row r="1021" spans="1:15" ht="24" thickBot="1" x14ac:dyDescent="0.35">
      <c r="A1021" s="277" t="s">
        <v>110</v>
      </c>
      <c r="B1021" s="905"/>
      <c r="C1021" s="319" t="s">
        <v>37</v>
      </c>
      <c r="D1021" s="319"/>
      <c r="E1021" s="283">
        <v>0</v>
      </c>
      <c r="F1021" s="284"/>
      <c r="G1021" s="340">
        <f t="shared" si="1305"/>
        <v>0</v>
      </c>
      <c r="H1021" s="285">
        <v>0</v>
      </c>
      <c r="I1021" s="285">
        <v>0</v>
      </c>
      <c r="J1021" s="359" t="str">
        <f>IFERROR(G1021/#REF!,"-")</f>
        <v>-</v>
      </c>
      <c r="K1021" s="340">
        <f t="shared" si="1306"/>
        <v>0</v>
      </c>
      <c r="L1021" s="285">
        <f t="shared" si="1307"/>
        <v>0</v>
      </c>
      <c r="M1021" s="286">
        <f t="shared" si="1307"/>
        <v>0</v>
      </c>
      <c r="N1021" s="344" t="str">
        <f t="shared" si="1301"/>
        <v>-</v>
      </c>
      <c r="O1021" s="353" t="str">
        <f t="shared" si="1302"/>
        <v>-</v>
      </c>
    </row>
    <row r="1022" spans="1:15" ht="24" thickBot="1" x14ac:dyDescent="0.35">
      <c r="A1022" s="277" t="s">
        <v>110</v>
      </c>
      <c r="B1022" s="906" t="s">
        <v>38</v>
      </c>
      <c r="C1022" s="907"/>
      <c r="D1022" s="908"/>
      <c r="E1022" s="288">
        <v>10300</v>
      </c>
      <c r="F1022" s="289">
        <v>6500</v>
      </c>
      <c r="G1022" s="326">
        <f>SUM(G1018:G1021)</f>
        <v>6551</v>
      </c>
      <c r="H1022" s="327">
        <f t="shared" ref="H1022:I1022" si="1308">SUM(H1018:H1021)</f>
        <v>6400</v>
      </c>
      <c r="I1022" s="327">
        <f t="shared" si="1308"/>
        <v>151</v>
      </c>
      <c r="J1022" s="351" t="str">
        <f>IFERROR(G1022/#REF!,"-")</f>
        <v>-</v>
      </c>
      <c r="K1022" s="326">
        <f t="shared" ref="K1022:M1022" si="1309">SUM(K1018:K1021)</f>
        <v>25005</v>
      </c>
      <c r="L1022" s="327">
        <f t="shared" si="1309"/>
        <v>24320</v>
      </c>
      <c r="M1022" s="328">
        <f t="shared" si="1309"/>
        <v>685</v>
      </c>
      <c r="N1022" s="345">
        <f t="shared" si="1301"/>
        <v>2.4276699029126214</v>
      </c>
      <c r="O1022" s="351">
        <f t="shared" si="1302"/>
        <v>2.7394521095780843E-2</v>
      </c>
    </row>
    <row r="1023" spans="1:15" ht="23.4" x14ac:dyDescent="0.3">
      <c r="A1023" s="277" t="s">
        <v>110</v>
      </c>
      <c r="B1023" s="903" t="s">
        <v>39</v>
      </c>
      <c r="C1023" s="320" t="s">
        <v>124</v>
      </c>
      <c r="D1023" s="320"/>
      <c r="E1023" s="273">
        <v>0</v>
      </c>
      <c r="F1023" s="274"/>
      <c r="G1023" s="338">
        <f t="shared" ref="G1023:G1024" si="1310">+H1023+I1023</f>
        <v>0</v>
      </c>
      <c r="H1023" s="275">
        <v>0</v>
      </c>
      <c r="I1023" s="275">
        <v>0</v>
      </c>
      <c r="J1023" s="357" t="str">
        <f>IFERROR(G1023/#REF!,"-")</f>
        <v>-</v>
      </c>
      <c r="K1023" s="338">
        <f t="shared" ref="K1023:K1024" si="1311">+L1023+M1023</f>
        <v>0</v>
      </c>
      <c r="L1023" s="275">
        <f>+H1023+L919</f>
        <v>0</v>
      </c>
      <c r="M1023" s="276">
        <f>+I1023+M919</f>
        <v>0</v>
      </c>
      <c r="N1023" s="342" t="str">
        <f t="shared" si="1301"/>
        <v>-</v>
      </c>
      <c r="O1023" s="352" t="str">
        <f t="shared" si="1302"/>
        <v>-</v>
      </c>
    </row>
    <row r="1024" spans="1:15" ht="24" thickBot="1" x14ac:dyDescent="0.35">
      <c r="A1024" s="277" t="s">
        <v>110</v>
      </c>
      <c r="B1024" s="905"/>
      <c r="C1024" s="290" t="s">
        <v>140</v>
      </c>
      <c r="D1024" s="290"/>
      <c r="E1024" s="283">
        <v>0</v>
      </c>
      <c r="F1024" s="284"/>
      <c r="G1024" s="340">
        <f t="shared" si="1310"/>
        <v>0</v>
      </c>
      <c r="H1024" s="285">
        <v>0</v>
      </c>
      <c r="I1024" s="285">
        <v>0</v>
      </c>
      <c r="J1024" s="359" t="str">
        <f>IFERROR(G1024/#REF!,"-")</f>
        <v>-</v>
      </c>
      <c r="K1024" s="340">
        <f t="shared" si="1311"/>
        <v>0</v>
      </c>
      <c r="L1024" s="285">
        <f>+H1024+L920</f>
        <v>0</v>
      </c>
      <c r="M1024" s="286">
        <f>+I1024+M920</f>
        <v>0</v>
      </c>
      <c r="N1024" s="344" t="str">
        <f t="shared" si="1301"/>
        <v>-</v>
      </c>
      <c r="O1024" s="353" t="str">
        <f t="shared" si="1302"/>
        <v>-</v>
      </c>
    </row>
    <row r="1025" spans="1:15" ht="24" thickBot="1" x14ac:dyDescent="0.35">
      <c r="A1025" s="748" t="s">
        <v>110</v>
      </c>
      <c r="B1025" s="906" t="s">
        <v>40</v>
      </c>
      <c r="C1025" s="907"/>
      <c r="D1025" s="908"/>
      <c r="E1025" s="288">
        <v>30000</v>
      </c>
      <c r="F1025" s="289">
        <v>2800</v>
      </c>
      <c r="G1025" s="326">
        <f>SUM(G1023:G1024)</f>
        <v>0</v>
      </c>
      <c r="H1025" s="327">
        <f t="shared" ref="H1025:I1025" si="1312">SUM(H1023:H1024)</f>
        <v>0</v>
      </c>
      <c r="I1025" s="327">
        <f t="shared" si="1312"/>
        <v>0</v>
      </c>
      <c r="J1025" s="351" t="str">
        <f>IFERROR(G1025/#REF!,"-")</f>
        <v>-</v>
      </c>
      <c r="K1025" s="326">
        <f t="shared" ref="K1025:M1025" si="1313">SUM(K1023:K1024)</f>
        <v>0</v>
      </c>
      <c r="L1025" s="327">
        <f t="shared" si="1313"/>
        <v>0</v>
      </c>
      <c r="M1025" s="328">
        <f t="shared" si="1313"/>
        <v>0</v>
      </c>
      <c r="N1025" s="345">
        <f t="shared" si="1301"/>
        <v>0</v>
      </c>
      <c r="O1025" s="351" t="str">
        <f t="shared" si="1302"/>
        <v>-</v>
      </c>
    </row>
    <row r="1026" spans="1:15" ht="23.4" x14ac:dyDescent="0.3">
      <c r="A1026" s="277" t="s">
        <v>110</v>
      </c>
      <c r="B1026" s="903" t="s">
        <v>41</v>
      </c>
      <c r="C1026" s="272" t="s">
        <v>346</v>
      </c>
      <c r="D1026" s="272"/>
      <c r="E1026" s="273">
        <v>0</v>
      </c>
      <c r="F1026" s="321"/>
      <c r="G1026" s="338">
        <f t="shared" ref="G1026:G1030" si="1314">+H1026+I1026</f>
        <v>35660</v>
      </c>
      <c r="H1026" s="275">
        <v>35280</v>
      </c>
      <c r="I1026" s="275">
        <v>380</v>
      </c>
      <c r="J1026" s="377" t="str">
        <f>IFERROR(G1026/#REF!,"-")</f>
        <v>-</v>
      </c>
      <c r="K1026" s="338">
        <f t="shared" ref="K1026:K1030" si="1315">+L1026+M1026</f>
        <v>178660</v>
      </c>
      <c r="L1026" s="275">
        <f t="shared" ref="L1026:M1030" si="1316">+H1026+L922</f>
        <v>176700</v>
      </c>
      <c r="M1026" s="276">
        <f t="shared" si="1316"/>
        <v>1960</v>
      </c>
      <c r="N1026" s="365" t="str">
        <f t="shared" si="1301"/>
        <v>-</v>
      </c>
      <c r="O1026" s="366">
        <f t="shared" si="1302"/>
        <v>1.0970558602932945E-2</v>
      </c>
    </row>
    <row r="1027" spans="1:15" ht="23.4" x14ac:dyDescent="0.3">
      <c r="A1027" s="277" t="s">
        <v>110</v>
      </c>
      <c r="B1027" s="904"/>
      <c r="C1027" s="272" t="s">
        <v>347</v>
      </c>
      <c r="D1027" s="278"/>
      <c r="E1027" s="279">
        <v>0</v>
      </c>
      <c r="F1027" s="322"/>
      <c r="G1027" s="339">
        <f t="shared" si="1314"/>
        <v>0</v>
      </c>
      <c r="H1027" s="281">
        <v>0</v>
      </c>
      <c r="I1027" s="281">
        <v>0</v>
      </c>
      <c r="J1027" s="378" t="str">
        <f>IFERROR(G1027/#REF!,"-")</f>
        <v>-</v>
      </c>
      <c r="K1027" s="339">
        <f t="shared" si="1315"/>
        <v>0</v>
      </c>
      <c r="L1027" s="281">
        <f t="shared" si="1316"/>
        <v>0</v>
      </c>
      <c r="M1027" s="251">
        <f t="shared" si="1316"/>
        <v>0</v>
      </c>
      <c r="N1027" s="367" t="str">
        <f t="shared" si="1301"/>
        <v>-</v>
      </c>
      <c r="O1027" s="368" t="str">
        <f t="shared" si="1302"/>
        <v>-</v>
      </c>
    </row>
    <row r="1028" spans="1:15" ht="23.4" x14ac:dyDescent="0.3">
      <c r="A1028" s="277" t="s">
        <v>110</v>
      </c>
      <c r="B1028" s="904"/>
      <c r="C1028" s="278" t="s">
        <v>423</v>
      </c>
      <c r="D1028" s="278"/>
      <c r="E1028" s="279">
        <v>0</v>
      </c>
      <c r="F1028" s="322"/>
      <c r="G1028" s="339">
        <f t="shared" si="1314"/>
        <v>0</v>
      </c>
      <c r="H1028" s="281">
        <v>0</v>
      </c>
      <c r="I1028" s="281">
        <v>0</v>
      </c>
      <c r="J1028" s="378" t="str">
        <f>IFERROR(G1028/#REF!,"-")</f>
        <v>-</v>
      </c>
      <c r="K1028" s="339">
        <f t="shared" si="1315"/>
        <v>34536</v>
      </c>
      <c r="L1028" s="281">
        <f t="shared" si="1316"/>
        <v>33960</v>
      </c>
      <c r="M1028" s="251">
        <f t="shared" si="1316"/>
        <v>576</v>
      </c>
      <c r="N1028" s="367" t="str">
        <f t="shared" si="1301"/>
        <v>-</v>
      </c>
      <c r="O1028" s="368">
        <f t="shared" si="1302"/>
        <v>1.6678248783877692E-2</v>
      </c>
    </row>
    <row r="1029" spans="1:15" ht="23.4" x14ac:dyDescent="0.3">
      <c r="A1029" s="277" t="s">
        <v>110</v>
      </c>
      <c r="B1029" s="904"/>
      <c r="C1029" s="278" t="s">
        <v>166</v>
      </c>
      <c r="D1029" s="278"/>
      <c r="E1029" s="279">
        <v>0</v>
      </c>
      <c r="F1029" s="322"/>
      <c r="G1029" s="339">
        <f t="shared" si="1314"/>
        <v>0</v>
      </c>
      <c r="H1029" s="281">
        <v>0</v>
      </c>
      <c r="I1029" s="281">
        <v>0</v>
      </c>
      <c r="J1029" s="378" t="str">
        <f>IFERROR(G1029/#REF!,"-")</f>
        <v>-</v>
      </c>
      <c r="K1029" s="339">
        <f t="shared" si="1315"/>
        <v>0</v>
      </c>
      <c r="L1029" s="281">
        <f t="shared" si="1316"/>
        <v>0</v>
      </c>
      <c r="M1029" s="251">
        <f t="shared" si="1316"/>
        <v>0</v>
      </c>
      <c r="N1029" s="367" t="str">
        <f t="shared" si="1301"/>
        <v>-</v>
      </c>
      <c r="O1029" s="368" t="str">
        <f t="shared" si="1302"/>
        <v>-</v>
      </c>
    </row>
    <row r="1030" spans="1:15" ht="24" thickBot="1" x14ac:dyDescent="0.35">
      <c r="A1030" s="277" t="s">
        <v>110</v>
      </c>
      <c r="B1030" s="905"/>
      <c r="C1030" s="282" t="s">
        <v>167</v>
      </c>
      <c r="D1030" s="282"/>
      <c r="E1030" s="283">
        <v>0</v>
      </c>
      <c r="F1030" s="323"/>
      <c r="G1030" s="340">
        <f t="shared" si="1314"/>
        <v>0</v>
      </c>
      <c r="H1030" s="285">
        <v>0</v>
      </c>
      <c r="I1030" s="285">
        <v>0</v>
      </c>
      <c r="J1030" s="379" t="str">
        <f>IFERROR(G1030/#REF!,"-")</f>
        <v>-</v>
      </c>
      <c r="K1030" s="340">
        <f t="shared" si="1315"/>
        <v>0</v>
      </c>
      <c r="L1030" s="285">
        <f t="shared" si="1316"/>
        <v>0</v>
      </c>
      <c r="M1030" s="286">
        <f t="shared" si="1316"/>
        <v>0</v>
      </c>
      <c r="N1030" s="369" t="str">
        <f t="shared" si="1301"/>
        <v>-</v>
      </c>
      <c r="O1030" s="370" t="str">
        <f t="shared" si="1302"/>
        <v>-</v>
      </c>
    </row>
    <row r="1031" spans="1:15" ht="24" thickBot="1" x14ac:dyDescent="0.35">
      <c r="A1031" s="277" t="s">
        <v>110</v>
      </c>
      <c r="B1031" s="906" t="s">
        <v>42</v>
      </c>
      <c r="C1031" s="907"/>
      <c r="D1031" s="908"/>
      <c r="E1031" s="326">
        <v>610600</v>
      </c>
      <c r="F1031" s="289">
        <v>25000</v>
      </c>
      <c r="G1031" s="326">
        <f>SUM(G1027:G1030)</f>
        <v>0</v>
      </c>
      <c r="H1031" s="327">
        <f t="shared" ref="H1031:I1031" si="1317">SUM(H1027:H1030)</f>
        <v>0</v>
      </c>
      <c r="I1031" s="327">
        <f t="shared" si="1317"/>
        <v>0</v>
      </c>
      <c r="J1031" s="351" t="str">
        <f>IFERROR(G1031/#REF!,"-")</f>
        <v>-</v>
      </c>
      <c r="K1031" s="326">
        <f>SUM(K1026:K1030)</f>
        <v>213196</v>
      </c>
      <c r="L1031" s="327">
        <f>SUM(L1026:L1030)</f>
        <v>210660</v>
      </c>
      <c r="M1031" s="328">
        <f>SUM(M1026:M1030)</f>
        <v>2536</v>
      </c>
      <c r="N1031" s="345">
        <f t="shared" si="1301"/>
        <v>0.34915820504421879</v>
      </c>
      <c r="O1031" s="351">
        <f t="shared" si="1302"/>
        <v>1.1895157507645547E-2</v>
      </c>
    </row>
    <row r="1032" spans="1:15" ht="23.4" x14ac:dyDescent="0.3">
      <c r="A1032" s="277" t="s">
        <v>110</v>
      </c>
      <c r="B1032" s="903" t="s">
        <v>43</v>
      </c>
      <c r="C1032" s="272" t="s">
        <v>204</v>
      </c>
      <c r="D1032" s="272"/>
      <c r="E1032" s="273">
        <v>0</v>
      </c>
      <c r="F1032" s="274"/>
      <c r="G1032" s="338">
        <f t="shared" ref="G1032:G1034" si="1318">+H1032+I1032</f>
        <v>0</v>
      </c>
      <c r="H1032" s="275">
        <v>0</v>
      </c>
      <c r="I1032" s="275">
        <v>0</v>
      </c>
      <c r="J1032" s="357" t="str">
        <f>IFERROR(G1032/#REF!,"-")</f>
        <v>-</v>
      </c>
      <c r="K1032" s="338">
        <f t="shared" ref="K1032:K1034" si="1319">+L1032+M1032</f>
        <v>0</v>
      </c>
      <c r="L1032" s="275">
        <f t="shared" ref="L1032:M1034" si="1320">+H1032+L928</f>
        <v>0</v>
      </c>
      <c r="M1032" s="276">
        <f t="shared" si="1320"/>
        <v>0</v>
      </c>
      <c r="N1032" s="342" t="str">
        <f t="shared" si="1301"/>
        <v>-</v>
      </c>
      <c r="O1032" s="352" t="str">
        <f t="shared" si="1302"/>
        <v>-</v>
      </c>
    </row>
    <row r="1033" spans="1:15" ht="23.4" x14ac:dyDescent="0.3">
      <c r="A1033" s="277" t="s">
        <v>110</v>
      </c>
      <c r="B1033" s="904"/>
      <c r="C1033" s="278" t="s">
        <v>168</v>
      </c>
      <c r="D1033" s="278"/>
      <c r="E1033" s="279">
        <v>0</v>
      </c>
      <c r="F1033" s="280"/>
      <c r="G1033" s="339">
        <f t="shared" si="1318"/>
        <v>0</v>
      </c>
      <c r="H1033" s="281">
        <v>0</v>
      </c>
      <c r="I1033" s="281">
        <v>0</v>
      </c>
      <c r="J1033" s="378" t="str">
        <f>IFERROR(G1033/#REF!,"-")</f>
        <v>-</v>
      </c>
      <c r="K1033" s="339">
        <f t="shared" si="1319"/>
        <v>0</v>
      </c>
      <c r="L1033" s="281">
        <f t="shared" si="1320"/>
        <v>0</v>
      </c>
      <c r="M1033" s="251">
        <f t="shared" si="1320"/>
        <v>0</v>
      </c>
      <c r="N1033" s="367" t="str">
        <f t="shared" si="1301"/>
        <v>-</v>
      </c>
      <c r="O1033" s="368" t="str">
        <f t="shared" si="1302"/>
        <v>-</v>
      </c>
    </row>
    <row r="1034" spans="1:15" ht="24" thickBot="1" x14ac:dyDescent="0.35">
      <c r="A1034" s="277" t="s">
        <v>110</v>
      </c>
      <c r="B1034" s="905"/>
      <c r="C1034" s="282" t="s">
        <v>204</v>
      </c>
      <c r="D1034" s="282"/>
      <c r="E1034" s="283">
        <v>0</v>
      </c>
      <c r="F1034" s="284"/>
      <c r="G1034" s="340">
        <f t="shared" si="1318"/>
        <v>0</v>
      </c>
      <c r="H1034" s="285">
        <v>0</v>
      </c>
      <c r="I1034" s="285">
        <v>0</v>
      </c>
      <c r="J1034" s="379" t="str">
        <f>IFERROR(G1034/#REF!,"-")</f>
        <v>-</v>
      </c>
      <c r="K1034" s="340">
        <f t="shared" si="1319"/>
        <v>0</v>
      </c>
      <c r="L1034" s="285">
        <f t="shared" si="1320"/>
        <v>0</v>
      </c>
      <c r="M1034" s="286">
        <f t="shared" si="1320"/>
        <v>0</v>
      </c>
      <c r="N1034" s="369" t="str">
        <f t="shared" si="1301"/>
        <v>-</v>
      </c>
      <c r="O1034" s="370" t="str">
        <f t="shared" si="1302"/>
        <v>-</v>
      </c>
    </row>
    <row r="1035" spans="1:15" ht="24" thickBot="1" x14ac:dyDescent="0.35">
      <c r="A1035" s="277" t="s">
        <v>110</v>
      </c>
      <c r="B1035" s="909" t="s">
        <v>44</v>
      </c>
      <c r="C1035" s="910"/>
      <c r="D1035" s="911"/>
      <c r="E1035" s="326">
        <v>0</v>
      </c>
      <c r="F1035" s="289"/>
      <c r="G1035" s="326">
        <f>SUM(G1032:G1034)</f>
        <v>0</v>
      </c>
      <c r="H1035" s="327">
        <f t="shared" ref="H1035:I1035" si="1321">SUM(H1032:H1034)</f>
        <v>0</v>
      </c>
      <c r="I1035" s="327">
        <f t="shared" si="1321"/>
        <v>0</v>
      </c>
      <c r="J1035" s="351" t="str">
        <f>IFERROR(G1035/#REF!,"-")</f>
        <v>-</v>
      </c>
      <c r="K1035" s="326">
        <f t="shared" ref="K1035:M1035" si="1322">SUM(K1032:K1034)</f>
        <v>0</v>
      </c>
      <c r="L1035" s="327">
        <f t="shared" si="1322"/>
        <v>0</v>
      </c>
      <c r="M1035" s="328">
        <f t="shared" si="1322"/>
        <v>0</v>
      </c>
      <c r="N1035" s="345" t="str">
        <f t="shared" si="1301"/>
        <v>-</v>
      </c>
      <c r="O1035" s="351" t="str">
        <f t="shared" si="1302"/>
        <v>-</v>
      </c>
    </row>
    <row r="1036" spans="1:15" ht="23.4" x14ac:dyDescent="0.3">
      <c r="A1036" s="277" t="s">
        <v>110</v>
      </c>
      <c r="B1036" s="903" t="s">
        <v>45</v>
      </c>
      <c r="C1036" s="272" t="s">
        <v>169</v>
      </c>
      <c r="D1036" s="272"/>
      <c r="E1036" s="273">
        <v>0</v>
      </c>
      <c r="F1036" s="274"/>
      <c r="G1036" s="338">
        <f t="shared" ref="G1036:G1037" si="1323">+H1036+I1036</f>
        <v>0</v>
      </c>
      <c r="H1036" s="275">
        <v>0</v>
      </c>
      <c r="I1036" s="275">
        <v>0</v>
      </c>
      <c r="J1036" s="377" t="str">
        <f>IFERROR(G1036/#REF!,"-")</f>
        <v>-</v>
      </c>
      <c r="K1036" s="338">
        <f t="shared" ref="K1036:K1037" si="1324">+L1036+M1036</f>
        <v>0</v>
      </c>
      <c r="L1036" s="275">
        <f>+H1036+L932</f>
        <v>0</v>
      </c>
      <c r="M1036" s="276">
        <f>+I1036+M932</f>
        <v>0</v>
      </c>
      <c r="N1036" s="365" t="str">
        <f t="shared" si="1301"/>
        <v>-</v>
      </c>
      <c r="O1036" s="366" t="str">
        <f t="shared" si="1302"/>
        <v>-</v>
      </c>
    </row>
    <row r="1037" spans="1:15" ht="24" thickBot="1" x14ac:dyDescent="0.35">
      <c r="A1037" s="277" t="s">
        <v>110</v>
      </c>
      <c r="B1037" s="905"/>
      <c r="C1037" s="282" t="s">
        <v>170</v>
      </c>
      <c r="D1037" s="282"/>
      <c r="E1037" s="283">
        <v>0</v>
      </c>
      <c r="F1037" s="284"/>
      <c r="G1037" s="340">
        <f t="shared" si="1323"/>
        <v>0</v>
      </c>
      <c r="H1037" s="285">
        <v>0</v>
      </c>
      <c r="I1037" s="285">
        <v>0</v>
      </c>
      <c r="J1037" s="379" t="str">
        <f>IFERROR(G1037/#REF!,"-")</f>
        <v>-</v>
      </c>
      <c r="K1037" s="340">
        <f t="shared" si="1324"/>
        <v>0</v>
      </c>
      <c r="L1037" s="285">
        <f>+H1037+L933</f>
        <v>0</v>
      </c>
      <c r="M1037" s="286">
        <f>+I1037+M933</f>
        <v>0</v>
      </c>
      <c r="N1037" s="369" t="str">
        <f t="shared" si="1301"/>
        <v>-</v>
      </c>
      <c r="O1037" s="370" t="str">
        <f t="shared" si="1302"/>
        <v>-</v>
      </c>
    </row>
    <row r="1038" spans="1:15" ht="24" thickBot="1" x14ac:dyDescent="0.35">
      <c r="A1038" s="277" t="s">
        <v>110</v>
      </c>
      <c r="B1038" s="909" t="s">
        <v>46</v>
      </c>
      <c r="C1038" s="910"/>
      <c r="D1038" s="911"/>
      <c r="E1038" s="288">
        <v>11100</v>
      </c>
      <c r="F1038" s="289">
        <v>25000</v>
      </c>
      <c r="G1038" s="326">
        <f>SUM(G1036:G1037)</f>
        <v>0</v>
      </c>
      <c r="H1038" s="327">
        <f t="shared" ref="H1038:I1038" si="1325">SUM(H1036:H1037)</f>
        <v>0</v>
      </c>
      <c r="I1038" s="327">
        <f t="shared" si="1325"/>
        <v>0</v>
      </c>
      <c r="J1038" s="351" t="str">
        <f>IFERROR(G1038/#REF!,"-")</f>
        <v>-</v>
      </c>
      <c r="K1038" s="326">
        <f t="shared" ref="K1038:M1038" si="1326">SUM(K1036:K1037)</f>
        <v>0</v>
      </c>
      <c r="L1038" s="327">
        <f t="shared" si="1326"/>
        <v>0</v>
      </c>
      <c r="M1038" s="328">
        <f t="shared" si="1326"/>
        <v>0</v>
      </c>
      <c r="N1038" s="345">
        <f t="shared" si="1301"/>
        <v>0</v>
      </c>
      <c r="O1038" s="351" t="str">
        <f t="shared" si="1302"/>
        <v>-</v>
      </c>
    </row>
    <row r="1039" spans="1:15" ht="24" thickBot="1" x14ac:dyDescent="0.35">
      <c r="A1039" s="277" t="s">
        <v>110</v>
      </c>
      <c r="B1039" s="912" t="s">
        <v>25</v>
      </c>
      <c r="C1039" s="913"/>
      <c r="D1039" s="914"/>
      <c r="E1039" s="332">
        <f t="shared" ref="E1039:F1039" si="1327">+E1017+E1022+E1025+E1031+E1035+E1038</f>
        <v>745700</v>
      </c>
      <c r="F1039" s="333">
        <f t="shared" si="1327"/>
        <v>59300</v>
      </c>
      <c r="G1039" s="332">
        <f>+G1017+G1022+G1025+G1031+G1035+G1038</f>
        <v>6551</v>
      </c>
      <c r="H1039" s="330">
        <f t="shared" ref="H1039:I1039" si="1328">+H1017+H1022+H1025+H1031+H1035+H1038</f>
        <v>6400</v>
      </c>
      <c r="I1039" s="330">
        <f t="shared" si="1328"/>
        <v>151</v>
      </c>
      <c r="J1039" s="355" t="str">
        <f>IFERROR(G1039/#REF!,"-")</f>
        <v>-</v>
      </c>
      <c r="K1039" s="332">
        <f>+K1017+K1022+K1025+K1031+K1035+K1038</f>
        <v>248453</v>
      </c>
      <c r="L1039" s="330">
        <f t="shared" ref="L1039:M1039" si="1329">+L1017+L1022+L1025+L1031+L1035+L1038</f>
        <v>244260</v>
      </c>
      <c r="M1039" s="331">
        <f t="shared" si="1329"/>
        <v>4193</v>
      </c>
      <c r="N1039" s="347">
        <f t="shared" si="1301"/>
        <v>0.33318090384873272</v>
      </c>
      <c r="O1039" s="355">
        <f t="shared" si="1302"/>
        <v>1.6876431357238594E-2</v>
      </c>
    </row>
    <row r="1040" spans="1:15" ht="24" thickBot="1" x14ac:dyDescent="0.35">
      <c r="A1040" s="324" t="s">
        <v>110</v>
      </c>
      <c r="B1040" s="901" t="s">
        <v>182</v>
      </c>
      <c r="C1040" s="901"/>
      <c r="D1040" s="902"/>
      <c r="E1040" s="336">
        <f>+E1039</f>
        <v>745700</v>
      </c>
      <c r="F1040" s="337">
        <f t="shared" ref="F1040:O1040" si="1330">+F1039</f>
        <v>59300</v>
      </c>
      <c r="G1040" s="336">
        <f t="shared" si="1330"/>
        <v>6551</v>
      </c>
      <c r="H1040" s="334">
        <f t="shared" si="1330"/>
        <v>6400</v>
      </c>
      <c r="I1040" s="334">
        <f t="shared" si="1330"/>
        <v>151</v>
      </c>
      <c r="J1040" s="356" t="str">
        <f t="shared" si="1330"/>
        <v>-</v>
      </c>
      <c r="K1040" s="336">
        <f t="shared" si="1330"/>
        <v>248453</v>
      </c>
      <c r="L1040" s="334">
        <f t="shared" si="1330"/>
        <v>244260</v>
      </c>
      <c r="M1040" s="335">
        <f t="shared" si="1330"/>
        <v>4193</v>
      </c>
      <c r="N1040" s="348">
        <f t="shared" si="1330"/>
        <v>0.33318090384873272</v>
      </c>
      <c r="O1040" s="356">
        <f t="shared" si="1330"/>
        <v>1.6876431357238594E-2</v>
      </c>
    </row>
    <row r="1041" spans="1:15" ht="24.6" thickBot="1" x14ac:dyDescent="0.35">
      <c r="A1041" s="325"/>
      <c r="B1041" s="915" t="s">
        <v>183</v>
      </c>
      <c r="C1041" s="916"/>
      <c r="D1041" s="917"/>
      <c r="E1041" s="380">
        <f>+E986+E1013+E1040</f>
        <v>9494400</v>
      </c>
      <c r="F1041" s="380">
        <f>+F986+F1013+F1040</f>
        <v>748300</v>
      </c>
      <c r="G1041" s="380">
        <f>+G986+G1013+G1040</f>
        <v>213145</v>
      </c>
      <c r="H1041" s="380">
        <f>+H986+H1013+H1040</f>
        <v>210944</v>
      </c>
      <c r="I1041" s="380">
        <f>+I986+I1013+I1040</f>
        <v>2201</v>
      </c>
      <c r="J1041" s="381" t="str">
        <f>IFERROR(G1041/#REF!,"-")</f>
        <v>-</v>
      </c>
      <c r="K1041" s="380">
        <f>+K986+K1013+K1040</f>
        <v>2727387</v>
      </c>
      <c r="L1041" s="380">
        <f>+L986+L1013+L1040</f>
        <v>2730334</v>
      </c>
      <c r="M1041" s="380">
        <f>+M986+M1013+M1040</f>
        <v>31051</v>
      </c>
      <c r="N1041" s="381">
        <f>IFERROR(K1041/E1041,"-")</f>
        <v>0.28726270222446915</v>
      </c>
      <c r="O1041" s="381">
        <f>IFERROR(M1041/K1041,"-")</f>
        <v>1.1384889639790759E-2</v>
      </c>
    </row>
    <row r="1042" spans="1:15" ht="23.4" x14ac:dyDescent="0.3">
      <c r="A1042" s="935" t="s">
        <v>1</v>
      </c>
      <c r="B1042" s="938" t="s">
        <v>2</v>
      </c>
      <c r="C1042" s="941" t="s">
        <v>3</v>
      </c>
      <c r="D1042" s="941" t="s">
        <v>93</v>
      </c>
      <c r="E1042" s="944" t="s">
        <v>4</v>
      </c>
      <c r="F1042" s="945"/>
      <c r="G1042" s="945"/>
      <c r="H1042" s="945"/>
      <c r="I1042" s="945"/>
      <c r="J1042" s="945"/>
      <c r="K1042" s="945"/>
      <c r="L1042" s="945"/>
      <c r="M1042" s="945"/>
      <c r="N1042" s="945"/>
      <c r="O1042" s="946"/>
    </row>
    <row r="1043" spans="1:15" ht="23.4" x14ac:dyDescent="0.3">
      <c r="A1043" s="936"/>
      <c r="B1043" s="939"/>
      <c r="C1043" s="942"/>
      <c r="D1043" s="942"/>
      <c r="E1043" s="947" t="s">
        <v>7</v>
      </c>
      <c r="F1043" s="949" t="s">
        <v>116</v>
      </c>
      <c r="G1043" s="951">
        <v>44515</v>
      </c>
      <c r="H1043" s="952"/>
      <c r="I1043" s="952"/>
      <c r="J1043" s="953"/>
      <c r="K1043" s="954" t="s">
        <v>8</v>
      </c>
      <c r="L1043" s="955"/>
      <c r="M1043" s="956"/>
      <c r="N1043" s="957" t="s">
        <v>174</v>
      </c>
      <c r="O1043" s="959" t="s">
        <v>173</v>
      </c>
    </row>
    <row r="1044" spans="1:15" ht="41.4" thickBot="1" x14ac:dyDescent="0.35">
      <c r="A1044" s="937"/>
      <c r="B1044" s="940"/>
      <c r="C1044" s="943"/>
      <c r="D1044" s="943"/>
      <c r="E1044" s="948"/>
      <c r="F1044" s="950"/>
      <c r="G1044" s="462" t="s">
        <v>13</v>
      </c>
      <c r="H1044" s="463" t="s">
        <v>14</v>
      </c>
      <c r="I1044" s="463" t="s">
        <v>15</v>
      </c>
      <c r="J1044" s="464" t="s">
        <v>175</v>
      </c>
      <c r="K1044" s="462" t="s">
        <v>13</v>
      </c>
      <c r="L1044" s="463" t="s">
        <v>14</v>
      </c>
      <c r="M1044" s="465" t="s">
        <v>15</v>
      </c>
      <c r="N1044" s="958"/>
      <c r="O1044" s="960"/>
    </row>
    <row r="1045" spans="1:15" ht="23.4" x14ac:dyDescent="0.3">
      <c r="A1045" s="271" t="s">
        <v>111</v>
      </c>
      <c r="B1045" s="922" t="s">
        <v>16</v>
      </c>
      <c r="C1045" s="272" t="s">
        <v>186</v>
      </c>
      <c r="D1045" s="272" t="s">
        <v>184</v>
      </c>
      <c r="E1045" s="273">
        <v>0</v>
      </c>
      <c r="F1045" s="274"/>
      <c r="G1045" s="338">
        <f>+H1045+I1045</f>
        <v>0</v>
      </c>
      <c r="H1045" s="275">
        <v>0</v>
      </c>
      <c r="I1045" s="275">
        <v>0</v>
      </c>
      <c r="J1045" s="357" t="str">
        <f>IFERROR(G1045/#REF!,"-")</f>
        <v>-</v>
      </c>
      <c r="K1045" s="468">
        <f>+L1045+M1045</f>
        <v>0</v>
      </c>
      <c r="L1045" s="469">
        <f>+H1045+L941</f>
        <v>0</v>
      </c>
      <c r="M1045" s="469">
        <f>+I1045+M941</f>
        <v>0</v>
      </c>
      <c r="N1045" s="342" t="str">
        <f>IFERROR(K1045/E1045,"-")</f>
        <v>-</v>
      </c>
      <c r="O1045" s="349" t="str">
        <f t="shared" ref="O1045:O1046" si="1331">IFERROR(M1045/K1045,"-")</f>
        <v>-</v>
      </c>
    </row>
    <row r="1046" spans="1:15" ht="23.4" x14ac:dyDescent="0.3">
      <c r="A1046" s="277" t="s">
        <v>111</v>
      </c>
      <c r="B1046" s="923"/>
      <c r="C1046" s="278" t="s">
        <v>190</v>
      </c>
      <c r="D1046" s="278" t="s">
        <v>101</v>
      </c>
      <c r="E1046" s="279">
        <v>0</v>
      </c>
      <c r="F1046" s="280"/>
      <c r="G1046" s="339">
        <f t="shared" ref="G1046:G1048" si="1332">+H1046+I1046</f>
        <v>0</v>
      </c>
      <c r="H1046" s="281">
        <v>0</v>
      </c>
      <c r="I1046" s="281">
        <v>0</v>
      </c>
      <c r="J1046" s="358" t="str">
        <f>IFERROR(G1046/#REF!,"-")</f>
        <v>-</v>
      </c>
      <c r="K1046" s="339">
        <f t="shared" ref="K1046:K1048" si="1333">+L1046+M1046</f>
        <v>0</v>
      </c>
      <c r="L1046" s="281">
        <f t="shared" ref="L1046:M1046" si="1334">+H1046+L942</f>
        <v>0</v>
      </c>
      <c r="M1046" s="442">
        <f t="shared" si="1334"/>
        <v>0</v>
      </c>
      <c r="N1046" s="343" t="str">
        <f t="shared" ref="N1046:N1048" si="1335">IFERROR(K1046/E1046,"-")</f>
        <v>-</v>
      </c>
      <c r="O1046" s="268" t="str">
        <f t="shared" si="1331"/>
        <v>-</v>
      </c>
    </row>
    <row r="1047" spans="1:15" ht="23.4" x14ac:dyDescent="0.3">
      <c r="A1047" s="277" t="s">
        <v>111</v>
      </c>
      <c r="B1047" s="923"/>
      <c r="C1047" s="278" t="s">
        <v>187</v>
      </c>
      <c r="D1047" s="278" t="s">
        <v>185</v>
      </c>
      <c r="E1047" s="279">
        <v>0</v>
      </c>
      <c r="F1047" s="280"/>
      <c r="G1047" s="339">
        <f t="shared" si="1332"/>
        <v>0</v>
      </c>
      <c r="H1047" s="281">
        <v>0</v>
      </c>
      <c r="I1047" s="281">
        <v>0</v>
      </c>
      <c r="J1047" s="358" t="str">
        <f>IFERROR(G1047/#REF!,"-")</f>
        <v>-</v>
      </c>
      <c r="K1047" s="339">
        <f t="shared" si="1333"/>
        <v>0</v>
      </c>
      <c r="L1047" s="281">
        <f t="shared" ref="L1047:M1047" si="1336">+H1047+L943</f>
        <v>0</v>
      </c>
      <c r="M1047" s="442">
        <f t="shared" si="1336"/>
        <v>0</v>
      </c>
      <c r="N1047" s="343" t="str">
        <f t="shared" si="1335"/>
        <v>-</v>
      </c>
      <c r="O1047" s="268" t="str">
        <f>IFERROR(M1047/K1047,"-")</f>
        <v>-</v>
      </c>
    </row>
    <row r="1048" spans="1:15" ht="24" thickBot="1" x14ac:dyDescent="0.35">
      <c r="A1048" s="277" t="s">
        <v>111</v>
      </c>
      <c r="B1048" s="924"/>
      <c r="C1048" s="282" t="s">
        <v>255</v>
      </c>
      <c r="D1048" s="282" t="s">
        <v>256</v>
      </c>
      <c r="E1048" s="283">
        <v>0</v>
      </c>
      <c r="F1048" s="284"/>
      <c r="G1048" s="340">
        <f t="shared" si="1332"/>
        <v>0</v>
      </c>
      <c r="H1048" s="285">
        <v>0</v>
      </c>
      <c r="I1048" s="285">
        <v>0</v>
      </c>
      <c r="J1048" s="359" t="str">
        <f>IFERROR(G1048/#REF!,"-")</f>
        <v>-</v>
      </c>
      <c r="K1048" s="471">
        <f t="shared" si="1333"/>
        <v>105112</v>
      </c>
      <c r="L1048" s="472">
        <f t="shared" ref="L1048:M1048" si="1337">+H1048+L944</f>
        <v>103424</v>
      </c>
      <c r="M1048" s="473">
        <f t="shared" si="1337"/>
        <v>1688</v>
      </c>
      <c r="N1048" s="344" t="str">
        <f t="shared" si="1335"/>
        <v>-</v>
      </c>
      <c r="O1048" s="350">
        <f t="shared" ref="O1048:O1113" si="1338">IFERROR(M1048/K1048,"-")</f>
        <v>1.6059060811325063E-2</v>
      </c>
    </row>
    <row r="1049" spans="1:15" ht="24" thickBot="1" x14ac:dyDescent="0.35">
      <c r="A1049" s="277" t="s">
        <v>111</v>
      </c>
      <c r="B1049" s="906" t="s">
        <v>47</v>
      </c>
      <c r="C1049" s="907"/>
      <c r="D1049" s="908"/>
      <c r="E1049" s="326">
        <v>144600</v>
      </c>
      <c r="F1049" s="289">
        <v>15000</v>
      </c>
      <c r="G1049" s="326">
        <f>SUM(G1045:G1048)</f>
        <v>0</v>
      </c>
      <c r="H1049" s="327">
        <f t="shared" ref="H1049:I1049" si="1339">SUM(H1045:H1048)</f>
        <v>0</v>
      </c>
      <c r="I1049" s="327">
        <f t="shared" si="1339"/>
        <v>0</v>
      </c>
      <c r="J1049" s="351" t="str">
        <f>IFERROR(G1049/#REF!,"-")</f>
        <v>-</v>
      </c>
      <c r="K1049" s="326">
        <f t="shared" ref="K1049:M1049" si="1340">SUM(K1045:K1048)</f>
        <v>105112</v>
      </c>
      <c r="L1049" s="327">
        <f t="shared" si="1340"/>
        <v>103424</v>
      </c>
      <c r="M1049" s="328">
        <f t="shared" si="1340"/>
        <v>1688</v>
      </c>
      <c r="N1049" s="345">
        <f>IFERROR(K1049/E1049,"-")</f>
        <v>0.72691562932226828</v>
      </c>
      <c r="O1049" s="351">
        <f t="shared" si="1338"/>
        <v>1.6059060811325063E-2</v>
      </c>
    </row>
    <row r="1050" spans="1:15" ht="23.4" x14ac:dyDescent="0.3">
      <c r="A1050" s="277" t="s">
        <v>111</v>
      </c>
      <c r="B1050" s="922" t="s">
        <v>17</v>
      </c>
      <c r="C1050" s="272" t="s">
        <v>331</v>
      </c>
      <c r="D1050" s="272"/>
      <c r="E1050" s="273">
        <v>0</v>
      </c>
      <c r="F1050" s="274"/>
      <c r="G1050" s="338">
        <f t="shared" ref="G1050:G1056" si="1341">+H1050+I1050</f>
        <v>0</v>
      </c>
      <c r="H1050" s="275">
        <v>0</v>
      </c>
      <c r="I1050" s="275">
        <v>0</v>
      </c>
      <c r="J1050" s="357" t="str">
        <f>IFERROR(G1050/#REF!,"-")</f>
        <v>-</v>
      </c>
      <c r="K1050" s="468">
        <f t="shared" ref="K1050:K1056" si="1342">+L1050+M1050</f>
        <v>0</v>
      </c>
      <c r="L1050" s="469">
        <f t="shared" ref="L1050:M1050" si="1343">+H1050+L946</f>
        <v>0</v>
      </c>
      <c r="M1050" s="470">
        <f t="shared" si="1343"/>
        <v>0</v>
      </c>
      <c r="N1050" s="342" t="str">
        <f t="shared" ref="N1050:N1067" si="1344">IFERROR(K1050/E1050,"-")</f>
        <v>-</v>
      </c>
      <c r="O1050" s="352" t="str">
        <f t="shared" si="1338"/>
        <v>-</v>
      </c>
    </row>
    <row r="1051" spans="1:15" ht="23.4" x14ac:dyDescent="0.3">
      <c r="A1051" s="277" t="s">
        <v>111</v>
      </c>
      <c r="B1051" s="923"/>
      <c r="C1051" s="278" t="s">
        <v>421</v>
      </c>
      <c r="D1051" s="278" t="s">
        <v>257</v>
      </c>
      <c r="E1051" s="279">
        <v>0</v>
      </c>
      <c r="F1051" s="280"/>
      <c r="G1051" s="339">
        <f t="shared" si="1341"/>
        <v>0</v>
      </c>
      <c r="H1051" s="281">
        <v>0</v>
      </c>
      <c r="I1051" s="281">
        <v>0</v>
      </c>
      <c r="J1051" s="358" t="str">
        <f>IFERROR(G1051/#REF!,"-")</f>
        <v>-</v>
      </c>
      <c r="K1051" s="339">
        <f t="shared" si="1342"/>
        <v>260594</v>
      </c>
      <c r="L1051" s="281">
        <f t="shared" ref="L1051:M1051" si="1345">+H1051+L947</f>
        <v>259343</v>
      </c>
      <c r="M1051" s="442">
        <f t="shared" si="1345"/>
        <v>1251</v>
      </c>
      <c r="N1051" s="343" t="str">
        <f t="shared" si="1344"/>
        <v>-</v>
      </c>
      <c r="O1051" s="264">
        <f t="shared" si="1338"/>
        <v>4.8005710031696815E-3</v>
      </c>
    </row>
    <row r="1052" spans="1:15" ht="23.4" x14ac:dyDescent="0.3">
      <c r="A1052" s="277" t="s">
        <v>111</v>
      </c>
      <c r="B1052" s="923"/>
      <c r="C1052" s="278" t="s">
        <v>290</v>
      </c>
      <c r="D1052" s="278" t="s">
        <v>205</v>
      </c>
      <c r="E1052" s="279">
        <v>0</v>
      </c>
      <c r="F1052" s="280"/>
      <c r="G1052" s="339">
        <f t="shared" si="1341"/>
        <v>0</v>
      </c>
      <c r="H1052" s="281">
        <v>0</v>
      </c>
      <c r="I1052" s="281">
        <v>0</v>
      </c>
      <c r="J1052" s="358" t="str">
        <f>IFERROR(G1052/#REF!,"-")</f>
        <v>-</v>
      </c>
      <c r="K1052" s="339">
        <f t="shared" si="1342"/>
        <v>0</v>
      </c>
      <c r="L1052" s="281">
        <f t="shared" ref="L1052:M1052" si="1346">+H1052+L948</f>
        <v>0</v>
      </c>
      <c r="M1052" s="442">
        <f t="shared" si="1346"/>
        <v>0</v>
      </c>
      <c r="N1052" s="343" t="str">
        <f t="shared" si="1344"/>
        <v>-</v>
      </c>
      <c r="O1052" s="264" t="str">
        <f t="shared" si="1338"/>
        <v>-</v>
      </c>
    </row>
    <row r="1053" spans="1:15" ht="23.4" x14ac:dyDescent="0.3">
      <c r="A1053" s="277" t="s">
        <v>111</v>
      </c>
      <c r="B1053" s="923"/>
      <c r="C1053" s="278" t="s">
        <v>330</v>
      </c>
      <c r="D1053" s="278" t="s">
        <v>206</v>
      </c>
      <c r="E1053" s="279">
        <v>0</v>
      </c>
      <c r="F1053" s="280"/>
      <c r="G1053" s="339">
        <f t="shared" si="1341"/>
        <v>0</v>
      </c>
      <c r="H1053" s="281">
        <v>0</v>
      </c>
      <c r="I1053" s="281">
        <v>0</v>
      </c>
      <c r="J1053" s="358" t="str">
        <f>IFERROR(G1053/#REF!,"-")</f>
        <v>-</v>
      </c>
      <c r="K1053" s="339">
        <f t="shared" si="1342"/>
        <v>1836</v>
      </c>
      <c r="L1053" s="281">
        <f t="shared" ref="L1053:M1053" si="1347">+H1053+L949</f>
        <v>1836</v>
      </c>
      <c r="M1053" s="442">
        <f t="shared" si="1347"/>
        <v>0</v>
      </c>
      <c r="N1053" s="343" t="str">
        <f t="shared" si="1344"/>
        <v>-</v>
      </c>
      <c r="O1053" s="264">
        <f t="shared" si="1338"/>
        <v>0</v>
      </c>
    </row>
    <row r="1054" spans="1:15" ht="23.4" x14ac:dyDescent="0.3">
      <c r="A1054" s="277" t="s">
        <v>111</v>
      </c>
      <c r="B1054" s="923"/>
      <c r="C1054" s="278" t="s">
        <v>377</v>
      </c>
      <c r="D1054" s="278" t="s">
        <v>371</v>
      </c>
      <c r="E1054" s="279">
        <v>0</v>
      </c>
      <c r="F1054" s="280"/>
      <c r="G1054" s="339">
        <f t="shared" si="1341"/>
        <v>2298</v>
      </c>
      <c r="H1054" s="281">
        <v>2298</v>
      </c>
      <c r="I1054" s="281">
        <v>0</v>
      </c>
      <c r="J1054" s="358" t="str">
        <f>IFERROR(G1054/#REF!,"-")</f>
        <v>-</v>
      </c>
      <c r="K1054" s="339">
        <f t="shared" si="1342"/>
        <v>10610</v>
      </c>
      <c r="L1054" s="281">
        <f t="shared" ref="L1054:M1054" si="1348">+H1054+L950</f>
        <v>10610</v>
      </c>
      <c r="M1054" s="442">
        <f t="shared" si="1348"/>
        <v>0</v>
      </c>
      <c r="N1054" s="343" t="str">
        <f t="shared" si="1344"/>
        <v>-</v>
      </c>
      <c r="O1054" s="264">
        <f t="shared" si="1338"/>
        <v>0</v>
      </c>
    </row>
    <row r="1055" spans="1:15" ht="23.4" x14ac:dyDescent="0.3">
      <c r="A1055" s="277" t="s">
        <v>111</v>
      </c>
      <c r="B1055" s="923"/>
      <c r="C1055" s="278" t="s">
        <v>443</v>
      </c>
      <c r="D1055" s="278" t="s">
        <v>207</v>
      </c>
      <c r="E1055" s="279">
        <v>0</v>
      </c>
      <c r="F1055" s="280"/>
      <c r="G1055" s="339">
        <f t="shared" si="1341"/>
        <v>61503</v>
      </c>
      <c r="H1055" s="281">
        <v>61200</v>
      </c>
      <c r="I1055" s="281">
        <v>303</v>
      </c>
      <c r="J1055" s="358" t="str">
        <f>IFERROR(G1055/#REF!,"-")</f>
        <v>-</v>
      </c>
      <c r="K1055" s="339">
        <f t="shared" si="1342"/>
        <v>411420</v>
      </c>
      <c r="L1055" s="281">
        <f t="shared" ref="L1055:M1055" si="1349">+H1055+L951</f>
        <v>410040</v>
      </c>
      <c r="M1055" s="442">
        <f t="shared" si="1349"/>
        <v>1380</v>
      </c>
      <c r="N1055" s="343" t="str">
        <f t="shared" si="1344"/>
        <v>-</v>
      </c>
      <c r="O1055" s="264">
        <f t="shared" si="1338"/>
        <v>3.3542365465947209E-3</v>
      </c>
    </row>
    <row r="1056" spans="1:15" ht="24" thickBot="1" x14ac:dyDescent="0.35">
      <c r="A1056" s="277" t="s">
        <v>111</v>
      </c>
      <c r="B1056" s="924"/>
      <c r="C1056" s="282" t="s">
        <v>416</v>
      </c>
      <c r="D1056" s="282" t="s">
        <v>257</v>
      </c>
      <c r="E1056" s="283">
        <v>0</v>
      </c>
      <c r="F1056" s="284"/>
      <c r="G1056" s="340">
        <f t="shared" si="1341"/>
        <v>0</v>
      </c>
      <c r="H1056" s="285">
        <v>0</v>
      </c>
      <c r="I1056" s="285">
        <v>0</v>
      </c>
      <c r="J1056" s="359" t="str">
        <f>IFERROR(G1056/#REF!,"-")</f>
        <v>-</v>
      </c>
      <c r="K1056" s="471">
        <f t="shared" si="1342"/>
        <v>73650</v>
      </c>
      <c r="L1056" s="719">
        <f t="shared" ref="L1056:M1056" si="1350">+H1056+L952</f>
        <v>73440</v>
      </c>
      <c r="M1056" s="473">
        <f t="shared" si="1350"/>
        <v>210</v>
      </c>
      <c r="N1056" s="344" t="str">
        <f t="shared" si="1344"/>
        <v>-</v>
      </c>
      <c r="O1056" s="353">
        <f t="shared" si="1338"/>
        <v>2.8513238289205704E-3</v>
      </c>
    </row>
    <row r="1057" spans="1:15" ht="24" thickBot="1" x14ac:dyDescent="0.35">
      <c r="A1057" s="277" t="s">
        <v>111</v>
      </c>
      <c r="B1057" s="906" t="s">
        <v>48</v>
      </c>
      <c r="C1057" s="907"/>
      <c r="D1057" s="908"/>
      <c r="E1057" s="326">
        <v>3480000</v>
      </c>
      <c r="F1057" s="289">
        <v>100000</v>
      </c>
      <c r="G1057" s="326">
        <f>SUM(G1050:G1056)</f>
        <v>63801</v>
      </c>
      <c r="H1057" s="327">
        <f t="shared" ref="H1057:I1057" si="1351">SUM(H1050:H1056)</f>
        <v>63498</v>
      </c>
      <c r="I1057" s="327">
        <f t="shared" si="1351"/>
        <v>303</v>
      </c>
      <c r="J1057" s="351" t="str">
        <f>IFERROR(G1057/#REF!,"-")</f>
        <v>-</v>
      </c>
      <c r="K1057" s="326">
        <f>SUM(K1050:K1056)</f>
        <v>758110</v>
      </c>
      <c r="L1057" s="327">
        <f t="shared" ref="L1057:M1057" si="1352">SUM(L1050:L1056)</f>
        <v>755269</v>
      </c>
      <c r="M1057" s="328">
        <f t="shared" si="1352"/>
        <v>2841</v>
      </c>
      <c r="N1057" s="345">
        <f>IFERROR(K1057/E1057,"-")</f>
        <v>0.21784770114942528</v>
      </c>
      <c r="O1057" s="351">
        <f t="shared" si="1338"/>
        <v>3.747477279022833E-3</v>
      </c>
    </row>
    <row r="1058" spans="1:15" ht="23.4" x14ac:dyDescent="0.3">
      <c r="A1058" s="277" t="s">
        <v>111</v>
      </c>
      <c r="B1058" s="922" t="s">
        <v>18</v>
      </c>
      <c r="C1058" s="272" t="s">
        <v>359</v>
      </c>
      <c r="D1058" s="272" t="s">
        <v>99</v>
      </c>
      <c r="E1058" s="273">
        <v>0</v>
      </c>
      <c r="F1058" s="274"/>
      <c r="G1058" s="338">
        <f t="shared" ref="G1058:G1064" si="1353">+H1058+I1058</f>
        <v>0</v>
      </c>
      <c r="H1058" s="275">
        <v>0</v>
      </c>
      <c r="I1058" s="275">
        <v>0</v>
      </c>
      <c r="J1058" s="357" t="str">
        <f>IFERROR(G1058/#REF!,"-")</f>
        <v>-</v>
      </c>
      <c r="K1058" s="338">
        <f t="shared" ref="K1058:K1064" si="1354">+L1058+M1058</f>
        <v>0</v>
      </c>
      <c r="L1058" s="275">
        <f t="shared" ref="L1058:M1058" si="1355">+H1058+L954</f>
        <v>0</v>
      </c>
      <c r="M1058" s="276">
        <f t="shared" si="1355"/>
        <v>0</v>
      </c>
      <c r="N1058" s="342" t="str">
        <f t="shared" si="1344"/>
        <v>-</v>
      </c>
      <c r="O1058" s="352" t="str">
        <f t="shared" si="1338"/>
        <v>-</v>
      </c>
    </row>
    <row r="1059" spans="1:15" ht="23.4" x14ac:dyDescent="0.3">
      <c r="A1059" s="277" t="s">
        <v>111</v>
      </c>
      <c r="B1059" s="923"/>
      <c r="C1059" s="278" t="s">
        <v>258</v>
      </c>
      <c r="D1059" s="278" t="s">
        <v>259</v>
      </c>
      <c r="E1059" s="279">
        <v>0</v>
      </c>
      <c r="F1059" s="280"/>
      <c r="G1059" s="339">
        <f t="shared" si="1353"/>
        <v>0</v>
      </c>
      <c r="H1059" s="281">
        <v>0</v>
      </c>
      <c r="I1059" s="281">
        <v>0</v>
      </c>
      <c r="J1059" s="358" t="str">
        <f>IFERROR(G1059/#REF!,"-")</f>
        <v>-</v>
      </c>
      <c r="K1059" s="339">
        <f t="shared" si="1354"/>
        <v>0</v>
      </c>
      <c r="L1059" s="281">
        <f t="shared" ref="L1059:M1059" si="1356">+H1059+L955</f>
        <v>0</v>
      </c>
      <c r="M1059" s="251">
        <f t="shared" si="1356"/>
        <v>0</v>
      </c>
      <c r="N1059" s="343" t="str">
        <f t="shared" si="1344"/>
        <v>-</v>
      </c>
      <c r="O1059" s="264" t="str">
        <f t="shared" si="1338"/>
        <v>-</v>
      </c>
    </row>
    <row r="1060" spans="1:15" ht="23.4" x14ac:dyDescent="0.3">
      <c r="A1060" s="277" t="s">
        <v>111</v>
      </c>
      <c r="B1060" s="923"/>
      <c r="C1060" s="278" t="s">
        <v>123</v>
      </c>
      <c r="D1060" s="278"/>
      <c r="E1060" s="279">
        <v>0</v>
      </c>
      <c r="F1060" s="280"/>
      <c r="G1060" s="339">
        <f t="shared" si="1353"/>
        <v>0</v>
      </c>
      <c r="H1060" s="281">
        <v>0</v>
      </c>
      <c r="I1060" s="281">
        <v>0</v>
      </c>
      <c r="J1060" s="358" t="str">
        <f>IFERROR(G1060/#REF!,"-")</f>
        <v>-</v>
      </c>
      <c r="K1060" s="339">
        <f t="shared" si="1354"/>
        <v>0</v>
      </c>
      <c r="L1060" s="281">
        <f t="shared" ref="L1060:M1060" si="1357">+H1060+L956</f>
        <v>0</v>
      </c>
      <c r="M1060" s="251">
        <f t="shared" si="1357"/>
        <v>0</v>
      </c>
      <c r="N1060" s="343" t="str">
        <f t="shared" si="1344"/>
        <v>-</v>
      </c>
      <c r="O1060" s="264" t="str">
        <f t="shared" si="1338"/>
        <v>-</v>
      </c>
    </row>
    <row r="1061" spans="1:15" ht="23.4" x14ac:dyDescent="0.3">
      <c r="A1061" s="277" t="s">
        <v>111</v>
      </c>
      <c r="B1061" s="923"/>
      <c r="C1061" s="278" t="s">
        <v>130</v>
      </c>
      <c r="D1061" s="278"/>
      <c r="E1061" s="279">
        <v>0</v>
      </c>
      <c r="F1061" s="280"/>
      <c r="G1061" s="339">
        <f t="shared" si="1353"/>
        <v>0</v>
      </c>
      <c r="H1061" s="281">
        <v>0</v>
      </c>
      <c r="I1061" s="281">
        <v>0</v>
      </c>
      <c r="J1061" s="358" t="str">
        <f>IFERROR(G1061/#REF!,"-")</f>
        <v>-</v>
      </c>
      <c r="K1061" s="339">
        <f t="shared" si="1354"/>
        <v>0</v>
      </c>
      <c r="L1061" s="281">
        <f t="shared" ref="L1061:M1061" si="1358">+H1061+L957</f>
        <v>0</v>
      </c>
      <c r="M1061" s="251">
        <f t="shared" si="1358"/>
        <v>0</v>
      </c>
      <c r="N1061" s="343" t="str">
        <f t="shared" si="1344"/>
        <v>-</v>
      </c>
      <c r="O1061" s="264" t="str">
        <f t="shared" si="1338"/>
        <v>-</v>
      </c>
    </row>
    <row r="1062" spans="1:15" ht="23.4" x14ac:dyDescent="0.3">
      <c r="A1062" s="277" t="s">
        <v>111</v>
      </c>
      <c r="B1062" s="923"/>
      <c r="C1062" s="278" t="s">
        <v>191</v>
      </c>
      <c r="D1062" s="278" t="s">
        <v>192</v>
      </c>
      <c r="E1062" s="279">
        <v>0</v>
      </c>
      <c r="F1062" s="280"/>
      <c r="G1062" s="339">
        <f t="shared" si="1353"/>
        <v>0</v>
      </c>
      <c r="H1062" s="281">
        <v>0</v>
      </c>
      <c r="I1062" s="281">
        <v>0</v>
      </c>
      <c r="J1062" s="358" t="str">
        <f>IFERROR(G1062/#REF!,"-")</f>
        <v>-</v>
      </c>
      <c r="K1062" s="339">
        <f t="shared" si="1354"/>
        <v>0</v>
      </c>
      <c r="L1062" s="281">
        <f t="shared" ref="L1062:M1062" si="1359">+H1062+L958</f>
        <v>0</v>
      </c>
      <c r="M1062" s="251">
        <f t="shared" si="1359"/>
        <v>0</v>
      </c>
      <c r="N1062" s="343" t="str">
        <f t="shared" si="1344"/>
        <v>-</v>
      </c>
      <c r="O1062" s="264" t="str">
        <f t="shared" si="1338"/>
        <v>-</v>
      </c>
    </row>
    <row r="1063" spans="1:15" ht="23.4" x14ac:dyDescent="0.3">
      <c r="A1063" s="277" t="s">
        <v>111</v>
      </c>
      <c r="B1063" s="923"/>
      <c r="C1063" s="278" t="s">
        <v>194</v>
      </c>
      <c r="D1063" s="278" t="s">
        <v>193</v>
      </c>
      <c r="E1063" s="279">
        <v>0</v>
      </c>
      <c r="F1063" s="280"/>
      <c r="G1063" s="339">
        <f t="shared" si="1353"/>
        <v>0</v>
      </c>
      <c r="H1063" s="281">
        <v>0</v>
      </c>
      <c r="I1063" s="281">
        <v>0</v>
      </c>
      <c r="J1063" s="358" t="str">
        <f>IFERROR(G1063/#REF!,"-")</f>
        <v>-</v>
      </c>
      <c r="K1063" s="339">
        <f t="shared" si="1354"/>
        <v>0</v>
      </c>
      <c r="L1063" s="281">
        <f t="shared" ref="L1063:M1063" si="1360">+H1063+L959</f>
        <v>0</v>
      </c>
      <c r="M1063" s="251">
        <f t="shared" si="1360"/>
        <v>0</v>
      </c>
      <c r="N1063" s="343" t="str">
        <f t="shared" si="1344"/>
        <v>-</v>
      </c>
      <c r="O1063" s="264" t="str">
        <f t="shared" si="1338"/>
        <v>-</v>
      </c>
    </row>
    <row r="1064" spans="1:15" ht="24" thickBot="1" x14ac:dyDescent="0.35">
      <c r="A1064" s="277" t="s">
        <v>111</v>
      </c>
      <c r="B1064" s="924"/>
      <c r="C1064" s="290" t="s">
        <v>195</v>
      </c>
      <c r="D1064" s="290" t="s">
        <v>115</v>
      </c>
      <c r="E1064" s="283">
        <v>0</v>
      </c>
      <c r="F1064" s="284"/>
      <c r="G1064" s="340">
        <f t="shared" si="1353"/>
        <v>0</v>
      </c>
      <c r="H1064" s="285">
        <v>0</v>
      </c>
      <c r="I1064" s="285">
        <v>0</v>
      </c>
      <c r="J1064" s="359" t="str">
        <f>IFERROR(G1064/#REF!,"-")</f>
        <v>-</v>
      </c>
      <c r="K1064" s="340">
        <f t="shared" si="1354"/>
        <v>0</v>
      </c>
      <c r="L1064" s="285">
        <f t="shared" ref="L1064:M1064" si="1361">+H1064+L960</f>
        <v>0</v>
      </c>
      <c r="M1064" s="286">
        <f t="shared" si="1361"/>
        <v>0</v>
      </c>
      <c r="N1064" s="344" t="str">
        <f t="shared" si="1344"/>
        <v>-</v>
      </c>
      <c r="O1064" s="353" t="str">
        <f t="shared" si="1338"/>
        <v>-</v>
      </c>
    </row>
    <row r="1065" spans="1:15" ht="24" thickBot="1" x14ac:dyDescent="0.35">
      <c r="A1065" s="277" t="s">
        <v>111</v>
      </c>
      <c r="B1065" s="906" t="s">
        <v>29</v>
      </c>
      <c r="C1065" s="907"/>
      <c r="D1065" s="908"/>
      <c r="E1065" s="326">
        <f t="shared" ref="E1065" si="1362">SUM(E1058:E1064)</f>
        <v>0</v>
      </c>
      <c r="F1065" s="289">
        <v>80000</v>
      </c>
      <c r="G1065" s="326">
        <f>SUM(G1058:G1064)</f>
        <v>0</v>
      </c>
      <c r="H1065" s="327">
        <f t="shared" ref="H1065:I1065" si="1363">SUM(H1058:H1064)</f>
        <v>0</v>
      </c>
      <c r="I1065" s="327">
        <f t="shared" si="1363"/>
        <v>0</v>
      </c>
      <c r="J1065" s="351" t="str">
        <f>IFERROR(G1065/#REF!,"-")</f>
        <v>-</v>
      </c>
      <c r="K1065" s="326">
        <f t="shared" ref="K1065:M1065" si="1364">SUM(K1058:K1064)</f>
        <v>0</v>
      </c>
      <c r="L1065" s="327">
        <f t="shared" si="1364"/>
        <v>0</v>
      </c>
      <c r="M1065" s="328">
        <f t="shared" si="1364"/>
        <v>0</v>
      </c>
      <c r="N1065" s="345" t="str">
        <f t="shared" si="1344"/>
        <v>-</v>
      </c>
      <c r="O1065" s="351" t="str">
        <f t="shared" si="1338"/>
        <v>-</v>
      </c>
    </row>
    <row r="1066" spans="1:15" ht="23.4" x14ac:dyDescent="0.3">
      <c r="A1066" s="252" t="s">
        <v>111</v>
      </c>
      <c r="B1066" s="918" t="s">
        <v>19</v>
      </c>
      <c r="C1066" s="757" t="s">
        <v>260</v>
      </c>
      <c r="D1066" s="771" t="s">
        <v>192</v>
      </c>
      <c r="E1066" s="540">
        <v>2000000</v>
      </c>
      <c r="F1066" s="470">
        <v>110000</v>
      </c>
      <c r="G1066" s="770">
        <f t="shared" ref="G1066:G1068" si="1365">+H1066+I1066</f>
        <v>15542</v>
      </c>
      <c r="H1066" s="469">
        <v>15542</v>
      </c>
      <c r="I1066" s="469">
        <v>0</v>
      </c>
      <c r="J1066" s="544" t="str">
        <f>IFERROR(G1066/#REF!,"-")</f>
        <v>-</v>
      </c>
      <c r="K1066" s="468">
        <f>+L1066+M1066</f>
        <v>329781</v>
      </c>
      <c r="L1066" s="469">
        <f t="shared" ref="L1066:M1066" si="1366">+H1066+L962</f>
        <v>328118</v>
      </c>
      <c r="M1066" s="470">
        <f t="shared" si="1366"/>
        <v>1663</v>
      </c>
      <c r="N1066" s="775">
        <f>IFERROR(K1066/E1066,"-")</f>
        <v>0.1648905</v>
      </c>
      <c r="O1066" s="776">
        <f t="shared" si="1338"/>
        <v>5.0427404853524002E-3</v>
      </c>
    </row>
    <row r="1067" spans="1:15" ht="23.4" x14ac:dyDescent="0.3">
      <c r="A1067" s="252"/>
      <c r="B1067" s="919"/>
      <c r="C1067" s="302" t="s">
        <v>458</v>
      </c>
      <c r="D1067" s="772"/>
      <c r="E1067" s="755">
        <v>0</v>
      </c>
      <c r="F1067" s="441">
        <v>110000</v>
      </c>
      <c r="G1067" s="756">
        <f t="shared" si="1365"/>
        <v>17061</v>
      </c>
      <c r="H1067" s="275">
        <v>16896</v>
      </c>
      <c r="I1067" s="275">
        <v>165</v>
      </c>
      <c r="J1067" s="357" t="str">
        <f>IFERROR(G1067/#REF!,"-")</f>
        <v>-</v>
      </c>
      <c r="K1067" s="341">
        <f>+L1067+M1067</f>
        <v>51059</v>
      </c>
      <c r="L1067" s="295">
        <f t="shared" ref="L1067:M1067" si="1367">+H1067+L963</f>
        <v>50688</v>
      </c>
      <c r="M1067" s="774">
        <f t="shared" si="1367"/>
        <v>371</v>
      </c>
      <c r="N1067" s="346" t="str">
        <f t="shared" si="1344"/>
        <v>-</v>
      </c>
      <c r="O1067" s="753">
        <f>IFERROR(M1067/K1067,"-")</f>
        <v>7.2661039189956715E-3</v>
      </c>
    </row>
    <row r="1068" spans="1:15" ht="24" thickBot="1" x14ac:dyDescent="0.35">
      <c r="A1068" s="252"/>
      <c r="B1068" s="920"/>
      <c r="C1068" s="679" t="s">
        <v>417</v>
      </c>
      <c r="D1068" s="773"/>
      <c r="E1068" s="472">
        <v>150000</v>
      </c>
      <c r="F1068" s="473">
        <v>110000</v>
      </c>
      <c r="G1068" s="607">
        <f t="shared" si="1365"/>
        <v>0</v>
      </c>
      <c r="H1068" s="285">
        <v>0</v>
      </c>
      <c r="I1068" s="285">
        <v>0</v>
      </c>
      <c r="J1068" s="359"/>
      <c r="K1068" s="471">
        <f>+L1068+M1068</f>
        <v>0</v>
      </c>
      <c r="L1068" s="472">
        <f>+H1068+L964</f>
        <v>0</v>
      </c>
      <c r="M1068" s="473">
        <f>+I1068+M964</f>
        <v>0</v>
      </c>
      <c r="N1068" s="344">
        <f t="shared" ref="N1068:N1092" si="1368">IFERROR(K1068/E1068,"-")</f>
        <v>0</v>
      </c>
      <c r="O1068" s="680" t="str">
        <f t="shared" si="1338"/>
        <v>-</v>
      </c>
    </row>
    <row r="1069" spans="1:15" ht="24" thickBot="1" x14ac:dyDescent="0.35">
      <c r="A1069" s="277" t="s">
        <v>111</v>
      </c>
      <c r="B1069" s="921" t="s">
        <v>49</v>
      </c>
      <c r="C1069" s="907"/>
      <c r="D1069" s="908"/>
      <c r="E1069" s="326">
        <f>SUM(E1066:E1068)</f>
        <v>2150000</v>
      </c>
      <c r="F1069" s="329">
        <f t="shared" ref="F1069" si="1369">SUM(F1066)</f>
        <v>110000</v>
      </c>
      <c r="G1069" s="326">
        <f>SUM(G1066)</f>
        <v>15542</v>
      </c>
      <c r="H1069" s="327">
        <f t="shared" ref="H1069:I1069" si="1370">SUM(H1066)</f>
        <v>15542</v>
      </c>
      <c r="I1069" s="327">
        <f t="shared" si="1370"/>
        <v>0</v>
      </c>
      <c r="J1069" s="351" t="str">
        <f>IFERROR(G1069/#REF!,"-")</f>
        <v>-</v>
      </c>
      <c r="K1069" s="681">
        <f>SUM(K1066:K1067)</f>
        <v>380840</v>
      </c>
      <c r="L1069" s="327">
        <f>SUM(L1066:L1067)</f>
        <v>378806</v>
      </c>
      <c r="M1069" s="328">
        <f>SUM(M1066:M1067)</f>
        <v>2034</v>
      </c>
      <c r="N1069" s="345">
        <f>IFERROR(K1069/E1069,"-")</f>
        <v>0.17713488372093023</v>
      </c>
      <c r="O1069" s="351">
        <f t="shared" si="1338"/>
        <v>5.340825543535343E-3</v>
      </c>
    </row>
    <row r="1070" spans="1:15" ht="23.4" x14ac:dyDescent="0.3">
      <c r="A1070" s="277" t="s">
        <v>111</v>
      </c>
      <c r="B1070" s="922" t="s">
        <v>20</v>
      </c>
      <c r="C1070" s="297" t="s">
        <v>370</v>
      </c>
      <c r="D1070" s="297" t="s">
        <v>324</v>
      </c>
      <c r="E1070" s="273">
        <v>0</v>
      </c>
      <c r="F1070" s="274"/>
      <c r="G1070" s="338">
        <f t="shared" ref="G1070:G1072" si="1371">+H1070+I1070</f>
        <v>0</v>
      </c>
      <c r="H1070" s="275">
        <v>0</v>
      </c>
      <c r="I1070" s="275">
        <v>0</v>
      </c>
      <c r="J1070" s="357" t="str">
        <f>IFERROR(G1070/#REF!,"-")</f>
        <v>-</v>
      </c>
      <c r="K1070" s="338">
        <f t="shared" ref="K1070:K1072" si="1372">+L1070+M1070</f>
        <v>0</v>
      </c>
      <c r="L1070" s="275">
        <f t="shared" ref="L1070:M1070" si="1373">+H1070+L966</f>
        <v>0</v>
      </c>
      <c r="M1070" s="276">
        <f t="shared" si="1373"/>
        <v>0</v>
      </c>
      <c r="N1070" s="342" t="str">
        <f t="shared" si="1368"/>
        <v>-</v>
      </c>
      <c r="O1070" s="352" t="str">
        <f t="shared" si="1338"/>
        <v>-</v>
      </c>
    </row>
    <row r="1071" spans="1:15" ht="23.4" x14ac:dyDescent="0.3">
      <c r="A1071" s="277" t="s">
        <v>111</v>
      </c>
      <c r="B1071" s="923"/>
      <c r="C1071" s="298" t="s">
        <v>122</v>
      </c>
      <c r="D1071" s="298"/>
      <c r="E1071" s="279">
        <v>0</v>
      </c>
      <c r="F1071" s="280"/>
      <c r="G1071" s="339">
        <f t="shared" si="1371"/>
        <v>0</v>
      </c>
      <c r="H1071" s="281">
        <v>0</v>
      </c>
      <c r="I1071" s="281">
        <v>0</v>
      </c>
      <c r="J1071" s="358" t="str">
        <f>IFERROR(G1071/#REF!,"-")</f>
        <v>-</v>
      </c>
      <c r="K1071" s="339">
        <f t="shared" si="1372"/>
        <v>0</v>
      </c>
      <c r="L1071" s="281">
        <f t="shared" ref="L1071:M1071" si="1374">+H1071+L967</f>
        <v>0</v>
      </c>
      <c r="M1071" s="251">
        <f t="shared" si="1374"/>
        <v>0</v>
      </c>
      <c r="N1071" s="343" t="str">
        <f t="shared" si="1368"/>
        <v>-</v>
      </c>
      <c r="O1071" s="264" t="str">
        <f t="shared" si="1338"/>
        <v>-</v>
      </c>
    </row>
    <row r="1072" spans="1:15" ht="24" thickBot="1" x14ac:dyDescent="0.35">
      <c r="A1072" s="277" t="s">
        <v>111</v>
      </c>
      <c r="B1072" s="924"/>
      <c r="C1072" s="299" t="s">
        <v>128</v>
      </c>
      <c r="D1072" s="299"/>
      <c r="E1072" s="283">
        <v>0</v>
      </c>
      <c r="F1072" s="284"/>
      <c r="G1072" s="340">
        <f t="shared" si="1371"/>
        <v>0</v>
      </c>
      <c r="H1072" s="285">
        <v>0</v>
      </c>
      <c r="I1072" s="285">
        <v>0</v>
      </c>
      <c r="J1072" s="359" t="str">
        <f>IFERROR(G1072/#REF!,"-")</f>
        <v>-</v>
      </c>
      <c r="K1072" s="340">
        <f t="shared" si="1372"/>
        <v>0</v>
      </c>
      <c r="L1072" s="285">
        <f t="shared" ref="L1072:M1072" si="1375">+H1072+L968</f>
        <v>0</v>
      </c>
      <c r="M1072" s="286">
        <f t="shared" si="1375"/>
        <v>0</v>
      </c>
      <c r="N1072" s="344" t="str">
        <f t="shared" si="1368"/>
        <v>-</v>
      </c>
      <c r="O1072" s="353" t="str">
        <f t="shared" si="1338"/>
        <v>-</v>
      </c>
    </row>
    <row r="1073" spans="1:15" ht="24" thickBot="1" x14ac:dyDescent="0.35">
      <c r="A1073" s="277" t="s">
        <v>111</v>
      </c>
      <c r="B1073" s="907" t="s">
        <v>50</v>
      </c>
      <c r="C1073" s="907"/>
      <c r="D1073" s="925"/>
      <c r="E1073" s="326">
        <f t="shared" ref="E1073" si="1376">SUM(E1070:E1072)</f>
        <v>0</v>
      </c>
      <c r="F1073" s="289">
        <v>50000</v>
      </c>
      <c r="G1073" s="326">
        <f>SUM(G1070:G1072)</f>
        <v>0</v>
      </c>
      <c r="H1073" s="327">
        <f t="shared" ref="H1073:I1073" si="1377">SUM(H1070:H1072)</f>
        <v>0</v>
      </c>
      <c r="I1073" s="327">
        <f t="shared" si="1377"/>
        <v>0</v>
      </c>
      <c r="J1073" s="351" t="str">
        <f>IFERROR(G1073/#REF!,"-")</f>
        <v>-</v>
      </c>
      <c r="K1073" s="326">
        <f t="shared" ref="K1073:M1073" si="1378">SUM(K1070:K1072)</f>
        <v>0</v>
      </c>
      <c r="L1073" s="327">
        <f t="shared" si="1378"/>
        <v>0</v>
      </c>
      <c r="M1073" s="328">
        <f t="shared" si="1378"/>
        <v>0</v>
      </c>
      <c r="N1073" s="345" t="str">
        <f t="shared" si="1368"/>
        <v>-</v>
      </c>
      <c r="O1073" s="351" t="str">
        <f t="shared" si="1338"/>
        <v>-</v>
      </c>
    </row>
    <row r="1074" spans="1:15" ht="24" thickBot="1" x14ac:dyDescent="0.35">
      <c r="A1074" s="277" t="s">
        <v>111</v>
      </c>
      <c r="B1074" s="926" t="s">
        <v>21</v>
      </c>
      <c r="C1074" s="927"/>
      <c r="D1074" s="928"/>
      <c r="E1074" s="332">
        <f>+E1049+E1057+E1065+E1069+E1073</f>
        <v>5774600</v>
      </c>
      <c r="F1074" s="333">
        <f>+F1049+F1057+F1065+F1069+F1073</f>
        <v>355000</v>
      </c>
      <c r="G1074" s="332">
        <f>+G1049+G1057+G1065+G1069+G1073</f>
        <v>79343</v>
      </c>
      <c r="H1074" s="330">
        <f>+H1049+H1057+H1065+H1069+H1073</f>
        <v>79040</v>
      </c>
      <c r="I1074" s="330">
        <f>+I1049+I1057+I1065+I1069+I1073</f>
        <v>303</v>
      </c>
      <c r="J1074" s="355" t="str">
        <f>IFERROR(G1074/#REF!,"-")</f>
        <v>-</v>
      </c>
      <c r="K1074" s="332">
        <f>+K1049+K1057+K1065+K1069+K1073</f>
        <v>1244062</v>
      </c>
      <c r="L1074" s="330">
        <f>+L1049+L1057+L1065+L1069+L1073</f>
        <v>1237499</v>
      </c>
      <c r="M1074" s="331">
        <f>+M1049+M1057+M1065+M1069+M1073</f>
        <v>6563</v>
      </c>
      <c r="N1074" s="347">
        <f>IFERROR(K1074/E1074,"-")</f>
        <v>0.21543691337928167</v>
      </c>
      <c r="O1074" s="355">
        <f t="shared" si="1338"/>
        <v>5.2754605477862036E-3</v>
      </c>
    </row>
    <row r="1075" spans="1:15" ht="23.4" x14ac:dyDescent="0.3">
      <c r="A1075" s="277" t="s">
        <v>111</v>
      </c>
      <c r="B1075" s="922" t="s">
        <v>22</v>
      </c>
      <c r="C1075" s="272" t="s">
        <v>133</v>
      </c>
      <c r="D1075" s="272"/>
      <c r="E1075" s="273">
        <v>0</v>
      </c>
      <c r="F1075" s="274"/>
      <c r="G1075" s="338">
        <f t="shared" ref="G1075:G1078" si="1379">+H1075+I1075</f>
        <v>0</v>
      </c>
      <c r="H1075" s="275">
        <v>0</v>
      </c>
      <c r="I1075" s="275">
        <v>0</v>
      </c>
      <c r="J1075" s="357" t="str">
        <f>IFERROR(G1075/#REF!,"-")</f>
        <v>-</v>
      </c>
      <c r="K1075" s="338">
        <f t="shared" ref="K1075:K1078" si="1380">+L1075+M1075</f>
        <v>0</v>
      </c>
      <c r="L1075" s="275">
        <f t="shared" ref="L1075:M1075" si="1381">+H1075+L971</f>
        <v>0</v>
      </c>
      <c r="M1075" s="276">
        <f t="shared" si="1381"/>
        <v>0</v>
      </c>
      <c r="N1075" s="342" t="str">
        <f t="shared" si="1368"/>
        <v>-</v>
      </c>
      <c r="O1075" s="352" t="str">
        <f t="shared" si="1338"/>
        <v>-</v>
      </c>
    </row>
    <row r="1076" spans="1:15" ht="23.4" x14ac:dyDescent="0.3">
      <c r="A1076" s="277" t="s">
        <v>111</v>
      </c>
      <c r="B1076" s="923"/>
      <c r="C1076" s="301" t="s">
        <v>291</v>
      </c>
      <c r="D1076" s="301" t="s">
        <v>196</v>
      </c>
      <c r="E1076" s="279">
        <v>0</v>
      </c>
      <c r="F1076" s="280"/>
      <c r="G1076" s="339">
        <f t="shared" si="1379"/>
        <v>0</v>
      </c>
      <c r="H1076" s="281">
        <v>0</v>
      </c>
      <c r="I1076" s="281">
        <v>0</v>
      </c>
      <c r="J1076" s="358" t="str">
        <f>IFERROR(G1076/#REF!,"-")</f>
        <v>-</v>
      </c>
      <c r="K1076" s="339">
        <f t="shared" si="1380"/>
        <v>0</v>
      </c>
      <c r="L1076" s="281">
        <f t="shared" ref="L1076:M1076" si="1382">+H1076+L972</f>
        <v>0</v>
      </c>
      <c r="M1076" s="251">
        <f t="shared" si="1382"/>
        <v>0</v>
      </c>
      <c r="N1076" s="343" t="str">
        <f t="shared" si="1368"/>
        <v>-</v>
      </c>
      <c r="O1076" s="264" t="str">
        <f t="shared" si="1338"/>
        <v>-</v>
      </c>
    </row>
    <row r="1077" spans="1:15" ht="23.4" x14ac:dyDescent="0.3">
      <c r="A1077" s="277" t="s">
        <v>111</v>
      </c>
      <c r="B1077" s="923"/>
      <c r="C1077" s="301" t="s">
        <v>198</v>
      </c>
      <c r="D1077" s="301" t="s">
        <v>100</v>
      </c>
      <c r="E1077" s="279">
        <v>0</v>
      </c>
      <c r="F1077" s="280"/>
      <c r="G1077" s="339">
        <f t="shared" si="1379"/>
        <v>0</v>
      </c>
      <c r="H1077" s="281">
        <v>0</v>
      </c>
      <c r="I1077" s="281">
        <v>0</v>
      </c>
      <c r="J1077" s="358" t="str">
        <f>IFERROR(G1077/#REF!,"-")</f>
        <v>-</v>
      </c>
      <c r="K1077" s="339">
        <f t="shared" si="1380"/>
        <v>0</v>
      </c>
      <c r="L1077" s="281">
        <f t="shared" ref="L1077:M1077" si="1383">+H1077+L973</f>
        <v>0</v>
      </c>
      <c r="M1077" s="251">
        <f t="shared" si="1383"/>
        <v>0</v>
      </c>
      <c r="N1077" s="343" t="str">
        <f t="shared" si="1368"/>
        <v>-</v>
      </c>
      <c r="O1077" s="264" t="str">
        <f t="shared" si="1338"/>
        <v>-</v>
      </c>
    </row>
    <row r="1078" spans="1:15" ht="24" thickBot="1" x14ac:dyDescent="0.35">
      <c r="A1078" s="277" t="s">
        <v>111</v>
      </c>
      <c r="B1078" s="924"/>
      <c r="C1078" s="282" t="s">
        <v>197</v>
      </c>
      <c r="D1078" s="282" t="s">
        <v>100</v>
      </c>
      <c r="E1078" s="283">
        <v>0</v>
      </c>
      <c r="F1078" s="284"/>
      <c r="G1078" s="340">
        <f t="shared" si="1379"/>
        <v>0</v>
      </c>
      <c r="H1078" s="285">
        <v>0</v>
      </c>
      <c r="I1078" s="285">
        <v>0</v>
      </c>
      <c r="J1078" s="359" t="str">
        <f>IFERROR(G1078/#REF!,"-")</f>
        <v>-</v>
      </c>
      <c r="K1078" s="340">
        <f t="shared" si="1380"/>
        <v>0</v>
      </c>
      <c r="L1078" s="285">
        <f t="shared" ref="L1078:M1078" si="1384">+H1078+L974</f>
        <v>0</v>
      </c>
      <c r="M1078" s="286">
        <f t="shared" si="1384"/>
        <v>0</v>
      </c>
      <c r="N1078" s="344" t="str">
        <f t="shared" si="1368"/>
        <v>-</v>
      </c>
      <c r="O1078" s="353" t="str">
        <f t="shared" si="1338"/>
        <v>-</v>
      </c>
    </row>
    <row r="1079" spans="1:15" ht="24" thickBot="1" x14ac:dyDescent="0.35">
      <c r="A1079" s="277" t="s">
        <v>111</v>
      </c>
      <c r="B1079" s="906" t="s">
        <v>51</v>
      </c>
      <c r="C1079" s="907"/>
      <c r="D1079" s="908"/>
      <c r="E1079" s="288">
        <v>0</v>
      </c>
      <c r="F1079" s="289">
        <v>80000</v>
      </c>
      <c r="G1079" s="326">
        <f>SUM(G1075:G1078)</f>
        <v>0</v>
      </c>
      <c r="H1079" s="327">
        <f t="shared" ref="H1079:I1079" si="1385">SUM(H1075:H1078)</f>
        <v>0</v>
      </c>
      <c r="I1079" s="327">
        <f t="shared" si="1385"/>
        <v>0</v>
      </c>
      <c r="J1079" s="351" t="str">
        <f>IFERROR(G1079/#REF!,"-")</f>
        <v>-</v>
      </c>
      <c r="K1079" s="326">
        <f t="shared" ref="K1079:M1079" si="1386">SUM(K1075:K1078)</f>
        <v>0</v>
      </c>
      <c r="L1079" s="327">
        <f t="shared" si="1386"/>
        <v>0</v>
      </c>
      <c r="M1079" s="328">
        <f t="shared" si="1386"/>
        <v>0</v>
      </c>
      <c r="N1079" s="345" t="str">
        <f t="shared" si="1368"/>
        <v>-</v>
      </c>
      <c r="O1079" s="351" t="str">
        <f t="shared" si="1338"/>
        <v>-</v>
      </c>
    </row>
    <row r="1080" spans="1:15" ht="23.4" x14ac:dyDescent="0.3">
      <c r="A1080" s="277" t="s">
        <v>111</v>
      </c>
      <c r="B1080" s="922" t="s">
        <v>23</v>
      </c>
      <c r="C1080" s="302" t="s">
        <v>348</v>
      </c>
      <c r="D1080" s="302" t="s">
        <v>263</v>
      </c>
      <c r="E1080" s="273">
        <v>0</v>
      </c>
      <c r="F1080" s="274"/>
      <c r="G1080" s="338">
        <f t="shared" ref="G1080:G1087" si="1387">+H1080+I1080</f>
        <v>0</v>
      </c>
      <c r="H1080" s="275">
        <v>0</v>
      </c>
      <c r="I1080" s="275">
        <v>0</v>
      </c>
      <c r="J1080" s="357" t="str">
        <f>IFERROR(G1080/#REF!,"-")</f>
        <v>-</v>
      </c>
      <c r="K1080" s="338">
        <f t="shared" ref="K1080:K1087" si="1388">+L1080+M1080</f>
        <v>0</v>
      </c>
      <c r="L1080" s="275">
        <f t="shared" ref="L1080:M1080" si="1389">+H1080+L976</f>
        <v>0</v>
      </c>
      <c r="M1080" s="276">
        <f t="shared" si="1389"/>
        <v>0</v>
      </c>
      <c r="N1080" s="342" t="str">
        <f t="shared" si="1368"/>
        <v>-</v>
      </c>
      <c r="O1080" s="352" t="str">
        <f t="shared" si="1338"/>
        <v>-</v>
      </c>
    </row>
    <row r="1081" spans="1:15" ht="23.4" x14ac:dyDescent="0.3">
      <c r="A1081" s="277" t="s">
        <v>111</v>
      </c>
      <c r="B1081" s="923"/>
      <c r="C1081" s="278" t="s">
        <v>24</v>
      </c>
      <c r="D1081" s="278" t="s">
        <v>263</v>
      </c>
      <c r="E1081" s="279">
        <v>0</v>
      </c>
      <c r="F1081" s="280"/>
      <c r="G1081" s="339">
        <f t="shared" si="1387"/>
        <v>13185</v>
      </c>
      <c r="H1081" s="281">
        <v>13125</v>
      </c>
      <c r="I1081" s="281">
        <v>60</v>
      </c>
      <c r="J1081" s="358" t="str">
        <f>IFERROR(G1081/#REF!,"-")</f>
        <v>-</v>
      </c>
      <c r="K1081" s="339">
        <f t="shared" si="1388"/>
        <v>49400</v>
      </c>
      <c r="L1081" s="281">
        <f t="shared" ref="L1081:M1081" si="1390">+H1081+L977</f>
        <v>49000</v>
      </c>
      <c r="M1081" s="251">
        <f t="shared" si="1390"/>
        <v>400</v>
      </c>
      <c r="N1081" s="343" t="str">
        <f t="shared" si="1368"/>
        <v>-</v>
      </c>
      <c r="O1081" s="264">
        <f t="shared" si="1338"/>
        <v>8.0971659919028341E-3</v>
      </c>
    </row>
    <row r="1082" spans="1:15" ht="23.4" x14ac:dyDescent="0.3">
      <c r="A1082" s="277" t="s">
        <v>111</v>
      </c>
      <c r="B1082" s="923"/>
      <c r="C1082" s="278" t="s">
        <v>261</v>
      </c>
      <c r="D1082" s="278" t="s">
        <v>263</v>
      </c>
      <c r="E1082" s="279">
        <v>0</v>
      </c>
      <c r="F1082" s="280"/>
      <c r="G1082" s="339">
        <f t="shared" si="1387"/>
        <v>0</v>
      </c>
      <c r="H1082" s="281">
        <v>0</v>
      </c>
      <c r="I1082" s="281">
        <v>0</v>
      </c>
      <c r="J1082" s="358" t="str">
        <f>IFERROR(G1082/#REF!,"-")</f>
        <v>-</v>
      </c>
      <c r="K1082" s="339">
        <f t="shared" si="1388"/>
        <v>11048</v>
      </c>
      <c r="L1082" s="281">
        <f t="shared" ref="L1082:M1082" si="1391">+H1082+L978</f>
        <v>10901</v>
      </c>
      <c r="M1082" s="251">
        <f t="shared" si="1391"/>
        <v>147</v>
      </c>
      <c r="N1082" s="343" t="str">
        <f t="shared" si="1368"/>
        <v>-</v>
      </c>
      <c r="O1082" s="264">
        <f t="shared" si="1338"/>
        <v>1.330557566980449E-2</v>
      </c>
    </row>
    <row r="1083" spans="1:15" ht="23.4" x14ac:dyDescent="0.3">
      <c r="A1083" s="277" t="s">
        <v>111</v>
      </c>
      <c r="B1083" s="923"/>
      <c r="C1083" s="278" t="s">
        <v>262</v>
      </c>
      <c r="D1083" s="278" t="s">
        <v>263</v>
      </c>
      <c r="E1083" s="279">
        <v>0</v>
      </c>
      <c r="F1083" s="280"/>
      <c r="G1083" s="339">
        <f t="shared" si="1387"/>
        <v>0</v>
      </c>
      <c r="H1083" s="281">
        <v>0</v>
      </c>
      <c r="I1083" s="281">
        <v>0</v>
      </c>
      <c r="J1083" s="358" t="str">
        <f>IFERROR(G1083/#REF!,"-")</f>
        <v>-</v>
      </c>
      <c r="K1083" s="339">
        <f t="shared" si="1388"/>
        <v>7672</v>
      </c>
      <c r="L1083" s="281">
        <f t="shared" ref="L1083:M1083" si="1392">+H1083+L979</f>
        <v>7612</v>
      </c>
      <c r="M1083" s="251">
        <f t="shared" si="1392"/>
        <v>60</v>
      </c>
      <c r="N1083" s="343" t="str">
        <f t="shared" si="1368"/>
        <v>-</v>
      </c>
      <c r="O1083" s="264">
        <f t="shared" si="1338"/>
        <v>7.8206465067778945E-3</v>
      </c>
    </row>
    <row r="1084" spans="1:15" ht="23.4" x14ac:dyDescent="0.3">
      <c r="A1084" s="277" t="s">
        <v>111</v>
      </c>
      <c r="B1084" s="923"/>
      <c r="C1084" s="301" t="s">
        <v>264</v>
      </c>
      <c r="D1084" s="278" t="s">
        <v>263</v>
      </c>
      <c r="E1084" s="279">
        <v>0</v>
      </c>
      <c r="F1084" s="280"/>
      <c r="G1084" s="339">
        <f t="shared" si="1387"/>
        <v>0</v>
      </c>
      <c r="H1084" s="281">
        <v>0</v>
      </c>
      <c r="I1084" s="281">
        <v>0</v>
      </c>
      <c r="J1084" s="358" t="str">
        <f>IFERROR(G1084/#REF!,"-")</f>
        <v>-</v>
      </c>
      <c r="K1084" s="339">
        <f t="shared" si="1388"/>
        <v>0</v>
      </c>
      <c r="L1084" s="281">
        <f t="shared" ref="L1084:M1084" si="1393">+H1084+L980</f>
        <v>0</v>
      </c>
      <c r="M1084" s="251">
        <f t="shared" si="1393"/>
        <v>0</v>
      </c>
      <c r="N1084" s="343" t="str">
        <f t="shared" si="1368"/>
        <v>-</v>
      </c>
      <c r="O1084" s="264" t="str">
        <f t="shared" si="1338"/>
        <v>-</v>
      </c>
    </row>
    <row r="1085" spans="1:15" ht="23.4" x14ac:dyDescent="0.3">
      <c r="A1085" s="277" t="s">
        <v>111</v>
      </c>
      <c r="B1085" s="923"/>
      <c r="C1085" s="301" t="s">
        <v>265</v>
      </c>
      <c r="D1085" s="278" t="s">
        <v>263</v>
      </c>
      <c r="E1085" s="279">
        <v>0</v>
      </c>
      <c r="F1085" s="280"/>
      <c r="G1085" s="339">
        <f t="shared" si="1387"/>
        <v>0</v>
      </c>
      <c r="H1085" s="281">
        <v>0</v>
      </c>
      <c r="I1085" s="281">
        <v>0</v>
      </c>
      <c r="J1085" s="358" t="str">
        <f>IFERROR(G1085/#REF!,"-")</f>
        <v>-</v>
      </c>
      <c r="K1085" s="339">
        <f t="shared" si="1388"/>
        <v>0</v>
      </c>
      <c r="L1085" s="281">
        <f t="shared" ref="L1085:M1085" si="1394">+H1085+L981</f>
        <v>0</v>
      </c>
      <c r="M1085" s="251">
        <f t="shared" si="1394"/>
        <v>0</v>
      </c>
      <c r="N1085" s="343" t="str">
        <f t="shared" si="1368"/>
        <v>-</v>
      </c>
      <c r="O1085" s="264" t="str">
        <f t="shared" si="1338"/>
        <v>-</v>
      </c>
    </row>
    <row r="1086" spans="1:15" ht="23.4" x14ac:dyDescent="0.3">
      <c r="A1086" s="277" t="s">
        <v>111</v>
      </c>
      <c r="B1086" s="923"/>
      <c r="C1086" s="301" t="s">
        <v>266</v>
      </c>
      <c r="D1086" s="278" t="s">
        <v>268</v>
      </c>
      <c r="E1086" s="279">
        <v>0</v>
      </c>
      <c r="F1086" s="280"/>
      <c r="G1086" s="339">
        <f t="shared" si="1387"/>
        <v>0</v>
      </c>
      <c r="H1086" s="281">
        <v>0</v>
      </c>
      <c r="I1086" s="281">
        <v>0</v>
      </c>
      <c r="J1086" s="358" t="str">
        <f>IFERROR(G1086/#REF!,"-")</f>
        <v>-</v>
      </c>
      <c r="K1086" s="339">
        <f t="shared" si="1388"/>
        <v>10464</v>
      </c>
      <c r="L1086" s="281">
        <f t="shared" ref="L1086:M1086" si="1395">+H1086+L982</f>
        <v>10417</v>
      </c>
      <c r="M1086" s="251">
        <f t="shared" si="1395"/>
        <v>47</v>
      </c>
      <c r="N1086" s="343" t="str">
        <f t="shared" si="1368"/>
        <v>-</v>
      </c>
      <c r="O1086" s="264">
        <f t="shared" si="1338"/>
        <v>4.491590214067278E-3</v>
      </c>
    </row>
    <row r="1087" spans="1:15" ht="24" thickBot="1" x14ac:dyDescent="0.35">
      <c r="A1087" s="277" t="s">
        <v>111</v>
      </c>
      <c r="B1087" s="924"/>
      <c r="C1087" s="301" t="s">
        <v>267</v>
      </c>
      <c r="D1087" s="278" t="s">
        <v>263</v>
      </c>
      <c r="E1087" s="283">
        <v>0</v>
      </c>
      <c r="F1087" s="284"/>
      <c r="G1087" s="340">
        <f t="shared" si="1387"/>
        <v>0</v>
      </c>
      <c r="H1087" s="285">
        <v>0</v>
      </c>
      <c r="I1087" s="285">
        <v>0</v>
      </c>
      <c r="J1087" s="359" t="str">
        <f>IFERROR(G1087/#REF!,"-")</f>
        <v>-</v>
      </c>
      <c r="K1087" s="340">
        <f t="shared" si="1388"/>
        <v>14088</v>
      </c>
      <c r="L1087" s="285">
        <f t="shared" ref="L1087:M1087" si="1396">+H1087+L983</f>
        <v>14000</v>
      </c>
      <c r="M1087" s="286">
        <f t="shared" si="1396"/>
        <v>88</v>
      </c>
      <c r="N1087" s="344" t="str">
        <f t="shared" si="1368"/>
        <v>-</v>
      </c>
      <c r="O1087" s="353">
        <f t="shared" si="1338"/>
        <v>6.2464508801817146E-3</v>
      </c>
    </row>
    <row r="1088" spans="1:15" ht="24" thickBot="1" x14ac:dyDescent="0.35">
      <c r="A1088" s="277" t="s">
        <v>111</v>
      </c>
      <c r="B1088" s="906" t="s">
        <v>52</v>
      </c>
      <c r="C1088" s="907"/>
      <c r="D1088" s="908"/>
      <c r="E1088" s="288">
        <v>157500</v>
      </c>
      <c r="F1088" s="289">
        <v>14000</v>
      </c>
      <c r="G1088" s="326">
        <f>SUM(G1080:G1087)</f>
        <v>13185</v>
      </c>
      <c r="H1088" s="327">
        <f t="shared" ref="H1088:I1088" si="1397">SUM(H1080:H1087)</f>
        <v>13125</v>
      </c>
      <c r="I1088" s="327">
        <f t="shared" si="1397"/>
        <v>60</v>
      </c>
      <c r="J1088" s="351" t="str">
        <f>IFERROR(G1088/#REF!,"-")</f>
        <v>-</v>
      </c>
      <c r="K1088" s="326">
        <f>SUM(K1080:K1087)</f>
        <v>92672</v>
      </c>
      <c r="L1088" s="327">
        <f t="shared" ref="L1088:M1088" si="1398">SUM(L1080:L1087)</f>
        <v>91930</v>
      </c>
      <c r="M1088" s="328">
        <f t="shared" si="1398"/>
        <v>742</v>
      </c>
      <c r="N1088" s="345">
        <f t="shared" si="1368"/>
        <v>0.5883936507936508</v>
      </c>
      <c r="O1088" s="351">
        <f t="shared" si="1338"/>
        <v>8.0067334254143654E-3</v>
      </c>
    </row>
    <row r="1089" spans="1:15" ht="24" thickBot="1" x14ac:dyDescent="0.35">
      <c r="A1089" s="277" t="s">
        <v>111</v>
      </c>
      <c r="B1089" s="926" t="s">
        <v>25</v>
      </c>
      <c r="C1089" s="927"/>
      <c r="D1089" s="928"/>
      <c r="E1089" s="332">
        <f t="shared" ref="E1089:F1089" si="1399">+E1079+E1088</f>
        <v>157500</v>
      </c>
      <c r="F1089" s="333">
        <f t="shared" si="1399"/>
        <v>94000</v>
      </c>
      <c r="G1089" s="332">
        <f>+G1079+G1088</f>
        <v>13185</v>
      </c>
      <c r="H1089" s="330">
        <f t="shared" ref="H1089:I1089" si="1400">+H1079+H1088</f>
        <v>13125</v>
      </c>
      <c r="I1089" s="330">
        <f t="shared" si="1400"/>
        <v>60</v>
      </c>
      <c r="J1089" s="355" t="str">
        <f>IFERROR(G1089/#REF!,"-")</f>
        <v>-</v>
      </c>
      <c r="K1089" s="332">
        <f t="shared" ref="K1089" si="1401">+K1079+K1088</f>
        <v>92672</v>
      </c>
      <c r="L1089" s="330">
        <f>+L1079+L1088</f>
        <v>91930</v>
      </c>
      <c r="M1089" s="331">
        <f t="shared" ref="M1089" si="1402">+M1079+M1088</f>
        <v>742</v>
      </c>
      <c r="N1089" s="347">
        <f t="shared" si="1368"/>
        <v>0.5883936507936508</v>
      </c>
      <c r="O1089" s="355">
        <f t="shared" si="1338"/>
        <v>8.0067334254143654E-3</v>
      </c>
    </row>
    <row r="1090" spans="1:15" ht="24" thickBot="1" x14ac:dyDescent="0.35">
      <c r="A1090" s="277" t="s">
        <v>111</v>
      </c>
      <c r="B1090" s="900" t="s">
        <v>181</v>
      </c>
      <c r="C1090" s="901"/>
      <c r="D1090" s="902"/>
      <c r="E1090" s="336">
        <f>+E1074+E1089</f>
        <v>5932100</v>
      </c>
      <c r="F1090" s="337">
        <f t="shared" ref="F1090:I1090" si="1403">+F1074+F1089</f>
        <v>449000</v>
      </c>
      <c r="G1090" s="336">
        <f t="shared" si="1403"/>
        <v>92528</v>
      </c>
      <c r="H1090" s="334">
        <f t="shared" si="1403"/>
        <v>92165</v>
      </c>
      <c r="I1090" s="334">
        <f t="shared" si="1403"/>
        <v>363</v>
      </c>
      <c r="J1090" s="356" t="str">
        <f>IFERROR(G1090/#REF!,"-")</f>
        <v>-</v>
      </c>
      <c r="K1090" s="336">
        <f>+K1074+K1089</f>
        <v>1336734</v>
      </c>
      <c r="L1090" s="334">
        <f t="shared" ref="L1090:M1090" si="1404">+L1074+L1089</f>
        <v>1329429</v>
      </c>
      <c r="M1090" s="335">
        <f t="shared" si="1404"/>
        <v>7305</v>
      </c>
      <c r="N1090" s="348">
        <f>IFERROR(K1090/E1090,"-")</f>
        <v>0.22533908733837932</v>
      </c>
      <c r="O1090" s="356">
        <f t="shared" si="1338"/>
        <v>5.464811997001647E-3</v>
      </c>
    </row>
    <row r="1091" spans="1:15" ht="23.4" x14ac:dyDescent="0.3">
      <c r="A1091" s="271" t="s">
        <v>109</v>
      </c>
      <c r="B1091" s="929" t="s">
        <v>26</v>
      </c>
      <c r="C1091" s="303" t="s">
        <v>334</v>
      </c>
      <c r="D1091" s="303" t="s">
        <v>192</v>
      </c>
      <c r="E1091" s="273">
        <v>0</v>
      </c>
      <c r="F1091" s="274"/>
      <c r="G1091" s="338">
        <f t="shared" ref="G1091:G1099" si="1405">+H1091+I1091</f>
        <v>0</v>
      </c>
      <c r="H1091" s="275">
        <v>0</v>
      </c>
      <c r="I1091" s="275">
        <v>0</v>
      </c>
      <c r="J1091" s="357" t="str">
        <f>IFERROR(G1091/#REF!,"-")</f>
        <v>-</v>
      </c>
      <c r="K1091" s="338">
        <f t="shared" ref="K1091:K1099" si="1406">+L1091+M1091</f>
        <v>326708</v>
      </c>
      <c r="L1091" s="275">
        <f t="shared" ref="L1091:M1091" si="1407">+H1091+L987</f>
        <v>322218</v>
      </c>
      <c r="M1091" s="276">
        <f t="shared" si="1407"/>
        <v>4490</v>
      </c>
      <c r="N1091" s="342" t="str">
        <f t="shared" si="1368"/>
        <v>-</v>
      </c>
      <c r="O1091" s="352">
        <f t="shared" si="1338"/>
        <v>1.3743159028857574E-2</v>
      </c>
    </row>
    <row r="1092" spans="1:15" ht="23.4" x14ac:dyDescent="0.3">
      <c r="A1092" s="277" t="s">
        <v>109</v>
      </c>
      <c r="B1092" s="929"/>
      <c r="C1092" s="304" t="s">
        <v>199</v>
      </c>
      <c r="D1092" s="304" t="s">
        <v>115</v>
      </c>
      <c r="E1092" s="279">
        <v>0</v>
      </c>
      <c r="F1092" s="280"/>
      <c r="G1092" s="339">
        <f t="shared" si="1405"/>
        <v>0</v>
      </c>
      <c r="H1092" s="281">
        <v>0</v>
      </c>
      <c r="I1092" s="281">
        <v>0</v>
      </c>
      <c r="J1092" s="358" t="str">
        <f>IFERROR(G1092/#REF!,"-")</f>
        <v>-</v>
      </c>
      <c r="K1092" s="339">
        <f t="shared" si="1406"/>
        <v>0</v>
      </c>
      <c r="L1092" s="281">
        <f t="shared" ref="L1092:M1092" si="1408">+H1092+L988</f>
        <v>0</v>
      </c>
      <c r="M1092" s="251">
        <f t="shared" si="1408"/>
        <v>0</v>
      </c>
      <c r="N1092" s="343" t="str">
        <f t="shared" si="1368"/>
        <v>-</v>
      </c>
      <c r="O1092" s="264" t="str">
        <f t="shared" si="1338"/>
        <v>-</v>
      </c>
    </row>
    <row r="1093" spans="1:15" ht="23.4" x14ac:dyDescent="0.3">
      <c r="A1093" s="277" t="s">
        <v>109</v>
      </c>
      <c r="B1093" s="929"/>
      <c r="C1093" s="305" t="s">
        <v>27</v>
      </c>
      <c r="D1093" s="305" t="s">
        <v>310</v>
      </c>
      <c r="E1093" s="283">
        <v>0</v>
      </c>
      <c r="F1093" s="284"/>
      <c r="G1093" s="339">
        <f t="shared" si="1405"/>
        <v>0</v>
      </c>
      <c r="H1093" s="285">
        <v>0</v>
      </c>
      <c r="I1093" s="285">
        <v>0</v>
      </c>
      <c r="J1093" s="359" t="str">
        <f>IFERROR(G1093/#REF!,"-")</f>
        <v>-</v>
      </c>
      <c r="K1093" s="339">
        <f t="shared" si="1406"/>
        <v>0</v>
      </c>
      <c r="L1093" s="285">
        <f t="shared" ref="L1093:M1093" si="1409">+H1093+L989</f>
        <v>0</v>
      </c>
      <c r="M1093" s="286">
        <f t="shared" si="1409"/>
        <v>0</v>
      </c>
      <c r="N1093" s="287"/>
      <c r="O1093" s="264" t="str">
        <f t="shared" si="1338"/>
        <v>-</v>
      </c>
    </row>
    <row r="1094" spans="1:15" ht="23.4" x14ac:dyDescent="0.3">
      <c r="A1094" s="277" t="s">
        <v>109</v>
      </c>
      <c r="B1094" s="929"/>
      <c r="C1094" s="305" t="s">
        <v>27</v>
      </c>
      <c r="D1094" s="305" t="s">
        <v>311</v>
      </c>
      <c r="E1094" s="283">
        <v>0</v>
      </c>
      <c r="F1094" s="284"/>
      <c r="G1094" s="339">
        <f t="shared" si="1405"/>
        <v>0</v>
      </c>
      <c r="H1094" s="285">
        <v>0</v>
      </c>
      <c r="I1094" s="285">
        <v>0</v>
      </c>
      <c r="J1094" s="359" t="str">
        <f>IFERROR(G1094/#REF!,"-")</f>
        <v>-</v>
      </c>
      <c r="K1094" s="339">
        <f t="shared" si="1406"/>
        <v>0</v>
      </c>
      <c r="L1094" s="285">
        <f t="shared" ref="L1094:M1094" si="1410">+H1094+L990</f>
        <v>0</v>
      </c>
      <c r="M1094" s="286">
        <f t="shared" si="1410"/>
        <v>0</v>
      </c>
      <c r="N1094" s="287"/>
      <c r="O1094" s="264" t="str">
        <f t="shared" si="1338"/>
        <v>-</v>
      </c>
    </row>
    <row r="1095" spans="1:15" ht="23.4" x14ac:dyDescent="0.3">
      <c r="A1095" s="277" t="s">
        <v>109</v>
      </c>
      <c r="B1095" s="929"/>
      <c r="C1095" s="305" t="s">
        <v>325</v>
      </c>
      <c r="D1095" s="305" t="s">
        <v>324</v>
      </c>
      <c r="E1095" s="283">
        <v>0</v>
      </c>
      <c r="F1095" s="284"/>
      <c r="G1095" s="339">
        <f t="shared" si="1405"/>
        <v>0</v>
      </c>
      <c r="H1095" s="285">
        <v>0</v>
      </c>
      <c r="I1095" s="285">
        <v>0</v>
      </c>
      <c r="J1095" s="359" t="str">
        <f>IFERROR(G1095/#REF!,"-")</f>
        <v>-</v>
      </c>
      <c r="K1095" s="339">
        <f t="shared" si="1406"/>
        <v>0</v>
      </c>
      <c r="L1095" s="285">
        <f t="shared" ref="L1095:M1095" si="1411">+H1095+L991</f>
        <v>0</v>
      </c>
      <c r="M1095" s="286">
        <f t="shared" si="1411"/>
        <v>0</v>
      </c>
      <c r="N1095" s="287"/>
      <c r="O1095" s="264" t="str">
        <f t="shared" si="1338"/>
        <v>-</v>
      </c>
    </row>
    <row r="1096" spans="1:15" ht="23.4" x14ac:dyDescent="0.3">
      <c r="A1096" s="277"/>
      <c r="B1096" s="929"/>
      <c r="C1096" s="305" t="s">
        <v>393</v>
      </c>
      <c r="D1096" s="305" t="s">
        <v>192</v>
      </c>
      <c r="E1096" s="283">
        <v>0</v>
      </c>
      <c r="F1096" s="284"/>
      <c r="G1096" s="340">
        <f t="shared" si="1405"/>
        <v>0</v>
      </c>
      <c r="H1096" s="285">
        <v>0</v>
      </c>
      <c r="I1096" s="285">
        <v>0</v>
      </c>
      <c r="J1096" s="359" t="str">
        <f>IFERROR(G1096/#REF!,"-")</f>
        <v>-</v>
      </c>
      <c r="K1096" s="340">
        <f t="shared" si="1406"/>
        <v>0</v>
      </c>
      <c r="L1096" s="285">
        <f t="shared" ref="L1096:M1096" si="1412">+H1096+L992</f>
        <v>0</v>
      </c>
      <c r="M1096" s="286">
        <f t="shared" si="1412"/>
        <v>0</v>
      </c>
      <c r="N1096" s="287"/>
      <c r="O1096" s="264" t="str">
        <f t="shared" si="1338"/>
        <v>-</v>
      </c>
    </row>
    <row r="1097" spans="1:15" ht="23.4" x14ac:dyDescent="0.3">
      <c r="A1097" s="277"/>
      <c r="B1097" s="929"/>
      <c r="C1097" s="305" t="s">
        <v>325</v>
      </c>
      <c r="D1097" s="305" t="s">
        <v>101</v>
      </c>
      <c r="E1097" s="283">
        <v>0</v>
      </c>
      <c r="F1097" s="284"/>
      <c r="G1097" s="340">
        <f t="shared" si="1405"/>
        <v>0</v>
      </c>
      <c r="H1097" s="285">
        <v>0</v>
      </c>
      <c r="I1097" s="285">
        <v>0</v>
      </c>
      <c r="J1097" s="359" t="str">
        <f>IFERROR(G1097/#REF!,"-")</f>
        <v>-</v>
      </c>
      <c r="K1097" s="340">
        <f t="shared" si="1406"/>
        <v>3978</v>
      </c>
      <c r="L1097" s="285">
        <f t="shared" ref="L1097:M1097" si="1413">+H1097+L993</f>
        <v>3978</v>
      </c>
      <c r="M1097" s="286">
        <f t="shared" si="1413"/>
        <v>0</v>
      </c>
      <c r="N1097" s="287"/>
      <c r="O1097" s="264">
        <f t="shared" si="1338"/>
        <v>0</v>
      </c>
    </row>
    <row r="1098" spans="1:15" ht="23.4" x14ac:dyDescent="0.3">
      <c r="A1098" s="277"/>
      <c r="B1098" s="929"/>
      <c r="C1098" s="305" t="s">
        <v>325</v>
      </c>
      <c r="D1098" s="305" t="s">
        <v>394</v>
      </c>
      <c r="E1098" s="283">
        <v>0</v>
      </c>
      <c r="F1098" s="284"/>
      <c r="G1098" s="340">
        <f t="shared" si="1405"/>
        <v>84398</v>
      </c>
      <c r="H1098" s="285">
        <v>83538</v>
      </c>
      <c r="I1098" s="285">
        <v>860</v>
      </c>
      <c r="J1098" s="359" t="str">
        <f>IFERROR(G1098/#REF!,"-")</f>
        <v>-</v>
      </c>
      <c r="K1098" s="340">
        <f t="shared" si="1406"/>
        <v>651634</v>
      </c>
      <c r="L1098" s="285">
        <f t="shared" ref="L1098:M1098" si="1414">+H1098+L994</f>
        <v>644436</v>
      </c>
      <c r="M1098" s="286">
        <f t="shared" si="1414"/>
        <v>7198</v>
      </c>
      <c r="N1098" s="287"/>
      <c r="O1098" s="264">
        <f t="shared" si="1338"/>
        <v>1.1046078013117792E-2</v>
      </c>
    </row>
    <row r="1099" spans="1:15" ht="24" thickBot="1" x14ac:dyDescent="0.35">
      <c r="A1099" s="277" t="s">
        <v>109</v>
      </c>
      <c r="B1099" s="929"/>
      <c r="C1099" s="306" t="s">
        <v>326</v>
      </c>
      <c r="D1099" s="305" t="s">
        <v>324</v>
      </c>
      <c r="E1099" s="283">
        <v>0</v>
      </c>
      <c r="F1099" s="284"/>
      <c r="G1099" s="340">
        <f t="shared" si="1405"/>
        <v>0</v>
      </c>
      <c r="H1099" s="285">
        <v>0</v>
      </c>
      <c r="I1099" s="285">
        <v>0</v>
      </c>
      <c r="J1099" s="359" t="str">
        <f>IFERROR(G1099/#REF!,"-")</f>
        <v>-</v>
      </c>
      <c r="K1099" s="340">
        <f t="shared" si="1406"/>
        <v>7956</v>
      </c>
      <c r="L1099" s="285">
        <f t="shared" ref="L1099:M1099" si="1415">+H1099+L995</f>
        <v>7956</v>
      </c>
      <c r="M1099" s="286">
        <f t="shared" si="1415"/>
        <v>0</v>
      </c>
      <c r="N1099" s="344" t="str">
        <f t="shared" ref="N1099:N1116" si="1416">IFERROR(K1099/E1099,"-")</f>
        <v>-</v>
      </c>
      <c r="O1099" s="353">
        <f t="shared" si="1338"/>
        <v>0</v>
      </c>
    </row>
    <row r="1100" spans="1:15" ht="24" thickBot="1" x14ac:dyDescent="0.35">
      <c r="A1100" s="277" t="s">
        <v>109</v>
      </c>
      <c r="B1100" s="930"/>
      <c r="C1100" s="307"/>
      <c r="D1100" s="308" t="s">
        <v>55</v>
      </c>
      <c r="E1100" s="288">
        <v>0</v>
      </c>
      <c r="F1100" s="289"/>
      <c r="G1100" s="326">
        <f>SUM(G1091:G1099)</f>
        <v>84398</v>
      </c>
      <c r="H1100" s="327">
        <f>SUM(H1091:H1099)</f>
        <v>83538</v>
      </c>
      <c r="I1100" s="327">
        <f>SUM(I1091:I1099)</f>
        <v>860</v>
      </c>
      <c r="J1100" s="351" t="str">
        <f>IFERROR(G1100/#REF!,"-")</f>
        <v>-</v>
      </c>
      <c r="K1100" s="326">
        <f>SUM(K1091:K1099)</f>
        <v>990276</v>
      </c>
      <c r="L1100" s="327">
        <f>SUM(L1091:L1099)</f>
        <v>978588</v>
      </c>
      <c r="M1100" s="328">
        <f>SUM(M1091:M1099)</f>
        <v>11688</v>
      </c>
      <c r="N1100" s="345" t="str">
        <f t="shared" si="1416"/>
        <v>-</v>
      </c>
      <c r="O1100" s="351">
        <f t="shared" si="1338"/>
        <v>1.1802770136810343E-2</v>
      </c>
    </row>
    <row r="1101" spans="1:15" ht="23.4" x14ac:dyDescent="0.3">
      <c r="A1101" s="277" t="s">
        <v>109</v>
      </c>
      <c r="B1101" s="931" t="s">
        <v>28</v>
      </c>
      <c r="C1101" s="303" t="s">
        <v>322</v>
      </c>
      <c r="D1101" s="303" t="s">
        <v>193</v>
      </c>
      <c r="E1101" s="273">
        <v>0</v>
      </c>
      <c r="F1101" s="274"/>
      <c r="G1101" s="338">
        <f t="shared" ref="G1101:G1103" si="1417">+H1101+I1101</f>
        <v>0</v>
      </c>
      <c r="H1101" s="275">
        <v>0</v>
      </c>
      <c r="I1101" s="275">
        <v>0</v>
      </c>
      <c r="J1101" s="357" t="str">
        <f>IFERROR(G1101/#REF!,"-")</f>
        <v>-</v>
      </c>
      <c r="K1101" s="338">
        <f t="shared" ref="K1101:K1103" si="1418">+L1101+M1101</f>
        <v>0</v>
      </c>
      <c r="L1101" s="275">
        <f t="shared" ref="L1101:M1101" si="1419">+H1101+L997</f>
        <v>0</v>
      </c>
      <c r="M1101" s="276">
        <f t="shared" si="1419"/>
        <v>0</v>
      </c>
      <c r="N1101" s="342" t="str">
        <f t="shared" si="1416"/>
        <v>-</v>
      </c>
      <c r="O1101" s="352" t="str">
        <f t="shared" si="1338"/>
        <v>-</v>
      </c>
    </row>
    <row r="1102" spans="1:15" ht="23.4" x14ac:dyDescent="0.3">
      <c r="A1102" s="277" t="s">
        <v>109</v>
      </c>
      <c r="B1102" s="929"/>
      <c r="C1102" s="305" t="s">
        <v>27</v>
      </c>
      <c r="D1102" s="305" t="s">
        <v>311</v>
      </c>
      <c r="E1102" s="279">
        <v>0</v>
      </c>
      <c r="F1102" s="280"/>
      <c r="G1102" s="339">
        <f t="shared" si="1417"/>
        <v>0</v>
      </c>
      <c r="H1102" s="281">
        <v>0</v>
      </c>
      <c r="I1102" s="281">
        <v>0</v>
      </c>
      <c r="J1102" s="358" t="str">
        <f>IFERROR(G1102/#REF!,"-")</f>
        <v>-</v>
      </c>
      <c r="K1102" s="339">
        <f t="shared" si="1418"/>
        <v>0</v>
      </c>
      <c r="L1102" s="281">
        <f t="shared" ref="L1102:M1102" si="1420">+H1102+L998</f>
        <v>0</v>
      </c>
      <c r="M1102" s="251">
        <f t="shared" si="1420"/>
        <v>0</v>
      </c>
      <c r="N1102" s="343" t="str">
        <f t="shared" si="1416"/>
        <v>-</v>
      </c>
      <c r="O1102" s="264" t="str">
        <f t="shared" si="1338"/>
        <v>-</v>
      </c>
    </row>
    <row r="1103" spans="1:15" ht="24" thickBot="1" x14ac:dyDescent="0.35">
      <c r="A1103" s="277" t="s">
        <v>109</v>
      </c>
      <c r="B1103" s="929"/>
      <c r="C1103" s="305" t="s">
        <v>27</v>
      </c>
      <c r="D1103" s="306" t="s">
        <v>259</v>
      </c>
      <c r="E1103" s="283">
        <v>0</v>
      </c>
      <c r="F1103" s="284"/>
      <c r="G1103" s="340">
        <f t="shared" si="1417"/>
        <v>4188</v>
      </c>
      <c r="H1103" s="285">
        <v>3978</v>
      </c>
      <c r="I1103" s="285">
        <v>210</v>
      </c>
      <c r="J1103" s="359" t="str">
        <f>IFERROR(G1103/#REF!,"-")</f>
        <v>-</v>
      </c>
      <c r="K1103" s="340">
        <f t="shared" si="1418"/>
        <v>4188</v>
      </c>
      <c r="L1103" s="285">
        <f t="shared" ref="L1103:M1103" si="1421">+H1103+L999</f>
        <v>3978</v>
      </c>
      <c r="M1103" s="286">
        <f t="shared" si="1421"/>
        <v>210</v>
      </c>
      <c r="N1103" s="344" t="str">
        <f t="shared" si="1416"/>
        <v>-</v>
      </c>
      <c r="O1103" s="353">
        <f t="shared" si="1338"/>
        <v>5.0143266475644696E-2</v>
      </c>
    </row>
    <row r="1104" spans="1:15" ht="24" thickBot="1" x14ac:dyDescent="0.35">
      <c r="A1104" s="277" t="s">
        <v>109</v>
      </c>
      <c r="B1104" s="929"/>
      <c r="C1104" s="310"/>
      <c r="D1104" s="311" t="s">
        <v>55</v>
      </c>
      <c r="E1104" s="312">
        <v>0</v>
      </c>
      <c r="F1104" s="313"/>
      <c r="G1104" s="372">
        <f>SUM(G1101:G1103)</f>
        <v>4188</v>
      </c>
      <c r="H1104" s="371">
        <f t="shared" ref="H1104:I1104" si="1422">SUM(H1101:H1103)</f>
        <v>3978</v>
      </c>
      <c r="I1104" s="371">
        <f t="shared" si="1422"/>
        <v>210</v>
      </c>
      <c r="J1104" s="362" t="str">
        <f>IFERROR(G1104/#REF!,"-")</f>
        <v>-</v>
      </c>
      <c r="K1104" s="372">
        <f>SUM(K1101:K1103)</f>
        <v>4188</v>
      </c>
      <c r="L1104" s="371">
        <f t="shared" ref="L1104:M1104" si="1423">SUM(L1101:L1103)</f>
        <v>3978</v>
      </c>
      <c r="M1104" s="373">
        <f t="shared" si="1423"/>
        <v>210</v>
      </c>
      <c r="N1104" s="361" t="str">
        <f t="shared" si="1416"/>
        <v>-</v>
      </c>
      <c r="O1104" s="362">
        <f t="shared" si="1338"/>
        <v>5.0143266475644696E-2</v>
      </c>
    </row>
    <row r="1105" spans="1:15" ht="24" thickBot="1" x14ac:dyDescent="0.35">
      <c r="A1105" s="752" t="s">
        <v>109</v>
      </c>
      <c r="B1105" s="932" t="s">
        <v>171</v>
      </c>
      <c r="C1105" s="933"/>
      <c r="D1105" s="934"/>
      <c r="E1105" s="314">
        <v>2167000</v>
      </c>
      <c r="F1105" s="315">
        <v>80000</v>
      </c>
      <c r="G1105" s="375">
        <f>+G1100+G1104</f>
        <v>88586</v>
      </c>
      <c r="H1105" s="374">
        <f t="shared" ref="H1105:I1105" si="1424">+H1100+H1104</f>
        <v>87516</v>
      </c>
      <c r="I1105" s="374">
        <f t="shared" si="1424"/>
        <v>1070</v>
      </c>
      <c r="J1105" s="364" t="str">
        <f>IFERROR(G1105/#REF!,"-")</f>
        <v>-</v>
      </c>
      <c r="K1105" s="375">
        <f>+K1100+K1104</f>
        <v>994464</v>
      </c>
      <c r="L1105" s="374">
        <f>+L1100+L1104</f>
        <v>982566</v>
      </c>
      <c r="M1105" s="376">
        <f t="shared" ref="M1105" si="1425">+M1100+M1104</f>
        <v>11898</v>
      </c>
      <c r="N1105" s="363">
        <f t="shared" si="1416"/>
        <v>0.45891278264882324</v>
      </c>
      <c r="O1105" s="364">
        <f t="shared" si="1338"/>
        <v>1.1964233999420794E-2</v>
      </c>
    </row>
    <row r="1106" spans="1:15" ht="23.4" x14ac:dyDescent="0.3">
      <c r="A1106" s="277" t="s">
        <v>109</v>
      </c>
      <c r="B1106" s="929" t="s">
        <v>30</v>
      </c>
      <c r="C1106" s="309" t="s">
        <v>396</v>
      </c>
      <c r="D1106" s="303" t="s">
        <v>193</v>
      </c>
      <c r="E1106" s="273">
        <v>0</v>
      </c>
      <c r="F1106" s="274"/>
      <c r="G1106" s="338">
        <f t="shared" ref="G1106:G1108" si="1426">+H1106+I1106</f>
        <v>0</v>
      </c>
      <c r="H1106" s="275">
        <v>0</v>
      </c>
      <c r="I1106" s="275">
        <v>0</v>
      </c>
      <c r="J1106" s="357" t="str">
        <f>IFERROR(G1106/#REF!,"-")</f>
        <v>-</v>
      </c>
      <c r="K1106" s="338">
        <f t="shared" ref="K1106:K1108" si="1427">+L1106+M1106</f>
        <v>0</v>
      </c>
      <c r="L1106" s="275">
        <f t="shared" ref="L1106:M1106" si="1428">+H1106+L1002</f>
        <v>0</v>
      </c>
      <c r="M1106" s="276">
        <f t="shared" si="1428"/>
        <v>0</v>
      </c>
      <c r="N1106" s="342" t="str">
        <f t="shared" si="1416"/>
        <v>-</v>
      </c>
      <c r="O1106" s="352" t="str">
        <f t="shared" si="1338"/>
        <v>-</v>
      </c>
    </row>
    <row r="1107" spans="1:15" ht="23.4" x14ac:dyDescent="0.3">
      <c r="A1107" s="277" t="s">
        <v>109</v>
      </c>
      <c r="B1107" s="929"/>
      <c r="C1107" s="309" t="s">
        <v>395</v>
      </c>
      <c r="D1107" s="309" t="s">
        <v>324</v>
      </c>
      <c r="E1107" s="279">
        <v>0</v>
      </c>
      <c r="F1107" s="280"/>
      <c r="G1107" s="339">
        <f t="shared" si="1426"/>
        <v>0</v>
      </c>
      <c r="H1107" s="281">
        <v>0</v>
      </c>
      <c r="I1107" s="281">
        <v>0</v>
      </c>
      <c r="J1107" s="358" t="str">
        <f>IFERROR(G1107/#REF!,"-")</f>
        <v>-</v>
      </c>
      <c r="K1107" s="339">
        <f t="shared" si="1427"/>
        <v>0</v>
      </c>
      <c r="L1107" s="281">
        <f t="shared" ref="L1107:M1107" si="1429">+H1107+L1003</f>
        <v>0</v>
      </c>
      <c r="M1107" s="251">
        <f t="shared" si="1429"/>
        <v>0</v>
      </c>
      <c r="N1107" s="343" t="str">
        <f t="shared" si="1416"/>
        <v>-</v>
      </c>
      <c r="O1107" s="264" t="str">
        <f t="shared" si="1338"/>
        <v>-</v>
      </c>
    </row>
    <row r="1108" spans="1:15" ht="24" thickBot="1" x14ac:dyDescent="0.35">
      <c r="A1108" s="277" t="s">
        <v>109</v>
      </c>
      <c r="B1108" s="929"/>
      <c r="C1108" s="306" t="s">
        <v>327</v>
      </c>
      <c r="D1108" s="306"/>
      <c r="E1108" s="283">
        <v>0</v>
      </c>
      <c r="F1108" s="284"/>
      <c r="G1108" s="340">
        <f t="shared" si="1426"/>
        <v>0</v>
      </c>
      <c r="H1108" s="285">
        <v>0</v>
      </c>
      <c r="I1108" s="285">
        <v>0</v>
      </c>
      <c r="J1108" s="359" t="str">
        <f>IFERROR(G1108/#REF!,"-")</f>
        <v>-</v>
      </c>
      <c r="K1108" s="340">
        <f t="shared" si="1427"/>
        <v>0</v>
      </c>
      <c r="L1108" s="285">
        <f t="shared" ref="L1108:M1108" si="1430">+H1108+L1004</f>
        <v>0</v>
      </c>
      <c r="M1108" s="286">
        <f t="shared" si="1430"/>
        <v>0</v>
      </c>
      <c r="N1108" s="344" t="str">
        <f t="shared" si="1416"/>
        <v>-</v>
      </c>
      <c r="O1108" s="353" t="str">
        <f t="shared" si="1338"/>
        <v>-</v>
      </c>
    </row>
    <row r="1109" spans="1:15" ht="24" thickBot="1" x14ac:dyDescent="0.35">
      <c r="A1109" s="277" t="s">
        <v>109</v>
      </c>
      <c r="B1109" s="929"/>
      <c r="C1109" s="307"/>
      <c r="D1109" s="308" t="s">
        <v>53</v>
      </c>
      <c r="E1109" s="288">
        <v>0</v>
      </c>
      <c r="F1109" s="289"/>
      <c r="G1109" s="326">
        <f>SUM(G1106:G1108)</f>
        <v>0</v>
      </c>
      <c r="H1109" s="327">
        <f t="shared" ref="H1109:I1109" si="1431">SUM(H1106:H1108)</f>
        <v>0</v>
      </c>
      <c r="I1109" s="327">
        <f t="shared" si="1431"/>
        <v>0</v>
      </c>
      <c r="J1109" s="351" t="str">
        <f>IFERROR(G1109/#REF!,"-")</f>
        <v>-</v>
      </c>
      <c r="K1109" s="326">
        <f t="shared" ref="K1109" si="1432">SUM(K1106:K1108)</f>
        <v>0</v>
      </c>
      <c r="L1109" s="327">
        <f>SUM(L1106:L1108)</f>
        <v>0</v>
      </c>
      <c r="M1109" s="328">
        <f t="shared" ref="M1109" si="1433">SUM(M1106:M1108)</f>
        <v>0</v>
      </c>
      <c r="N1109" s="345" t="str">
        <f t="shared" si="1416"/>
        <v>-</v>
      </c>
      <c r="O1109" s="351" t="str">
        <f t="shared" si="1338"/>
        <v>-</v>
      </c>
    </row>
    <row r="1110" spans="1:15" ht="23.4" x14ac:dyDescent="0.3">
      <c r="A1110" s="277" t="s">
        <v>109</v>
      </c>
      <c r="B1110" s="929"/>
      <c r="C1110" s="303" t="s">
        <v>352</v>
      </c>
      <c r="D1110" s="303"/>
      <c r="E1110" s="273">
        <v>0</v>
      </c>
      <c r="F1110" s="274"/>
      <c r="G1110" s="338">
        <f t="shared" ref="G1110:G1112" si="1434">+H1110+I1110</f>
        <v>0</v>
      </c>
      <c r="H1110" s="275">
        <v>0</v>
      </c>
      <c r="I1110" s="275">
        <v>0</v>
      </c>
      <c r="J1110" s="357" t="str">
        <f>IFERROR(G1110/#REF!,"-")</f>
        <v>-</v>
      </c>
      <c r="K1110" s="338">
        <f t="shared" ref="K1110:K1112" si="1435">+L1110+M1110</f>
        <v>0</v>
      </c>
      <c r="L1110" s="275">
        <f t="shared" ref="L1110:M1110" si="1436">+H1110+L1006</f>
        <v>0</v>
      </c>
      <c r="M1110" s="276">
        <f t="shared" si="1436"/>
        <v>0</v>
      </c>
      <c r="N1110" s="342" t="str">
        <f t="shared" si="1416"/>
        <v>-</v>
      </c>
      <c r="O1110" s="352" t="str">
        <f t="shared" si="1338"/>
        <v>-</v>
      </c>
    </row>
    <row r="1111" spans="1:15" ht="23.4" x14ac:dyDescent="0.3">
      <c r="A1111" s="277" t="s">
        <v>109</v>
      </c>
      <c r="B1111" s="929"/>
      <c r="C1111" s="309" t="s">
        <v>397</v>
      </c>
      <c r="D1111" s="309" t="s">
        <v>259</v>
      </c>
      <c r="E1111" s="279">
        <v>0</v>
      </c>
      <c r="F1111" s="280"/>
      <c r="G1111" s="339">
        <f t="shared" si="1434"/>
        <v>0</v>
      </c>
      <c r="H1111" s="281">
        <v>0</v>
      </c>
      <c r="I1111" s="281">
        <v>0</v>
      </c>
      <c r="J1111" s="358" t="str">
        <f>IFERROR(G1111/#REF!,"-")</f>
        <v>-</v>
      </c>
      <c r="K1111" s="339">
        <f t="shared" si="1435"/>
        <v>379909</v>
      </c>
      <c r="L1111" s="281">
        <f t="shared" ref="L1111:M1111" si="1437">+H1111+L1007</f>
        <v>370656</v>
      </c>
      <c r="M1111" s="251">
        <f t="shared" si="1437"/>
        <v>9253</v>
      </c>
      <c r="N1111" s="343" t="str">
        <f t="shared" si="1416"/>
        <v>-</v>
      </c>
      <c r="O1111" s="264">
        <f t="shared" si="1338"/>
        <v>2.4355832580960177E-2</v>
      </c>
    </row>
    <row r="1112" spans="1:15" ht="24" thickBot="1" x14ac:dyDescent="0.35">
      <c r="A1112" s="277" t="s">
        <v>109</v>
      </c>
      <c r="B1112" s="929"/>
      <c r="C1112" s="306" t="s">
        <v>146</v>
      </c>
      <c r="D1112" s="306"/>
      <c r="E1112" s="283">
        <v>0</v>
      </c>
      <c r="F1112" s="284"/>
      <c r="G1112" s="340">
        <f t="shared" si="1434"/>
        <v>0</v>
      </c>
      <c r="H1112" s="285">
        <v>0</v>
      </c>
      <c r="I1112" s="285">
        <v>0</v>
      </c>
      <c r="J1112" s="359" t="str">
        <f>IFERROR(G1112/#REF!,"-")</f>
        <v>-</v>
      </c>
      <c r="K1112" s="340">
        <f t="shared" si="1435"/>
        <v>0</v>
      </c>
      <c r="L1112" s="285">
        <f t="shared" ref="L1112:M1112" si="1438">+H1112+L1008</f>
        <v>0</v>
      </c>
      <c r="M1112" s="286">
        <f t="shared" si="1438"/>
        <v>0</v>
      </c>
      <c r="N1112" s="344" t="str">
        <f t="shared" si="1416"/>
        <v>-</v>
      </c>
      <c r="O1112" s="353" t="str">
        <f t="shared" si="1338"/>
        <v>-</v>
      </c>
    </row>
    <row r="1113" spans="1:15" ht="24" thickBot="1" x14ac:dyDescent="0.35">
      <c r="A1113" s="277" t="s">
        <v>109</v>
      </c>
      <c r="B1113" s="929"/>
      <c r="C1113" s="310"/>
      <c r="D1113" s="311" t="s">
        <v>54</v>
      </c>
      <c r="E1113" s="312">
        <v>0</v>
      </c>
      <c r="F1113" s="313"/>
      <c r="G1113" s="372">
        <f>SUM(G1110:G1112)</f>
        <v>0</v>
      </c>
      <c r="H1113" s="371">
        <f t="shared" ref="H1113:I1113" si="1439">SUM(H1110:H1112)</f>
        <v>0</v>
      </c>
      <c r="I1113" s="371">
        <f t="shared" si="1439"/>
        <v>0</v>
      </c>
      <c r="J1113" s="362" t="str">
        <f>IFERROR(G1113/#REF!,"-")</f>
        <v>-</v>
      </c>
      <c r="K1113" s="372">
        <f t="shared" ref="K1113:M1113" si="1440">SUM(K1110:K1112)</f>
        <v>379909</v>
      </c>
      <c r="L1113" s="371">
        <f t="shared" si="1440"/>
        <v>370656</v>
      </c>
      <c r="M1113" s="373">
        <f t="shared" si="1440"/>
        <v>9253</v>
      </c>
      <c r="N1113" s="361" t="str">
        <f t="shared" si="1416"/>
        <v>-</v>
      </c>
      <c r="O1113" s="362">
        <f t="shared" si="1338"/>
        <v>2.4355832580960177E-2</v>
      </c>
    </row>
    <row r="1114" spans="1:15" ht="24" thickBot="1" x14ac:dyDescent="0.35">
      <c r="A1114" s="277" t="s">
        <v>109</v>
      </c>
      <c r="B1114" s="932" t="s">
        <v>172</v>
      </c>
      <c r="C1114" s="933"/>
      <c r="D1114" s="934"/>
      <c r="E1114" s="314">
        <v>649600</v>
      </c>
      <c r="F1114" s="315">
        <v>50000</v>
      </c>
      <c r="G1114" s="375">
        <f>+G1109+G1113</f>
        <v>0</v>
      </c>
      <c r="H1114" s="374">
        <f t="shared" ref="H1114:I1114" si="1441">+H1109+H1113</f>
        <v>0</v>
      </c>
      <c r="I1114" s="374">
        <f t="shared" si="1441"/>
        <v>0</v>
      </c>
      <c r="J1114" s="364" t="str">
        <f>IFERROR(G1114/#REF!,"-")</f>
        <v>-</v>
      </c>
      <c r="K1114" s="375">
        <f t="shared" ref="K1114:M1114" si="1442">+K1109+K1113</f>
        <v>379909</v>
      </c>
      <c r="L1114" s="374">
        <f t="shared" si="1442"/>
        <v>370656</v>
      </c>
      <c r="M1114" s="376">
        <f t="shared" si="1442"/>
        <v>9253</v>
      </c>
      <c r="N1114" s="363">
        <f t="shared" si="1416"/>
        <v>0.58483528325123157</v>
      </c>
      <c r="O1114" s="364">
        <f t="shared" ref="O1114:O1116" si="1443">IFERROR(M1114/K1114,"-")</f>
        <v>2.4355832580960177E-2</v>
      </c>
    </row>
    <row r="1115" spans="1:15" ht="24" thickBot="1" x14ac:dyDescent="0.35">
      <c r="A1115" s="277" t="s">
        <v>109</v>
      </c>
      <c r="B1115" s="616" t="s">
        <v>32</v>
      </c>
      <c r="C1115" s="749"/>
      <c r="D1115" s="316" t="s">
        <v>32</v>
      </c>
      <c r="E1115" s="293">
        <v>0</v>
      </c>
      <c r="F1115" s="294">
        <v>110000</v>
      </c>
      <c r="G1115" s="341">
        <f t="shared" ref="G1115" si="1444">+H1115+I1115</f>
        <v>0</v>
      </c>
      <c r="H1115" s="295">
        <v>0</v>
      </c>
      <c r="I1115" s="295">
        <v>0</v>
      </c>
      <c r="J1115" s="360" t="str">
        <f>IFERROR(G1115/#REF!,"-")</f>
        <v>-</v>
      </c>
      <c r="K1115" s="341">
        <f>+L1115+M1115</f>
        <v>0</v>
      </c>
      <c r="L1115" s="295">
        <f>+H1115+L1011</f>
        <v>0</v>
      </c>
      <c r="M1115" s="296">
        <f>+I1115+M1011</f>
        <v>0</v>
      </c>
      <c r="N1115" s="346" t="str">
        <f t="shared" si="1416"/>
        <v>-</v>
      </c>
      <c r="O1115" s="354" t="str">
        <f t="shared" si="1443"/>
        <v>-</v>
      </c>
    </row>
    <row r="1116" spans="1:15" ht="24" thickBot="1" x14ac:dyDescent="0.35">
      <c r="A1116" s="277" t="s">
        <v>109</v>
      </c>
      <c r="B1116" s="926" t="s">
        <v>21</v>
      </c>
      <c r="C1116" s="927"/>
      <c r="D1116" s="928"/>
      <c r="E1116" s="332">
        <f>+E1105+E1114+E1115</f>
        <v>2816600</v>
      </c>
      <c r="F1116" s="333">
        <f t="shared" ref="F1116" si="1445">+F1105+F1114+F1115</f>
        <v>240000</v>
      </c>
      <c r="G1116" s="332">
        <f>+G1105+G1114+G1115</f>
        <v>88586</v>
      </c>
      <c r="H1116" s="330">
        <f t="shared" ref="H1116:I1116" si="1446">+H1105+H1114+H1115</f>
        <v>87516</v>
      </c>
      <c r="I1116" s="330">
        <f t="shared" si="1446"/>
        <v>1070</v>
      </c>
      <c r="J1116" s="355" t="str">
        <f>IFERROR(G1116/#REF!,"-")</f>
        <v>-</v>
      </c>
      <c r="K1116" s="332">
        <f>+K1105+K1114+K1115</f>
        <v>1374373</v>
      </c>
      <c r="L1116" s="330">
        <f>+L1105+L1114+L1115</f>
        <v>1353222</v>
      </c>
      <c r="M1116" s="331">
        <f t="shared" ref="M1116" si="1447">+M1105+M1114+M1115</f>
        <v>21151</v>
      </c>
      <c r="N1116" s="347">
        <f t="shared" si="1416"/>
        <v>0.48795462614499752</v>
      </c>
      <c r="O1116" s="355">
        <f t="shared" si="1443"/>
        <v>1.5389563095316919E-2</v>
      </c>
    </row>
    <row r="1117" spans="1:15" ht="24" thickBot="1" x14ac:dyDescent="0.35">
      <c r="A1117" s="277" t="s">
        <v>109</v>
      </c>
      <c r="B1117" s="900" t="s">
        <v>180</v>
      </c>
      <c r="C1117" s="901"/>
      <c r="D1117" s="902"/>
      <c r="E1117" s="336">
        <f>+E1116</f>
        <v>2816600</v>
      </c>
      <c r="F1117" s="337">
        <f t="shared" ref="F1117:I1117" si="1448">+F1116</f>
        <v>240000</v>
      </c>
      <c r="G1117" s="336">
        <f t="shared" si="1448"/>
        <v>88586</v>
      </c>
      <c r="H1117" s="334">
        <f t="shared" si="1448"/>
        <v>87516</v>
      </c>
      <c r="I1117" s="334">
        <f t="shared" si="1448"/>
        <v>1070</v>
      </c>
      <c r="J1117" s="356" t="str">
        <f>+J1116</f>
        <v>-</v>
      </c>
      <c r="K1117" s="336">
        <f>+K1116</f>
        <v>1374373</v>
      </c>
      <c r="L1117" s="334">
        <f t="shared" ref="L1117" si="1449">+L1116</f>
        <v>1353222</v>
      </c>
      <c r="M1117" s="335">
        <f>+M1116</f>
        <v>21151</v>
      </c>
      <c r="N1117" s="348">
        <f t="shared" ref="N1117:O1117" si="1450">+N1116</f>
        <v>0.48795462614499752</v>
      </c>
      <c r="O1117" s="356">
        <f t="shared" si="1450"/>
        <v>1.5389563095316919E-2</v>
      </c>
    </row>
    <row r="1118" spans="1:15" ht="23.4" x14ac:dyDescent="0.3">
      <c r="A1118" s="271" t="s">
        <v>110</v>
      </c>
      <c r="B1118" s="903" t="s">
        <v>33</v>
      </c>
      <c r="C1118" s="317" t="s">
        <v>121</v>
      </c>
      <c r="D1118" s="317"/>
      <c r="E1118" s="273">
        <v>0</v>
      </c>
      <c r="F1118" s="274"/>
      <c r="G1118" s="338">
        <f t="shared" ref="G1118:G1120" si="1451">+H1118+I1118</f>
        <v>0</v>
      </c>
      <c r="H1118" s="275">
        <v>0</v>
      </c>
      <c r="I1118" s="275">
        <v>0</v>
      </c>
      <c r="J1118" s="357" t="str">
        <f>IFERROR(G1118/#REF!,"-")</f>
        <v>-</v>
      </c>
      <c r="K1118" s="338">
        <f t="shared" ref="K1118:K1120" si="1452">+L1118+M1118</f>
        <v>0</v>
      </c>
      <c r="L1118" s="275">
        <f t="shared" ref="L1118:M1118" si="1453">+H1118+L1014</f>
        <v>0</v>
      </c>
      <c r="M1118" s="276">
        <f t="shared" si="1453"/>
        <v>0</v>
      </c>
      <c r="N1118" s="342" t="str">
        <f t="shared" ref="N1118:N1143" si="1454">IFERROR(K1118/E1118,"-")</f>
        <v>-</v>
      </c>
      <c r="O1118" s="352" t="str">
        <f t="shared" ref="O1118:O1143" si="1455">IFERROR(M1118/K1118,"-")</f>
        <v>-</v>
      </c>
    </row>
    <row r="1119" spans="1:15" ht="23.4" x14ac:dyDescent="0.3">
      <c r="A1119" s="277" t="s">
        <v>110</v>
      </c>
      <c r="B1119" s="904"/>
      <c r="C1119" s="318" t="s">
        <v>274</v>
      </c>
      <c r="D1119" s="318"/>
      <c r="E1119" s="279">
        <v>0</v>
      </c>
      <c r="F1119" s="280"/>
      <c r="G1119" s="339">
        <f t="shared" si="1451"/>
        <v>0</v>
      </c>
      <c r="H1119" s="281">
        <v>0</v>
      </c>
      <c r="I1119" s="281">
        <v>0</v>
      </c>
      <c r="J1119" s="358" t="str">
        <f>IFERROR(G1119/#REF!,"-")</f>
        <v>-</v>
      </c>
      <c r="K1119" s="339">
        <f t="shared" si="1452"/>
        <v>10252</v>
      </c>
      <c r="L1119" s="281">
        <f t="shared" ref="L1119:M1119" si="1456">+H1119+L1015</f>
        <v>9280</v>
      </c>
      <c r="M1119" s="251">
        <f t="shared" si="1456"/>
        <v>972</v>
      </c>
      <c r="N1119" s="343" t="str">
        <f t="shared" si="1454"/>
        <v>-</v>
      </c>
      <c r="O1119" s="264">
        <f t="shared" si="1455"/>
        <v>9.4810768630511119E-2</v>
      </c>
    </row>
    <row r="1120" spans="1:15" ht="24" thickBot="1" x14ac:dyDescent="0.35">
      <c r="A1120" s="277" t="s">
        <v>110</v>
      </c>
      <c r="B1120" s="905"/>
      <c r="C1120" s="319" t="s">
        <v>34</v>
      </c>
      <c r="D1120" s="319"/>
      <c r="E1120" s="283">
        <v>0</v>
      </c>
      <c r="F1120" s="284"/>
      <c r="G1120" s="340">
        <f t="shared" si="1451"/>
        <v>0</v>
      </c>
      <c r="H1120" s="285">
        <v>0</v>
      </c>
      <c r="I1120" s="285">
        <v>0</v>
      </c>
      <c r="J1120" s="359" t="str">
        <f>IFERROR(G1120/#REF!,"-")</f>
        <v>-</v>
      </c>
      <c r="K1120" s="340">
        <f t="shared" si="1452"/>
        <v>0</v>
      </c>
      <c r="L1120" s="285">
        <f t="shared" ref="L1120:M1120" si="1457">+H1120+L1016</f>
        <v>0</v>
      </c>
      <c r="M1120" s="286">
        <f t="shared" si="1457"/>
        <v>0</v>
      </c>
      <c r="N1120" s="344" t="str">
        <f t="shared" si="1454"/>
        <v>-</v>
      </c>
      <c r="O1120" s="353" t="str">
        <f t="shared" si="1455"/>
        <v>-</v>
      </c>
    </row>
    <row r="1121" spans="1:15" ht="24" thickBot="1" x14ac:dyDescent="0.35">
      <c r="A1121" s="277" t="s">
        <v>110</v>
      </c>
      <c r="B1121" s="906" t="s">
        <v>35</v>
      </c>
      <c r="C1121" s="907"/>
      <c r="D1121" s="908"/>
      <c r="E1121" s="288">
        <v>83700</v>
      </c>
      <c r="F1121" s="289"/>
      <c r="G1121" s="326">
        <f>SUM(G1118:G1120)</f>
        <v>0</v>
      </c>
      <c r="H1121" s="327">
        <f t="shared" ref="H1121:I1121" si="1458">SUM(H1118:H1120)</f>
        <v>0</v>
      </c>
      <c r="I1121" s="327">
        <f t="shared" si="1458"/>
        <v>0</v>
      </c>
      <c r="J1121" s="351" t="str">
        <f>IFERROR(G1121/#REF!,"-")</f>
        <v>-</v>
      </c>
      <c r="K1121" s="326">
        <f t="shared" ref="K1121:M1121" si="1459">SUM(K1118:K1120)</f>
        <v>10252</v>
      </c>
      <c r="L1121" s="327">
        <f t="shared" si="1459"/>
        <v>9280</v>
      </c>
      <c r="M1121" s="328">
        <f t="shared" si="1459"/>
        <v>972</v>
      </c>
      <c r="N1121" s="345">
        <f t="shared" si="1454"/>
        <v>0.12248506571087216</v>
      </c>
      <c r="O1121" s="351">
        <f t="shared" si="1455"/>
        <v>9.4810768630511119E-2</v>
      </c>
    </row>
    <row r="1122" spans="1:15" ht="23.4" x14ac:dyDescent="0.3">
      <c r="A1122" s="277" t="s">
        <v>110</v>
      </c>
      <c r="B1122" s="903" t="s">
        <v>36</v>
      </c>
      <c r="C1122" s="317" t="s">
        <v>121</v>
      </c>
      <c r="D1122" s="317"/>
      <c r="E1122" s="273">
        <v>0</v>
      </c>
      <c r="F1122" s="274"/>
      <c r="G1122" s="338">
        <f t="shared" ref="G1122:G1125" si="1460">+H1122+I1122</f>
        <v>0</v>
      </c>
      <c r="H1122" s="275">
        <v>0</v>
      </c>
      <c r="I1122" s="275">
        <v>0</v>
      </c>
      <c r="J1122" s="357" t="str">
        <f>IFERROR(G1122/#REF!,"-")</f>
        <v>-</v>
      </c>
      <c r="K1122" s="338">
        <f t="shared" ref="K1122:K1125" si="1461">+L1122+M1122</f>
        <v>0</v>
      </c>
      <c r="L1122" s="275">
        <f t="shared" ref="L1122:M1122" si="1462">+H1122+L1018</f>
        <v>0</v>
      </c>
      <c r="M1122" s="276">
        <f t="shared" si="1462"/>
        <v>0</v>
      </c>
      <c r="N1122" s="342" t="str">
        <f t="shared" si="1454"/>
        <v>-</v>
      </c>
      <c r="O1122" s="352" t="str">
        <f t="shared" si="1455"/>
        <v>-</v>
      </c>
    </row>
    <row r="1123" spans="1:15" ht="23.4" x14ac:dyDescent="0.3">
      <c r="A1123" s="277" t="s">
        <v>110</v>
      </c>
      <c r="B1123" s="904"/>
      <c r="C1123" s="318" t="s">
        <v>274</v>
      </c>
      <c r="D1123" s="318"/>
      <c r="E1123" s="279">
        <v>0</v>
      </c>
      <c r="F1123" s="280"/>
      <c r="G1123" s="339">
        <f t="shared" si="1460"/>
        <v>5240</v>
      </c>
      <c r="H1123" s="281">
        <v>5120</v>
      </c>
      <c r="I1123" s="281">
        <v>120</v>
      </c>
      <c r="J1123" s="358" t="str">
        <f>IFERROR(G1123/#REF!,"-")</f>
        <v>-</v>
      </c>
      <c r="K1123" s="339">
        <f t="shared" si="1461"/>
        <v>30245</v>
      </c>
      <c r="L1123" s="281">
        <f t="shared" ref="L1123:M1123" si="1463">+H1123+L1019</f>
        <v>29440</v>
      </c>
      <c r="M1123" s="251">
        <f t="shared" si="1463"/>
        <v>805</v>
      </c>
      <c r="N1123" s="343" t="str">
        <f t="shared" si="1454"/>
        <v>-</v>
      </c>
      <c r="O1123" s="264">
        <f t="shared" si="1455"/>
        <v>2.6615969581749048E-2</v>
      </c>
    </row>
    <row r="1124" spans="1:15" ht="23.4" x14ac:dyDescent="0.3">
      <c r="A1124" s="277" t="s">
        <v>110</v>
      </c>
      <c r="B1124" s="904"/>
      <c r="C1124" s="318" t="s">
        <v>201</v>
      </c>
      <c r="D1124" s="318"/>
      <c r="E1124" s="279">
        <v>0</v>
      </c>
      <c r="F1124" s="280"/>
      <c r="G1124" s="339">
        <f t="shared" si="1460"/>
        <v>0</v>
      </c>
      <c r="H1124" s="281">
        <v>0</v>
      </c>
      <c r="I1124" s="281">
        <v>0</v>
      </c>
      <c r="J1124" s="358" t="str">
        <f>IFERROR(G1124/#REF!,"-")</f>
        <v>-</v>
      </c>
      <c r="K1124" s="339">
        <f t="shared" si="1461"/>
        <v>0</v>
      </c>
      <c r="L1124" s="281">
        <f t="shared" ref="L1124:M1124" si="1464">+H1124+L1020</f>
        <v>0</v>
      </c>
      <c r="M1124" s="251">
        <f t="shared" si="1464"/>
        <v>0</v>
      </c>
      <c r="N1124" s="343" t="str">
        <f t="shared" si="1454"/>
        <v>-</v>
      </c>
      <c r="O1124" s="264" t="str">
        <f t="shared" si="1455"/>
        <v>-</v>
      </c>
    </row>
    <row r="1125" spans="1:15" ht="24" thickBot="1" x14ac:dyDescent="0.35">
      <c r="A1125" s="277" t="s">
        <v>110</v>
      </c>
      <c r="B1125" s="905"/>
      <c r="C1125" s="319" t="s">
        <v>37</v>
      </c>
      <c r="D1125" s="319"/>
      <c r="E1125" s="283">
        <v>0</v>
      </c>
      <c r="F1125" s="284"/>
      <c r="G1125" s="340">
        <f t="shared" si="1460"/>
        <v>0</v>
      </c>
      <c r="H1125" s="285">
        <v>0</v>
      </c>
      <c r="I1125" s="285">
        <v>0</v>
      </c>
      <c r="J1125" s="359" t="str">
        <f>IFERROR(G1125/#REF!,"-")</f>
        <v>-</v>
      </c>
      <c r="K1125" s="340">
        <f t="shared" si="1461"/>
        <v>0</v>
      </c>
      <c r="L1125" s="285">
        <f t="shared" ref="L1125:M1125" si="1465">+H1125+L1021</f>
        <v>0</v>
      </c>
      <c r="M1125" s="286">
        <f t="shared" si="1465"/>
        <v>0</v>
      </c>
      <c r="N1125" s="344" t="str">
        <f t="shared" si="1454"/>
        <v>-</v>
      </c>
      <c r="O1125" s="353" t="str">
        <f t="shared" si="1455"/>
        <v>-</v>
      </c>
    </row>
    <row r="1126" spans="1:15" ht="24" thickBot="1" x14ac:dyDescent="0.35">
      <c r="A1126" s="277" t="s">
        <v>110</v>
      </c>
      <c r="B1126" s="906" t="s">
        <v>38</v>
      </c>
      <c r="C1126" s="907"/>
      <c r="D1126" s="908"/>
      <c r="E1126" s="288">
        <v>10300</v>
      </c>
      <c r="F1126" s="289">
        <v>6500</v>
      </c>
      <c r="G1126" s="326">
        <f>SUM(G1122:G1125)</f>
        <v>5240</v>
      </c>
      <c r="H1126" s="327">
        <f t="shared" ref="H1126:I1126" si="1466">SUM(H1122:H1125)</f>
        <v>5120</v>
      </c>
      <c r="I1126" s="327">
        <f t="shared" si="1466"/>
        <v>120</v>
      </c>
      <c r="J1126" s="351" t="str">
        <f>IFERROR(G1126/#REF!,"-")</f>
        <v>-</v>
      </c>
      <c r="K1126" s="326">
        <f t="shared" ref="K1126:M1126" si="1467">SUM(K1122:K1125)</f>
        <v>30245</v>
      </c>
      <c r="L1126" s="327">
        <f t="shared" si="1467"/>
        <v>29440</v>
      </c>
      <c r="M1126" s="328">
        <f t="shared" si="1467"/>
        <v>805</v>
      </c>
      <c r="N1126" s="345">
        <f t="shared" si="1454"/>
        <v>2.9364077669902913</v>
      </c>
      <c r="O1126" s="351">
        <f t="shared" si="1455"/>
        <v>2.6615969581749048E-2</v>
      </c>
    </row>
    <row r="1127" spans="1:15" ht="23.4" x14ac:dyDescent="0.3">
      <c r="A1127" s="277" t="s">
        <v>110</v>
      </c>
      <c r="B1127" s="903" t="s">
        <v>39</v>
      </c>
      <c r="C1127" s="320" t="s">
        <v>124</v>
      </c>
      <c r="D1127" s="320"/>
      <c r="E1127" s="273">
        <v>0</v>
      </c>
      <c r="F1127" s="274"/>
      <c r="G1127" s="338">
        <f t="shared" ref="G1127:G1128" si="1468">+H1127+I1127</f>
        <v>0</v>
      </c>
      <c r="H1127" s="275">
        <v>0</v>
      </c>
      <c r="I1127" s="275">
        <v>0</v>
      </c>
      <c r="J1127" s="357" t="str">
        <f>IFERROR(G1127/#REF!,"-")</f>
        <v>-</v>
      </c>
      <c r="K1127" s="338">
        <f t="shared" ref="K1127:K1128" si="1469">+L1127+M1127</f>
        <v>0</v>
      </c>
      <c r="L1127" s="275">
        <f t="shared" ref="L1127:M1127" si="1470">+H1127+L1023</f>
        <v>0</v>
      </c>
      <c r="M1127" s="276">
        <f t="shared" si="1470"/>
        <v>0</v>
      </c>
      <c r="N1127" s="342" t="str">
        <f t="shared" si="1454"/>
        <v>-</v>
      </c>
      <c r="O1127" s="352" t="str">
        <f t="shared" si="1455"/>
        <v>-</v>
      </c>
    </row>
    <row r="1128" spans="1:15" ht="24" thickBot="1" x14ac:dyDescent="0.35">
      <c r="A1128" s="277" t="s">
        <v>110</v>
      </c>
      <c r="B1128" s="905"/>
      <c r="C1128" s="290" t="s">
        <v>140</v>
      </c>
      <c r="D1128" s="290"/>
      <c r="E1128" s="283">
        <v>0</v>
      </c>
      <c r="F1128" s="284"/>
      <c r="G1128" s="340">
        <f t="shared" si="1468"/>
        <v>0</v>
      </c>
      <c r="H1128" s="285">
        <v>0</v>
      </c>
      <c r="I1128" s="285">
        <v>0</v>
      </c>
      <c r="J1128" s="359" t="str">
        <f>IFERROR(G1128/#REF!,"-")</f>
        <v>-</v>
      </c>
      <c r="K1128" s="340">
        <f t="shared" si="1469"/>
        <v>0</v>
      </c>
      <c r="L1128" s="285">
        <f t="shared" ref="L1128:M1128" si="1471">+H1128+L1024</f>
        <v>0</v>
      </c>
      <c r="M1128" s="286">
        <f t="shared" si="1471"/>
        <v>0</v>
      </c>
      <c r="N1128" s="344" t="str">
        <f t="shared" si="1454"/>
        <v>-</v>
      </c>
      <c r="O1128" s="353" t="str">
        <f t="shared" si="1455"/>
        <v>-</v>
      </c>
    </row>
    <row r="1129" spans="1:15" ht="24" thickBot="1" x14ac:dyDescent="0.35">
      <c r="A1129" s="752" t="s">
        <v>110</v>
      </c>
      <c r="B1129" s="906" t="s">
        <v>40</v>
      </c>
      <c r="C1129" s="907"/>
      <c r="D1129" s="908"/>
      <c r="E1129" s="288">
        <v>30000</v>
      </c>
      <c r="F1129" s="289">
        <v>2800</v>
      </c>
      <c r="G1129" s="326">
        <f>SUM(G1127:G1128)</f>
        <v>0</v>
      </c>
      <c r="H1129" s="327">
        <f t="shared" ref="H1129:I1129" si="1472">SUM(H1127:H1128)</f>
        <v>0</v>
      </c>
      <c r="I1129" s="327">
        <f t="shared" si="1472"/>
        <v>0</v>
      </c>
      <c r="J1129" s="351" t="str">
        <f>IFERROR(G1129/#REF!,"-")</f>
        <v>-</v>
      </c>
      <c r="K1129" s="326">
        <f t="shared" ref="K1129:M1129" si="1473">SUM(K1127:K1128)</f>
        <v>0</v>
      </c>
      <c r="L1129" s="327">
        <f t="shared" si="1473"/>
        <v>0</v>
      </c>
      <c r="M1129" s="328">
        <f t="shared" si="1473"/>
        <v>0</v>
      </c>
      <c r="N1129" s="345">
        <f t="shared" si="1454"/>
        <v>0</v>
      </c>
      <c r="O1129" s="351" t="str">
        <f t="shared" si="1455"/>
        <v>-</v>
      </c>
    </row>
    <row r="1130" spans="1:15" ht="23.4" x14ac:dyDescent="0.3">
      <c r="A1130" s="277" t="s">
        <v>110</v>
      </c>
      <c r="B1130" s="903" t="s">
        <v>41</v>
      </c>
      <c r="C1130" s="272" t="s">
        <v>346</v>
      </c>
      <c r="D1130" s="272"/>
      <c r="E1130" s="273">
        <v>0</v>
      </c>
      <c r="F1130" s="321"/>
      <c r="G1130" s="338">
        <f t="shared" ref="G1130:G1134" si="1474">+H1130+I1130</f>
        <v>34019</v>
      </c>
      <c r="H1130" s="275">
        <v>33600</v>
      </c>
      <c r="I1130" s="275">
        <v>419</v>
      </c>
      <c r="J1130" s="377" t="str">
        <f>IFERROR(G1130/#REF!,"-")</f>
        <v>-</v>
      </c>
      <c r="K1130" s="338">
        <f t="shared" ref="K1130:K1134" si="1475">+L1130+M1130</f>
        <v>212679</v>
      </c>
      <c r="L1130" s="275">
        <f t="shared" ref="L1130:M1130" si="1476">+H1130+L1026</f>
        <v>210300</v>
      </c>
      <c r="M1130" s="276">
        <f t="shared" si="1476"/>
        <v>2379</v>
      </c>
      <c r="N1130" s="365" t="str">
        <f t="shared" si="1454"/>
        <v>-</v>
      </c>
      <c r="O1130" s="366">
        <f t="shared" si="1455"/>
        <v>1.1185871665749792E-2</v>
      </c>
    </row>
    <row r="1131" spans="1:15" ht="23.4" x14ac:dyDescent="0.3">
      <c r="A1131" s="277" t="s">
        <v>110</v>
      </c>
      <c r="B1131" s="904"/>
      <c r="C1131" s="272" t="s">
        <v>347</v>
      </c>
      <c r="D1131" s="278"/>
      <c r="E1131" s="279">
        <v>0</v>
      </c>
      <c r="F1131" s="322"/>
      <c r="G1131" s="339">
        <f t="shared" si="1474"/>
        <v>0</v>
      </c>
      <c r="H1131" s="281">
        <v>0</v>
      </c>
      <c r="I1131" s="281">
        <v>0</v>
      </c>
      <c r="J1131" s="378" t="str">
        <f>IFERROR(G1131/#REF!,"-")</f>
        <v>-</v>
      </c>
      <c r="K1131" s="339">
        <f t="shared" si="1475"/>
        <v>0</v>
      </c>
      <c r="L1131" s="281">
        <f t="shared" ref="L1131:M1131" si="1477">+H1131+L1027</f>
        <v>0</v>
      </c>
      <c r="M1131" s="251">
        <f t="shared" si="1477"/>
        <v>0</v>
      </c>
      <c r="N1131" s="367" t="str">
        <f t="shared" si="1454"/>
        <v>-</v>
      </c>
      <c r="O1131" s="368" t="str">
        <f t="shared" si="1455"/>
        <v>-</v>
      </c>
    </row>
    <row r="1132" spans="1:15" ht="23.4" x14ac:dyDescent="0.3">
      <c r="A1132" s="277" t="s">
        <v>110</v>
      </c>
      <c r="B1132" s="904"/>
      <c r="C1132" s="278" t="s">
        <v>423</v>
      </c>
      <c r="D1132" s="278"/>
      <c r="E1132" s="279">
        <v>0</v>
      </c>
      <c r="F1132" s="322"/>
      <c r="G1132" s="339">
        <f t="shared" si="1474"/>
        <v>0</v>
      </c>
      <c r="H1132" s="281">
        <v>0</v>
      </c>
      <c r="I1132" s="281">
        <v>0</v>
      </c>
      <c r="J1132" s="378" t="str">
        <f>IFERROR(G1132/#REF!,"-")</f>
        <v>-</v>
      </c>
      <c r="K1132" s="339">
        <f t="shared" si="1475"/>
        <v>34536</v>
      </c>
      <c r="L1132" s="281">
        <f t="shared" ref="L1132:M1132" si="1478">+H1132+L1028</f>
        <v>33960</v>
      </c>
      <c r="M1132" s="251">
        <f t="shared" si="1478"/>
        <v>576</v>
      </c>
      <c r="N1132" s="367" t="str">
        <f t="shared" si="1454"/>
        <v>-</v>
      </c>
      <c r="O1132" s="368">
        <f t="shared" si="1455"/>
        <v>1.6678248783877692E-2</v>
      </c>
    </row>
    <row r="1133" spans="1:15" ht="23.4" x14ac:dyDescent="0.3">
      <c r="A1133" s="277" t="s">
        <v>110</v>
      </c>
      <c r="B1133" s="904"/>
      <c r="C1133" s="278" t="s">
        <v>166</v>
      </c>
      <c r="D1133" s="278"/>
      <c r="E1133" s="279">
        <v>0</v>
      </c>
      <c r="F1133" s="322"/>
      <c r="G1133" s="339">
        <f t="shared" si="1474"/>
        <v>0</v>
      </c>
      <c r="H1133" s="281">
        <v>0</v>
      </c>
      <c r="I1133" s="281">
        <v>0</v>
      </c>
      <c r="J1133" s="378" t="str">
        <f>IFERROR(G1133/#REF!,"-")</f>
        <v>-</v>
      </c>
      <c r="K1133" s="339">
        <f t="shared" si="1475"/>
        <v>0</v>
      </c>
      <c r="L1133" s="281">
        <f t="shared" ref="L1133:M1133" si="1479">+H1133+L1029</f>
        <v>0</v>
      </c>
      <c r="M1133" s="251">
        <f t="shared" si="1479"/>
        <v>0</v>
      </c>
      <c r="N1133" s="367" t="str">
        <f t="shared" si="1454"/>
        <v>-</v>
      </c>
      <c r="O1133" s="368" t="str">
        <f t="shared" si="1455"/>
        <v>-</v>
      </c>
    </row>
    <row r="1134" spans="1:15" ht="24" thickBot="1" x14ac:dyDescent="0.35">
      <c r="A1134" s="277" t="s">
        <v>110</v>
      </c>
      <c r="B1134" s="905"/>
      <c r="C1134" s="282" t="s">
        <v>167</v>
      </c>
      <c r="D1134" s="282"/>
      <c r="E1134" s="283">
        <v>0</v>
      </c>
      <c r="F1134" s="323"/>
      <c r="G1134" s="340">
        <f t="shared" si="1474"/>
        <v>0</v>
      </c>
      <c r="H1134" s="285">
        <v>0</v>
      </c>
      <c r="I1134" s="285">
        <v>0</v>
      </c>
      <c r="J1134" s="379" t="str">
        <f>IFERROR(G1134/#REF!,"-")</f>
        <v>-</v>
      </c>
      <c r="K1134" s="340">
        <f t="shared" si="1475"/>
        <v>0</v>
      </c>
      <c r="L1134" s="285">
        <f t="shared" ref="L1134:M1134" si="1480">+H1134+L1030</f>
        <v>0</v>
      </c>
      <c r="M1134" s="286">
        <f t="shared" si="1480"/>
        <v>0</v>
      </c>
      <c r="N1134" s="369" t="str">
        <f t="shared" si="1454"/>
        <v>-</v>
      </c>
      <c r="O1134" s="370" t="str">
        <f t="shared" si="1455"/>
        <v>-</v>
      </c>
    </row>
    <row r="1135" spans="1:15" ht="24" thickBot="1" x14ac:dyDescent="0.35">
      <c r="A1135" s="277" t="s">
        <v>110</v>
      </c>
      <c r="B1135" s="906" t="s">
        <v>42</v>
      </c>
      <c r="C1135" s="907"/>
      <c r="D1135" s="908"/>
      <c r="E1135" s="326">
        <v>610600</v>
      </c>
      <c r="F1135" s="289">
        <v>25000</v>
      </c>
      <c r="G1135" s="326">
        <f>SUM(G1131:G1134)</f>
        <v>0</v>
      </c>
      <c r="H1135" s="327">
        <f t="shared" ref="H1135:I1135" si="1481">SUM(H1131:H1134)</f>
        <v>0</v>
      </c>
      <c r="I1135" s="327">
        <f t="shared" si="1481"/>
        <v>0</v>
      </c>
      <c r="J1135" s="351" t="str">
        <f>IFERROR(G1135/#REF!,"-")</f>
        <v>-</v>
      </c>
      <c r="K1135" s="326">
        <f>SUM(K1130:K1134)</f>
        <v>247215</v>
      </c>
      <c r="L1135" s="327">
        <f>SUM(L1130:L1134)</f>
        <v>244260</v>
      </c>
      <c r="M1135" s="328">
        <f>SUM(M1130:M1134)</f>
        <v>2955</v>
      </c>
      <c r="N1135" s="345">
        <f t="shared" si="1454"/>
        <v>0.4048722567965935</v>
      </c>
      <c r="O1135" s="351">
        <f t="shared" si="1455"/>
        <v>1.1953158182149141E-2</v>
      </c>
    </row>
    <row r="1136" spans="1:15" ht="23.4" x14ac:dyDescent="0.3">
      <c r="A1136" s="277" t="s">
        <v>110</v>
      </c>
      <c r="B1136" s="903" t="s">
        <v>43</v>
      </c>
      <c r="C1136" s="272" t="s">
        <v>204</v>
      </c>
      <c r="D1136" s="272"/>
      <c r="E1136" s="273">
        <v>0</v>
      </c>
      <c r="F1136" s="274"/>
      <c r="G1136" s="338">
        <f t="shared" ref="G1136:G1138" si="1482">+H1136+I1136</f>
        <v>0</v>
      </c>
      <c r="H1136" s="275">
        <v>0</v>
      </c>
      <c r="I1136" s="275">
        <v>0</v>
      </c>
      <c r="J1136" s="357" t="str">
        <f>IFERROR(G1136/#REF!,"-")</f>
        <v>-</v>
      </c>
      <c r="K1136" s="338">
        <f t="shared" ref="K1136:K1138" si="1483">+L1136+M1136</f>
        <v>0</v>
      </c>
      <c r="L1136" s="275">
        <f t="shared" ref="L1136:M1136" si="1484">+H1136+L1032</f>
        <v>0</v>
      </c>
      <c r="M1136" s="276">
        <f t="shared" si="1484"/>
        <v>0</v>
      </c>
      <c r="N1136" s="342" t="str">
        <f t="shared" si="1454"/>
        <v>-</v>
      </c>
      <c r="O1136" s="352" t="str">
        <f t="shared" si="1455"/>
        <v>-</v>
      </c>
    </row>
    <row r="1137" spans="1:15" ht="23.4" x14ac:dyDescent="0.3">
      <c r="A1137" s="277" t="s">
        <v>110</v>
      </c>
      <c r="B1137" s="904"/>
      <c r="C1137" s="278" t="s">
        <v>168</v>
      </c>
      <c r="D1137" s="278"/>
      <c r="E1137" s="279">
        <v>0</v>
      </c>
      <c r="F1137" s="280"/>
      <c r="G1137" s="339">
        <f t="shared" si="1482"/>
        <v>0</v>
      </c>
      <c r="H1137" s="281">
        <v>0</v>
      </c>
      <c r="I1137" s="281">
        <v>0</v>
      </c>
      <c r="J1137" s="378" t="str">
        <f>IFERROR(G1137/#REF!,"-")</f>
        <v>-</v>
      </c>
      <c r="K1137" s="339">
        <f t="shared" si="1483"/>
        <v>0</v>
      </c>
      <c r="L1137" s="281">
        <f t="shared" ref="L1137:M1137" si="1485">+H1137+L1033</f>
        <v>0</v>
      </c>
      <c r="M1137" s="251">
        <f t="shared" si="1485"/>
        <v>0</v>
      </c>
      <c r="N1137" s="367" t="str">
        <f t="shared" si="1454"/>
        <v>-</v>
      </c>
      <c r="O1137" s="368" t="str">
        <f t="shared" si="1455"/>
        <v>-</v>
      </c>
    </row>
    <row r="1138" spans="1:15" ht="24" thickBot="1" x14ac:dyDescent="0.35">
      <c r="A1138" s="277" t="s">
        <v>110</v>
      </c>
      <c r="B1138" s="905"/>
      <c r="C1138" s="282" t="s">
        <v>204</v>
      </c>
      <c r="D1138" s="282"/>
      <c r="E1138" s="283">
        <v>0</v>
      </c>
      <c r="F1138" s="284"/>
      <c r="G1138" s="340">
        <f t="shared" si="1482"/>
        <v>0</v>
      </c>
      <c r="H1138" s="285">
        <v>0</v>
      </c>
      <c r="I1138" s="285">
        <v>0</v>
      </c>
      <c r="J1138" s="379" t="str">
        <f>IFERROR(G1138/#REF!,"-")</f>
        <v>-</v>
      </c>
      <c r="K1138" s="340">
        <f t="shared" si="1483"/>
        <v>0</v>
      </c>
      <c r="L1138" s="285">
        <f t="shared" ref="L1138:M1138" si="1486">+H1138+L1034</f>
        <v>0</v>
      </c>
      <c r="M1138" s="286">
        <f t="shared" si="1486"/>
        <v>0</v>
      </c>
      <c r="N1138" s="369" t="str">
        <f t="shared" si="1454"/>
        <v>-</v>
      </c>
      <c r="O1138" s="370" t="str">
        <f t="shared" si="1455"/>
        <v>-</v>
      </c>
    </row>
    <row r="1139" spans="1:15" ht="24" thickBot="1" x14ac:dyDescent="0.35">
      <c r="A1139" s="277" t="s">
        <v>110</v>
      </c>
      <c r="B1139" s="909" t="s">
        <v>44</v>
      </c>
      <c r="C1139" s="910"/>
      <c r="D1139" s="911"/>
      <c r="E1139" s="326">
        <v>0</v>
      </c>
      <c r="F1139" s="289"/>
      <c r="G1139" s="326">
        <f>SUM(G1136:G1138)</f>
        <v>0</v>
      </c>
      <c r="H1139" s="327">
        <f t="shared" ref="H1139:I1139" si="1487">SUM(H1136:H1138)</f>
        <v>0</v>
      </c>
      <c r="I1139" s="327">
        <f t="shared" si="1487"/>
        <v>0</v>
      </c>
      <c r="J1139" s="351" t="str">
        <f>IFERROR(G1139/#REF!,"-")</f>
        <v>-</v>
      </c>
      <c r="K1139" s="326">
        <f t="shared" ref="K1139:M1139" si="1488">SUM(K1136:K1138)</f>
        <v>0</v>
      </c>
      <c r="L1139" s="327">
        <f t="shared" si="1488"/>
        <v>0</v>
      </c>
      <c r="M1139" s="328">
        <f t="shared" si="1488"/>
        <v>0</v>
      </c>
      <c r="N1139" s="345" t="str">
        <f t="shared" si="1454"/>
        <v>-</v>
      </c>
      <c r="O1139" s="351" t="str">
        <f t="shared" si="1455"/>
        <v>-</v>
      </c>
    </row>
    <row r="1140" spans="1:15" ht="23.4" x14ac:dyDescent="0.3">
      <c r="A1140" s="277" t="s">
        <v>110</v>
      </c>
      <c r="B1140" s="903" t="s">
        <v>45</v>
      </c>
      <c r="C1140" s="272" t="s">
        <v>169</v>
      </c>
      <c r="D1140" s="272"/>
      <c r="E1140" s="273">
        <v>0</v>
      </c>
      <c r="F1140" s="274"/>
      <c r="G1140" s="338">
        <f t="shared" ref="G1140:G1141" si="1489">+H1140+I1140</f>
        <v>0</v>
      </c>
      <c r="H1140" s="275">
        <v>0</v>
      </c>
      <c r="I1140" s="275">
        <v>0</v>
      </c>
      <c r="J1140" s="377" t="str">
        <f>IFERROR(G1140/#REF!,"-")</f>
        <v>-</v>
      </c>
      <c r="K1140" s="338">
        <f t="shared" ref="K1140:K1141" si="1490">+L1140+M1140</f>
        <v>0</v>
      </c>
      <c r="L1140" s="275">
        <f t="shared" ref="L1140:M1140" si="1491">+H1140+L1036</f>
        <v>0</v>
      </c>
      <c r="M1140" s="276">
        <f t="shared" si="1491"/>
        <v>0</v>
      </c>
      <c r="N1140" s="365" t="str">
        <f t="shared" si="1454"/>
        <v>-</v>
      </c>
      <c r="O1140" s="366" t="str">
        <f t="shared" si="1455"/>
        <v>-</v>
      </c>
    </row>
    <row r="1141" spans="1:15" ht="24" thickBot="1" x14ac:dyDescent="0.35">
      <c r="A1141" s="277" t="s">
        <v>110</v>
      </c>
      <c r="B1141" s="905"/>
      <c r="C1141" s="282" t="s">
        <v>170</v>
      </c>
      <c r="D1141" s="282"/>
      <c r="E1141" s="283">
        <v>0</v>
      </c>
      <c r="F1141" s="284"/>
      <c r="G1141" s="340">
        <f t="shared" si="1489"/>
        <v>0</v>
      </c>
      <c r="H1141" s="285">
        <v>0</v>
      </c>
      <c r="I1141" s="285">
        <v>0</v>
      </c>
      <c r="J1141" s="379" t="str">
        <f>IFERROR(G1141/#REF!,"-")</f>
        <v>-</v>
      </c>
      <c r="K1141" s="340">
        <f t="shared" si="1490"/>
        <v>0</v>
      </c>
      <c r="L1141" s="285">
        <f t="shared" ref="L1141:M1141" si="1492">+H1141+L1037</f>
        <v>0</v>
      </c>
      <c r="M1141" s="286">
        <f t="shared" si="1492"/>
        <v>0</v>
      </c>
      <c r="N1141" s="369" t="str">
        <f t="shared" si="1454"/>
        <v>-</v>
      </c>
      <c r="O1141" s="370" t="str">
        <f t="shared" si="1455"/>
        <v>-</v>
      </c>
    </row>
    <row r="1142" spans="1:15" ht="24" thickBot="1" x14ac:dyDescent="0.35">
      <c r="A1142" s="277" t="s">
        <v>110</v>
      </c>
      <c r="B1142" s="909" t="s">
        <v>46</v>
      </c>
      <c r="C1142" s="910"/>
      <c r="D1142" s="911"/>
      <c r="E1142" s="288">
        <v>11100</v>
      </c>
      <c r="F1142" s="289">
        <v>25000</v>
      </c>
      <c r="G1142" s="326">
        <f>SUM(G1140:G1141)</f>
        <v>0</v>
      </c>
      <c r="H1142" s="327">
        <f t="shared" ref="H1142:I1142" si="1493">SUM(H1140:H1141)</f>
        <v>0</v>
      </c>
      <c r="I1142" s="327">
        <f t="shared" si="1493"/>
        <v>0</v>
      </c>
      <c r="J1142" s="351" t="str">
        <f>IFERROR(G1142/#REF!,"-")</f>
        <v>-</v>
      </c>
      <c r="K1142" s="326">
        <f t="shared" ref="K1142:M1142" si="1494">SUM(K1140:K1141)</f>
        <v>0</v>
      </c>
      <c r="L1142" s="327">
        <f t="shared" si="1494"/>
        <v>0</v>
      </c>
      <c r="M1142" s="328">
        <f t="shared" si="1494"/>
        <v>0</v>
      </c>
      <c r="N1142" s="345">
        <f t="shared" si="1454"/>
        <v>0</v>
      </c>
      <c r="O1142" s="351" t="str">
        <f t="shared" si="1455"/>
        <v>-</v>
      </c>
    </row>
    <row r="1143" spans="1:15" ht="24" thickBot="1" x14ac:dyDescent="0.35">
      <c r="A1143" s="277" t="s">
        <v>110</v>
      </c>
      <c r="B1143" s="912" t="s">
        <v>25</v>
      </c>
      <c r="C1143" s="913"/>
      <c r="D1143" s="914"/>
      <c r="E1143" s="332">
        <f t="shared" ref="E1143:F1143" si="1495">+E1121+E1126+E1129+E1135+E1139+E1142</f>
        <v>745700</v>
      </c>
      <c r="F1143" s="333">
        <f t="shared" si="1495"/>
        <v>59300</v>
      </c>
      <c r="G1143" s="332">
        <f>+G1121+G1126+G1129+G1135+G1139+G1142</f>
        <v>5240</v>
      </c>
      <c r="H1143" s="330">
        <f t="shared" ref="H1143:I1143" si="1496">+H1121+H1126+H1129+H1135+H1139+H1142</f>
        <v>5120</v>
      </c>
      <c r="I1143" s="330">
        <f t="shared" si="1496"/>
        <v>120</v>
      </c>
      <c r="J1143" s="355" t="str">
        <f>IFERROR(G1143/#REF!,"-")</f>
        <v>-</v>
      </c>
      <c r="K1143" s="332">
        <f>+K1121+K1126+K1129+K1135+K1139+K1142</f>
        <v>287712</v>
      </c>
      <c r="L1143" s="330">
        <f t="shared" ref="L1143:M1143" si="1497">+L1121+L1126+L1129+L1135+L1139+L1142</f>
        <v>282980</v>
      </c>
      <c r="M1143" s="331">
        <f t="shared" si="1497"/>
        <v>4732</v>
      </c>
      <c r="N1143" s="347">
        <f t="shared" si="1454"/>
        <v>0.38582808099772026</v>
      </c>
      <c r="O1143" s="355">
        <f t="shared" si="1455"/>
        <v>1.6447002558113669E-2</v>
      </c>
    </row>
    <row r="1144" spans="1:15" ht="24" thickBot="1" x14ac:dyDescent="0.35">
      <c r="A1144" s="324" t="s">
        <v>110</v>
      </c>
      <c r="B1144" s="901" t="s">
        <v>182</v>
      </c>
      <c r="C1144" s="901"/>
      <c r="D1144" s="902"/>
      <c r="E1144" s="336">
        <f>+E1143</f>
        <v>745700</v>
      </c>
      <c r="F1144" s="337">
        <f t="shared" ref="F1144:O1144" si="1498">+F1143</f>
        <v>59300</v>
      </c>
      <c r="G1144" s="336">
        <f t="shared" si="1498"/>
        <v>5240</v>
      </c>
      <c r="H1144" s="334">
        <f t="shared" si="1498"/>
        <v>5120</v>
      </c>
      <c r="I1144" s="334">
        <f t="shared" si="1498"/>
        <v>120</v>
      </c>
      <c r="J1144" s="356" t="str">
        <f t="shared" si="1498"/>
        <v>-</v>
      </c>
      <c r="K1144" s="336">
        <f t="shared" si="1498"/>
        <v>287712</v>
      </c>
      <c r="L1144" s="334">
        <f t="shared" si="1498"/>
        <v>282980</v>
      </c>
      <c r="M1144" s="335">
        <f t="shared" si="1498"/>
        <v>4732</v>
      </c>
      <c r="N1144" s="348">
        <f t="shared" si="1498"/>
        <v>0.38582808099772026</v>
      </c>
      <c r="O1144" s="356">
        <f t="shared" si="1498"/>
        <v>1.6447002558113669E-2</v>
      </c>
    </row>
    <row r="1145" spans="1:15" ht="24.6" thickBot="1" x14ac:dyDescent="0.35">
      <c r="A1145" s="325"/>
      <c r="B1145" s="915" t="s">
        <v>183</v>
      </c>
      <c r="C1145" s="916"/>
      <c r="D1145" s="917"/>
      <c r="E1145" s="380">
        <f>+E1090+E1117+E1144</f>
        <v>9494400</v>
      </c>
      <c r="F1145" s="380">
        <f>+F1090+F1117+F1144</f>
        <v>748300</v>
      </c>
      <c r="G1145" s="380">
        <f>+G1090+G1117+G1144</f>
        <v>186354</v>
      </c>
      <c r="H1145" s="380">
        <f>+H1090+H1117+H1144</f>
        <v>184801</v>
      </c>
      <c r="I1145" s="380">
        <f>+I1090+I1117+I1144</f>
        <v>1553</v>
      </c>
      <c r="J1145" s="381" t="str">
        <f>IFERROR(G1145/#REF!,"-")</f>
        <v>-</v>
      </c>
      <c r="K1145" s="380">
        <f>+K1090+K1117+K1144</f>
        <v>2998819</v>
      </c>
      <c r="L1145" s="380">
        <f>+L1090+L1117+L1144</f>
        <v>2965631</v>
      </c>
      <c r="M1145" s="380">
        <f>+M1090+M1117+M1144</f>
        <v>33188</v>
      </c>
      <c r="N1145" s="381">
        <f>IFERROR(K1145/E1145,"-")</f>
        <v>0.31585134395011799</v>
      </c>
      <c r="O1145" s="381">
        <f>IFERROR(M1145/K1145,"-")</f>
        <v>1.1067023384872511E-2</v>
      </c>
    </row>
    <row r="1146" spans="1:15" ht="23.4" x14ac:dyDescent="0.3">
      <c r="A1146" s="935" t="s">
        <v>1</v>
      </c>
      <c r="B1146" s="938" t="s">
        <v>2</v>
      </c>
      <c r="C1146" s="941" t="s">
        <v>3</v>
      </c>
      <c r="D1146" s="941" t="s">
        <v>93</v>
      </c>
      <c r="E1146" s="944" t="s">
        <v>4</v>
      </c>
      <c r="F1146" s="945"/>
      <c r="G1146" s="945"/>
      <c r="H1146" s="945"/>
      <c r="I1146" s="945"/>
      <c r="J1146" s="945"/>
      <c r="K1146" s="945"/>
      <c r="L1146" s="945"/>
      <c r="M1146" s="945"/>
      <c r="N1146" s="945"/>
      <c r="O1146" s="946"/>
    </row>
    <row r="1147" spans="1:15" ht="23.4" x14ac:dyDescent="0.3">
      <c r="A1147" s="936"/>
      <c r="B1147" s="939"/>
      <c r="C1147" s="942"/>
      <c r="D1147" s="942"/>
      <c r="E1147" s="947" t="s">
        <v>7</v>
      </c>
      <c r="F1147" s="949" t="s">
        <v>116</v>
      </c>
      <c r="G1147" s="951">
        <v>44516</v>
      </c>
      <c r="H1147" s="952"/>
      <c r="I1147" s="952"/>
      <c r="J1147" s="953"/>
      <c r="K1147" s="954" t="s">
        <v>8</v>
      </c>
      <c r="L1147" s="955"/>
      <c r="M1147" s="956"/>
      <c r="N1147" s="957" t="s">
        <v>174</v>
      </c>
      <c r="O1147" s="959" t="s">
        <v>173</v>
      </c>
    </row>
    <row r="1148" spans="1:15" ht="41.4" thickBot="1" x14ac:dyDescent="0.35">
      <c r="A1148" s="937"/>
      <c r="B1148" s="940"/>
      <c r="C1148" s="943"/>
      <c r="D1148" s="943"/>
      <c r="E1148" s="948"/>
      <c r="F1148" s="950"/>
      <c r="G1148" s="462" t="s">
        <v>13</v>
      </c>
      <c r="H1148" s="463" t="s">
        <v>14</v>
      </c>
      <c r="I1148" s="463" t="s">
        <v>15</v>
      </c>
      <c r="J1148" s="464" t="s">
        <v>175</v>
      </c>
      <c r="K1148" s="462" t="s">
        <v>13</v>
      </c>
      <c r="L1148" s="463" t="s">
        <v>14</v>
      </c>
      <c r="M1148" s="465" t="s">
        <v>15</v>
      </c>
      <c r="N1148" s="958"/>
      <c r="O1148" s="960"/>
    </row>
    <row r="1149" spans="1:15" ht="23.4" x14ac:dyDescent="0.3">
      <c r="A1149" s="271" t="s">
        <v>111</v>
      </c>
      <c r="B1149" s="922" t="s">
        <v>16</v>
      </c>
      <c r="C1149" s="272" t="s">
        <v>186</v>
      </c>
      <c r="D1149" s="272" t="s">
        <v>184</v>
      </c>
      <c r="E1149" s="273">
        <v>0</v>
      </c>
      <c r="F1149" s="274"/>
      <c r="G1149" s="338">
        <f>+H1149+I1149</f>
        <v>0</v>
      </c>
      <c r="H1149" s="275">
        <v>0</v>
      </c>
      <c r="I1149" s="275">
        <v>0</v>
      </c>
      <c r="J1149" s="357" t="str">
        <f>IFERROR(G1149/#REF!,"-")</f>
        <v>-</v>
      </c>
      <c r="K1149" s="468">
        <f>+L1149+M1149</f>
        <v>0</v>
      </c>
      <c r="L1149" s="469">
        <f>+H1149+L1045</f>
        <v>0</v>
      </c>
      <c r="M1149" s="469">
        <f>+I1149+M1045</f>
        <v>0</v>
      </c>
      <c r="N1149" s="342" t="str">
        <f>IFERROR(K1149/E1149,"-")</f>
        <v>-</v>
      </c>
      <c r="O1149" s="349" t="str">
        <f t="shared" ref="O1149:O1150" si="1499">IFERROR(M1149/K1149,"-")</f>
        <v>-</v>
      </c>
    </row>
    <row r="1150" spans="1:15" ht="23.4" x14ac:dyDescent="0.3">
      <c r="A1150" s="277" t="s">
        <v>111</v>
      </c>
      <c r="B1150" s="923"/>
      <c r="C1150" s="278" t="s">
        <v>190</v>
      </c>
      <c r="D1150" s="278" t="s">
        <v>101</v>
      </c>
      <c r="E1150" s="279">
        <v>0</v>
      </c>
      <c r="F1150" s="280"/>
      <c r="G1150" s="339">
        <f t="shared" ref="G1150:G1152" si="1500">+H1150+I1150</f>
        <v>0</v>
      </c>
      <c r="H1150" s="281">
        <v>0</v>
      </c>
      <c r="I1150" s="281">
        <v>0</v>
      </c>
      <c r="J1150" s="358" t="str">
        <f>IFERROR(G1150/#REF!,"-")</f>
        <v>-</v>
      </c>
      <c r="K1150" s="339">
        <f t="shared" ref="K1150:K1152" si="1501">+L1150+M1150</f>
        <v>0</v>
      </c>
      <c r="L1150" s="281">
        <f t="shared" ref="L1150:L1152" si="1502">+H1150+L1046</f>
        <v>0</v>
      </c>
      <c r="M1150" s="442">
        <f t="shared" ref="M1150:M1152" si="1503">+I1150+M1046</f>
        <v>0</v>
      </c>
      <c r="N1150" s="343" t="str">
        <f t="shared" ref="N1150:N1152" si="1504">IFERROR(K1150/E1150,"-")</f>
        <v>-</v>
      </c>
      <c r="O1150" s="268" t="str">
        <f t="shared" si="1499"/>
        <v>-</v>
      </c>
    </row>
    <row r="1151" spans="1:15" ht="23.4" x14ac:dyDescent="0.3">
      <c r="A1151" s="277" t="s">
        <v>111</v>
      </c>
      <c r="B1151" s="923"/>
      <c r="C1151" s="278" t="s">
        <v>187</v>
      </c>
      <c r="D1151" s="278" t="s">
        <v>185</v>
      </c>
      <c r="E1151" s="279">
        <v>0</v>
      </c>
      <c r="F1151" s="280"/>
      <c r="G1151" s="339">
        <f t="shared" si="1500"/>
        <v>0</v>
      </c>
      <c r="H1151" s="281">
        <v>0</v>
      </c>
      <c r="I1151" s="281">
        <v>0</v>
      </c>
      <c r="J1151" s="358" t="str">
        <f>IFERROR(G1151/#REF!,"-")</f>
        <v>-</v>
      </c>
      <c r="K1151" s="339">
        <f t="shared" si="1501"/>
        <v>0</v>
      </c>
      <c r="L1151" s="281">
        <f t="shared" si="1502"/>
        <v>0</v>
      </c>
      <c r="M1151" s="442">
        <f t="shared" si="1503"/>
        <v>0</v>
      </c>
      <c r="N1151" s="343" t="str">
        <f t="shared" si="1504"/>
        <v>-</v>
      </c>
      <c r="O1151" s="268" t="str">
        <f>IFERROR(M1151/K1151,"-")</f>
        <v>-</v>
      </c>
    </row>
    <row r="1152" spans="1:15" ht="24" thickBot="1" x14ac:dyDescent="0.35">
      <c r="A1152" s="277" t="s">
        <v>111</v>
      </c>
      <c r="B1152" s="924"/>
      <c r="C1152" s="282" t="s">
        <v>255</v>
      </c>
      <c r="D1152" s="282" t="s">
        <v>256</v>
      </c>
      <c r="E1152" s="283">
        <v>0</v>
      </c>
      <c r="F1152" s="284"/>
      <c r="G1152" s="340">
        <f t="shared" si="1500"/>
        <v>0</v>
      </c>
      <c r="H1152" s="285">
        <v>0</v>
      </c>
      <c r="I1152" s="285">
        <v>0</v>
      </c>
      <c r="J1152" s="359" t="str">
        <f>IFERROR(G1152/#REF!,"-")</f>
        <v>-</v>
      </c>
      <c r="K1152" s="471">
        <f t="shared" si="1501"/>
        <v>105112</v>
      </c>
      <c r="L1152" s="472">
        <f t="shared" si="1502"/>
        <v>103424</v>
      </c>
      <c r="M1152" s="473">
        <f t="shared" si="1503"/>
        <v>1688</v>
      </c>
      <c r="N1152" s="344" t="str">
        <f t="shared" si="1504"/>
        <v>-</v>
      </c>
      <c r="O1152" s="350">
        <f t="shared" ref="O1152:O1170" si="1505">IFERROR(M1152/K1152,"-")</f>
        <v>1.6059060811325063E-2</v>
      </c>
    </row>
    <row r="1153" spans="1:15" ht="24" thickBot="1" x14ac:dyDescent="0.35">
      <c r="A1153" s="277" t="s">
        <v>111</v>
      </c>
      <c r="B1153" s="906" t="s">
        <v>47</v>
      </c>
      <c r="C1153" s="907"/>
      <c r="D1153" s="908"/>
      <c r="E1153" s="326">
        <v>144600</v>
      </c>
      <c r="F1153" s="289">
        <v>15000</v>
      </c>
      <c r="G1153" s="326">
        <f>SUM(G1149:G1152)</f>
        <v>0</v>
      </c>
      <c r="H1153" s="327">
        <f t="shared" ref="H1153:I1153" si="1506">SUM(H1149:H1152)</f>
        <v>0</v>
      </c>
      <c r="I1153" s="327">
        <f t="shared" si="1506"/>
        <v>0</v>
      </c>
      <c r="J1153" s="351" t="str">
        <f>IFERROR(G1153/#REF!,"-")</f>
        <v>-</v>
      </c>
      <c r="K1153" s="326">
        <f t="shared" ref="K1153:M1153" si="1507">SUM(K1149:K1152)</f>
        <v>105112</v>
      </c>
      <c r="L1153" s="327">
        <f t="shared" si="1507"/>
        <v>103424</v>
      </c>
      <c r="M1153" s="328">
        <f t="shared" si="1507"/>
        <v>1688</v>
      </c>
      <c r="N1153" s="345">
        <f>IFERROR(K1153/E1153,"-")</f>
        <v>0.72691562932226828</v>
      </c>
      <c r="O1153" s="351">
        <f t="shared" si="1505"/>
        <v>1.6059060811325063E-2</v>
      </c>
    </row>
    <row r="1154" spans="1:15" ht="23.4" x14ac:dyDescent="0.3">
      <c r="A1154" s="277" t="s">
        <v>111</v>
      </c>
      <c r="B1154" s="922" t="s">
        <v>17</v>
      </c>
      <c r="C1154" s="272" t="s">
        <v>331</v>
      </c>
      <c r="D1154" s="272"/>
      <c r="E1154" s="273">
        <v>0</v>
      </c>
      <c r="F1154" s="274"/>
      <c r="G1154" s="338">
        <f t="shared" ref="G1154:G1160" si="1508">+H1154+I1154</f>
        <v>0</v>
      </c>
      <c r="H1154" s="275">
        <v>0</v>
      </c>
      <c r="I1154" s="275">
        <v>0</v>
      </c>
      <c r="J1154" s="357" t="str">
        <f>IFERROR(G1154/#REF!,"-")</f>
        <v>-</v>
      </c>
      <c r="K1154" s="468">
        <f t="shared" ref="K1154:K1160" si="1509">+L1154+M1154</f>
        <v>0</v>
      </c>
      <c r="L1154" s="469">
        <f t="shared" ref="L1154:L1160" si="1510">+H1154+L1050</f>
        <v>0</v>
      </c>
      <c r="M1154" s="470">
        <f t="shared" ref="M1154:M1160" si="1511">+I1154+M1050</f>
        <v>0</v>
      </c>
      <c r="N1154" s="342" t="str">
        <f t="shared" ref="N1154:N1160" si="1512">IFERROR(K1154/E1154,"-")</f>
        <v>-</v>
      </c>
      <c r="O1154" s="352" t="str">
        <f t="shared" si="1505"/>
        <v>-</v>
      </c>
    </row>
    <row r="1155" spans="1:15" ht="23.4" x14ac:dyDescent="0.3">
      <c r="A1155" s="277" t="s">
        <v>111</v>
      </c>
      <c r="B1155" s="923"/>
      <c r="C1155" s="278" t="s">
        <v>421</v>
      </c>
      <c r="D1155" s="278" t="s">
        <v>257</v>
      </c>
      <c r="E1155" s="279">
        <v>0</v>
      </c>
      <c r="F1155" s="280"/>
      <c r="G1155" s="339">
        <f t="shared" si="1508"/>
        <v>12425</v>
      </c>
      <c r="H1155" s="281">
        <v>12240</v>
      </c>
      <c r="I1155" s="281">
        <v>185</v>
      </c>
      <c r="J1155" s="358" t="str">
        <f>IFERROR(G1155/#REF!,"-")</f>
        <v>-</v>
      </c>
      <c r="K1155" s="339">
        <f t="shared" si="1509"/>
        <v>273019</v>
      </c>
      <c r="L1155" s="281">
        <f t="shared" si="1510"/>
        <v>271583</v>
      </c>
      <c r="M1155" s="442">
        <f t="shared" si="1511"/>
        <v>1436</v>
      </c>
      <c r="N1155" s="343" t="str">
        <f t="shared" si="1512"/>
        <v>-</v>
      </c>
      <c r="O1155" s="264">
        <f t="shared" si="1505"/>
        <v>5.2597071998652109E-3</v>
      </c>
    </row>
    <row r="1156" spans="1:15" ht="23.4" x14ac:dyDescent="0.3">
      <c r="A1156" s="277" t="s">
        <v>111</v>
      </c>
      <c r="B1156" s="923"/>
      <c r="C1156" s="278" t="s">
        <v>290</v>
      </c>
      <c r="D1156" s="278" t="s">
        <v>205</v>
      </c>
      <c r="E1156" s="279">
        <v>0</v>
      </c>
      <c r="F1156" s="280"/>
      <c r="G1156" s="339">
        <f t="shared" si="1508"/>
        <v>0</v>
      </c>
      <c r="H1156" s="281">
        <v>0</v>
      </c>
      <c r="I1156" s="281">
        <v>0</v>
      </c>
      <c r="J1156" s="358" t="str">
        <f>IFERROR(G1156/#REF!,"-")</f>
        <v>-</v>
      </c>
      <c r="K1156" s="339">
        <f t="shared" si="1509"/>
        <v>0</v>
      </c>
      <c r="L1156" s="281">
        <f t="shared" si="1510"/>
        <v>0</v>
      </c>
      <c r="M1156" s="442">
        <f t="shared" si="1511"/>
        <v>0</v>
      </c>
      <c r="N1156" s="343" t="str">
        <f t="shared" si="1512"/>
        <v>-</v>
      </c>
      <c r="O1156" s="264" t="str">
        <f t="shared" si="1505"/>
        <v>-</v>
      </c>
    </row>
    <row r="1157" spans="1:15" ht="23.4" x14ac:dyDescent="0.3">
      <c r="A1157" s="277" t="s">
        <v>111</v>
      </c>
      <c r="B1157" s="923"/>
      <c r="C1157" s="278" t="s">
        <v>330</v>
      </c>
      <c r="D1157" s="278" t="s">
        <v>206</v>
      </c>
      <c r="E1157" s="279">
        <v>0</v>
      </c>
      <c r="F1157" s="280"/>
      <c r="G1157" s="339">
        <f t="shared" si="1508"/>
        <v>0</v>
      </c>
      <c r="H1157" s="281">
        <v>0</v>
      </c>
      <c r="I1157" s="281">
        <v>0</v>
      </c>
      <c r="J1157" s="358" t="str">
        <f>IFERROR(G1157/#REF!,"-")</f>
        <v>-</v>
      </c>
      <c r="K1157" s="339">
        <f t="shared" si="1509"/>
        <v>1836</v>
      </c>
      <c r="L1157" s="281">
        <f t="shared" si="1510"/>
        <v>1836</v>
      </c>
      <c r="M1157" s="442">
        <f t="shared" si="1511"/>
        <v>0</v>
      </c>
      <c r="N1157" s="343" t="str">
        <f t="shared" si="1512"/>
        <v>-</v>
      </c>
      <c r="O1157" s="264">
        <f t="shared" si="1505"/>
        <v>0</v>
      </c>
    </row>
    <row r="1158" spans="1:15" ht="23.4" x14ac:dyDescent="0.3">
      <c r="A1158" s="277" t="s">
        <v>111</v>
      </c>
      <c r="B1158" s="923"/>
      <c r="C1158" s="278" t="s">
        <v>377</v>
      </c>
      <c r="D1158" s="278" t="s">
        <v>371</v>
      </c>
      <c r="E1158" s="279">
        <v>0</v>
      </c>
      <c r="F1158" s="280"/>
      <c r="G1158" s="339">
        <f t="shared" si="1508"/>
        <v>0</v>
      </c>
      <c r="H1158" s="281">
        <v>0</v>
      </c>
      <c r="I1158" s="281">
        <v>0</v>
      </c>
      <c r="J1158" s="358" t="str">
        <f>IFERROR(G1158/#REF!,"-")</f>
        <v>-</v>
      </c>
      <c r="K1158" s="339">
        <f t="shared" si="1509"/>
        <v>10610</v>
      </c>
      <c r="L1158" s="281">
        <f t="shared" si="1510"/>
        <v>10610</v>
      </c>
      <c r="M1158" s="442">
        <f t="shared" si="1511"/>
        <v>0</v>
      </c>
      <c r="N1158" s="343" t="str">
        <f t="shared" si="1512"/>
        <v>-</v>
      </c>
      <c r="O1158" s="264">
        <f t="shared" si="1505"/>
        <v>0</v>
      </c>
    </row>
    <row r="1159" spans="1:15" ht="23.4" x14ac:dyDescent="0.3">
      <c r="A1159" s="277" t="s">
        <v>111</v>
      </c>
      <c r="B1159" s="923"/>
      <c r="C1159" s="278" t="s">
        <v>443</v>
      </c>
      <c r="D1159" s="278" t="s">
        <v>207</v>
      </c>
      <c r="E1159" s="279">
        <v>0</v>
      </c>
      <c r="F1159" s="280"/>
      <c r="G1159" s="339">
        <f t="shared" si="1508"/>
        <v>0</v>
      </c>
      <c r="H1159" s="281">
        <v>0</v>
      </c>
      <c r="I1159" s="281">
        <v>0</v>
      </c>
      <c r="J1159" s="358" t="str">
        <f>IFERROR(G1159/#REF!,"-")</f>
        <v>-</v>
      </c>
      <c r="K1159" s="339">
        <f t="shared" si="1509"/>
        <v>411420</v>
      </c>
      <c r="L1159" s="281">
        <f t="shared" si="1510"/>
        <v>410040</v>
      </c>
      <c r="M1159" s="442">
        <f t="shared" si="1511"/>
        <v>1380</v>
      </c>
      <c r="N1159" s="343" t="str">
        <f t="shared" si="1512"/>
        <v>-</v>
      </c>
      <c r="O1159" s="264">
        <f t="shared" si="1505"/>
        <v>3.3542365465947209E-3</v>
      </c>
    </row>
    <row r="1160" spans="1:15" ht="24" thickBot="1" x14ac:dyDescent="0.35">
      <c r="A1160" s="277" t="s">
        <v>111</v>
      </c>
      <c r="B1160" s="924"/>
      <c r="C1160" s="282" t="s">
        <v>416</v>
      </c>
      <c r="D1160" s="282" t="s">
        <v>257</v>
      </c>
      <c r="E1160" s="283">
        <v>0</v>
      </c>
      <c r="F1160" s="284"/>
      <c r="G1160" s="340">
        <f t="shared" si="1508"/>
        <v>0</v>
      </c>
      <c r="H1160" s="285">
        <v>0</v>
      </c>
      <c r="I1160" s="285">
        <v>0</v>
      </c>
      <c r="J1160" s="359" t="str">
        <f>IFERROR(G1160/#REF!,"-")</f>
        <v>-</v>
      </c>
      <c r="K1160" s="471">
        <f t="shared" si="1509"/>
        <v>73650</v>
      </c>
      <c r="L1160" s="719">
        <f t="shared" si="1510"/>
        <v>73440</v>
      </c>
      <c r="M1160" s="473">
        <f t="shared" si="1511"/>
        <v>210</v>
      </c>
      <c r="N1160" s="344" t="str">
        <f t="shared" si="1512"/>
        <v>-</v>
      </c>
      <c r="O1160" s="353">
        <f t="shared" si="1505"/>
        <v>2.8513238289205704E-3</v>
      </c>
    </row>
    <row r="1161" spans="1:15" ht="24" thickBot="1" x14ac:dyDescent="0.35">
      <c r="A1161" s="277" t="s">
        <v>111</v>
      </c>
      <c r="B1161" s="906" t="s">
        <v>48</v>
      </c>
      <c r="C1161" s="907"/>
      <c r="D1161" s="908"/>
      <c r="E1161" s="326">
        <v>3480000</v>
      </c>
      <c r="F1161" s="289">
        <v>100000</v>
      </c>
      <c r="G1161" s="326">
        <f>SUM(G1154:G1160)</f>
        <v>12425</v>
      </c>
      <c r="H1161" s="327">
        <f t="shared" ref="H1161:I1161" si="1513">SUM(H1154:H1160)</f>
        <v>12240</v>
      </c>
      <c r="I1161" s="327">
        <f t="shared" si="1513"/>
        <v>185</v>
      </c>
      <c r="J1161" s="351" t="str">
        <f>IFERROR(G1161/#REF!,"-")</f>
        <v>-</v>
      </c>
      <c r="K1161" s="326">
        <f>SUM(K1154:K1160)</f>
        <v>770535</v>
      </c>
      <c r="L1161" s="327">
        <f t="shared" ref="L1161:M1161" si="1514">SUM(L1154:L1160)</f>
        <v>767509</v>
      </c>
      <c r="M1161" s="328">
        <f t="shared" si="1514"/>
        <v>3026</v>
      </c>
      <c r="N1161" s="345">
        <f>IFERROR(K1161/E1161,"-")</f>
        <v>0.22141810344827587</v>
      </c>
      <c r="O1161" s="351">
        <f t="shared" si="1505"/>
        <v>3.9271415315332856E-3</v>
      </c>
    </row>
    <row r="1162" spans="1:15" ht="23.4" x14ac:dyDescent="0.3">
      <c r="A1162" s="277" t="s">
        <v>111</v>
      </c>
      <c r="B1162" s="922" t="s">
        <v>18</v>
      </c>
      <c r="C1162" s="272" t="s">
        <v>359</v>
      </c>
      <c r="D1162" s="272" t="s">
        <v>99</v>
      </c>
      <c r="E1162" s="273">
        <v>0</v>
      </c>
      <c r="F1162" s="274"/>
      <c r="G1162" s="338">
        <f t="shared" ref="G1162:G1168" si="1515">+H1162+I1162</f>
        <v>0</v>
      </c>
      <c r="H1162" s="275">
        <v>0</v>
      </c>
      <c r="I1162" s="275">
        <v>0</v>
      </c>
      <c r="J1162" s="357" t="str">
        <f>IFERROR(G1162/#REF!,"-")</f>
        <v>-</v>
      </c>
      <c r="K1162" s="338">
        <f t="shared" ref="K1162:K1168" si="1516">+L1162+M1162</f>
        <v>0</v>
      </c>
      <c r="L1162" s="275">
        <f t="shared" ref="L1162:L1168" si="1517">+H1162+L1058</f>
        <v>0</v>
      </c>
      <c r="M1162" s="276">
        <f t="shared" ref="M1162:M1168" si="1518">+I1162+M1058</f>
        <v>0</v>
      </c>
      <c r="N1162" s="342" t="str">
        <f t="shared" ref="N1162:N1169" si="1519">IFERROR(K1162/E1162,"-")</f>
        <v>-</v>
      </c>
      <c r="O1162" s="352" t="str">
        <f t="shared" si="1505"/>
        <v>-</v>
      </c>
    </row>
    <row r="1163" spans="1:15" ht="23.4" x14ac:dyDescent="0.3">
      <c r="A1163" s="277" t="s">
        <v>111</v>
      </c>
      <c r="B1163" s="923"/>
      <c r="C1163" s="278" t="s">
        <v>258</v>
      </c>
      <c r="D1163" s="278" t="s">
        <v>259</v>
      </c>
      <c r="E1163" s="279">
        <v>0</v>
      </c>
      <c r="F1163" s="280"/>
      <c r="G1163" s="339">
        <f t="shared" si="1515"/>
        <v>0</v>
      </c>
      <c r="H1163" s="281">
        <v>0</v>
      </c>
      <c r="I1163" s="281">
        <v>0</v>
      </c>
      <c r="J1163" s="358" t="str">
        <f>IFERROR(G1163/#REF!,"-")</f>
        <v>-</v>
      </c>
      <c r="K1163" s="339">
        <f t="shared" si="1516"/>
        <v>0</v>
      </c>
      <c r="L1163" s="281">
        <f t="shared" si="1517"/>
        <v>0</v>
      </c>
      <c r="M1163" s="251">
        <f t="shared" si="1518"/>
        <v>0</v>
      </c>
      <c r="N1163" s="343" t="str">
        <f t="shared" si="1519"/>
        <v>-</v>
      </c>
      <c r="O1163" s="264" t="str">
        <f t="shared" si="1505"/>
        <v>-</v>
      </c>
    </row>
    <row r="1164" spans="1:15" ht="23.4" x14ac:dyDescent="0.3">
      <c r="A1164" s="277" t="s">
        <v>111</v>
      </c>
      <c r="B1164" s="923"/>
      <c r="C1164" s="278" t="s">
        <v>123</v>
      </c>
      <c r="D1164" s="278"/>
      <c r="E1164" s="279">
        <v>0</v>
      </c>
      <c r="F1164" s="280"/>
      <c r="G1164" s="339">
        <f t="shared" si="1515"/>
        <v>0</v>
      </c>
      <c r="H1164" s="281">
        <v>0</v>
      </c>
      <c r="I1164" s="281">
        <v>0</v>
      </c>
      <c r="J1164" s="358" t="str">
        <f>IFERROR(G1164/#REF!,"-")</f>
        <v>-</v>
      </c>
      <c r="K1164" s="339">
        <f t="shared" si="1516"/>
        <v>0</v>
      </c>
      <c r="L1164" s="281">
        <f t="shared" si="1517"/>
        <v>0</v>
      </c>
      <c r="M1164" s="251">
        <f t="shared" si="1518"/>
        <v>0</v>
      </c>
      <c r="N1164" s="343" t="str">
        <f t="shared" si="1519"/>
        <v>-</v>
      </c>
      <c r="O1164" s="264" t="str">
        <f t="shared" si="1505"/>
        <v>-</v>
      </c>
    </row>
    <row r="1165" spans="1:15" ht="23.4" x14ac:dyDescent="0.3">
      <c r="A1165" s="277" t="s">
        <v>111</v>
      </c>
      <c r="B1165" s="923"/>
      <c r="C1165" s="278" t="s">
        <v>130</v>
      </c>
      <c r="D1165" s="278"/>
      <c r="E1165" s="279">
        <v>0</v>
      </c>
      <c r="F1165" s="280"/>
      <c r="G1165" s="339">
        <f t="shared" si="1515"/>
        <v>0</v>
      </c>
      <c r="H1165" s="281">
        <v>0</v>
      </c>
      <c r="I1165" s="281">
        <v>0</v>
      </c>
      <c r="J1165" s="358" t="str">
        <f>IFERROR(G1165/#REF!,"-")</f>
        <v>-</v>
      </c>
      <c r="K1165" s="339">
        <f t="shared" si="1516"/>
        <v>0</v>
      </c>
      <c r="L1165" s="281">
        <f t="shared" si="1517"/>
        <v>0</v>
      </c>
      <c r="M1165" s="251">
        <f t="shared" si="1518"/>
        <v>0</v>
      </c>
      <c r="N1165" s="343" t="str">
        <f t="shared" si="1519"/>
        <v>-</v>
      </c>
      <c r="O1165" s="264" t="str">
        <f t="shared" si="1505"/>
        <v>-</v>
      </c>
    </row>
    <row r="1166" spans="1:15" ht="23.4" x14ac:dyDescent="0.3">
      <c r="A1166" s="277" t="s">
        <v>111</v>
      </c>
      <c r="B1166" s="923"/>
      <c r="C1166" s="278" t="s">
        <v>191</v>
      </c>
      <c r="D1166" s="278" t="s">
        <v>192</v>
      </c>
      <c r="E1166" s="279">
        <v>0</v>
      </c>
      <c r="F1166" s="280"/>
      <c r="G1166" s="339">
        <f t="shared" si="1515"/>
        <v>0</v>
      </c>
      <c r="H1166" s="281">
        <v>0</v>
      </c>
      <c r="I1166" s="281">
        <v>0</v>
      </c>
      <c r="J1166" s="358" t="str">
        <f>IFERROR(G1166/#REF!,"-")</f>
        <v>-</v>
      </c>
      <c r="K1166" s="339">
        <f t="shared" si="1516"/>
        <v>0</v>
      </c>
      <c r="L1166" s="281">
        <f t="shared" si="1517"/>
        <v>0</v>
      </c>
      <c r="M1166" s="251">
        <f t="shared" si="1518"/>
        <v>0</v>
      </c>
      <c r="N1166" s="343" t="str">
        <f t="shared" si="1519"/>
        <v>-</v>
      </c>
      <c r="O1166" s="264" t="str">
        <f t="shared" si="1505"/>
        <v>-</v>
      </c>
    </row>
    <row r="1167" spans="1:15" ht="23.4" x14ac:dyDescent="0.3">
      <c r="A1167" s="277" t="s">
        <v>111</v>
      </c>
      <c r="B1167" s="923"/>
      <c r="C1167" s="278" t="s">
        <v>194</v>
      </c>
      <c r="D1167" s="278" t="s">
        <v>193</v>
      </c>
      <c r="E1167" s="279">
        <v>0</v>
      </c>
      <c r="F1167" s="280"/>
      <c r="G1167" s="339">
        <f t="shared" si="1515"/>
        <v>0</v>
      </c>
      <c r="H1167" s="281">
        <v>0</v>
      </c>
      <c r="I1167" s="281">
        <v>0</v>
      </c>
      <c r="J1167" s="358" t="str">
        <f>IFERROR(G1167/#REF!,"-")</f>
        <v>-</v>
      </c>
      <c r="K1167" s="339">
        <f t="shared" si="1516"/>
        <v>0</v>
      </c>
      <c r="L1167" s="281">
        <f t="shared" si="1517"/>
        <v>0</v>
      </c>
      <c r="M1167" s="251">
        <f t="shared" si="1518"/>
        <v>0</v>
      </c>
      <c r="N1167" s="343" t="str">
        <f t="shared" si="1519"/>
        <v>-</v>
      </c>
      <c r="O1167" s="264" t="str">
        <f t="shared" si="1505"/>
        <v>-</v>
      </c>
    </row>
    <row r="1168" spans="1:15" ht="24" thickBot="1" x14ac:dyDescent="0.35">
      <c r="A1168" s="277" t="s">
        <v>111</v>
      </c>
      <c r="B1168" s="924"/>
      <c r="C1168" s="290" t="s">
        <v>195</v>
      </c>
      <c r="D1168" s="290" t="s">
        <v>115</v>
      </c>
      <c r="E1168" s="283">
        <v>0</v>
      </c>
      <c r="F1168" s="284"/>
      <c r="G1168" s="340">
        <f t="shared" si="1515"/>
        <v>0</v>
      </c>
      <c r="H1168" s="285">
        <v>0</v>
      </c>
      <c r="I1168" s="285">
        <v>0</v>
      </c>
      <c r="J1168" s="359" t="str">
        <f>IFERROR(G1168/#REF!,"-")</f>
        <v>-</v>
      </c>
      <c r="K1168" s="340">
        <f t="shared" si="1516"/>
        <v>0</v>
      </c>
      <c r="L1168" s="285">
        <f t="shared" si="1517"/>
        <v>0</v>
      </c>
      <c r="M1168" s="286">
        <f t="shared" si="1518"/>
        <v>0</v>
      </c>
      <c r="N1168" s="344" t="str">
        <f t="shared" si="1519"/>
        <v>-</v>
      </c>
      <c r="O1168" s="353" t="str">
        <f t="shared" si="1505"/>
        <v>-</v>
      </c>
    </row>
    <row r="1169" spans="1:15" ht="24" thickBot="1" x14ac:dyDescent="0.35">
      <c r="A1169" s="277" t="s">
        <v>111</v>
      </c>
      <c r="B1169" s="906" t="s">
        <v>29</v>
      </c>
      <c r="C1169" s="907"/>
      <c r="D1169" s="908"/>
      <c r="E1169" s="326">
        <f t="shared" ref="E1169" si="1520">SUM(E1162:E1168)</f>
        <v>0</v>
      </c>
      <c r="F1169" s="289">
        <v>80000</v>
      </c>
      <c r="G1169" s="326">
        <f>SUM(G1162:G1168)</f>
        <v>0</v>
      </c>
      <c r="H1169" s="327">
        <f t="shared" ref="H1169:I1169" si="1521">SUM(H1162:H1168)</f>
        <v>0</v>
      </c>
      <c r="I1169" s="327">
        <f t="shared" si="1521"/>
        <v>0</v>
      </c>
      <c r="J1169" s="351" t="str">
        <f>IFERROR(G1169/#REF!,"-")</f>
        <v>-</v>
      </c>
      <c r="K1169" s="326">
        <f t="shared" ref="K1169:M1169" si="1522">SUM(K1162:K1168)</f>
        <v>0</v>
      </c>
      <c r="L1169" s="327">
        <f t="shared" si="1522"/>
        <v>0</v>
      </c>
      <c r="M1169" s="328">
        <f t="shared" si="1522"/>
        <v>0</v>
      </c>
      <c r="N1169" s="345" t="str">
        <f t="shared" si="1519"/>
        <v>-</v>
      </c>
      <c r="O1169" s="351" t="str">
        <f t="shared" si="1505"/>
        <v>-</v>
      </c>
    </row>
    <row r="1170" spans="1:15" ht="23.4" x14ac:dyDescent="0.3">
      <c r="A1170" s="252" t="s">
        <v>111</v>
      </c>
      <c r="B1170" s="918" t="s">
        <v>19</v>
      </c>
      <c r="C1170" s="757" t="s">
        <v>260</v>
      </c>
      <c r="D1170" s="771" t="s">
        <v>192</v>
      </c>
      <c r="E1170" s="540">
        <v>2000000</v>
      </c>
      <c r="F1170" s="470">
        <v>110000</v>
      </c>
      <c r="G1170" s="770">
        <f t="shared" ref="G1170:G1172" si="1523">+H1170+I1170</f>
        <v>0</v>
      </c>
      <c r="H1170" s="469">
        <v>0</v>
      </c>
      <c r="I1170" s="469">
        <v>0</v>
      </c>
      <c r="J1170" s="544" t="str">
        <f>IFERROR(G1170/#REF!,"-")</f>
        <v>-</v>
      </c>
      <c r="K1170" s="468">
        <f>+L1170+M1170</f>
        <v>329781</v>
      </c>
      <c r="L1170" s="469">
        <f t="shared" ref="L1170:L1171" si="1524">+H1170+L1066</f>
        <v>328118</v>
      </c>
      <c r="M1170" s="470">
        <f t="shared" ref="M1170:M1171" si="1525">+I1170+M1066</f>
        <v>1663</v>
      </c>
      <c r="N1170" s="775">
        <f>IFERROR(K1170/E1170,"-")</f>
        <v>0.1648905</v>
      </c>
      <c r="O1170" s="776">
        <f t="shared" si="1505"/>
        <v>5.0427404853524002E-3</v>
      </c>
    </row>
    <row r="1171" spans="1:15" ht="23.4" x14ac:dyDescent="0.3">
      <c r="A1171" s="252"/>
      <c r="B1171" s="919"/>
      <c r="C1171" s="302" t="s">
        <v>458</v>
      </c>
      <c r="D1171" s="772"/>
      <c r="E1171" s="755">
        <v>0</v>
      </c>
      <c r="F1171" s="441">
        <v>110000</v>
      </c>
      <c r="G1171" s="756">
        <f t="shared" si="1523"/>
        <v>59316</v>
      </c>
      <c r="H1171" s="275">
        <v>59136</v>
      </c>
      <c r="I1171" s="275">
        <v>180</v>
      </c>
      <c r="J1171" s="357" t="str">
        <f>IFERROR(G1171/#REF!,"-")</f>
        <v>-</v>
      </c>
      <c r="K1171" s="341">
        <f>+L1171+M1171</f>
        <v>110375</v>
      </c>
      <c r="L1171" s="295">
        <f t="shared" si="1524"/>
        <v>109824</v>
      </c>
      <c r="M1171" s="774">
        <f t="shared" si="1525"/>
        <v>551</v>
      </c>
      <c r="N1171" s="346" t="str">
        <f t="shared" ref="N1171:N1172" si="1526">IFERROR(K1171/E1171,"-")</f>
        <v>-</v>
      </c>
      <c r="O1171" s="753">
        <f>IFERROR(M1171/K1171,"-")</f>
        <v>4.9920724801812005E-3</v>
      </c>
    </row>
    <row r="1172" spans="1:15" ht="24" thickBot="1" x14ac:dyDescent="0.35">
      <c r="A1172" s="252"/>
      <c r="B1172" s="920"/>
      <c r="C1172" s="679" t="s">
        <v>417</v>
      </c>
      <c r="D1172" s="773"/>
      <c r="E1172" s="472">
        <v>150000</v>
      </c>
      <c r="F1172" s="473">
        <v>110000</v>
      </c>
      <c r="G1172" s="607">
        <f t="shared" si="1523"/>
        <v>0</v>
      </c>
      <c r="H1172" s="285">
        <v>0</v>
      </c>
      <c r="I1172" s="285">
        <v>0</v>
      </c>
      <c r="J1172" s="359"/>
      <c r="K1172" s="471">
        <f>+L1172+M1172</f>
        <v>0</v>
      </c>
      <c r="L1172" s="472">
        <f>+H1172+L1068</f>
        <v>0</v>
      </c>
      <c r="M1172" s="473">
        <f>+I1172+M1068</f>
        <v>0</v>
      </c>
      <c r="N1172" s="344">
        <f t="shared" si="1526"/>
        <v>0</v>
      </c>
      <c r="O1172" s="680" t="str">
        <f t="shared" ref="O1172:O1220" si="1527">IFERROR(M1172/K1172,"-")</f>
        <v>-</v>
      </c>
    </row>
    <row r="1173" spans="1:15" ht="24" thickBot="1" x14ac:dyDescent="0.35">
      <c r="A1173" s="277" t="s">
        <v>111</v>
      </c>
      <c r="B1173" s="921" t="s">
        <v>49</v>
      </c>
      <c r="C1173" s="907"/>
      <c r="D1173" s="908"/>
      <c r="E1173" s="326">
        <f>SUM(E1170:E1172)</f>
        <v>2150000</v>
      </c>
      <c r="F1173" s="329">
        <f t="shared" ref="F1173" si="1528">SUM(F1170)</f>
        <v>110000</v>
      </c>
      <c r="G1173" s="326">
        <f>SUM(G1170)</f>
        <v>0</v>
      </c>
      <c r="H1173" s="327">
        <f t="shared" ref="H1173:I1173" si="1529">SUM(H1170)</f>
        <v>0</v>
      </c>
      <c r="I1173" s="327">
        <f t="shared" si="1529"/>
        <v>0</v>
      </c>
      <c r="J1173" s="351" t="str">
        <f>IFERROR(G1173/#REF!,"-")</f>
        <v>-</v>
      </c>
      <c r="K1173" s="681">
        <f>SUM(K1170:K1171)</f>
        <v>440156</v>
      </c>
      <c r="L1173" s="327">
        <f>SUM(L1170:L1171)</f>
        <v>437942</v>
      </c>
      <c r="M1173" s="328">
        <f>SUM(M1170:M1171)</f>
        <v>2214</v>
      </c>
      <c r="N1173" s="345">
        <f>IFERROR(K1173/E1173,"-")</f>
        <v>0.20472372093023256</v>
      </c>
      <c r="O1173" s="351">
        <f t="shared" si="1527"/>
        <v>5.0300348058415654E-3</v>
      </c>
    </row>
    <row r="1174" spans="1:15" ht="23.4" x14ac:dyDescent="0.3">
      <c r="A1174" s="277" t="s">
        <v>111</v>
      </c>
      <c r="B1174" s="922" t="s">
        <v>20</v>
      </c>
      <c r="C1174" s="297" t="s">
        <v>370</v>
      </c>
      <c r="D1174" s="297" t="s">
        <v>324</v>
      </c>
      <c r="E1174" s="273">
        <v>0</v>
      </c>
      <c r="F1174" s="274"/>
      <c r="G1174" s="338">
        <f t="shared" ref="G1174:G1176" si="1530">+H1174+I1174</f>
        <v>0</v>
      </c>
      <c r="H1174" s="275">
        <v>0</v>
      </c>
      <c r="I1174" s="275">
        <v>0</v>
      </c>
      <c r="J1174" s="357" t="str">
        <f>IFERROR(G1174/#REF!,"-")</f>
        <v>-</v>
      </c>
      <c r="K1174" s="338">
        <f t="shared" ref="K1174:K1176" si="1531">+L1174+M1174</f>
        <v>0</v>
      </c>
      <c r="L1174" s="275">
        <f t="shared" ref="L1174:L1176" si="1532">+H1174+L1070</f>
        <v>0</v>
      </c>
      <c r="M1174" s="276">
        <f t="shared" ref="M1174:M1176" si="1533">+I1174+M1070</f>
        <v>0</v>
      </c>
      <c r="N1174" s="342" t="str">
        <f t="shared" ref="N1174:N1177" si="1534">IFERROR(K1174/E1174,"-")</f>
        <v>-</v>
      </c>
      <c r="O1174" s="352" t="str">
        <f t="shared" si="1527"/>
        <v>-</v>
      </c>
    </row>
    <row r="1175" spans="1:15" ht="23.4" x14ac:dyDescent="0.3">
      <c r="A1175" s="277" t="s">
        <v>111</v>
      </c>
      <c r="B1175" s="923"/>
      <c r="C1175" s="298" t="s">
        <v>122</v>
      </c>
      <c r="D1175" s="298"/>
      <c r="E1175" s="279">
        <v>0</v>
      </c>
      <c r="F1175" s="280"/>
      <c r="G1175" s="339">
        <f t="shared" si="1530"/>
        <v>0</v>
      </c>
      <c r="H1175" s="281">
        <v>0</v>
      </c>
      <c r="I1175" s="281">
        <v>0</v>
      </c>
      <c r="J1175" s="358" t="str">
        <f>IFERROR(G1175/#REF!,"-")</f>
        <v>-</v>
      </c>
      <c r="K1175" s="339">
        <f t="shared" si="1531"/>
        <v>0</v>
      </c>
      <c r="L1175" s="281">
        <f t="shared" si="1532"/>
        <v>0</v>
      </c>
      <c r="M1175" s="251">
        <f t="shared" si="1533"/>
        <v>0</v>
      </c>
      <c r="N1175" s="343" t="str">
        <f t="shared" si="1534"/>
        <v>-</v>
      </c>
      <c r="O1175" s="264" t="str">
        <f t="shared" si="1527"/>
        <v>-</v>
      </c>
    </row>
    <row r="1176" spans="1:15" ht="24" thickBot="1" x14ac:dyDescent="0.35">
      <c r="A1176" s="277" t="s">
        <v>111</v>
      </c>
      <c r="B1176" s="924"/>
      <c r="C1176" s="299" t="s">
        <v>128</v>
      </c>
      <c r="D1176" s="299"/>
      <c r="E1176" s="283">
        <v>0</v>
      </c>
      <c r="F1176" s="284"/>
      <c r="G1176" s="340">
        <f t="shared" si="1530"/>
        <v>0</v>
      </c>
      <c r="H1176" s="285">
        <v>0</v>
      </c>
      <c r="I1176" s="285">
        <v>0</v>
      </c>
      <c r="J1176" s="359" t="str">
        <f>IFERROR(G1176/#REF!,"-")</f>
        <v>-</v>
      </c>
      <c r="K1176" s="340">
        <f t="shared" si="1531"/>
        <v>0</v>
      </c>
      <c r="L1176" s="285">
        <f t="shared" si="1532"/>
        <v>0</v>
      </c>
      <c r="M1176" s="286">
        <f t="shared" si="1533"/>
        <v>0</v>
      </c>
      <c r="N1176" s="344" t="str">
        <f t="shared" si="1534"/>
        <v>-</v>
      </c>
      <c r="O1176" s="353" t="str">
        <f t="shared" si="1527"/>
        <v>-</v>
      </c>
    </row>
    <row r="1177" spans="1:15" ht="24" thickBot="1" x14ac:dyDescent="0.35">
      <c r="A1177" s="277" t="s">
        <v>111</v>
      </c>
      <c r="B1177" s="907" t="s">
        <v>50</v>
      </c>
      <c r="C1177" s="907"/>
      <c r="D1177" s="925"/>
      <c r="E1177" s="326">
        <f t="shared" ref="E1177" si="1535">SUM(E1174:E1176)</f>
        <v>0</v>
      </c>
      <c r="F1177" s="289">
        <v>50000</v>
      </c>
      <c r="G1177" s="326">
        <f>SUM(G1174:G1176)</f>
        <v>0</v>
      </c>
      <c r="H1177" s="327">
        <f t="shared" ref="H1177:I1177" si="1536">SUM(H1174:H1176)</f>
        <v>0</v>
      </c>
      <c r="I1177" s="327">
        <f t="shared" si="1536"/>
        <v>0</v>
      </c>
      <c r="J1177" s="351" t="str">
        <f>IFERROR(G1177/#REF!,"-")</f>
        <v>-</v>
      </c>
      <c r="K1177" s="326">
        <f t="shared" ref="K1177:M1177" si="1537">SUM(K1174:K1176)</f>
        <v>0</v>
      </c>
      <c r="L1177" s="327">
        <f t="shared" si="1537"/>
        <v>0</v>
      </c>
      <c r="M1177" s="328">
        <f t="shared" si="1537"/>
        <v>0</v>
      </c>
      <c r="N1177" s="345" t="str">
        <f t="shared" si="1534"/>
        <v>-</v>
      </c>
      <c r="O1177" s="351" t="str">
        <f t="shared" si="1527"/>
        <v>-</v>
      </c>
    </row>
    <row r="1178" spans="1:15" ht="24" thickBot="1" x14ac:dyDescent="0.35">
      <c r="A1178" s="277" t="s">
        <v>111</v>
      </c>
      <c r="B1178" s="926" t="s">
        <v>21</v>
      </c>
      <c r="C1178" s="927"/>
      <c r="D1178" s="928"/>
      <c r="E1178" s="332">
        <f>+E1153+E1161+E1169+E1173+E1177</f>
        <v>5774600</v>
      </c>
      <c r="F1178" s="333">
        <f>+F1153+F1161+F1169+F1173+F1177</f>
        <v>355000</v>
      </c>
      <c r="G1178" s="332">
        <f>+G1153+G1161+G1169+G1173+G1177</f>
        <v>12425</v>
      </c>
      <c r="H1178" s="330">
        <f>+H1153+H1161+H1169+H1173+H1177</f>
        <v>12240</v>
      </c>
      <c r="I1178" s="330">
        <f>+I1153+I1161+I1169+I1173+I1177</f>
        <v>185</v>
      </c>
      <c r="J1178" s="355" t="str">
        <f>IFERROR(G1178/#REF!,"-")</f>
        <v>-</v>
      </c>
      <c r="K1178" s="332">
        <f>+K1153+K1161+K1169+K1173+K1177</f>
        <v>1315803</v>
      </c>
      <c r="L1178" s="330">
        <f>+L1153+L1161+L1169+L1173+L1177</f>
        <v>1308875</v>
      </c>
      <c r="M1178" s="331">
        <f>+M1153+M1161+M1169+M1173+M1177</f>
        <v>6928</v>
      </c>
      <c r="N1178" s="347">
        <f>IFERROR(K1178/E1178,"-")</f>
        <v>0.22786045786721157</v>
      </c>
      <c r="O1178" s="355">
        <f t="shared" si="1527"/>
        <v>5.2652258734780209E-3</v>
      </c>
    </row>
    <row r="1179" spans="1:15" ht="23.4" x14ac:dyDescent="0.3">
      <c r="A1179" s="277" t="s">
        <v>111</v>
      </c>
      <c r="B1179" s="922" t="s">
        <v>22</v>
      </c>
      <c r="C1179" s="272" t="s">
        <v>133</v>
      </c>
      <c r="D1179" s="272"/>
      <c r="E1179" s="273">
        <v>0</v>
      </c>
      <c r="F1179" s="274"/>
      <c r="G1179" s="338">
        <f t="shared" ref="G1179:G1182" si="1538">+H1179+I1179</f>
        <v>0</v>
      </c>
      <c r="H1179" s="275">
        <v>0</v>
      </c>
      <c r="I1179" s="275">
        <v>0</v>
      </c>
      <c r="J1179" s="357" t="str">
        <f>IFERROR(G1179/#REF!,"-")</f>
        <v>-</v>
      </c>
      <c r="K1179" s="338">
        <f t="shared" ref="K1179:K1182" si="1539">+L1179+M1179</f>
        <v>0</v>
      </c>
      <c r="L1179" s="275">
        <f t="shared" ref="L1179:L1182" si="1540">+H1179+L1075</f>
        <v>0</v>
      </c>
      <c r="M1179" s="276">
        <f t="shared" ref="M1179:M1182" si="1541">+I1179+M1075</f>
        <v>0</v>
      </c>
      <c r="N1179" s="342" t="str">
        <f t="shared" ref="N1179:N1193" si="1542">IFERROR(K1179/E1179,"-")</f>
        <v>-</v>
      </c>
      <c r="O1179" s="352" t="str">
        <f t="shared" si="1527"/>
        <v>-</v>
      </c>
    </row>
    <row r="1180" spans="1:15" ht="23.4" x14ac:dyDescent="0.3">
      <c r="A1180" s="277" t="s">
        <v>111</v>
      </c>
      <c r="B1180" s="923"/>
      <c r="C1180" s="301" t="s">
        <v>291</v>
      </c>
      <c r="D1180" s="301" t="s">
        <v>196</v>
      </c>
      <c r="E1180" s="279">
        <v>0</v>
      </c>
      <c r="F1180" s="280"/>
      <c r="G1180" s="339">
        <f t="shared" si="1538"/>
        <v>0</v>
      </c>
      <c r="H1180" s="281">
        <v>0</v>
      </c>
      <c r="I1180" s="281">
        <v>0</v>
      </c>
      <c r="J1180" s="358" t="str">
        <f>IFERROR(G1180/#REF!,"-")</f>
        <v>-</v>
      </c>
      <c r="K1180" s="339">
        <f t="shared" si="1539"/>
        <v>0</v>
      </c>
      <c r="L1180" s="281">
        <f t="shared" si="1540"/>
        <v>0</v>
      </c>
      <c r="M1180" s="251">
        <f t="shared" si="1541"/>
        <v>0</v>
      </c>
      <c r="N1180" s="343" t="str">
        <f t="shared" si="1542"/>
        <v>-</v>
      </c>
      <c r="O1180" s="264" t="str">
        <f t="shared" si="1527"/>
        <v>-</v>
      </c>
    </row>
    <row r="1181" spans="1:15" ht="23.4" x14ac:dyDescent="0.3">
      <c r="A1181" s="277" t="s">
        <v>111</v>
      </c>
      <c r="B1181" s="923"/>
      <c r="C1181" s="301" t="s">
        <v>198</v>
      </c>
      <c r="D1181" s="301" t="s">
        <v>100</v>
      </c>
      <c r="E1181" s="279">
        <v>0</v>
      </c>
      <c r="F1181" s="280"/>
      <c r="G1181" s="339">
        <f t="shared" si="1538"/>
        <v>0</v>
      </c>
      <c r="H1181" s="281">
        <v>0</v>
      </c>
      <c r="I1181" s="281">
        <v>0</v>
      </c>
      <c r="J1181" s="358" t="str">
        <f>IFERROR(G1181/#REF!,"-")</f>
        <v>-</v>
      </c>
      <c r="K1181" s="339">
        <f t="shared" si="1539"/>
        <v>0</v>
      </c>
      <c r="L1181" s="281">
        <f t="shared" si="1540"/>
        <v>0</v>
      </c>
      <c r="M1181" s="251">
        <f t="shared" si="1541"/>
        <v>0</v>
      </c>
      <c r="N1181" s="343" t="str">
        <f t="shared" si="1542"/>
        <v>-</v>
      </c>
      <c r="O1181" s="264" t="str">
        <f t="shared" si="1527"/>
        <v>-</v>
      </c>
    </row>
    <row r="1182" spans="1:15" ht="24" thickBot="1" x14ac:dyDescent="0.35">
      <c r="A1182" s="277" t="s">
        <v>111</v>
      </c>
      <c r="B1182" s="924"/>
      <c r="C1182" s="282" t="s">
        <v>197</v>
      </c>
      <c r="D1182" s="282" t="s">
        <v>100</v>
      </c>
      <c r="E1182" s="283">
        <v>0</v>
      </c>
      <c r="F1182" s="284"/>
      <c r="G1182" s="340">
        <f t="shared" si="1538"/>
        <v>0</v>
      </c>
      <c r="H1182" s="285">
        <v>0</v>
      </c>
      <c r="I1182" s="285">
        <v>0</v>
      </c>
      <c r="J1182" s="359" t="str">
        <f>IFERROR(G1182/#REF!,"-")</f>
        <v>-</v>
      </c>
      <c r="K1182" s="340">
        <f t="shared" si="1539"/>
        <v>0</v>
      </c>
      <c r="L1182" s="285">
        <f t="shared" si="1540"/>
        <v>0</v>
      </c>
      <c r="M1182" s="286">
        <f t="shared" si="1541"/>
        <v>0</v>
      </c>
      <c r="N1182" s="344" t="str">
        <f t="shared" si="1542"/>
        <v>-</v>
      </c>
      <c r="O1182" s="353" t="str">
        <f t="shared" si="1527"/>
        <v>-</v>
      </c>
    </row>
    <row r="1183" spans="1:15" ht="24" thickBot="1" x14ac:dyDescent="0.35">
      <c r="A1183" s="277" t="s">
        <v>111</v>
      </c>
      <c r="B1183" s="906" t="s">
        <v>51</v>
      </c>
      <c r="C1183" s="907"/>
      <c r="D1183" s="908"/>
      <c r="E1183" s="288">
        <v>0</v>
      </c>
      <c r="F1183" s="289">
        <v>80000</v>
      </c>
      <c r="G1183" s="326">
        <f>SUM(G1179:G1182)</f>
        <v>0</v>
      </c>
      <c r="H1183" s="327">
        <f t="shared" ref="H1183:I1183" si="1543">SUM(H1179:H1182)</f>
        <v>0</v>
      </c>
      <c r="I1183" s="327">
        <f t="shared" si="1543"/>
        <v>0</v>
      </c>
      <c r="J1183" s="351" t="str">
        <f>IFERROR(G1183/#REF!,"-")</f>
        <v>-</v>
      </c>
      <c r="K1183" s="326">
        <f t="shared" ref="K1183:M1183" si="1544">SUM(K1179:K1182)</f>
        <v>0</v>
      </c>
      <c r="L1183" s="327">
        <f t="shared" si="1544"/>
        <v>0</v>
      </c>
      <c r="M1183" s="328">
        <f t="shared" si="1544"/>
        <v>0</v>
      </c>
      <c r="N1183" s="345" t="str">
        <f t="shared" si="1542"/>
        <v>-</v>
      </c>
      <c r="O1183" s="351" t="str">
        <f t="shared" si="1527"/>
        <v>-</v>
      </c>
    </row>
    <row r="1184" spans="1:15" ht="23.4" x14ac:dyDescent="0.3">
      <c r="A1184" s="277" t="s">
        <v>111</v>
      </c>
      <c r="B1184" s="922" t="s">
        <v>23</v>
      </c>
      <c r="C1184" s="302" t="s">
        <v>348</v>
      </c>
      <c r="D1184" s="302" t="s">
        <v>263</v>
      </c>
      <c r="E1184" s="273">
        <v>0</v>
      </c>
      <c r="F1184" s="274"/>
      <c r="G1184" s="338">
        <f t="shared" ref="G1184:G1191" si="1545">+H1184+I1184</f>
        <v>0</v>
      </c>
      <c r="H1184" s="275">
        <v>0</v>
      </c>
      <c r="I1184" s="275">
        <v>0</v>
      </c>
      <c r="J1184" s="357" t="str">
        <f>IFERROR(G1184/#REF!,"-")</f>
        <v>-</v>
      </c>
      <c r="K1184" s="338">
        <f t="shared" ref="K1184:K1191" si="1546">+L1184+M1184</f>
        <v>0</v>
      </c>
      <c r="L1184" s="275">
        <f t="shared" ref="L1184:L1191" si="1547">+H1184+L1080</f>
        <v>0</v>
      </c>
      <c r="M1184" s="276">
        <f t="shared" ref="M1184:M1191" si="1548">+I1184+M1080</f>
        <v>0</v>
      </c>
      <c r="N1184" s="342" t="str">
        <f t="shared" si="1542"/>
        <v>-</v>
      </c>
      <c r="O1184" s="352" t="str">
        <f t="shared" si="1527"/>
        <v>-</v>
      </c>
    </row>
    <row r="1185" spans="1:15" ht="23.4" x14ac:dyDescent="0.3">
      <c r="A1185" s="277" t="s">
        <v>111</v>
      </c>
      <c r="B1185" s="923"/>
      <c r="C1185" s="278" t="s">
        <v>24</v>
      </c>
      <c r="D1185" s="278" t="s">
        <v>263</v>
      </c>
      <c r="E1185" s="279">
        <v>0</v>
      </c>
      <c r="F1185" s="280"/>
      <c r="G1185" s="339">
        <f t="shared" si="1545"/>
        <v>14060</v>
      </c>
      <c r="H1185" s="281">
        <v>14000</v>
      </c>
      <c r="I1185" s="281">
        <v>60</v>
      </c>
      <c r="J1185" s="358" t="str">
        <f>IFERROR(G1185/#REF!,"-")</f>
        <v>-</v>
      </c>
      <c r="K1185" s="339">
        <f t="shared" si="1546"/>
        <v>63460</v>
      </c>
      <c r="L1185" s="281">
        <f t="shared" si="1547"/>
        <v>63000</v>
      </c>
      <c r="M1185" s="251">
        <f t="shared" si="1548"/>
        <v>460</v>
      </c>
      <c r="N1185" s="343" t="str">
        <f t="shared" si="1542"/>
        <v>-</v>
      </c>
      <c r="O1185" s="264">
        <f t="shared" si="1527"/>
        <v>7.2486605735896624E-3</v>
      </c>
    </row>
    <row r="1186" spans="1:15" ht="23.4" x14ac:dyDescent="0.3">
      <c r="A1186" s="277" t="s">
        <v>111</v>
      </c>
      <c r="B1186" s="923"/>
      <c r="C1186" s="278" t="s">
        <v>261</v>
      </c>
      <c r="D1186" s="278" t="s">
        <v>263</v>
      </c>
      <c r="E1186" s="279">
        <v>0</v>
      </c>
      <c r="F1186" s="280"/>
      <c r="G1186" s="339">
        <f t="shared" si="1545"/>
        <v>0</v>
      </c>
      <c r="H1186" s="281">
        <v>0</v>
      </c>
      <c r="I1186" s="281">
        <v>0</v>
      </c>
      <c r="J1186" s="358" t="str">
        <f>IFERROR(G1186/#REF!,"-")</f>
        <v>-</v>
      </c>
      <c r="K1186" s="339">
        <f t="shared" si="1546"/>
        <v>11048</v>
      </c>
      <c r="L1186" s="281">
        <f t="shared" si="1547"/>
        <v>10901</v>
      </c>
      <c r="M1186" s="251">
        <f t="shared" si="1548"/>
        <v>147</v>
      </c>
      <c r="N1186" s="343" t="str">
        <f t="shared" si="1542"/>
        <v>-</v>
      </c>
      <c r="O1186" s="264">
        <f t="shared" si="1527"/>
        <v>1.330557566980449E-2</v>
      </c>
    </row>
    <row r="1187" spans="1:15" ht="23.4" x14ac:dyDescent="0.3">
      <c r="A1187" s="277" t="s">
        <v>111</v>
      </c>
      <c r="B1187" s="923"/>
      <c r="C1187" s="278" t="s">
        <v>262</v>
      </c>
      <c r="D1187" s="278" t="s">
        <v>263</v>
      </c>
      <c r="E1187" s="279">
        <v>0</v>
      </c>
      <c r="F1187" s="280"/>
      <c r="G1187" s="339">
        <f t="shared" si="1545"/>
        <v>0</v>
      </c>
      <c r="H1187" s="281">
        <v>0</v>
      </c>
      <c r="I1187" s="281">
        <v>0</v>
      </c>
      <c r="J1187" s="358" t="str">
        <f>IFERROR(G1187/#REF!,"-")</f>
        <v>-</v>
      </c>
      <c r="K1187" s="339">
        <f t="shared" si="1546"/>
        <v>7672</v>
      </c>
      <c r="L1187" s="281">
        <f t="shared" si="1547"/>
        <v>7612</v>
      </c>
      <c r="M1187" s="251">
        <f t="shared" si="1548"/>
        <v>60</v>
      </c>
      <c r="N1187" s="343" t="str">
        <f t="shared" si="1542"/>
        <v>-</v>
      </c>
      <c r="O1187" s="264">
        <f t="shared" si="1527"/>
        <v>7.8206465067778945E-3</v>
      </c>
    </row>
    <row r="1188" spans="1:15" ht="23.4" x14ac:dyDescent="0.3">
      <c r="A1188" s="277" t="s">
        <v>111</v>
      </c>
      <c r="B1188" s="923"/>
      <c r="C1188" s="301" t="s">
        <v>264</v>
      </c>
      <c r="D1188" s="278" t="s">
        <v>263</v>
      </c>
      <c r="E1188" s="279">
        <v>0</v>
      </c>
      <c r="F1188" s="280"/>
      <c r="G1188" s="339">
        <f t="shared" si="1545"/>
        <v>0</v>
      </c>
      <c r="H1188" s="281">
        <v>0</v>
      </c>
      <c r="I1188" s="281">
        <v>0</v>
      </c>
      <c r="J1188" s="358" t="str">
        <f>IFERROR(G1188/#REF!,"-")</f>
        <v>-</v>
      </c>
      <c r="K1188" s="339">
        <f t="shared" si="1546"/>
        <v>0</v>
      </c>
      <c r="L1188" s="281">
        <f t="shared" si="1547"/>
        <v>0</v>
      </c>
      <c r="M1188" s="251">
        <f t="shared" si="1548"/>
        <v>0</v>
      </c>
      <c r="N1188" s="343" t="str">
        <f t="shared" si="1542"/>
        <v>-</v>
      </c>
      <c r="O1188" s="264" t="str">
        <f t="shared" si="1527"/>
        <v>-</v>
      </c>
    </row>
    <row r="1189" spans="1:15" ht="23.4" x14ac:dyDescent="0.3">
      <c r="A1189" s="277" t="s">
        <v>111</v>
      </c>
      <c r="B1189" s="923"/>
      <c r="C1189" s="301" t="s">
        <v>265</v>
      </c>
      <c r="D1189" s="278" t="s">
        <v>263</v>
      </c>
      <c r="E1189" s="279">
        <v>0</v>
      </c>
      <c r="F1189" s="280"/>
      <c r="G1189" s="339">
        <f t="shared" si="1545"/>
        <v>0</v>
      </c>
      <c r="H1189" s="281">
        <v>0</v>
      </c>
      <c r="I1189" s="281">
        <v>0</v>
      </c>
      <c r="J1189" s="358" t="str">
        <f>IFERROR(G1189/#REF!,"-")</f>
        <v>-</v>
      </c>
      <c r="K1189" s="339">
        <f t="shared" si="1546"/>
        <v>0</v>
      </c>
      <c r="L1189" s="281">
        <f t="shared" si="1547"/>
        <v>0</v>
      </c>
      <c r="M1189" s="251">
        <f t="shared" si="1548"/>
        <v>0</v>
      </c>
      <c r="N1189" s="343" t="str">
        <f t="shared" si="1542"/>
        <v>-</v>
      </c>
      <c r="O1189" s="264" t="str">
        <f t="shared" si="1527"/>
        <v>-</v>
      </c>
    </row>
    <row r="1190" spans="1:15" ht="23.4" x14ac:dyDescent="0.3">
      <c r="A1190" s="277" t="s">
        <v>111</v>
      </c>
      <c r="B1190" s="923"/>
      <c r="C1190" s="301" t="s">
        <v>266</v>
      </c>
      <c r="D1190" s="278" t="s">
        <v>268</v>
      </c>
      <c r="E1190" s="279">
        <v>0</v>
      </c>
      <c r="F1190" s="280"/>
      <c r="G1190" s="339">
        <f t="shared" si="1545"/>
        <v>0</v>
      </c>
      <c r="H1190" s="281">
        <v>0</v>
      </c>
      <c r="I1190" s="281">
        <v>0</v>
      </c>
      <c r="J1190" s="358" t="str">
        <f>IFERROR(G1190/#REF!,"-")</f>
        <v>-</v>
      </c>
      <c r="K1190" s="339">
        <f t="shared" si="1546"/>
        <v>10464</v>
      </c>
      <c r="L1190" s="281">
        <f t="shared" si="1547"/>
        <v>10417</v>
      </c>
      <c r="M1190" s="251">
        <f t="shared" si="1548"/>
        <v>47</v>
      </c>
      <c r="N1190" s="343" t="str">
        <f t="shared" si="1542"/>
        <v>-</v>
      </c>
      <c r="O1190" s="264">
        <f t="shared" si="1527"/>
        <v>4.491590214067278E-3</v>
      </c>
    </row>
    <row r="1191" spans="1:15" ht="24" thickBot="1" x14ac:dyDescent="0.35">
      <c r="A1191" s="277" t="s">
        <v>111</v>
      </c>
      <c r="B1191" s="924"/>
      <c r="C1191" s="301" t="s">
        <v>267</v>
      </c>
      <c r="D1191" s="278" t="s">
        <v>263</v>
      </c>
      <c r="E1191" s="283">
        <v>0</v>
      </c>
      <c r="F1191" s="284"/>
      <c r="G1191" s="340">
        <f t="shared" si="1545"/>
        <v>0</v>
      </c>
      <c r="H1191" s="285">
        <v>0</v>
      </c>
      <c r="I1191" s="285">
        <v>0</v>
      </c>
      <c r="J1191" s="359" t="str">
        <f>IFERROR(G1191/#REF!,"-")</f>
        <v>-</v>
      </c>
      <c r="K1191" s="340">
        <f t="shared" si="1546"/>
        <v>14088</v>
      </c>
      <c r="L1191" s="285">
        <f t="shared" si="1547"/>
        <v>14000</v>
      </c>
      <c r="M1191" s="286">
        <f t="shared" si="1548"/>
        <v>88</v>
      </c>
      <c r="N1191" s="344" t="str">
        <f t="shared" si="1542"/>
        <v>-</v>
      </c>
      <c r="O1191" s="353">
        <f t="shared" si="1527"/>
        <v>6.2464508801817146E-3</v>
      </c>
    </row>
    <row r="1192" spans="1:15" ht="24" thickBot="1" x14ac:dyDescent="0.35">
      <c r="A1192" s="277" t="s">
        <v>111</v>
      </c>
      <c r="B1192" s="906" t="s">
        <v>52</v>
      </c>
      <c r="C1192" s="907"/>
      <c r="D1192" s="908"/>
      <c r="E1192" s="288">
        <v>157500</v>
      </c>
      <c r="F1192" s="289">
        <v>14000</v>
      </c>
      <c r="G1192" s="326">
        <f>SUM(G1184:G1191)</f>
        <v>14060</v>
      </c>
      <c r="H1192" s="327">
        <f t="shared" ref="H1192:I1192" si="1549">SUM(H1184:H1191)</f>
        <v>14000</v>
      </c>
      <c r="I1192" s="327">
        <f t="shared" si="1549"/>
        <v>60</v>
      </c>
      <c r="J1192" s="351" t="str">
        <f>IFERROR(G1192/#REF!,"-")</f>
        <v>-</v>
      </c>
      <c r="K1192" s="326">
        <f>SUM(K1184:K1191)</f>
        <v>106732</v>
      </c>
      <c r="L1192" s="327">
        <f t="shared" ref="L1192:M1192" si="1550">SUM(L1184:L1191)</f>
        <v>105930</v>
      </c>
      <c r="M1192" s="328">
        <f t="shared" si="1550"/>
        <v>802</v>
      </c>
      <c r="N1192" s="345">
        <f t="shared" si="1542"/>
        <v>0.67766349206349208</v>
      </c>
      <c r="O1192" s="351">
        <f t="shared" si="1527"/>
        <v>7.5141475846044296E-3</v>
      </c>
    </row>
    <row r="1193" spans="1:15" ht="24" thickBot="1" x14ac:dyDescent="0.35">
      <c r="A1193" s="277" t="s">
        <v>111</v>
      </c>
      <c r="B1193" s="926" t="s">
        <v>25</v>
      </c>
      <c r="C1193" s="927"/>
      <c r="D1193" s="928"/>
      <c r="E1193" s="332">
        <f t="shared" ref="E1193:F1193" si="1551">+E1183+E1192</f>
        <v>157500</v>
      </c>
      <c r="F1193" s="333">
        <f t="shared" si="1551"/>
        <v>94000</v>
      </c>
      <c r="G1193" s="332">
        <f>+G1183+G1192</f>
        <v>14060</v>
      </c>
      <c r="H1193" s="330">
        <f t="shared" ref="H1193:I1193" si="1552">+H1183+H1192</f>
        <v>14000</v>
      </c>
      <c r="I1193" s="330">
        <f t="shared" si="1552"/>
        <v>60</v>
      </c>
      <c r="J1193" s="355" t="str">
        <f>IFERROR(G1193/#REF!,"-")</f>
        <v>-</v>
      </c>
      <c r="K1193" s="332">
        <f t="shared" ref="K1193" si="1553">+K1183+K1192</f>
        <v>106732</v>
      </c>
      <c r="L1193" s="330">
        <f>+L1183+L1192</f>
        <v>105930</v>
      </c>
      <c r="M1193" s="331">
        <f t="shared" ref="M1193" si="1554">+M1183+M1192</f>
        <v>802</v>
      </c>
      <c r="N1193" s="347">
        <f t="shared" si="1542"/>
        <v>0.67766349206349208</v>
      </c>
      <c r="O1193" s="355">
        <f t="shared" si="1527"/>
        <v>7.5141475846044296E-3</v>
      </c>
    </row>
    <row r="1194" spans="1:15" ht="24" thickBot="1" x14ac:dyDescent="0.35">
      <c r="A1194" s="277" t="s">
        <v>111</v>
      </c>
      <c r="B1194" s="900" t="s">
        <v>181</v>
      </c>
      <c r="C1194" s="901"/>
      <c r="D1194" s="902"/>
      <c r="E1194" s="336">
        <f>+E1178+E1193</f>
        <v>5932100</v>
      </c>
      <c r="F1194" s="337">
        <f t="shared" ref="F1194:I1194" si="1555">+F1178+F1193</f>
        <v>449000</v>
      </c>
      <c r="G1194" s="336">
        <f t="shared" si="1555"/>
        <v>26485</v>
      </c>
      <c r="H1194" s="334">
        <f t="shared" si="1555"/>
        <v>26240</v>
      </c>
      <c r="I1194" s="334">
        <f t="shared" si="1555"/>
        <v>245</v>
      </c>
      <c r="J1194" s="356" t="str">
        <f>IFERROR(G1194/#REF!,"-")</f>
        <v>-</v>
      </c>
      <c r="K1194" s="336">
        <f>+K1178+K1193</f>
        <v>1422535</v>
      </c>
      <c r="L1194" s="334">
        <f t="shared" ref="L1194:M1194" si="1556">+L1178+L1193</f>
        <v>1414805</v>
      </c>
      <c r="M1194" s="335">
        <f t="shared" si="1556"/>
        <v>7730</v>
      </c>
      <c r="N1194" s="348">
        <f>IFERROR(K1194/E1194,"-")</f>
        <v>0.23980293656546586</v>
      </c>
      <c r="O1194" s="356">
        <f t="shared" si="1527"/>
        <v>5.4339612030635453E-3</v>
      </c>
    </row>
    <row r="1195" spans="1:15" ht="23.4" x14ac:dyDescent="0.3">
      <c r="A1195" s="271" t="s">
        <v>109</v>
      </c>
      <c r="B1195" s="929" t="s">
        <v>26</v>
      </c>
      <c r="C1195" s="303" t="s">
        <v>334</v>
      </c>
      <c r="D1195" s="303" t="s">
        <v>192</v>
      </c>
      <c r="E1195" s="273">
        <v>0</v>
      </c>
      <c r="F1195" s="274"/>
      <c r="G1195" s="338">
        <f t="shared" ref="G1195:G1203" si="1557">+H1195+I1195</f>
        <v>0</v>
      </c>
      <c r="H1195" s="275">
        <v>0</v>
      </c>
      <c r="I1195" s="275">
        <v>0</v>
      </c>
      <c r="J1195" s="357" t="str">
        <f>IFERROR(G1195/#REF!,"-")</f>
        <v>-</v>
      </c>
      <c r="K1195" s="338">
        <f t="shared" ref="K1195:K1203" si="1558">+L1195+M1195</f>
        <v>326708</v>
      </c>
      <c r="L1195" s="275">
        <f t="shared" ref="L1195:L1203" si="1559">+H1195+L1091</f>
        <v>322218</v>
      </c>
      <c r="M1195" s="276">
        <f t="shared" ref="M1195:M1203" si="1560">+I1195+M1091</f>
        <v>4490</v>
      </c>
      <c r="N1195" s="342" t="str">
        <f t="shared" ref="N1195:N1196" si="1561">IFERROR(K1195/E1195,"-")</f>
        <v>-</v>
      </c>
      <c r="O1195" s="352">
        <f t="shared" si="1527"/>
        <v>1.3743159028857574E-2</v>
      </c>
    </row>
    <row r="1196" spans="1:15" ht="23.4" x14ac:dyDescent="0.3">
      <c r="A1196" s="277" t="s">
        <v>109</v>
      </c>
      <c r="B1196" s="929"/>
      <c r="C1196" s="304" t="s">
        <v>199</v>
      </c>
      <c r="D1196" s="304" t="s">
        <v>115</v>
      </c>
      <c r="E1196" s="279">
        <v>0</v>
      </c>
      <c r="F1196" s="280"/>
      <c r="G1196" s="339">
        <f t="shared" si="1557"/>
        <v>0</v>
      </c>
      <c r="H1196" s="281">
        <v>0</v>
      </c>
      <c r="I1196" s="281">
        <v>0</v>
      </c>
      <c r="J1196" s="358" t="str">
        <f>IFERROR(G1196/#REF!,"-")</f>
        <v>-</v>
      </c>
      <c r="K1196" s="339">
        <f t="shared" si="1558"/>
        <v>0</v>
      </c>
      <c r="L1196" s="281">
        <f t="shared" si="1559"/>
        <v>0</v>
      </c>
      <c r="M1196" s="251">
        <f t="shared" si="1560"/>
        <v>0</v>
      </c>
      <c r="N1196" s="343" t="str">
        <f t="shared" si="1561"/>
        <v>-</v>
      </c>
      <c r="O1196" s="264" t="str">
        <f t="shared" si="1527"/>
        <v>-</v>
      </c>
    </row>
    <row r="1197" spans="1:15" ht="23.4" x14ac:dyDescent="0.3">
      <c r="A1197" s="277" t="s">
        <v>109</v>
      </c>
      <c r="B1197" s="929"/>
      <c r="C1197" s="305" t="s">
        <v>27</v>
      </c>
      <c r="D1197" s="305" t="s">
        <v>310</v>
      </c>
      <c r="E1197" s="283">
        <v>0</v>
      </c>
      <c r="F1197" s="284"/>
      <c r="G1197" s="339">
        <f t="shared" si="1557"/>
        <v>0</v>
      </c>
      <c r="H1197" s="285">
        <v>0</v>
      </c>
      <c r="I1197" s="285">
        <v>0</v>
      </c>
      <c r="J1197" s="359" t="str">
        <f>IFERROR(G1197/#REF!,"-")</f>
        <v>-</v>
      </c>
      <c r="K1197" s="339">
        <f t="shared" si="1558"/>
        <v>0</v>
      </c>
      <c r="L1197" s="285">
        <f t="shared" si="1559"/>
        <v>0</v>
      </c>
      <c r="M1197" s="286">
        <f t="shared" si="1560"/>
        <v>0</v>
      </c>
      <c r="N1197" s="287"/>
      <c r="O1197" s="264" t="str">
        <f t="shared" si="1527"/>
        <v>-</v>
      </c>
    </row>
    <row r="1198" spans="1:15" ht="23.4" x14ac:dyDescent="0.3">
      <c r="A1198" s="277" t="s">
        <v>109</v>
      </c>
      <c r="B1198" s="929"/>
      <c r="C1198" s="305" t="s">
        <v>27</v>
      </c>
      <c r="D1198" s="305" t="s">
        <v>311</v>
      </c>
      <c r="E1198" s="283">
        <v>0</v>
      </c>
      <c r="F1198" s="284"/>
      <c r="G1198" s="339">
        <f t="shared" si="1557"/>
        <v>0</v>
      </c>
      <c r="H1198" s="285">
        <v>0</v>
      </c>
      <c r="I1198" s="285">
        <v>0</v>
      </c>
      <c r="J1198" s="359" t="str">
        <f>IFERROR(G1198/#REF!,"-")</f>
        <v>-</v>
      </c>
      <c r="K1198" s="339">
        <f t="shared" si="1558"/>
        <v>0</v>
      </c>
      <c r="L1198" s="285">
        <f t="shared" si="1559"/>
        <v>0</v>
      </c>
      <c r="M1198" s="286">
        <f t="shared" si="1560"/>
        <v>0</v>
      </c>
      <c r="N1198" s="287"/>
      <c r="O1198" s="264" t="str">
        <f t="shared" si="1527"/>
        <v>-</v>
      </c>
    </row>
    <row r="1199" spans="1:15" ht="23.4" x14ac:dyDescent="0.3">
      <c r="A1199" s="277" t="s">
        <v>109</v>
      </c>
      <c r="B1199" s="929"/>
      <c r="C1199" s="305" t="s">
        <v>325</v>
      </c>
      <c r="D1199" s="305" t="s">
        <v>324</v>
      </c>
      <c r="E1199" s="283">
        <v>0</v>
      </c>
      <c r="F1199" s="284"/>
      <c r="G1199" s="339">
        <f t="shared" si="1557"/>
        <v>0</v>
      </c>
      <c r="H1199" s="285">
        <v>0</v>
      </c>
      <c r="I1199" s="285">
        <v>0</v>
      </c>
      <c r="J1199" s="359" t="str">
        <f>IFERROR(G1199/#REF!,"-")</f>
        <v>-</v>
      </c>
      <c r="K1199" s="339">
        <f t="shared" si="1558"/>
        <v>0</v>
      </c>
      <c r="L1199" s="285">
        <f t="shared" si="1559"/>
        <v>0</v>
      </c>
      <c r="M1199" s="286">
        <f t="shared" si="1560"/>
        <v>0</v>
      </c>
      <c r="N1199" s="287"/>
      <c r="O1199" s="264" t="str">
        <f t="shared" si="1527"/>
        <v>-</v>
      </c>
    </row>
    <row r="1200" spans="1:15" ht="23.4" x14ac:dyDescent="0.3">
      <c r="A1200" s="277"/>
      <c r="B1200" s="929"/>
      <c r="C1200" s="305" t="s">
        <v>393</v>
      </c>
      <c r="D1200" s="305" t="s">
        <v>192</v>
      </c>
      <c r="E1200" s="283">
        <v>0</v>
      </c>
      <c r="F1200" s="284"/>
      <c r="G1200" s="340">
        <f t="shared" si="1557"/>
        <v>0</v>
      </c>
      <c r="H1200" s="285">
        <v>0</v>
      </c>
      <c r="I1200" s="285">
        <v>0</v>
      </c>
      <c r="J1200" s="359" t="str">
        <f>IFERROR(G1200/#REF!,"-")</f>
        <v>-</v>
      </c>
      <c r="K1200" s="340">
        <f t="shared" si="1558"/>
        <v>0</v>
      </c>
      <c r="L1200" s="285">
        <f t="shared" si="1559"/>
        <v>0</v>
      </c>
      <c r="M1200" s="286">
        <f t="shared" si="1560"/>
        <v>0</v>
      </c>
      <c r="N1200" s="287"/>
      <c r="O1200" s="264" t="str">
        <f t="shared" si="1527"/>
        <v>-</v>
      </c>
    </row>
    <row r="1201" spans="1:15" ht="23.4" x14ac:dyDescent="0.3">
      <c r="A1201" s="277"/>
      <c r="B1201" s="929"/>
      <c r="C1201" s="305" t="s">
        <v>325</v>
      </c>
      <c r="D1201" s="305" t="s">
        <v>101</v>
      </c>
      <c r="E1201" s="283">
        <v>0</v>
      </c>
      <c r="F1201" s="284"/>
      <c r="G1201" s="340">
        <f t="shared" si="1557"/>
        <v>0</v>
      </c>
      <c r="H1201" s="285">
        <v>0</v>
      </c>
      <c r="I1201" s="285">
        <v>0</v>
      </c>
      <c r="J1201" s="359" t="str">
        <f>IFERROR(G1201/#REF!,"-")</f>
        <v>-</v>
      </c>
      <c r="K1201" s="340">
        <f t="shared" si="1558"/>
        <v>3978</v>
      </c>
      <c r="L1201" s="285">
        <f t="shared" si="1559"/>
        <v>3978</v>
      </c>
      <c r="M1201" s="286">
        <f t="shared" si="1560"/>
        <v>0</v>
      </c>
      <c r="N1201" s="287"/>
      <c r="O1201" s="264">
        <f t="shared" si="1527"/>
        <v>0</v>
      </c>
    </row>
    <row r="1202" spans="1:15" ht="23.4" x14ac:dyDescent="0.3">
      <c r="A1202" s="277"/>
      <c r="B1202" s="929"/>
      <c r="C1202" s="305" t="s">
        <v>325</v>
      </c>
      <c r="D1202" s="305" t="s">
        <v>394</v>
      </c>
      <c r="E1202" s="283">
        <v>0</v>
      </c>
      <c r="F1202" s="284"/>
      <c r="G1202" s="340">
        <f t="shared" si="1557"/>
        <v>32159</v>
      </c>
      <c r="H1202" s="285">
        <v>31824</v>
      </c>
      <c r="I1202" s="285">
        <v>335</v>
      </c>
      <c r="J1202" s="359" t="str">
        <f>IFERROR(G1202/#REF!,"-")</f>
        <v>-</v>
      </c>
      <c r="K1202" s="340">
        <f t="shared" si="1558"/>
        <v>683793</v>
      </c>
      <c r="L1202" s="285">
        <f t="shared" si="1559"/>
        <v>676260</v>
      </c>
      <c r="M1202" s="286">
        <f t="shared" si="1560"/>
        <v>7533</v>
      </c>
      <c r="N1202" s="287"/>
      <c r="O1202" s="264">
        <f t="shared" si="1527"/>
        <v>1.101649183305474E-2</v>
      </c>
    </row>
    <row r="1203" spans="1:15" ht="24" thickBot="1" x14ac:dyDescent="0.35">
      <c r="A1203" s="277" t="s">
        <v>109</v>
      </c>
      <c r="B1203" s="929"/>
      <c r="C1203" s="306" t="s">
        <v>326</v>
      </c>
      <c r="D1203" s="305" t="s">
        <v>324</v>
      </c>
      <c r="E1203" s="283">
        <v>0</v>
      </c>
      <c r="F1203" s="284"/>
      <c r="G1203" s="340">
        <f t="shared" si="1557"/>
        <v>0</v>
      </c>
      <c r="H1203" s="285">
        <v>0</v>
      </c>
      <c r="I1203" s="285">
        <v>0</v>
      </c>
      <c r="J1203" s="359" t="str">
        <f>IFERROR(G1203/#REF!,"-")</f>
        <v>-</v>
      </c>
      <c r="K1203" s="340">
        <f t="shared" si="1558"/>
        <v>7956</v>
      </c>
      <c r="L1203" s="285">
        <f t="shared" si="1559"/>
        <v>7956</v>
      </c>
      <c r="M1203" s="286">
        <f t="shared" si="1560"/>
        <v>0</v>
      </c>
      <c r="N1203" s="344" t="str">
        <f t="shared" ref="N1203:N1220" si="1562">IFERROR(K1203/E1203,"-")</f>
        <v>-</v>
      </c>
      <c r="O1203" s="353">
        <f t="shared" si="1527"/>
        <v>0</v>
      </c>
    </row>
    <row r="1204" spans="1:15" ht="24" thickBot="1" x14ac:dyDescent="0.35">
      <c r="A1204" s="277" t="s">
        <v>109</v>
      </c>
      <c r="B1204" s="930"/>
      <c r="C1204" s="307"/>
      <c r="D1204" s="308" t="s">
        <v>55</v>
      </c>
      <c r="E1204" s="288">
        <v>0</v>
      </c>
      <c r="F1204" s="289"/>
      <c r="G1204" s="326">
        <f>SUM(G1195:G1203)</f>
        <v>32159</v>
      </c>
      <c r="H1204" s="327">
        <f>SUM(H1195:H1203)</f>
        <v>31824</v>
      </c>
      <c r="I1204" s="327">
        <f>SUM(I1195:I1203)</f>
        <v>335</v>
      </c>
      <c r="J1204" s="351" t="str">
        <f>IFERROR(G1204/#REF!,"-")</f>
        <v>-</v>
      </c>
      <c r="K1204" s="326">
        <f>SUM(K1195:K1203)</f>
        <v>1022435</v>
      </c>
      <c r="L1204" s="327">
        <f>SUM(L1195:L1203)</f>
        <v>1010412</v>
      </c>
      <c r="M1204" s="328">
        <f>SUM(M1195:M1203)</f>
        <v>12023</v>
      </c>
      <c r="N1204" s="345" t="str">
        <f t="shared" si="1562"/>
        <v>-</v>
      </c>
      <c r="O1204" s="351">
        <f t="shared" si="1527"/>
        <v>1.1759182735332809E-2</v>
      </c>
    </row>
    <row r="1205" spans="1:15" ht="23.4" x14ac:dyDescent="0.3">
      <c r="A1205" s="277" t="s">
        <v>109</v>
      </c>
      <c r="B1205" s="931" t="s">
        <v>28</v>
      </c>
      <c r="C1205" s="303" t="s">
        <v>322</v>
      </c>
      <c r="D1205" s="303" t="s">
        <v>193</v>
      </c>
      <c r="E1205" s="273">
        <v>0</v>
      </c>
      <c r="F1205" s="274"/>
      <c r="G1205" s="338">
        <f t="shared" ref="G1205:G1207" si="1563">+H1205+I1205</f>
        <v>0</v>
      </c>
      <c r="H1205" s="275">
        <v>0</v>
      </c>
      <c r="I1205" s="275">
        <v>0</v>
      </c>
      <c r="J1205" s="357" t="str">
        <f>IFERROR(G1205/#REF!,"-")</f>
        <v>-</v>
      </c>
      <c r="K1205" s="338">
        <f t="shared" ref="K1205:K1207" si="1564">+L1205+M1205</f>
        <v>0</v>
      </c>
      <c r="L1205" s="275">
        <f t="shared" ref="L1205:L1207" si="1565">+H1205+L1101</f>
        <v>0</v>
      </c>
      <c r="M1205" s="276">
        <f t="shared" ref="M1205:M1207" si="1566">+I1205+M1101</f>
        <v>0</v>
      </c>
      <c r="N1205" s="342" t="str">
        <f t="shared" si="1562"/>
        <v>-</v>
      </c>
      <c r="O1205" s="352" t="str">
        <f t="shared" si="1527"/>
        <v>-</v>
      </c>
    </row>
    <row r="1206" spans="1:15" ht="23.4" x14ac:dyDescent="0.3">
      <c r="A1206" s="277" t="s">
        <v>109</v>
      </c>
      <c r="B1206" s="929"/>
      <c r="C1206" s="305" t="s">
        <v>27</v>
      </c>
      <c r="D1206" s="305" t="s">
        <v>311</v>
      </c>
      <c r="E1206" s="279">
        <v>0</v>
      </c>
      <c r="F1206" s="280"/>
      <c r="G1206" s="339">
        <f t="shared" si="1563"/>
        <v>0</v>
      </c>
      <c r="H1206" s="281">
        <v>0</v>
      </c>
      <c r="I1206" s="281">
        <v>0</v>
      </c>
      <c r="J1206" s="358" t="str">
        <f>IFERROR(G1206/#REF!,"-")</f>
        <v>-</v>
      </c>
      <c r="K1206" s="339">
        <f t="shared" si="1564"/>
        <v>0</v>
      </c>
      <c r="L1206" s="281">
        <f t="shared" si="1565"/>
        <v>0</v>
      </c>
      <c r="M1206" s="251">
        <f t="shared" si="1566"/>
        <v>0</v>
      </c>
      <c r="N1206" s="343" t="str">
        <f t="shared" si="1562"/>
        <v>-</v>
      </c>
      <c r="O1206" s="264" t="str">
        <f t="shared" si="1527"/>
        <v>-</v>
      </c>
    </row>
    <row r="1207" spans="1:15" ht="24" thickBot="1" x14ac:dyDescent="0.35">
      <c r="A1207" s="277" t="s">
        <v>109</v>
      </c>
      <c r="B1207" s="929"/>
      <c r="C1207" s="305" t="s">
        <v>27</v>
      </c>
      <c r="D1207" s="306" t="s">
        <v>259</v>
      </c>
      <c r="E1207" s="283">
        <v>0</v>
      </c>
      <c r="F1207" s="284"/>
      <c r="G1207" s="340">
        <f t="shared" si="1563"/>
        <v>68403</v>
      </c>
      <c r="H1207" s="285">
        <v>67626</v>
      </c>
      <c r="I1207" s="285">
        <v>777</v>
      </c>
      <c r="J1207" s="359" t="str">
        <f>IFERROR(G1207/#REF!,"-")</f>
        <v>-</v>
      </c>
      <c r="K1207" s="340">
        <f t="shared" si="1564"/>
        <v>72591</v>
      </c>
      <c r="L1207" s="285">
        <f t="shared" si="1565"/>
        <v>71604</v>
      </c>
      <c r="M1207" s="286">
        <f t="shared" si="1566"/>
        <v>987</v>
      </c>
      <c r="N1207" s="344" t="str">
        <f t="shared" si="1562"/>
        <v>-</v>
      </c>
      <c r="O1207" s="353">
        <f t="shared" si="1527"/>
        <v>1.3596726866966979E-2</v>
      </c>
    </row>
    <row r="1208" spans="1:15" ht="24" thickBot="1" x14ac:dyDescent="0.35">
      <c r="A1208" s="277" t="s">
        <v>109</v>
      </c>
      <c r="B1208" s="929"/>
      <c r="C1208" s="310"/>
      <c r="D1208" s="311" t="s">
        <v>55</v>
      </c>
      <c r="E1208" s="312">
        <v>0</v>
      </c>
      <c r="F1208" s="313"/>
      <c r="G1208" s="372">
        <f>SUM(G1205:G1207)</f>
        <v>68403</v>
      </c>
      <c r="H1208" s="371">
        <f t="shared" ref="H1208:I1208" si="1567">SUM(H1205:H1207)</f>
        <v>67626</v>
      </c>
      <c r="I1208" s="371">
        <f t="shared" si="1567"/>
        <v>777</v>
      </c>
      <c r="J1208" s="362" t="str">
        <f>IFERROR(G1208/#REF!,"-")</f>
        <v>-</v>
      </c>
      <c r="K1208" s="372">
        <f>SUM(K1205:K1207)</f>
        <v>72591</v>
      </c>
      <c r="L1208" s="371">
        <f t="shared" ref="L1208:M1208" si="1568">SUM(L1205:L1207)</f>
        <v>71604</v>
      </c>
      <c r="M1208" s="373">
        <f t="shared" si="1568"/>
        <v>987</v>
      </c>
      <c r="N1208" s="361" t="str">
        <f t="shared" si="1562"/>
        <v>-</v>
      </c>
      <c r="O1208" s="362">
        <f t="shared" si="1527"/>
        <v>1.3596726866966979E-2</v>
      </c>
    </row>
    <row r="1209" spans="1:15" ht="24" thickBot="1" x14ac:dyDescent="0.35">
      <c r="A1209" s="801" t="s">
        <v>109</v>
      </c>
      <c r="B1209" s="932" t="s">
        <v>171</v>
      </c>
      <c r="C1209" s="933"/>
      <c r="D1209" s="934"/>
      <c r="E1209" s="314">
        <v>2167000</v>
      </c>
      <c r="F1209" s="315">
        <v>80000</v>
      </c>
      <c r="G1209" s="375">
        <f>+G1204+G1208</f>
        <v>100562</v>
      </c>
      <c r="H1209" s="374">
        <f t="shared" ref="H1209:I1209" si="1569">+H1204+H1208</f>
        <v>99450</v>
      </c>
      <c r="I1209" s="374">
        <f t="shared" si="1569"/>
        <v>1112</v>
      </c>
      <c r="J1209" s="364" t="str">
        <f>IFERROR(G1209/#REF!,"-")</f>
        <v>-</v>
      </c>
      <c r="K1209" s="375">
        <f>+K1204+K1208</f>
        <v>1095026</v>
      </c>
      <c r="L1209" s="374">
        <f>+L1204+L1208</f>
        <v>1082016</v>
      </c>
      <c r="M1209" s="376">
        <f t="shared" ref="M1209" si="1570">+M1204+M1208</f>
        <v>13010</v>
      </c>
      <c r="N1209" s="363">
        <f t="shared" si="1562"/>
        <v>0.50531887401938158</v>
      </c>
      <c r="O1209" s="364">
        <f t="shared" si="1527"/>
        <v>1.1880996432961409E-2</v>
      </c>
    </row>
    <row r="1210" spans="1:15" ht="23.4" x14ac:dyDescent="0.3">
      <c r="A1210" s="277" t="s">
        <v>109</v>
      </c>
      <c r="B1210" s="929" t="s">
        <v>30</v>
      </c>
      <c r="C1210" s="309" t="s">
        <v>396</v>
      </c>
      <c r="D1210" s="303" t="s">
        <v>193</v>
      </c>
      <c r="E1210" s="273">
        <v>0</v>
      </c>
      <c r="F1210" s="274"/>
      <c r="G1210" s="338">
        <f t="shared" ref="G1210:G1212" si="1571">+H1210+I1210</f>
        <v>0</v>
      </c>
      <c r="H1210" s="275">
        <v>0</v>
      </c>
      <c r="I1210" s="275">
        <v>0</v>
      </c>
      <c r="J1210" s="357" t="str">
        <f>IFERROR(G1210/#REF!,"-")</f>
        <v>-</v>
      </c>
      <c r="K1210" s="338">
        <f t="shared" ref="K1210:K1212" si="1572">+L1210+M1210</f>
        <v>0</v>
      </c>
      <c r="L1210" s="275">
        <f t="shared" ref="L1210:L1212" si="1573">+H1210+L1106</f>
        <v>0</v>
      </c>
      <c r="M1210" s="276">
        <f t="shared" ref="M1210:M1212" si="1574">+I1210+M1106</f>
        <v>0</v>
      </c>
      <c r="N1210" s="342" t="str">
        <f t="shared" si="1562"/>
        <v>-</v>
      </c>
      <c r="O1210" s="352" t="str">
        <f t="shared" si="1527"/>
        <v>-</v>
      </c>
    </row>
    <row r="1211" spans="1:15" ht="23.4" x14ac:dyDescent="0.3">
      <c r="A1211" s="277" t="s">
        <v>109</v>
      </c>
      <c r="B1211" s="929"/>
      <c r="C1211" s="309" t="s">
        <v>395</v>
      </c>
      <c r="D1211" s="309" t="s">
        <v>324</v>
      </c>
      <c r="E1211" s="279">
        <v>0</v>
      </c>
      <c r="F1211" s="280"/>
      <c r="G1211" s="339">
        <f t="shared" si="1571"/>
        <v>0</v>
      </c>
      <c r="H1211" s="281">
        <v>0</v>
      </c>
      <c r="I1211" s="281">
        <v>0</v>
      </c>
      <c r="J1211" s="358" t="str">
        <f>IFERROR(G1211/#REF!,"-")</f>
        <v>-</v>
      </c>
      <c r="K1211" s="339">
        <f t="shared" si="1572"/>
        <v>0</v>
      </c>
      <c r="L1211" s="281">
        <f t="shared" si="1573"/>
        <v>0</v>
      </c>
      <c r="M1211" s="251">
        <f t="shared" si="1574"/>
        <v>0</v>
      </c>
      <c r="N1211" s="343" t="str">
        <f t="shared" si="1562"/>
        <v>-</v>
      </c>
      <c r="O1211" s="264" t="str">
        <f t="shared" si="1527"/>
        <v>-</v>
      </c>
    </row>
    <row r="1212" spans="1:15" ht="24" thickBot="1" x14ac:dyDescent="0.35">
      <c r="A1212" s="277" t="s">
        <v>109</v>
      </c>
      <c r="B1212" s="929"/>
      <c r="C1212" s="306" t="s">
        <v>327</v>
      </c>
      <c r="D1212" s="306"/>
      <c r="E1212" s="283">
        <v>0</v>
      </c>
      <c r="F1212" s="284"/>
      <c r="G1212" s="340">
        <f t="shared" si="1571"/>
        <v>0</v>
      </c>
      <c r="H1212" s="285">
        <v>0</v>
      </c>
      <c r="I1212" s="285">
        <v>0</v>
      </c>
      <c r="J1212" s="359" t="str">
        <f>IFERROR(G1212/#REF!,"-")</f>
        <v>-</v>
      </c>
      <c r="K1212" s="340">
        <f t="shared" si="1572"/>
        <v>0</v>
      </c>
      <c r="L1212" s="285">
        <f t="shared" si="1573"/>
        <v>0</v>
      </c>
      <c r="M1212" s="286">
        <f t="shared" si="1574"/>
        <v>0</v>
      </c>
      <c r="N1212" s="344" t="str">
        <f t="shared" si="1562"/>
        <v>-</v>
      </c>
      <c r="O1212" s="353" t="str">
        <f t="shared" si="1527"/>
        <v>-</v>
      </c>
    </row>
    <row r="1213" spans="1:15" ht="24" thickBot="1" x14ac:dyDescent="0.35">
      <c r="A1213" s="277" t="s">
        <v>109</v>
      </c>
      <c r="B1213" s="929"/>
      <c r="C1213" s="307"/>
      <c r="D1213" s="308" t="s">
        <v>53</v>
      </c>
      <c r="E1213" s="288">
        <v>0</v>
      </c>
      <c r="F1213" s="289"/>
      <c r="G1213" s="326">
        <f>SUM(G1210:G1212)</f>
        <v>0</v>
      </c>
      <c r="H1213" s="327">
        <f t="shared" ref="H1213:I1213" si="1575">SUM(H1210:H1212)</f>
        <v>0</v>
      </c>
      <c r="I1213" s="327">
        <f t="shared" si="1575"/>
        <v>0</v>
      </c>
      <c r="J1213" s="351" t="str">
        <f>IFERROR(G1213/#REF!,"-")</f>
        <v>-</v>
      </c>
      <c r="K1213" s="326">
        <f t="shared" ref="K1213" si="1576">SUM(K1210:K1212)</f>
        <v>0</v>
      </c>
      <c r="L1213" s="327">
        <f>SUM(L1210:L1212)</f>
        <v>0</v>
      </c>
      <c r="M1213" s="328">
        <f t="shared" ref="M1213" si="1577">SUM(M1210:M1212)</f>
        <v>0</v>
      </c>
      <c r="N1213" s="345" t="str">
        <f t="shared" si="1562"/>
        <v>-</v>
      </c>
      <c r="O1213" s="351" t="str">
        <f t="shared" si="1527"/>
        <v>-</v>
      </c>
    </row>
    <row r="1214" spans="1:15" ht="23.4" x14ac:dyDescent="0.3">
      <c r="A1214" s="277" t="s">
        <v>109</v>
      </c>
      <c r="B1214" s="929"/>
      <c r="C1214" s="303" t="s">
        <v>352</v>
      </c>
      <c r="D1214" s="303"/>
      <c r="E1214" s="273">
        <v>0</v>
      </c>
      <c r="F1214" s="274"/>
      <c r="G1214" s="338">
        <f t="shared" ref="G1214:G1216" si="1578">+H1214+I1214</f>
        <v>0</v>
      </c>
      <c r="H1214" s="275">
        <v>0</v>
      </c>
      <c r="I1214" s="275">
        <v>0</v>
      </c>
      <c r="J1214" s="357" t="str">
        <f>IFERROR(G1214/#REF!,"-")</f>
        <v>-</v>
      </c>
      <c r="K1214" s="338">
        <f t="shared" ref="K1214:K1216" si="1579">+L1214+M1214</f>
        <v>0</v>
      </c>
      <c r="L1214" s="275">
        <f t="shared" ref="L1214:L1216" si="1580">+H1214+L1110</f>
        <v>0</v>
      </c>
      <c r="M1214" s="276">
        <f t="shared" ref="M1214:M1216" si="1581">+I1214+M1110</f>
        <v>0</v>
      </c>
      <c r="N1214" s="342" t="str">
        <f t="shared" si="1562"/>
        <v>-</v>
      </c>
      <c r="O1214" s="352" t="str">
        <f t="shared" si="1527"/>
        <v>-</v>
      </c>
    </row>
    <row r="1215" spans="1:15" ht="23.4" x14ac:dyDescent="0.3">
      <c r="A1215" s="277" t="s">
        <v>109</v>
      </c>
      <c r="B1215" s="929"/>
      <c r="C1215" s="309" t="s">
        <v>397</v>
      </c>
      <c r="D1215" s="309" t="s">
        <v>259</v>
      </c>
      <c r="E1215" s="279">
        <v>0</v>
      </c>
      <c r="F1215" s="280"/>
      <c r="G1215" s="339">
        <f t="shared" si="1578"/>
        <v>0</v>
      </c>
      <c r="H1215" s="281">
        <v>0</v>
      </c>
      <c r="I1215" s="281">
        <v>0</v>
      </c>
      <c r="J1215" s="358" t="str">
        <f>IFERROR(G1215/#REF!,"-")</f>
        <v>-</v>
      </c>
      <c r="K1215" s="339">
        <f t="shared" si="1579"/>
        <v>379909</v>
      </c>
      <c r="L1215" s="281">
        <f t="shared" si="1580"/>
        <v>370656</v>
      </c>
      <c r="M1215" s="251">
        <f t="shared" si="1581"/>
        <v>9253</v>
      </c>
      <c r="N1215" s="343" t="str">
        <f t="shared" si="1562"/>
        <v>-</v>
      </c>
      <c r="O1215" s="264">
        <f t="shared" si="1527"/>
        <v>2.4355832580960177E-2</v>
      </c>
    </row>
    <row r="1216" spans="1:15" ht="24" thickBot="1" x14ac:dyDescent="0.35">
      <c r="A1216" s="277" t="s">
        <v>109</v>
      </c>
      <c r="B1216" s="929"/>
      <c r="C1216" s="306" t="s">
        <v>146</v>
      </c>
      <c r="D1216" s="306"/>
      <c r="E1216" s="283">
        <v>0</v>
      </c>
      <c r="F1216" s="284"/>
      <c r="G1216" s="340">
        <f t="shared" si="1578"/>
        <v>0</v>
      </c>
      <c r="H1216" s="285">
        <v>0</v>
      </c>
      <c r="I1216" s="285">
        <v>0</v>
      </c>
      <c r="J1216" s="359" t="str">
        <f>IFERROR(G1216/#REF!,"-")</f>
        <v>-</v>
      </c>
      <c r="K1216" s="340">
        <f t="shared" si="1579"/>
        <v>0</v>
      </c>
      <c r="L1216" s="285">
        <f t="shared" si="1580"/>
        <v>0</v>
      </c>
      <c r="M1216" s="286">
        <f t="shared" si="1581"/>
        <v>0</v>
      </c>
      <c r="N1216" s="344" t="str">
        <f t="shared" si="1562"/>
        <v>-</v>
      </c>
      <c r="O1216" s="353" t="str">
        <f t="shared" si="1527"/>
        <v>-</v>
      </c>
    </row>
    <row r="1217" spans="1:15" ht="24" thickBot="1" x14ac:dyDescent="0.35">
      <c r="A1217" s="277" t="s">
        <v>109</v>
      </c>
      <c r="B1217" s="929"/>
      <c r="C1217" s="310"/>
      <c r="D1217" s="311" t="s">
        <v>54</v>
      </c>
      <c r="E1217" s="312">
        <v>0</v>
      </c>
      <c r="F1217" s="313"/>
      <c r="G1217" s="372">
        <f>SUM(G1214:G1216)</f>
        <v>0</v>
      </c>
      <c r="H1217" s="371">
        <f t="shared" ref="H1217:I1217" si="1582">SUM(H1214:H1216)</f>
        <v>0</v>
      </c>
      <c r="I1217" s="371">
        <f t="shared" si="1582"/>
        <v>0</v>
      </c>
      <c r="J1217" s="362" t="str">
        <f>IFERROR(G1217/#REF!,"-")</f>
        <v>-</v>
      </c>
      <c r="K1217" s="372">
        <f t="shared" ref="K1217:M1217" si="1583">SUM(K1214:K1216)</f>
        <v>379909</v>
      </c>
      <c r="L1217" s="371">
        <f t="shared" si="1583"/>
        <v>370656</v>
      </c>
      <c r="M1217" s="373">
        <f t="shared" si="1583"/>
        <v>9253</v>
      </c>
      <c r="N1217" s="361" t="str">
        <f t="shared" si="1562"/>
        <v>-</v>
      </c>
      <c r="O1217" s="362">
        <f t="shared" si="1527"/>
        <v>2.4355832580960177E-2</v>
      </c>
    </row>
    <row r="1218" spans="1:15" ht="24" thickBot="1" x14ac:dyDescent="0.35">
      <c r="A1218" s="277" t="s">
        <v>109</v>
      </c>
      <c r="B1218" s="932" t="s">
        <v>172</v>
      </c>
      <c r="C1218" s="933"/>
      <c r="D1218" s="934"/>
      <c r="E1218" s="314">
        <v>649600</v>
      </c>
      <c r="F1218" s="315">
        <v>50000</v>
      </c>
      <c r="G1218" s="375">
        <f>+G1213+G1217</f>
        <v>0</v>
      </c>
      <c r="H1218" s="374">
        <f t="shared" ref="H1218:I1218" si="1584">+H1213+H1217</f>
        <v>0</v>
      </c>
      <c r="I1218" s="374">
        <f t="shared" si="1584"/>
        <v>0</v>
      </c>
      <c r="J1218" s="364" t="str">
        <f>IFERROR(G1218/#REF!,"-")</f>
        <v>-</v>
      </c>
      <c r="K1218" s="375">
        <f t="shared" ref="K1218:M1218" si="1585">+K1213+K1217</f>
        <v>379909</v>
      </c>
      <c r="L1218" s="374">
        <f t="shared" si="1585"/>
        <v>370656</v>
      </c>
      <c r="M1218" s="376">
        <f t="shared" si="1585"/>
        <v>9253</v>
      </c>
      <c r="N1218" s="363">
        <f t="shared" si="1562"/>
        <v>0.58483528325123157</v>
      </c>
      <c r="O1218" s="364">
        <f t="shared" si="1527"/>
        <v>2.4355832580960177E-2</v>
      </c>
    </row>
    <row r="1219" spans="1:15" ht="24" thickBot="1" x14ac:dyDescent="0.35">
      <c r="A1219" s="277" t="s">
        <v>109</v>
      </c>
      <c r="B1219" s="616" t="s">
        <v>32</v>
      </c>
      <c r="C1219" s="797"/>
      <c r="D1219" s="316" t="s">
        <v>32</v>
      </c>
      <c r="E1219" s="293">
        <v>0</v>
      </c>
      <c r="F1219" s="294">
        <v>110000</v>
      </c>
      <c r="G1219" s="341">
        <f t="shared" ref="G1219" si="1586">+H1219+I1219</f>
        <v>0</v>
      </c>
      <c r="H1219" s="295">
        <v>0</v>
      </c>
      <c r="I1219" s="295">
        <v>0</v>
      </c>
      <c r="J1219" s="360" t="str">
        <f>IFERROR(G1219/#REF!,"-")</f>
        <v>-</v>
      </c>
      <c r="K1219" s="341">
        <f>+L1219+M1219</f>
        <v>0</v>
      </c>
      <c r="L1219" s="295">
        <f>+H1219+L1115</f>
        <v>0</v>
      </c>
      <c r="M1219" s="296">
        <f>+I1219+M1115</f>
        <v>0</v>
      </c>
      <c r="N1219" s="346" t="str">
        <f t="shared" si="1562"/>
        <v>-</v>
      </c>
      <c r="O1219" s="354" t="str">
        <f t="shared" si="1527"/>
        <v>-</v>
      </c>
    </row>
    <row r="1220" spans="1:15" ht="24" thickBot="1" x14ac:dyDescent="0.35">
      <c r="A1220" s="277" t="s">
        <v>109</v>
      </c>
      <c r="B1220" s="926" t="s">
        <v>21</v>
      </c>
      <c r="C1220" s="927"/>
      <c r="D1220" s="928"/>
      <c r="E1220" s="332">
        <f>+E1209+E1218+E1219</f>
        <v>2816600</v>
      </c>
      <c r="F1220" s="333">
        <f t="shared" ref="F1220" si="1587">+F1209+F1218+F1219</f>
        <v>240000</v>
      </c>
      <c r="G1220" s="332">
        <f>+G1209+G1218+G1219</f>
        <v>100562</v>
      </c>
      <c r="H1220" s="330">
        <f t="shared" ref="H1220:I1220" si="1588">+H1209+H1218+H1219</f>
        <v>99450</v>
      </c>
      <c r="I1220" s="330">
        <f t="shared" si="1588"/>
        <v>1112</v>
      </c>
      <c r="J1220" s="355" t="str">
        <f>IFERROR(G1220/#REF!,"-")</f>
        <v>-</v>
      </c>
      <c r="K1220" s="332">
        <f>+K1209+K1218+K1219</f>
        <v>1474935</v>
      </c>
      <c r="L1220" s="330">
        <f>+L1209+L1218+L1219</f>
        <v>1452672</v>
      </c>
      <c r="M1220" s="331">
        <f t="shared" ref="M1220" si="1589">+M1209+M1218+M1219</f>
        <v>22263</v>
      </c>
      <c r="N1220" s="347">
        <f t="shared" si="1562"/>
        <v>0.52365795640133495</v>
      </c>
      <c r="O1220" s="355">
        <f t="shared" si="1527"/>
        <v>1.5094224491248767E-2</v>
      </c>
    </row>
    <row r="1221" spans="1:15" ht="24" thickBot="1" x14ac:dyDescent="0.35">
      <c r="A1221" s="277" t="s">
        <v>109</v>
      </c>
      <c r="B1221" s="900" t="s">
        <v>180</v>
      </c>
      <c r="C1221" s="901"/>
      <c r="D1221" s="902"/>
      <c r="E1221" s="336">
        <f>+E1220</f>
        <v>2816600</v>
      </c>
      <c r="F1221" s="337">
        <f t="shared" ref="F1221:I1221" si="1590">+F1220</f>
        <v>240000</v>
      </c>
      <c r="G1221" s="336">
        <f t="shared" si="1590"/>
        <v>100562</v>
      </c>
      <c r="H1221" s="334">
        <f t="shared" si="1590"/>
        <v>99450</v>
      </c>
      <c r="I1221" s="334">
        <f t="shared" si="1590"/>
        <v>1112</v>
      </c>
      <c r="J1221" s="356" t="str">
        <f>+J1220</f>
        <v>-</v>
      </c>
      <c r="K1221" s="336">
        <f>+K1220</f>
        <v>1474935</v>
      </c>
      <c r="L1221" s="334">
        <f t="shared" ref="L1221" si="1591">+L1220</f>
        <v>1452672</v>
      </c>
      <c r="M1221" s="335">
        <f>+M1220</f>
        <v>22263</v>
      </c>
      <c r="N1221" s="348">
        <f t="shared" ref="N1221:O1221" si="1592">+N1220</f>
        <v>0.52365795640133495</v>
      </c>
      <c r="O1221" s="356">
        <f t="shared" si="1592"/>
        <v>1.5094224491248767E-2</v>
      </c>
    </row>
    <row r="1222" spans="1:15" ht="23.4" x14ac:dyDescent="0.3">
      <c r="A1222" s="271" t="s">
        <v>110</v>
      </c>
      <c r="B1222" s="903" t="s">
        <v>33</v>
      </c>
      <c r="C1222" s="317" t="s">
        <v>121</v>
      </c>
      <c r="D1222" s="317"/>
      <c r="E1222" s="273">
        <v>0</v>
      </c>
      <c r="F1222" s="274"/>
      <c r="G1222" s="338">
        <f t="shared" ref="G1222:G1224" si="1593">+H1222+I1222</f>
        <v>0</v>
      </c>
      <c r="H1222" s="275">
        <v>0</v>
      </c>
      <c r="I1222" s="275">
        <v>0</v>
      </c>
      <c r="J1222" s="357" t="str">
        <f>IFERROR(G1222/#REF!,"-")</f>
        <v>-</v>
      </c>
      <c r="K1222" s="338">
        <f t="shared" ref="K1222:K1224" si="1594">+L1222+M1222</f>
        <v>0</v>
      </c>
      <c r="L1222" s="275">
        <f t="shared" ref="L1222:L1224" si="1595">+H1222+L1118</f>
        <v>0</v>
      </c>
      <c r="M1222" s="276">
        <f t="shared" ref="M1222:M1224" si="1596">+I1222+M1118</f>
        <v>0</v>
      </c>
      <c r="N1222" s="342" t="str">
        <f t="shared" ref="N1222:N1247" si="1597">IFERROR(K1222/E1222,"-")</f>
        <v>-</v>
      </c>
      <c r="O1222" s="352" t="str">
        <f t="shared" ref="O1222:O1247" si="1598">IFERROR(M1222/K1222,"-")</f>
        <v>-</v>
      </c>
    </row>
    <row r="1223" spans="1:15" ht="23.4" x14ac:dyDescent="0.3">
      <c r="A1223" s="277" t="s">
        <v>110</v>
      </c>
      <c r="B1223" s="904"/>
      <c r="C1223" s="318" t="s">
        <v>274</v>
      </c>
      <c r="D1223" s="318"/>
      <c r="E1223" s="279">
        <v>0</v>
      </c>
      <c r="F1223" s="280"/>
      <c r="G1223" s="339">
        <f t="shared" si="1593"/>
        <v>0</v>
      </c>
      <c r="H1223" s="281">
        <v>0</v>
      </c>
      <c r="I1223" s="281">
        <v>0</v>
      </c>
      <c r="J1223" s="358" t="str">
        <f>IFERROR(G1223/#REF!,"-")</f>
        <v>-</v>
      </c>
      <c r="K1223" s="339">
        <f t="shared" si="1594"/>
        <v>10252</v>
      </c>
      <c r="L1223" s="281">
        <f t="shared" si="1595"/>
        <v>9280</v>
      </c>
      <c r="M1223" s="251">
        <f t="shared" si="1596"/>
        <v>972</v>
      </c>
      <c r="N1223" s="343" t="str">
        <f t="shared" si="1597"/>
        <v>-</v>
      </c>
      <c r="O1223" s="264">
        <f t="shared" si="1598"/>
        <v>9.4810768630511119E-2</v>
      </c>
    </row>
    <row r="1224" spans="1:15" ht="24" thickBot="1" x14ac:dyDescent="0.35">
      <c r="A1224" s="277" t="s">
        <v>110</v>
      </c>
      <c r="B1224" s="905"/>
      <c r="C1224" s="319" t="s">
        <v>34</v>
      </c>
      <c r="D1224" s="319"/>
      <c r="E1224" s="283">
        <v>0</v>
      </c>
      <c r="F1224" s="284"/>
      <c r="G1224" s="340">
        <f t="shared" si="1593"/>
        <v>0</v>
      </c>
      <c r="H1224" s="285">
        <v>0</v>
      </c>
      <c r="I1224" s="285">
        <v>0</v>
      </c>
      <c r="J1224" s="359" t="str">
        <f>IFERROR(G1224/#REF!,"-")</f>
        <v>-</v>
      </c>
      <c r="K1224" s="340">
        <f t="shared" si="1594"/>
        <v>0</v>
      </c>
      <c r="L1224" s="285">
        <f t="shared" si="1595"/>
        <v>0</v>
      </c>
      <c r="M1224" s="286">
        <f t="shared" si="1596"/>
        <v>0</v>
      </c>
      <c r="N1224" s="344" t="str">
        <f t="shared" si="1597"/>
        <v>-</v>
      </c>
      <c r="O1224" s="353" t="str">
        <f t="shared" si="1598"/>
        <v>-</v>
      </c>
    </row>
    <row r="1225" spans="1:15" ht="24" thickBot="1" x14ac:dyDescent="0.35">
      <c r="A1225" s="277" t="s">
        <v>110</v>
      </c>
      <c r="B1225" s="906" t="s">
        <v>35</v>
      </c>
      <c r="C1225" s="907"/>
      <c r="D1225" s="908"/>
      <c r="E1225" s="288">
        <v>83700</v>
      </c>
      <c r="F1225" s="289"/>
      <c r="G1225" s="326">
        <f>SUM(G1222:G1224)</f>
        <v>0</v>
      </c>
      <c r="H1225" s="327">
        <f t="shared" ref="H1225:I1225" si="1599">SUM(H1222:H1224)</f>
        <v>0</v>
      </c>
      <c r="I1225" s="327">
        <f t="shared" si="1599"/>
        <v>0</v>
      </c>
      <c r="J1225" s="351" t="str">
        <f>IFERROR(G1225/#REF!,"-")</f>
        <v>-</v>
      </c>
      <c r="K1225" s="326">
        <f t="shared" ref="K1225:M1225" si="1600">SUM(K1222:K1224)</f>
        <v>10252</v>
      </c>
      <c r="L1225" s="327">
        <f t="shared" si="1600"/>
        <v>9280</v>
      </c>
      <c r="M1225" s="328">
        <f t="shared" si="1600"/>
        <v>972</v>
      </c>
      <c r="N1225" s="345">
        <f t="shared" si="1597"/>
        <v>0.12248506571087216</v>
      </c>
      <c r="O1225" s="351">
        <f t="shared" si="1598"/>
        <v>9.4810768630511119E-2</v>
      </c>
    </row>
    <row r="1226" spans="1:15" ht="23.4" x14ac:dyDescent="0.3">
      <c r="A1226" s="277" t="s">
        <v>110</v>
      </c>
      <c r="B1226" s="903" t="s">
        <v>36</v>
      </c>
      <c r="C1226" s="317" t="s">
        <v>121</v>
      </c>
      <c r="D1226" s="317"/>
      <c r="E1226" s="273">
        <v>0</v>
      </c>
      <c r="F1226" s="274"/>
      <c r="G1226" s="338">
        <f t="shared" ref="G1226:G1229" si="1601">+H1226+I1226</f>
        <v>0</v>
      </c>
      <c r="H1226" s="275">
        <v>0</v>
      </c>
      <c r="I1226" s="275">
        <v>0</v>
      </c>
      <c r="J1226" s="357" t="str">
        <f>IFERROR(G1226/#REF!,"-")</f>
        <v>-</v>
      </c>
      <c r="K1226" s="338">
        <f t="shared" ref="K1226:K1229" si="1602">+L1226+M1226</f>
        <v>0</v>
      </c>
      <c r="L1226" s="275">
        <f t="shared" ref="L1226:L1229" si="1603">+H1226+L1122</f>
        <v>0</v>
      </c>
      <c r="M1226" s="276">
        <f t="shared" ref="M1226:M1229" si="1604">+I1226+M1122</f>
        <v>0</v>
      </c>
      <c r="N1226" s="342" t="str">
        <f t="shared" si="1597"/>
        <v>-</v>
      </c>
      <c r="O1226" s="352" t="str">
        <f t="shared" si="1598"/>
        <v>-</v>
      </c>
    </row>
    <row r="1227" spans="1:15" ht="23.4" x14ac:dyDescent="0.3">
      <c r="A1227" s="277" t="s">
        <v>110</v>
      </c>
      <c r="B1227" s="904"/>
      <c r="C1227" s="318" t="s">
        <v>274</v>
      </c>
      <c r="D1227" s="318"/>
      <c r="E1227" s="279">
        <v>0</v>
      </c>
      <c r="F1227" s="280"/>
      <c r="G1227" s="339">
        <f t="shared" si="1601"/>
        <v>6958</v>
      </c>
      <c r="H1227" s="281">
        <v>6752</v>
      </c>
      <c r="I1227" s="281">
        <v>206</v>
      </c>
      <c r="J1227" s="358" t="str">
        <f>IFERROR(G1227/#REF!,"-")</f>
        <v>-</v>
      </c>
      <c r="K1227" s="339">
        <f t="shared" si="1602"/>
        <v>37203</v>
      </c>
      <c r="L1227" s="281">
        <f t="shared" si="1603"/>
        <v>36192</v>
      </c>
      <c r="M1227" s="251">
        <f t="shared" si="1604"/>
        <v>1011</v>
      </c>
      <c r="N1227" s="343" t="str">
        <f t="shared" si="1597"/>
        <v>-</v>
      </c>
      <c r="O1227" s="264">
        <f t="shared" si="1598"/>
        <v>2.7175227804209338E-2</v>
      </c>
    </row>
    <row r="1228" spans="1:15" ht="23.4" x14ac:dyDescent="0.3">
      <c r="A1228" s="277" t="s">
        <v>110</v>
      </c>
      <c r="B1228" s="904"/>
      <c r="C1228" s="318" t="s">
        <v>201</v>
      </c>
      <c r="D1228" s="318"/>
      <c r="E1228" s="279">
        <v>0</v>
      </c>
      <c r="F1228" s="280"/>
      <c r="G1228" s="339">
        <f t="shared" si="1601"/>
        <v>0</v>
      </c>
      <c r="H1228" s="281">
        <v>0</v>
      </c>
      <c r="I1228" s="281">
        <v>0</v>
      </c>
      <c r="J1228" s="358" t="str">
        <f>IFERROR(G1228/#REF!,"-")</f>
        <v>-</v>
      </c>
      <c r="K1228" s="339">
        <f t="shared" si="1602"/>
        <v>0</v>
      </c>
      <c r="L1228" s="281">
        <f t="shared" si="1603"/>
        <v>0</v>
      </c>
      <c r="M1228" s="251">
        <f t="shared" si="1604"/>
        <v>0</v>
      </c>
      <c r="N1228" s="343" t="str">
        <f t="shared" si="1597"/>
        <v>-</v>
      </c>
      <c r="O1228" s="264" t="str">
        <f t="shared" si="1598"/>
        <v>-</v>
      </c>
    </row>
    <row r="1229" spans="1:15" ht="24" thickBot="1" x14ac:dyDescent="0.35">
      <c r="A1229" s="277" t="s">
        <v>110</v>
      </c>
      <c r="B1229" s="905"/>
      <c r="C1229" s="319" t="s">
        <v>37</v>
      </c>
      <c r="D1229" s="319"/>
      <c r="E1229" s="283">
        <v>0</v>
      </c>
      <c r="F1229" s="284"/>
      <c r="G1229" s="340">
        <f t="shared" si="1601"/>
        <v>0</v>
      </c>
      <c r="H1229" s="285">
        <v>0</v>
      </c>
      <c r="I1229" s="285">
        <v>0</v>
      </c>
      <c r="J1229" s="359" t="str">
        <f>IFERROR(G1229/#REF!,"-")</f>
        <v>-</v>
      </c>
      <c r="K1229" s="340">
        <f t="shared" si="1602"/>
        <v>0</v>
      </c>
      <c r="L1229" s="285">
        <f t="shared" si="1603"/>
        <v>0</v>
      </c>
      <c r="M1229" s="286">
        <f t="shared" si="1604"/>
        <v>0</v>
      </c>
      <c r="N1229" s="344" t="str">
        <f t="shared" si="1597"/>
        <v>-</v>
      </c>
      <c r="O1229" s="353" t="str">
        <f t="shared" si="1598"/>
        <v>-</v>
      </c>
    </row>
    <row r="1230" spans="1:15" ht="24" thickBot="1" x14ac:dyDescent="0.35">
      <c r="A1230" s="277" t="s">
        <v>110</v>
      </c>
      <c r="B1230" s="906" t="s">
        <v>38</v>
      </c>
      <c r="C1230" s="907"/>
      <c r="D1230" s="908"/>
      <c r="E1230" s="288">
        <v>10300</v>
      </c>
      <c r="F1230" s="289">
        <v>6500</v>
      </c>
      <c r="G1230" s="326">
        <f>SUM(G1226:G1229)</f>
        <v>6958</v>
      </c>
      <c r="H1230" s="327">
        <f t="shared" ref="H1230:I1230" si="1605">SUM(H1226:H1229)</f>
        <v>6752</v>
      </c>
      <c r="I1230" s="327">
        <f t="shared" si="1605"/>
        <v>206</v>
      </c>
      <c r="J1230" s="351" t="str">
        <f>IFERROR(G1230/#REF!,"-")</f>
        <v>-</v>
      </c>
      <c r="K1230" s="326">
        <f t="shared" ref="K1230:M1230" si="1606">SUM(K1226:K1229)</f>
        <v>37203</v>
      </c>
      <c r="L1230" s="327">
        <f t="shared" si="1606"/>
        <v>36192</v>
      </c>
      <c r="M1230" s="328">
        <f t="shared" si="1606"/>
        <v>1011</v>
      </c>
      <c r="N1230" s="345">
        <f>IFERROR(K1230/E1230,"-")</f>
        <v>3.6119417475728155</v>
      </c>
      <c r="O1230" s="351">
        <f t="shared" si="1598"/>
        <v>2.7175227804209338E-2</v>
      </c>
    </row>
    <row r="1231" spans="1:15" ht="23.4" x14ac:dyDescent="0.3">
      <c r="A1231" s="277" t="s">
        <v>110</v>
      </c>
      <c r="B1231" s="903" t="s">
        <v>39</v>
      </c>
      <c r="C1231" s="320" t="s">
        <v>124</v>
      </c>
      <c r="D1231" s="320"/>
      <c r="E1231" s="273">
        <v>0</v>
      </c>
      <c r="F1231" s="274"/>
      <c r="G1231" s="338">
        <f t="shared" ref="G1231:G1232" si="1607">+H1231+I1231</f>
        <v>0</v>
      </c>
      <c r="H1231" s="275">
        <v>0</v>
      </c>
      <c r="I1231" s="275">
        <v>0</v>
      </c>
      <c r="J1231" s="357" t="str">
        <f>IFERROR(G1231/#REF!,"-")</f>
        <v>-</v>
      </c>
      <c r="K1231" s="338">
        <f t="shared" ref="K1231:K1232" si="1608">+L1231+M1231</f>
        <v>0</v>
      </c>
      <c r="L1231" s="275">
        <f t="shared" ref="L1231:L1232" si="1609">+H1231+L1127</f>
        <v>0</v>
      </c>
      <c r="M1231" s="276">
        <f t="shared" ref="M1231:M1232" si="1610">+I1231+M1127</f>
        <v>0</v>
      </c>
      <c r="N1231" s="342" t="str">
        <f t="shared" si="1597"/>
        <v>-</v>
      </c>
      <c r="O1231" s="352" t="str">
        <f t="shared" si="1598"/>
        <v>-</v>
      </c>
    </row>
    <row r="1232" spans="1:15" ht="24" thickBot="1" x14ac:dyDescent="0.35">
      <c r="A1232" s="277" t="s">
        <v>110</v>
      </c>
      <c r="B1232" s="905"/>
      <c r="C1232" s="290" t="s">
        <v>140</v>
      </c>
      <c r="D1232" s="290"/>
      <c r="E1232" s="283">
        <v>0</v>
      </c>
      <c r="F1232" s="284"/>
      <c r="G1232" s="340">
        <f t="shared" si="1607"/>
        <v>0</v>
      </c>
      <c r="H1232" s="285">
        <v>0</v>
      </c>
      <c r="I1232" s="285">
        <v>0</v>
      </c>
      <c r="J1232" s="359" t="str">
        <f>IFERROR(G1232/#REF!,"-")</f>
        <v>-</v>
      </c>
      <c r="K1232" s="340">
        <f t="shared" si="1608"/>
        <v>0</v>
      </c>
      <c r="L1232" s="285">
        <f t="shared" si="1609"/>
        <v>0</v>
      </c>
      <c r="M1232" s="286">
        <f t="shared" si="1610"/>
        <v>0</v>
      </c>
      <c r="N1232" s="344" t="str">
        <f t="shared" si="1597"/>
        <v>-</v>
      </c>
      <c r="O1232" s="353" t="str">
        <f t="shared" si="1598"/>
        <v>-</v>
      </c>
    </row>
    <row r="1233" spans="1:15" ht="24" thickBot="1" x14ac:dyDescent="0.35">
      <c r="A1233" s="801" t="s">
        <v>110</v>
      </c>
      <c r="B1233" s="906" t="s">
        <v>40</v>
      </c>
      <c r="C1233" s="907"/>
      <c r="D1233" s="908"/>
      <c r="E1233" s="288">
        <v>30000</v>
      </c>
      <c r="F1233" s="289">
        <v>2800</v>
      </c>
      <c r="G1233" s="326">
        <f>SUM(G1231:G1232)</f>
        <v>0</v>
      </c>
      <c r="H1233" s="327">
        <f t="shared" ref="H1233:I1233" si="1611">SUM(H1231:H1232)</f>
        <v>0</v>
      </c>
      <c r="I1233" s="327">
        <f t="shared" si="1611"/>
        <v>0</v>
      </c>
      <c r="J1233" s="351" t="str">
        <f>IFERROR(G1233/#REF!,"-")</f>
        <v>-</v>
      </c>
      <c r="K1233" s="326">
        <f t="shared" ref="K1233:M1233" si="1612">SUM(K1231:K1232)</f>
        <v>0</v>
      </c>
      <c r="L1233" s="327">
        <f t="shared" si="1612"/>
        <v>0</v>
      </c>
      <c r="M1233" s="328">
        <f t="shared" si="1612"/>
        <v>0</v>
      </c>
      <c r="N1233" s="345">
        <f t="shared" si="1597"/>
        <v>0</v>
      </c>
      <c r="O1233" s="351" t="str">
        <f t="shared" si="1598"/>
        <v>-</v>
      </c>
    </row>
    <row r="1234" spans="1:15" ht="23.4" x14ac:dyDescent="0.3">
      <c r="A1234" s="277" t="s">
        <v>110</v>
      </c>
      <c r="B1234" s="903" t="s">
        <v>41</v>
      </c>
      <c r="C1234" s="272" t="s">
        <v>346</v>
      </c>
      <c r="D1234" s="272"/>
      <c r="E1234" s="273">
        <v>0</v>
      </c>
      <c r="F1234" s="321"/>
      <c r="G1234" s="338">
        <f t="shared" ref="G1234:G1238" si="1613">+H1234+I1234</f>
        <v>20425</v>
      </c>
      <c r="H1234" s="275">
        <v>20160</v>
      </c>
      <c r="I1234" s="275">
        <v>265</v>
      </c>
      <c r="J1234" s="377" t="str">
        <f>IFERROR(G1234/#REF!,"-")</f>
        <v>-</v>
      </c>
      <c r="K1234" s="338">
        <f t="shared" ref="K1234:K1238" si="1614">+L1234+M1234</f>
        <v>233104</v>
      </c>
      <c r="L1234" s="275">
        <f t="shared" ref="L1234:L1238" si="1615">+H1234+L1130</f>
        <v>230460</v>
      </c>
      <c r="M1234" s="276">
        <f t="shared" ref="M1234:M1238" si="1616">+I1234+M1130</f>
        <v>2644</v>
      </c>
      <c r="N1234" s="365" t="str">
        <f t="shared" si="1597"/>
        <v>-</v>
      </c>
      <c r="O1234" s="366">
        <f t="shared" si="1598"/>
        <v>1.1342576703960465E-2</v>
      </c>
    </row>
    <row r="1235" spans="1:15" ht="23.4" x14ac:dyDescent="0.3">
      <c r="A1235" s="277" t="s">
        <v>110</v>
      </c>
      <c r="B1235" s="904"/>
      <c r="C1235" s="272" t="s">
        <v>347</v>
      </c>
      <c r="D1235" s="278"/>
      <c r="E1235" s="279">
        <v>0</v>
      </c>
      <c r="F1235" s="322"/>
      <c r="G1235" s="339">
        <f t="shared" si="1613"/>
        <v>0</v>
      </c>
      <c r="H1235" s="281">
        <v>0</v>
      </c>
      <c r="I1235" s="281">
        <v>0</v>
      </c>
      <c r="J1235" s="378" t="str">
        <f>IFERROR(G1235/#REF!,"-")</f>
        <v>-</v>
      </c>
      <c r="K1235" s="339">
        <f t="shared" si="1614"/>
        <v>0</v>
      </c>
      <c r="L1235" s="281">
        <f t="shared" si="1615"/>
        <v>0</v>
      </c>
      <c r="M1235" s="251">
        <f t="shared" si="1616"/>
        <v>0</v>
      </c>
      <c r="N1235" s="367" t="str">
        <f t="shared" si="1597"/>
        <v>-</v>
      </c>
      <c r="O1235" s="368" t="str">
        <f t="shared" si="1598"/>
        <v>-</v>
      </c>
    </row>
    <row r="1236" spans="1:15" ht="23.4" x14ac:dyDescent="0.3">
      <c r="A1236" s="277" t="s">
        <v>110</v>
      </c>
      <c r="B1236" s="904"/>
      <c r="C1236" s="278" t="s">
        <v>423</v>
      </c>
      <c r="D1236" s="278"/>
      <c r="E1236" s="279">
        <v>0</v>
      </c>
      <c r="F1236" s="322"/>
      <c r="G1236" s="339">
        <f t="shared" si="1613"/>
        <v>0</v>
      </c>
      <c r="H1236" s="281">
        <v>0</v>
      </c>
      <c r="I1236" s="281">
        <v>0</v>
      </c>
      <c r="J1236" s="378" t="str">
        <f>IFERROR(G1236/#REF!,"-")</f>
        <v>-</v>
      </c>
      <c r="K1236" s="339">
        <f t="shared" si="1614"/>
        <v>34536</v>
      </c>
      <c r="L1236" s="281">
        <f t="shared" si="1615"/>
        <v>33960</v>
      </c>
      <c r="M1236" s="251">
        <f t="shared" si="1616"/>
        <v>576</v>
      </c>
      <c r="N1236" s="367" t="str">
        <f t="shared" si="1597"/>
        <v>-</v>
      </c>
      <c r="O1236" s="368">
        <f t="shared" si="1598"/>
        <v>1.6678248783877692E-2</v>
      </c>
    </row>
    <row r="1237" spans="1:15" ht="23.4" x14ac:dyDescent="0.3">
      <c r="A1237" s="277" t="s">
        <v>110</v>
      </c>
      <c r="B1237" s="904"/>
      <c r="C1237" s="278" t="s">
        <v>166</v>
      </c>
      <c r="D1237" s="278"/>
      <c r="E1237" s="279">
        <v>0</v>
      </c>
      <c r="F1237" s="322"/>
      <c r="G1237" s="339">
        <f t="shared" si="1613"/>
        <v>0</v>
      </c>
      <c r="H1237" s="281">
        <v>0</v>
      </c>
      <c r="I1237" s="281">
        <v>0</v>
      </c>
      <c r="J1237" s="378" t="str">
        <f>IFERROR(G1237/#REF!,"-")</f>
        <v>-</v>
      </c>
      <c r="K1237" s="339">
        <f t="shared" si="1614"/>
        <v>0</v>
      </c>
      <c r="L1237" s="281">
        <f t="shared" si="1615"/>
        <v>0</v>
      </c>
      <c r="M1237" s="251">
        <f t="shared" si="1616"/>
        <v>0</v>
      </c>
      <c r="N1237" s="367" t="str">
        <f t="shared" si="1597"/>
        <v>-</v>
      </c>
      <c r="O1237" s="368" t="str">
        <f t="shared" si="1598"/>
        <v>-</v>
      </c>
    </row>
    <row r="1238" spans="1:15" ht="24" thickBot="1" x14ac:dyDescent="0.35">
      <c r="A1238" s="277" t="s">
        <v>110</v>
      </c>
      <c r="B1238" s="905"/>
      <c r="C1238" s="282" t="s">
        <v>167</v>
      </c>
      <c r="D1238" s="282"/>
      <c r="E1238" s="283">
        <v>0</v>
      </c>
      <c r="F1238" s="323"/>
      <c r="G1238" s="340">
        <f t="shared" si="1613"/>
        <v>0</v>
      </c>
      <c r="H1238" s="285">
        <v>0</v>
      </c>
      <c r="I1238" s="285">
        <v>0</v>
      </c>
      <c r="J1238" s="379" t="str">
        <f>IFERROR(G1238/#REF!,"-")</f>
        <v>-</v>
      </c>
      <c r="K1238" s="340">
        <f t="shared" si="1614"/>
        <v>0</v>
      </c>
      <c r="L1238" s="285">
        <f t="shared" si="1615"/>
        <v>0</v>
      </c>
      <c r="M1238" s="286">
        <f t="shared" si="1616"/>
        <v>0</v>
      </c>
      <c r="N1238" s="369" t="str">
        <f t="shared" si="1597"/>
        <v>-</v>
      </c>
      <c r="O1238" s="370" t="str">
        <f t="shared" si="1598"/>
        <v>-</v>
      </c>
    </row>
    <row r="1239" spans="1:15" ht="24" thickBot="1" x14ac:dyDescent="0.35">
      <c r="A1239" s="277" t="s">
        <v>110</v>
      </c>
      <c r="B1239" s="906" t="s">
        <v>42</v>
      </c>
      <c r="C1239" s="907"/>
      <c r="D1239" s="908"/>
      <c r="E1239" s="326">
        <v>610600</v>
      </c>
      <c r="F1239" s="289">
        <v>25000</v>
      </c>
      <c r="G1239" s="326">
        <f>SUM(G1235:G1238)</f>
        <v>0</v>
      </c>
      <c r="H1239" s="327">
        <f t="shared" ref="H1239:I1239" si="1617">SUM(H1235:H1238)</f>
        <v>0</v>
      </c>
      <c r="I1239" s="327">
        <f t="shared" si="1617"/>
        <v>0</v>
      </c>
      <c r="J1239" s="351" t="str">
        <f>IFERROR(G1239/#REF!,"-")</f>
        <v>-</v>
      </c>
      <c r="K1239" s="326">
        <f>SUM(K1234:K1238)</f>
        <v>267640</v>
      </c>
      <c r="L1239" s="327">
        <f>SUM(L1234:L1238)</f>
        <v>264420</v>
      </c>
      <c r="M1239" s="328">
        <f>SUM(M1234:M1238)</f>
        <v>3220</v>
      </c>
      <c r="N1239" s="345">
        <f t="shared" si="1597"/>
        <v>0.43832296102194562</v>
      </c>
      <c r="O1239" s="351">
        <f t="shared" si="1598"/>
        <v>1.2031086534150351E-2</v>
      </c>
    </row>
    <row r="1240" spans="1:15" ht="23.4" x14ac:dyDescent="0.3">
      <c r="A1240" s="277" t="s">
        <v>110</v>
      </c>
      <c r="B1240" s="903" t="s">
        <v>43</v>
      </c>
      <c r="C1240" s="272" t="s">
        <v>204</v>
      </c>
      <c r="D1240" s="272"/>
      <c r="E1240" s="273">
        <v>0</v>
      </c>
      <c r="F1240" s="274"/>
      <c r="G1240" s="338">
        <f t="shared" ref="G1240:G1242" si="1618">+H1240+I1240</f>
        <v>0</v>
      </c>
      <c r="H1240" s="275">
        <v>0</v>
      </c>
      <c r="I1240" s="275">
        <v>0</v>
      </c>
      <c r="J1240" s="357" t="str">
        <f>IFERROR(G1240/#REF!,"-")</f>
        <v>-</v>
      </c>
      <c r="K1240" s="338">
        <f t="shared" ref="K1240:K1242" si="1619">+L1240+M1240</f>
        <v>0</v>
      </c>
      <c r="L1240" s="275">
        <f t="shared" ref="L1240:L1242" si="1620">+H1240+L1136</f>
        <v>0</v>
      </c>
      <c r="M1240" s="276">
        <f t="shared" ref="M1240:M1242" si="1621">+I1240+M1136</f>
        <v>0</v>
      </c>
      <c r="N1240" s="342" t="str">
        <f t="shared" si="1597"/>
        <v>-</v>
      </c>
      <c r="O1240" s="352" t="str">
        <f t="shared" si="1598"/>
        <v>-</v>
      </c>
    </row>
    <row r="1241" spans="1:15" ht="23.4" x14ac:dyDescent="0.3">
      <c r="A1241" s="277" t="s">
        <v>110</v>
      </c>
      <c r="B1241" s="904"/>
      <c r="C1241" s="278" t="s">
        <v>168</v>
      </c>
      <c r="D1241" s="278"/>
      <c r="E1241" s="279">
        <v>0</v>
      </c>
      <c r="F1241" s="280"/>
      <c r="G1241" s="339">
        <f t="shared" si="1618"/>
        <v>0</v>
      </c>
      <c r="H1241" s="281">
        <v>0</v>
      </c>
      <c r="I1241" s="281">
        <v>0</v>
      </c>
      <c r="J1241" s="378" t="str">
        <f>IFERROR(G1241/#REF!,"-")</f>
        <v>-</v>
      </c>
      <c r="K1241" s="339">
        <f t="shared" si="1619"/>
        <v>0</v>
      </c>
      <c r="L1241" s="281">
        <f t="shared" si="1620"/>
        <v>0</v>
      </c>
      <c r="M1241" s="251">
        <f t="shared" si="1621"/>
        <v>0</v>
      </c>
      <c r="N1241" s="367" t="str">
        <f t="shared" si="1597"/>
        <v>-</v>
      </c>
      <c r="O1241" s="368" t="str">
        <f t="shared" si="1598"/>
        <v>-</v>
      </c>
    </row>
    <row r="1242" spans="1:15" ht="24" thickBot="1" x14ac:dyDescent="0.35">
      <c r="A1242" s="277" t="s">
        <v>110</v>
      </c>
      <c r="B1242" s="905"/>
      <c r="C1242" s="282" t="s">
        <v>204</v>
      </c>
      <c r="D1242" s="282"/>
      <c r="E1242" s="283">
        <v>0</v>
      </c>
      <c r="F1242" s="284"/>
      <c r="G1242" s="340">
        <f t="shared" si="1618"/>
        <v>0</v>
      </c>
      <c r="H1242" s="285">
        <v>0</v>
      </c>
      <c r="I1242" s="285">
        <v>0</v>
      </c>
      <c r="J1242" s="379" t="str">
        <f>IFERROR(G1242/#REF!,"-")</f>
        <v>-</v>
      </c>
      <c r="K1242" s="340">
        <f t="shared" si="1619"/>
        <v>0</v>
      </c>
      <c r="L1242" s="285">
        <f t="shared" si="1620"/>
        <v>0</v>
      </c>
      <c r="M1242" s="286">
        <f t="shared" si="1621"/>
        <v>0</v>
      </c>
      <c r="N1242" s="369" t="str">
        <f t="shared" si="1597"/>
        <v>-</v>
      </c>
      <c r="O1242" s="370" t="str">
        <f t="shared" si="1598"/>
        <v>-</v>
      </c>
    </row>
    <row r="1243" spans="1:15" ht="24" thickBot="1" x14ac:dyDescent="0.35">
      <c r="A1243" s="277" t="s">
        <v>110</v>
      </c>
      <c r="B1243" s="909" t="s">
        <v>44</v>
      </c>
      <c r="C1243" s="910"/>
      <c r="D1243" s="911"/>
      <c r="E1243" s="326">
        <v>0</v>
      </c>
      <c r="F1243" s="289"/>
      <c r="G1243" s="326">
        <f>SUM(G1240:G1242)</f>
        <v>0</v>
      </c>
      <c r="H1243" s="327">
        <f t="shared" ref="H1243:I1243" si="1622">SUM(H1240:H1242)</f>
        <v>0</v>
      </c>
      <c r="I1243" s="327">
        <f t="shared" si="1622"/>
        <v>0</v>
      </c>
      <c r="J1243" s="351" t="str">
        <f>IFERROR(G1243/#REF!,"-")</f>
        <v>-</v>
      </c>
      <c r="K1243" s="326">
        <f t="shared" ref="K1243:M1243" si="1623">SUM(K1240:K1242)</f>
        <v>0</v>
      </c>
      <c r="L1243" s="327">
        <f t="shared" si="1623"/>
        <v>0</v>
      </c>
      <c r="M1243" s="328">
        <f t="shared" si="1623"/>
        <v>0</v>
      </c>
      <c r="N1243" s="345" t="str">
        <f t="shared" si="1597"/>
        <v>-</v>
      </c>
      <c r="O1243" s="351" t="str">
        <f t="shared" si="1598"/>
        <v>-</v>
      </c>
    </row>
    <row r="1244" spans="1:15" ht="23.4" x14ac:dyDescent="0.3">
      <c r="A1244" s="277" t="s">
        <v>110</v>
      </c>
      <c r="B1244" s="903" t="s">
        <v>45</v>
      </c>
      <c r="C1244" s="272" t="s">
        <v>169</v>
      </c>
      <c r="D1244" s="272"/>
      <c r="E1244" s="273">
        <v>0</v>
      </c>
      <c r="F1244" s="274"/>
      <c r="G1244" s="338">
        <f t="shared" ref="G1244:G1245" si="1624">+H1244+I1244</f>
        <v>0</v>
      </c>
      <c r="H1244" s="275">
        <v>0</v>
      </c>
      <c r="I1244" s="275">
        <v>0</v>
      </c>
      <c r="J1244" s="377" t="str">
        <f>IFERROR(G1244/#REF!,"-")</f>
        <v>-</v>
      </c>
      <c r="K1244" s="338">
        <f t="shared" ref="K1244:K1245" si="1625">+L1244+M1244</f>
        <v>0</v>
      </c>
      <c r="L1244" s="275">
        <f t="shared" ref="L1244:L1245" si="1626">+H1244+L1140</f>
        <v>0</v>
      </c>
      <c r="M1244" s="276">
        <f t="shared" ref="M1244:M1245" si="1627">+I1244+M1140</f>
        <v>0</v>
      </c>
      <c r="N1244" s="365" t="str">
        <f t="shared" si="1597"/>
        <v>-</v>
      </c>
      <c r="O1244" s="366" t="str">
        <f t="shared" si="1598"/>
        <v>-</v>
      </c>
    </row>
    <row r="1245" spans="1:15" ht="24" thickBot="1" x14ac:dyDescent="0.35">
      <c r="A1245" s="277" t="s">
        <v>110</v>
      </c>
      <c r="B1245" s="905"/>
      <c r="C1245" s="282" t="s">
        <v>170</v>
      </c>
      <c r="D1245" s="282"/>
      <c r="E1245" s="283">
        <v>0</v>
      </c>
      <c r="F1245" s="284"/>
      <c r="G1245" s="340">
        <f t="shared" si="1624"/>
        <v>0</v>
      </c>
      <c r="H1245" s="285">
        <v>0</v>
      </c>
      <c r="I1245" s="285">
        <v>0</v>
      </c>
      <c r="J1245" s="379" t="str">
        <f>IFERROR(G1245/#REF!,"-")</f>
        <v>-</v>
      </c>
      <c r="K1245" s="340">
        <f t="shared" si="1625"/>
        <v>0</v>
      </c>
      <c r="L1245" s="285">
        <f t="shared" si="1626"/>
        <v>0</v>
      </c>
      <c r="M1245" s="286">
        <f t="shared" si="1627"/>
        <v>0</v>
      </c>
      <c r="N1245" s="369" t="str">
        <f t="shared" si="1597"/>
        <v>-</v>
      </c>
      <c r="O1245" s="370" t="str">
        <f t="shared" si="1598"/>
        <v>-</v>
      </c>
    </row>
    <row r="1246" spans="1:15" ht="24" thickBot="1" x14ac:dyDescent="0.35">
      <c r="A1246" s="277" t="s">
        <v>110</v>
      </c>
      <c r="B1246" s="909" t="s">
        <v>46</v>
      </c>
      <c r="C1246" s="910"/>
      <c r="D1246" s="911"/>
      <c r="E1246" s="288">
        <v>11100</v>
      </c>
      <c r="F1246" s="289">
        <v>25000</v>
      </c>
      <c r="G1246" s="326">
        <f>SUM(G1244:G1245)</f>
        <v>0</v>
      </c>
      <c r="H1246" s="327">
        <f t="shared" ref="H1246:I1246" si="1628">SUM(H1244:H1245)</f>
        <v>0</v>
      </c>
      <c r="I1246" s="327">
        <f t="shared" si="1628"/>
        <v>0</v>
      </c>
      <c r="J1246" s="351" t="str">
        <f>IFERROR(G1246/#REF!,"-")</f>
        <v>-</v>
      </c>
      <c r="K1246" s="326">
        <f t="shared" ref="K1246:M1246" si="1629">SUM(K1244:K1245)</f>
        <v>0</v>
      </c>
      <c r="L1246" s="327">
        <f t="shared" si="1629"/>
        <v>0</v>
      </c>
      <c r="M1246" s="328">
        <f t="shared" si="1629"/>
        <v>0</v>
      </c>
      <c r="N1246" s="345">
        <f t="shared" si="1597"/>
        <v>0</v>
      </c>
      <c r="O1246" s="351" t="str">
        <f t="shared" si="1598"/>
        <v>-</v>
      </c>
    </row>
    <row r="1247" spans="1:15" ht="24" thickBot="1" x14ac:dyDescent="0.35">
      <c r="A1247" s="277" t="s">
        <v>110</v>
      </c>
      <c r="B1247" s="912" t="s">
        <v>25</v>
      </c>
      <c r="C1247" s="913"/>
      <c r="D1247" s="914"/>
      <c r="E1247" s="332">
        <f t="shared" ref="E1247:F1247" si="1630">+E1225+E1230+E1233+E1239+E1243+E1246</f>
        <v>745700</v>
      </c>
      <c r="F1247" s="333">
        <f t="shared" si="1630"/>
        <v>59300</v>
      </c>
      <c r="G1247" s="332">
        <f>+G1225+G1230+G1233+G1239+G1243+G1246</f>
        <v>6958</v>
      </c>
      <c r="H1247" s="330">
        <f t="shared" ref="H1247:I1247" si="1631">+H1225+H1230+H1233+H1239+H1243+H1246</f>
        <v>6752</v>
      </c>
      <c r="I1247" s="330">
        <f t="shared" si="1631"/>
        <v>206</v>
      </c>
      <c r="J1247" s="355" t="str">
        <f>IFERROR(G1247/#REF!,"-")</f>
        <v>-</v>
      </c>
      <c r="K1247" s="332">
        <f>+K1225+K1230+K1233+K1239+K1243+K1246</f>
        <v>315095</v>
      </c>
      <c r="L1247" s="330">
        <f t="shared" ref="L1247:M1247" si="1632">+L1225+L1230+L1233+L1239+L1243+L1246</f>
        <v>309892</v>
      </c>
      <c r="M1247" s="331">
        <f t="shared" si="1632"/>
        <v>5203</v>
      </c>
      <c r="N1247" s="347">
        <f t="shared" si="1597"/>
        <v>0.42254928255330559</v>
      </c>
      <c r="O1247" s="355">
        <f t="shared" si="1598"/>
        <v>1.6512480363065109E-2</v>
      </c>
    </row>
    <row r="1248" spans="1:15" ht="24" thickBot="1" x14ac:dyDescent="0.35">
      <c r="A1248" s="324" t="s">
        <v>110</v>
      </c>
      <c r="B1248" s="901" t="s">
        <v>182</v>
      </c>
      <c r="C1248" s="901"/>
      <c r="D1248" s="902"/>
      <c r="E1248" s="336">
        <f>+E1247</f>
        <v>745700</v>
      </c>
      <c r="F1248" s="337">
        <f t="shared" ref="F1248:O1248" si="1633">+F1247</f>
        <v>59300</v>
      </c>
      <c r="G1248" s="336">
        <f t="shared" si="1633"/>
        <v>6958</v>
      </c>
      <c r="H1248" s="334">
        <f t="shared" si="1633"/>
        <v>6752</v>
      </c>
      <c r="I1248" s="334">
        <f t="shared" si="1633"/>
        <v>206</v>
      </c>
      <c r="J1248" s="356" t="str">
        <f t="shared" si="1633"/>
        <v>-</v>
      </c>
      <c r="K1248" s="336">
        <f t="shared" si="1633"/>
        <v>315095</v>
      </c>
      <c r="L1248" s="334">
        <f t="shared" si="1633"/>
        <v>309892</v>
      </c>
      <c r="M1248" s="335">
        <f t="shared" si="1633"/>
        <v>5203</v>
      </c>
      <c r="N1248" s="348">
        <f t="shared" si="1633"/>
        <v>0.42254928255330559</v>
      </c>
      <c r="O1248" s="356">
        <f t="shared" si="1633"/>
        <v>1.6512480363065109E-2</v>
      </c>
    </row>
    <row r="1249" spans="1:15" ht="24.6" thickBot="1" x14ac:dyDescent="0.35">
      <c r="A1249" s="325"/>
      <c r="B1249" s="915" t="s">
        <v>183</v>
      </c>
      <c r="C1249" s="916"/>
      <c r="D1249" s="917"/>
      <c r="E1249" s="380">
        <f>+E1194+E1221+E1248</f>
        <v>9494400</v>
      </c>
      <c r="F1249" s="380">
        <f>+F1194+F1221+F1248</f>
        <v>748300</v>
      </c>
      <c r="G1249" s="380">
        <f>+G1194+G1221+G1248</f>
        <v>134005</v>
      </c>
      <c r="H1249" s="380">
        <f>+H1194+H1221+H1248</f>
        <v>132442</v>
      </c>
      <c r="I1249" s="380">
        <f>+I1194+I1221+I1248</f>
        <v>1563</v>
      </c>
      <c r="J1249" s="381" t="str">
        <f>IFERROR(G1249/#REF!,"-")</f>
        <v>-</v>
      </c>
      <c r="K1249" s="380">
        <f>+K1194+K1221+K1248</f>
        <v>3212565</v>
      </c>
      <c r="L1249" s="380">
        <f>+L1194+L1221+L1248</f>
        <v>3177369</v>
      </c>
      <c r="M1249" s="380">
        <f>+M1194+M1221+M1248</f>
        <v>35196</v>
      </c>
      <c r="N1249" s="381">
        <f>IFERROR(K1249/E1249,"-")</f>
        <v>0.3383641936299292</v>
      </c>
      <c r="O1249" s="381">
        <f>IFERROR(M1249/K1249,"-")</f>
        <v>1.0955731635001938E-2</v>
      </c>
    </row>
    <row r="1250" spans="1:15" ht="23.4" x14ac:dyDescent="0.3">
      <c r="A1250" s="935" t="s">
        <v>1</v>
      </c>
      <c r="B1250" s="938" t="s">
        <v>2</v>
      </c>
      <c r="C1250" s="941" t="s">
        <v>3</v>
      </c>
      <c r="D1250" s="941" t="s">
        <v>93</v>
      </c>
      <c r="E1250" s="944" t="s">
        <v>4</v>
      </c>
      <c r="F1250" s="945"/>
      <c r="G1250" s="945"/>
      <c r="H1250" s="945"/>
      <c r="I1250" s="945"/>
      <c r="J1250" s="945"/>
      <c r="K1250" s="945"/>
      <c r="L1250" s="945"/>
      <c r="M1250" s="945"/>
      <c r="N1250" s="945"/>
      <c r="O1250" s="946"/>
    </row>
    <row r="1251" spans="1:15" ht="23.4" x14ac:dyDescent="0.3">
      <c r="A1251" s="936"/>
      <c r="B1251" s="939"/>
      <c r="C1251" s="942"/>
      <c r="D1251" s="942"/>
      <c r="E1251" s="947" t="s">
        <v>7</v>
      </c>
      <c r="F1251" s="949" t="s">
        <v>116</v>
      </c>
      <c r="G1251" s="951">
        <v>44517</v>
      </c>
      <c r="H1251" s="952"/>
      <c r="I1251" s="952"/>
      <c r="J1251" s="953"/>
      <c r="K1251" s="954" t="s">
        <v>8</v>
      </c>
      <c r="L1251" s="955"/>
      <c r="M1251" s="956"/>
      <c r="N1251" s="957" t="s">
        <v>174</v>
      </c>
      <c r="O1251" s="959" t="s">
        <v>173</v>
      </c>
    </row>
    <row r="1252" spans="1:15" ht="41.4" thickBot="1" x14ac:dyDescent="0.35">
      <c r="A1252" s="937"/>
      <c r="B1252" s="940"/>
      <c r="C1252" s="943"/>
      <c r="D1252" s="943"/>
      <c r="E1252" s="948"/>
      <c r="F1252" s="950"/>
      <c r="G1252" s="462" t="s">
        <v>13</v>
      </c>
      <c r="H1252" s="463" t="s">
        <v>14</v>
      </c>
      <c r="I1252" s="463" t="s">
        <v>15</v>
      </c>
      <c r="J1252" s="464" t="s">
        <v>175</v>
      </c>
      <c r="K1252" s="462" t="s">
        <v>13</v>
      </c>
      <c r="L1252" s="463" t="s">
        <v>14</v>
      </c>
      <c r="M1252" s="465" t="s">
        <v>15</v>
      </c>
      <c r="N1252" s="958"/>
      <c r="O1252" s="960"/>
    </row>
    <row r="1253" spans="1:15" ht="23.4" x14ac:dyDescent="0.3">
      <c r="A1253" s="271" t="s">
        <v>111</v>
      </c>
      <c r="B1253" s="922" t="s">
        <v>16</v>
      </c>
      <c r="C1253" s="272" t="s">
        <v>186</v>
      </c>
      <c r="D1253" s="272" t="s">
        <v>184</v>
      </c>
      <c r="E1253" s="273">
        <v>0</v>
      </c>
      <c r="F1253" s="274"/>
      <c r="G1253" s="338">
        <f>+H1253+I1253</f>
        <v>0</v>
      </c>
      <c r="H1253" s="275">
        <v>0</v>
      </c>
      <c r="I1253" s="275">
        <v>0</v>
      </c>
      <c r="J1253" s="357" t="str">
        <f>IFERROR(G1253/#REF!,"-")</f>
        <v>-</v>
      </c>
      <c r="K1253" s="468">
        <f>+L1253+M1253</f>
        <v>0</v>
      </c>
      <c r="L1253" s="469">
        <f>+H1253+L1149</f>
        <v>0</v>
      </c>
      <c r="M1253" s="469">
        <f>+I1253+M1149</f>
        <v>0</v>
      </c>
      <c r="N1253" s="342" t="str">
        <f>IFERROR(K1253/E1253,"-")</f>
        <v>-</v>
      </c>
      <c r="O1253" s="349" t="str">
        <f t="shared" ref="O1253:O1254" si="1634">IFERROR(M1253/K1253,"-")</f>
        <v>-</v>
      </c>
    </row>
    <row r="1254" spans="1:15" ht="23.4" x14ac:dyDescent="0.3">
      <c r="A1254" s="277" t="s">
        <v>111</v>
      </c>
      <c r="B1254" s="923"/>
      <c r="C1254" s="278" t="s">
        <v>190</v>
      </c>
      <c r="D1254" s="278" t="s">
        <v>101</v>
      </c>
      <c r="E1254" s="279">
        <v>0</v>
      </c>
      <c r="F1254" s="280"/>
      <c r="G1254" s="339">
        <f t="shared" ref="G1254:G1256" si="1635">+H1254+I1254</f>
        <v>0</v>
      </c>
      <c r="H1254" s="281">
        <v>0</v>
      </c>
      <c r="I1254" s="281">
        <v>0</v>
      </c>
      <c r="J1254" s="358" t="str">
        <f>IFERROR(G1254/#REF!,"-")</f>
        <v>-</v>
      </c>
      <c r="K1254" s="339">
        <f t="shared" ref="K1254:K1256" si="1636">+L1254+M1254</f>
        <v>0</v>
      </c>
      <c r="L1254" s="281">
        <f t="shared" ref="L1254:L1256" si="1637">+H1254+L1150</f>
        <v>0</v>
      </c>
      <c r="M1254" s="442">
        <f t="shared" ref="M1254:M1256" si="1638">+I1254+M1150</f>
        <v>0</v>
      </c>
      <c r="N1254" s="343" t="str">
        <f t="shared" ref="N1254:N1256" si="1639">IFERROR(K1254/E1254,"-")</f>
        <v>-</v>
      </c>
      <c r="O1254" s="268" t="str">
        <f t="shared" si="1634"/>
        <v>-</v>
      </c>
    </row>
    <row r="1255" spans="1:15" ht="23.4" x14ac:dyDescent="0.3">
      <c r="A1255" s="277" t="s">
        <v>111</v>
      </c>
      <c r="B1255" s="923"/>
      <c r="C1255" s="278" t="s">
        <v>187</v>
      </c>
      <c r="D1255" s="278" t="s">
        <v>185</v>
      </c>
      <c r="E1255" s="279">
        <v>0</v>
      </c>
      <c r="F1255" s="280"/>
      <c r="G1255" s="339">
        <f t="shared" si="1635"/>
        <v>0</v>
      </c>
      <c r="H1255" s="281">
        <v>0</v>
      </c>
      <c r="I1255" s="281">
        <v>0</v>
      </c>
      <c r="J1255" s="358" t="str">
        <f>IFERROR(G1255/#REF!,"-")</f>
        <v>-</v>
      </c>
      <c r="K1255" s="339">
        <f t="shared" si="1636"/>
        <v>0</v>
      </c>
      <c r="L1255" s="281">
        <f t="shared" si="1637"/>
        <v>0</v>
      </c>
      <c r="M1255" s="442">
        <f t="shared" si="1638"/>
        <v>0</v>
      </c>
      <c r="N1255" s="343" t="str">
        <f t="shared" si="1639"/>
        <v>-</v>
      </c>
      <c r="O1255" s="268" t="str">
        <f>IFERROR(M1255/K1255,"-")</f>
        <v>-</v>
      </c>
    </row>
    <row r="1256" spans="1:15" ht="24" thickBot="1" x14ac:dyDescent="0.35">
      <c r="A1256" s="277" t="s">
        <v>111</v>
      </c>
      <c r="B1256" s="924"/>
      <c r="C1256" s="282" t="s">
        <v>255</v>
      </c>
      <c r="D1256" s="282" t="s">
        <v>256</v>
      </c>
      <c r="E1256" s="283">
        <v>0</v>
      </c>
      <c r="F1256" s="284"/>
      <c r="G1256" s="340">
        <f t="shared" si="1635"/>
        <v>592</v>
      </c>
      <c r="H1256" s="285">
        <v>592</v>
      </c>
      <c r="I1256" s="285">
        <v>0</v>
      </c>
      <c r="J1256" s="359" t="str">
        <f>IFERROR(G1256/#REF!,"-")</f>
        <v>-</v>
      </c>
      <c r="K1256" s="471">
        <f t="shared" si="1636"/>
        <v>105704</v>
      </c>
      <c r="L1256" s="472">
        <f t="shared" si="1637"/>
        <v>104016</v>
      </c>
      <c r="M1256" s="473">
        <f t="shared" si="1638"/>
        <v>1688</v>
      </c>
      <c r="N1256" s="344" t="str">
        <f t="shared" si="1639"/>
        <v>-</v>
      </c>
      <c r="O1256" s="350">
        <f t="shared" ref="O1256:O1274" si="1640">IFERROR(M1256/K1256,"-")</f>
        <v>1.5969121319912207E-2</v>
      </c>
    </row>
    <row r="1257" spans="1:15" ht="24" thickBot="1" x14ac:dyDescent="0.35">
      <c r="A1257" s="277" t="s">
        <v>111</v>
      </c>
      <c r="B1257" s="906" t="s">
        <v>47</v>
      </c>
      <c r="C1257" s="907"/>
      <c r="D1257" s="908"/>
      <c r="E1257" s="326">
        <v>144600</v>
      </c>
      <c r="F1257" s="289">
        <v>15000</v>
      </c>
      <c r="G1257" s="326">
        <f>SUM(G1253:G1256)</f>
        <v>592</v>
      </c>
      <c r="H1257" s="327">
        <f t="shared" ref="H1257:I1257" si="1641">SUM(H1253:H1256)</f>
        <v>592</v>
      </c>
      <c r="I1257" s="327">
        <f t="shared" si="1641"/>
        <v>0</v>
      </c>
      <c r="J1257" s="351" t="str">
        <f>IFERROR(G1257/#REF!,"-")</f>
        <v>-</v>
      </c>
      <c r="K1257" s="326">
        <f t="shared" ref="K1257:M1257" si="1642">SUM(K1253:K1256)</f>
        <v>105704</v>
      </c>
      <c r="L1257" s="327">
        <f t="shared" si="1642"/>
        <v>104016</v>
      </c>
      <c r="M1257" s="328">
        <f t="shared" si="1642"/>
        <v>1688</v>
      </c>
      <c r="N1257" s="345">
        <f>IFERROR(K1257/E1257,"-")</f>
        <v>0.7310096818810512</v>
      </c>
      <c r="O1257" s="351">
        <f t="shared" si="1640"/>
        <v>1.5969121319912207E-2</v>
      </c>
    </row>
    <row r="1258" spans="1:15" ht="23.4" x14ac:dyDescent="0.3">
      <c r="A1258" s="277" t="s">
        <v>111</v>
      </c>
      <c r="B1258" s="922" t="s">
        <v>17</v>
      </c>
      <c r="C1258" s="272" t="s">
        <v>331</v>
      </c>
      <c r="D1258" s="272"/>
      <c r="E1258" s="273">
        <v>0</v>
      </c>
      <c r="F1258" s="274"/>
      <c r="G1258" s="338">
        <f t="shared" ref="G1258:G1264" si="1643">+H1258+I1258</f>
        <v>0</v>
      </c>
      <c r="H1258" s="275">
        <v>0</v>
      </c>
      <c r="I1258" s="275">
        <v>0</v>
      </c>
      <c r="J1258" s="357" t="str">
        <f>IFERROR(G1258/#REF!,"-")</f>
        <v>-</v>
      </c>
      <c r="K1258" s="468">
        <f t="shared" ref="K1258:K1264" si="1644">+L1258+M1258</f>
        <v>0</v>
      </c>
      <c r="L1258" s="469">
        <f t="shared" ref="L1258:L1264" si="1645">+H1258+L1154</f>
        <v>0</v>
      </c>
      <c r="M1258" s="470">
        <f t="shared" ref="M1258:M1264" si="1646">+I1258+M1154</f>
        <v>0</v>
      </c>
      <c r="N1258" s="342" t="str">
        <f t="shared" ref="N1258:N1264" si="1647">IFERROR(K1258/E1258,"-")</f>
        <v>-</v>
      </c>
      <c r="O1258" s="352" t="str">
        <f t="shared" si="1640"/>
        <v>-</v>
      </c>
    </row>
    <row r="1259" spans="1:15" ht="23.4" x14ac:dyDescent="0.3">
      <c r="A1259" s="277" t="s">
        <v>111</v>
      </c>
      <c r="B1259" s="923"/>
      <c r="C1259" s="278" t="s">
        <v>421</v>
      </c>
      <c r="D1259" s="278" t="s">
        <v>257</v>
      </c>
      <c r="E1259" s="279">
        <v>0</v>
      </c>
      <c r="F1259" s="280"/>
      <c r="G1259" s="339">
        <f t="shared" si="1643"/>
        <v>135101</v>
      </c>
      <c r="H1259" s="281">
        <f>42840+91800</f>
        <v>134640</v>
      </c>
      <c r="I1259" s="281">
        <f>206+255</f>
        <v>461</v>
      </c>
      <c r="J1259" s="358" t="str">
        <f>IFERROR(G1259/#REF!,"-")</f>
        <v>-</v>
      </c>
      <c r="K1259" s="339">
        <f t="shared" si="1644"/>
        <v>408120</v>
      </c>
      <c r="L1259" s="810">
        <f t="shared" si="1645"/>
        <v>406223</v>
      </c>
      <c r="M1259" s="442">
        <f t="shared" si="1646"/>
        <v>1897</v>
      </c>
      <c r="N1259" s="343" t="str">
        <f t="shared" si="1647"/>
        <v>-</v>
      </c>
      <c r="O1259" s="264">
        <f t="shared" si="1640"/>
        <v>4.648142703126531E-3</v>
      </c>
    </row>
    <row r="1260" spans="1:15" ht="23.4" x14ac:dyDescent="0.3">
      <c r="A1260" s="277" t="s">
        <v>111</v>
      </c>
      <c r="B1260" s="923"/>
      <c r="C1260" s="278" t="s">
        <v>290</v>
      </c>
      <c r="D1260" s="278" t="s">
        <v>205</v>
      </c>
      <c r="E1260" s="279">
        <v>0</v>
      </c>
      <c r="F1260" s="280"/>
      <c r="G1260" s="339">
        <f t="shared" si="1643"/>
        <v>0</v>
      </c>
      <c r="H1260" s="281">
        <v>0</v>
      </c>
      <c r="I1260" s="281">
        <v>0</v>
      </c>
      <c r="J1260" s="358" t="str">
        <f>IFERROR(G1260/#REF!,"-")</f>
        <v>-</v>
      </c>
      <c r="K1260" s="339">
        <f t="shared" si="1644"/>
        <v>0</v>
      </c>
      <c r="L1260" s="281">
        <f t="shared" si="1645"/>
        <v>0</v>
      </c>
      <c r="M1260" s="442">
        <f t="shared" si="1646"/>
        <v>0</v>
      </c>
      <c r="N1260" s="343" t="str">
        <f t="shared" si="1647"/>
        <v>-</v>
      </c>
      <c r="O1260" s="264" t="str">
        <f t="shared" si="1640"/>
        <v>-</v>
      </c>
    </row>
    <row r="1261" spans="1:15" ht="23.4" x14ac:dyDescent="0.3">
      <c r="A1261" s="277" t="s">
        <v>111</v>
      </c>
      <c r="B1261" s="923"/>
      <c r="C1261" s="278" t="s">
        <v>330</v>
      </c>
      <c r="D1261" s="278" t="s">
        <v>206</v>
      </c>
      <c r="E1261" s="279">
        <v>0</v>
      </c>
      <c r="F1261" s="280"/>
      <c r="G1261" s="339">
        <f t="shared" si="1643"/>
        <v>0</v>
      </c>
      <c r="H1261" s="281">
        <v>0</v>
      </c>
      <c r="I1261" s="281">
        <v>0</v>
      </c>
      <c r="J1261" s="358" t="str">
        <f>IFERROR(G1261/#REF!,"-")</f>
        <v>-</v>
      </c>
      <c r="K1261" s="339">
        <f t="shared" si="1644"/>
        <v>1836</v>
      </c>
      <c r="L1261" s="281">
        <f t="shared" si="1645"/>
        <v>1836</v>
      </c>
      <c r="M1261" s="442">
        <f t="shared" si="1646"/>
        <v>0</v>
      </c>
      <c r="N1261" s="343" t="str">
        <f t="shared" si="1647"/>
        <v>-</v>
      </c>
      <c r="O1261" s="264">
        <f t="shared" si="1640"/>
        <v>0</v>
      </c>
    </row>
    <row r="1262" spans="1:15" ht="23.4" x14ac:dyDescent="0.3">
      <c r="A1262" s="277" t="s">
        <v>111</v>
      </c>
      <c r="B1262" s="923"/>
      <c r="C1262" s="278" t="s">
        <v>377</v>
      </c>
      <c r="D1262" s="278" t="s">
        <v>371</v>
      </c>
      <c r="E1262" s="279">
        <v>0</v>
      </c>
      <c r="F1262" s="280"/>
      <c r="G1262" s="339">
        <f t="shared" si="1643"/>
        <v>0</v>
      </c>
      <c r="H1262" s="281">
        <v>0</v>
      </c>
      <c r="I1262" s="281">
        <v>0</v>
      </c>
      <c r="J1262" s="358" t="str">
        <f>IFERROR(G1262/#REF!,"-")</f>
        <v>-</v>
      </c>
      <c r="K1262" s="339">
        <f t="shared" si="1644"/>
        <v>10610</v>
      </c>
      <c r="L1262" s="281">
        <f t="shared" si="1645"/>
        <v>10610</v>
      </c>
      <c r="M1262" s="442">
        <f t="shared" si="1646"/>
        <v>0</v>
      </c>
      <c r="N1262" s="343" t="str">
        <f t="shared" si="1647"/>
        <v>-</v>
      </c>
      <c r="O1262" s="264">
        <f t="shared" si="1640"/>
        <v>0</v>
      </c>
    </row>
    <row r="1263" spans="1:15" ht="23.4" x14ac:dyDescent="0.3">
      <c r="A1263" s="277" t="s">
        <v>111</v>
      </c>
      <c r="B1263" s="923"/>
      <c r="C1263" s="278" t="s">
        <v>443</v>
      </c>
      <c r="D1263" s="278" t="s">
        <v>207</v>
      </c>
      <c r="E1263" s="279">
        <v>0</v>
      </c>
      <c r="F1263" s="280"/>
      <c r="G1263" s="339">
        <f t="shared" si="1643"/>
        <v>6120</v>
      </c>
      <c r="H1263" s="281">
        <v>6120</v>
      </c>
      <c r="I1263" s="281">
        <v>0</v>
      </c>
      <c r="J1263" s="358" t="str">
        <f>IFERROR(G1263/#REF!,"-")</f>
        <v>-</v>
      </c>
      <c r="K1263" s="339">
        <f t="shared" si="1644"/>
        <v>417540</v>
      </c>
      <c r="L1263" s="810">
        <f t="shared" si="1645"/>
        <v>416160</v>
      </c>
      <c r="M1263" s="442">
        <f t="shared" si="1646"/>
        <v>1380</v>
      </c>
      <c r="N1263" s="343" t="str">
        <f t="shared" si="1647"/>
        <v>-</v>
      </c>
      <c r="O1263" s="264">
        <f t="shared" si="1640"/>
        <v>3.3050725678976864E-3</v>
      </c>
    </row>
    <row r="1264" spans="1:15" ht="24" thickBot="1" x14ac:dyDescent="0.35">
      <c r="A1264" s="277" t="s">
        <v>111</v>
      </c>
      <c r="B1264" s="924"/>
      <c r="C1264" s="282" t="s">
        <v>416</v>
      </c>
      <c r="D1264" s="282" t="s">
        <v>257</v>
      </c>
      <c r="E1264" s="283">
        <v>0</v>
      </c>
      <c r="F1264" s="284"/>
      <c r="G1264" s="340">
        <f t="shared" si="1643"/>
        <v>0</v>
      </c>
      <c r="H1264" s="285">
        <v>0</v>
      </c>
      <c r="I1264" s="285">
        <v>0</v>
      </c>
      <c r="J1264" s="359" t="str">
        <f>IFERROR(G1264/#REF!,"-")</f>
        <v>-</v>
      </c>
      <c r="K1264" s="471">
        <f t="shared" si="1644"/>
        <v>73650</v>
      </c>
      <c r="L1264" s="719">
        <f t="shared" si="1645"/>
        <v>73440</v>
      </c>
      <c r="M1264" s="473">
        <f t="shared" si="1646"/>
        <v>210</v>
      </c>
      <c r="N1264" s="344" t="str">
        <f t="shared" si="1647"/>
        <v>-</v>
      </c>
      <c r="O1264" s="353">
        <f t="shared" si="1640"/>
        <v>2.8513238289205704E-3</v>
      </c>
    </row>
    <row r="1265" spans="1:15" ht="24" thickBot="1" x14ac:dyDescent="0.35">
      <c r="A1265" s="277" t="s">
        <v>111</v>
      </c>
      <c r="B1265" s="906" t="s">
        <v>48</v>
      </c>
      <c r="C1265" s="907"/>
      <c r="D1265" s="908"/>
      <c r="E1265" s="326">
        <v>3480000</v>
      </c>
      <c r="F1265" s="289">
        <v>100000</v>
      </c>
      <c r="G1265" s="326">
        <f>SUM(G1258:G1264)</f>
        <v>141221</v>
      </c>
      <c r="H1265" s="327">
        <f t="shared" ref="H1265:I1265" si="1648">SUM(H1258:H1264)</f>
        <v>140760</v>
      </c>
      <c r="I1265" s="327">
        <f t="shared" si="1648"/>
        <v>461</v>
      </c>
      <c r="J1265" s="351" t="str">
        <f>IFERROR(G1265/#REF!,"-")</f>
        <v>-</v>
      </c>
      <c r="K1265" s="326">
        <f>SUM(K1258:K1264)</f>
        <v>911756</v>
      </c>
      <c r="L1265" s="327">
        <f>SUM(L1258:L1264)</f>
        <v>908269</v>
      </c>
      <c r="M1265" s="328">
        <f t="shared" ref="M1265" si="1649">SUM(M1258:M1264)</f>
        <v>3487</v>
      </c>
      <c r="N1265" s="345">
        <f>IFERROR(K1265/E1265,"-")</f>
        <v>0.26199885057471262</v>
      </c>
      <c r="O1265" s="351">
        <f t="shared" si="1640"/>
        <v>3.8244881305963437E-3</v>
      </c>
    </row>
    <row r="1266" spans="1:15" ht="23.4" x14ac:dyDescent="0.3">
      <c r="A1266" s="277" t="s">
        <v>111</v>
      </c>
      <c r="B1266" s="922" t="s">
        <v>18</v>
      </c>
      <c r="C1266" s="272" t="s">
        <v>359</v>
      </c>
      <c r="D1266" s="272" t="s">
        <v>99</v>
      </c>
      <c r="E1266" s="273">
        <v>0</v>
      </c>
      <c r="F1266" s="274"/>
      <c r="G1266" s="338">
        <f t="shared" ref="G1266:G1272" si="1650">+H1266+I1266</f>
        <v>0</v>
      </c>
      <c r="H1266" s="275">
        <v>0</v>
      </c>
      <c r="I1266" s="275">
        <v>0</v>
      </c>
      <c r="J1266" s="357" t="str">
        <f>IFERROR(G1266/#REF!,"-")</f>
        <v>-</v>
      </c>
      <c r="K1266" s="338">
        <f t="shared" ref="K1266:K1272" si="1651">+L1266+M1266</f>
        <v>0</v>
      </c>
      <c r="L1266" s="275">
        <f t="shared" ref="L1266:L1272" si="1652">+H1266+L1162</f>
        <v>0</v>
      </c>
      <c r="M1266" s="276">
        <f t="shared" ref="M1266:M1272" si="1653">+I1266+M1162</f>
        <v>0</v>
      </c>
      <c r="N1266" s="342" t="str">
        <f t="shared" ref="N1266:N1273" si="1654">IFERROR(K1266/E1266,"-")</f>
        <v>-</v>
      </c>
      <c r="O1266" s="352" t="str">
        <f t="shared" si="1640"/>
        <v>-</v>
      </c>
    </row>
    <row r="1267" spans="1:15" ht="23.4" x14ac:dyDescent="0.3">
      <c r="A1267" s="277" t="s">
        <v>111</v>
      </c>
      <c r="B1267" s="923"/>
      <c r="C1267" s="278" t="s">
        <v>258</v>
      </c>
      <c r="D1267" s="278" t="s">
        <v>259</v>
      </c>
      <c r="E1267" s="279">
        <v>0</v>
      </c>
      <c r="F1267" s="280"/>
      <c r="G1267" s="339">
        <f t="shared" si="1650"/>
        <v>0</v>
      </c>
      <c r="H1267" s="281">
        <v>0</v>
      </c>
      <c r="I1267" s="281">
        <v>0</v>
      </c>
      <c r="J1267" s="358" t="str">
        <f>IFERROR(G1267/#REF!,"-")</f>
        <v>-</v>
      </c>
      <c r="K1267" s="339">
        <f t="shared" si="1651"/>
        <v>0</v>
      </c>
      <c r="L1267" s="281">
        <f t="shared" si="1652"/>
        <v>0</v>
      </c>
      <c r="M1267" s="251">
        <f t="shared" si="1653"/>
        <v>0</v>
      </c>
      <c r="N1267" s="343" t="str">
        <f t="shared" si="1654"/>
        <v>-</v>
      </c>
      <c r="O1267" s="264" t="str">
        <f t="shared" si="1640"/>
        <v>-</v>
      </c>
    </row>
    <row r="1268" spans="1:15" ht="23.4" x14ac:dyDescent="0.3">
      <c r="A1268" s="277" t="s">
        <v>111</v>
      </c>
      <c r="B1268" s="923"/>
      <c r="C1268" s="278" t="s">
        <v>123</v>
      </c>
      <c r="D1268" s="278"/>
      <c r="E1268" s="279">
        <v>0</v>
      </c>
      <c r="F1268" s="280"/>
      <c r="G1268" s="339">
        <f t="shared" si="1650"/>
        <v>0</v>
      </c>
      <c r="H1268" s="281">
        <v>0</v>
      </c>
      <c r="I1268" s="281">
        <v>0</v>
      </c>
      <c r="J1268" s="358" t="str">
        <f>IFERROR(G1268/#REF!,"-")</f>
        <v>-</v>
      </c>
      <c r="K1268" s="339">
        <f t="shared" si="1651"/>
        <v>0</v>
      </c>
      <c r="L1268" s="281">
        <f t="shared" si="1652"/>
        <v>0</v>
      </c>
      <c r="M1268" s="251">
        <f t="shared" si="1653"/>
        <v>0</v>
      </c>
      <c r="N1268" s="343" t="str">
        <f t="shared" si="1654"/>
        <v>-</v>
      </c>
      <c r="O1268" s="264" t="str">
        <f t="shared" si="1640"/>
        <v>-</v>
      </c>
    </row>
    <row r="1269" spans="1:15" ht="23.4" x14ac:dyDescent="0.3">
      <c r="A1269" s="277" t="s">
        <v>111</v>
      </c>
      <c r="B1269" s="923"/>
      <c r="C1269" s="278" t="s">
        <v>130</v>
      </c>
      <c r="D1269" s="278"/>
      <c r="E1269" s="279">
        <v>0</v>
      </c>
      <c r="F1269" s="280"/>
      <c r="G1269" s="339">
        <f t="shared" si="1650"/>
        <v>0</v>
      </c>
      <c r="H1269" s="281">
        <v>0</v>
      </c>
      <c r="I1269" s="281">
        <v>0</v>
      </c>
      <c r="J1269" s="358" t="str">
        <f>IFERROR(G1269/#REF!,"-")</f>
        <v>-</v>
      </c>
      <c r="K1269" s="339">
        <f t="shared" si="1651"/>
        <v>0</v>
      </c>
      <c r="L1269" s="281">
        <f t="shared" si="1652"/>
        <v>0</v>
      </c>
      <c r="M1269" s="251">
        <f t="shared" si="1653"/>
        <v>0</v>
      </c>
      <c r="N1269" s="343" t="str">
        <f t="shared" si="1654"/>
        <v>-</v>
      </c>
      <c r="O1269" s="264" t="str">
        <f t="shared" si="1640"/>
        <v>-</v>
      </c>
    </row>
    <row r="1270" spans="1:15" ht="23.4" x14ac:dyDescent="0.3">
      <c r="A1270" s="277" t="s">
        <v>111</v>
      </c>
      <c r="B1270" s="923"/>
      <c r="C1270" s="278" t="s">
        <v>191</v>
      </c>
      <c r="D1270" s="278" t="s">
        <v>192</v>
      </c>
      <c r="E1270" s="279">
        <v>0</v>
      </c>
      <c r="F1270" s="280"/>
      <c r="G1270" s="339">
        <f t="shared" si="1650"/>
        <v>0</v>
      </c>
      <c r="H1270" s="281">
        <v>0</v>
      </c>
      <c r="I1270" s="281">
        <v>0</v>
      </c>
      <c r="J1270" s="358" t="str">
        <f>IFERROR(G1270/#REF!,"-")</f>
        <v>-</v>
      </c>
      <c r="K1270" s="339">
        <f t="shared" si="1651"/>
        <v>0</v>
      </c>
      <c r="L1270" s="281">
        <f t="shared" si="1652"/>
        <v>0</v>
      </c>
      <c r="M1270" s="251">
        <f t="shared" si="1653"/>
        <v>0</v>
      </c>
      <c r="N1270" s="343" t="str">
        <f t="shared" si="1654"/>
        <v>-</v>
      </c>
      <c r="O1270" s="264" t="str">
        <f t="shared" si="1640"/>
        <v>-</v>
      </c>
    </row>
    <row r="1271" spans="1:15" ht="23.4" x14ac:dyDescent="0.3">
      <c r="A1271" s="277" t="s">
        <v>111</v>
      </c>
      <c r="B1271" s="923"/>
      <c r="C1271" s="278" t="s">
        <v>194</v>
      </c>
      <c r="D1271" s="278" t="s">
        <v>193</v>
      </c>
      <c r="E1271" s="279">
        <v>0</v>
      </c>
      <c r="F1271" s="280"/>
      <c r="G1271" s="339">
        <f t="shared" si="1650"/>
        <v>0</v>
      </c>
      <c r="H1271" s="281">
        <v>0</v>
      </c>
      <c r="I1271" s="281">
        <v>0</v>
      </c>
      <c r="J1271" s="358" t="str">
        <f>IFERROR(G1271/#REF!,"-")</f>
        <v>-</v>
      </c>
      <c r="K1271" s="339">
        <f t="shared" si="1651"/>
        <v>0</v>
      </c>
      <c r="L1271" s="281">
        <f t="shared" si="1652"/>
        <v>0</v>
      </c>
      <c r="M1271" s="251">
        <f t="shared" si="1653"/>
        <v>0</v>
      </c>
      <c r="N1271" s="343" t="str">
        <f t="shared" si="1654"/>
        <v>-</v>
      </c>
      <c r="O1271" s="264" t="str">
        <f t="shared" si="1640"/>
        <v>-</v>
      </c>
    </row>
    <row r="1272" spans="1:15" ht="24" thickBot="1" x14ac:dyDescent="0.35">
      <c r="A1272" s="277" t="s">
        <v>111</v>
      </c>
      <c r="B1272" s="924"/>
      <c r="C1272" s="290" t="s">
        <v>195</v>
      </c>
      <c r="D1272" s="290" t="s">
        <v>115</v>
      </c>
      <c r="E1272" s="283">
        <v>0</v>
      </c>
      <c r="F1272" s="284"/>
      <c r="G1272" s="340">
        <f t="shared" si="1650"/>
        <v>0</v>
      </c>
      <c r="H1272" s="285">
        <v>0</v>
      </c>
      <c r="I1272" s="285">
        <v>0</v>
      </c>
      <c r="J1272" s="359" t="str">
        <f>IFERROR(G1272/#REF!,"-")</f>
        <v>-</v>
      </c>
      <c r="K1272" s="340">
        <f t="shared" si="1651"/>
        <v>0</v>
      </c>
      <c r="L1272" s="285">
        <f t="shared" si="1652"/>
        <v>0</v>
      </c>
      <c r="M1272" s="286">
        <f t="shared" si="1653"/>
        <v>0</v>
      </c>
      <c r="N1272" s="344" t="str">
        <f t="shared" si="1654"/>
        <v>-</v>
      </c>
      <c r="O1272" s="353" t="str">
        <f t="shared" si="1640"/>
        <v>-</v>
      </c>
    </row>
    <row r="1273" spans="1:15" ht="24" thickBot="1" x14ac:dyDescent="0.35">
      <c r="A1273" s="277" t="s">
        <v>111</v>
      </c>
      <c r="B1273" s="906" t="s">
        <v>29</v>
      </c>
      <c r="C1273" s="907"/>
      <c r="D1273" s="908"/>
      <c r="E1273" s="326">
        <f t="shared" ref="E1273" si="1655">SUM(E1266:E1272)</f>
        <v>0</v>
      </c>
      <c r="F1273" s="289">
        <v>80000</v>
      </c>
      <c r="G1273" s="326">
        <f>SUM(G1266:G1272)</f>
        <v>0</v>
      </c>
      <c r="H1273" s="327">
        <f t="shared" ref="H1273:I1273" si="1656">SUM(H1266:H1272)</f>
        <v>0</v>
      </c>
      <c r="I1273" s="327">
        <f t="shared" si="1656"/>
        <v>0</v>
      </c>
      <c r="J1273" s="351" t="str">
        <f>IFERROR(G1273/#REF!,"-")</f>
        <v>-</v>
      </c>
      <c r="K1273" s="326">
        <f t="shared" ref="K1273:M1273" si="1657">SUM(K1266:K1272)</f>
        <v>0</v>
      </c>
      <c r="L1273" s="327">
        <f t="shared" si="1657"/>
        <v>0</v>
      </c>
      <c r="M1273" s="328">
        <f t="shared" si="1657"/>
        <v>0</v>
      </c>
      <c r="N1273" s="345" t="str">
        <f t="shared" si="1654"/>
        <v>-</v>
      </c>
      <c r="O1273" s="351" t="str">
        <f t="shared" si="1640"/>
        <v>-</v>
      </c>
    </row>
    <row r="1274" spans="1:15" ht="23.4" x14ac:dyDescent="0.3">
      <c r="A1274" s="252" t="s">
        <v>111</v>
      </c>
      <c r="B1274" s="918" t="s">
        <v>19</v>
      </c>
      <c r="C1274" s="757" t="s">
        <v>260</v>
      </c>
      <c r="D1274" s="771" t="s">
        <v>192</v>
      </c>
      <c r="E1274" s="540">
        <v>2000000</v>
      </c>
      <c r="F1274" s="470">
        <v>110000</v>
      </c>
      <c r="G1274" s="770">
        <f t="shared" ref="G1274:G1276" si="1658">+H1274+I1274</f>
        <v>0</v>
      </c>
      <c r="H1274" s="469">
        <v>0</v>
      </c>
      <c r="I1274" s="469">
        <v>0</v>
      </c>
      <c r="J1274" s="544" t="str">
        <f>IFERROR(G1274/#REF!,"-")</f>
        <v>-</v>
      </c>
      <c r="K1274" s="468">
        <f>+L1274+M1274</f>
        <v>329781</v>
      </c>
      <c r="L1274" s="469">
        <f t="shared" ref="L1274:L1275" si="1659">+H1274+L1170</f>
        <v>328118</v>
      </c>
      <c r="M1274" s="470">
        <f t="shared" ref="M1274:M1275" si="1660">+I1274+M1170</f>
        <v>1663</v>
      </c>
      <c r="N1274" s="775">
        <f>IFERROR(K1274/E1274,"-")</f>
        <v>0.1648905</v>
      </c>
      <c r="O1274" s="776">
        <f t="shared" si="1640"/>
        <v>5.0427404853524002E-3</v>
      </c>
    </row>
    <row r="1275" spans="1:15" ht="23.4" x14ac:dyDescent="0.3">
      <c r="A1275" s="252"/>
      <c r="B1275" s="919"/>
      <c r="C1275" s="302" t="s">
        <v>458</v>
      </c>
      <c r="D1275" s="772"/>
      <c r="E1275" s="755">
        <v>0</v>
      </c>
      <c r="F1275" s="441">
        <v>110000</v>
      </c>
      <c r="G1275" s="756">
        <f t="shared" si="1658"/>
        <v>59361</v>
      </c>
      <c r="H1275" s="275">
        <v>59136</v>
      </c>
      <c r="I1275" s="275">
        <v>225</v>
      </c>
      <c r="J1275" s="357" t="str">
        <f>IFERROR(G1275/#REF!,"-")</f>
        <v>-</v>
      </c>
      <c r="K1275" s="341">
        <f>+L1275+M1275</f>
        <v>169736</v>
      </c>
      <c r="L1275" s="295">
        <f t="shared" si="1659"/>
        <v>168960</v>
      </c>
      <c r="M1275" s="774">
        <f t="shared" si="1660"/>
        <v>776</v>
      </c>
      <c r="N1275" s="346" t="str">
        <f t="shared" ref="N1275:N1276" si="1661">IFERROR(K1275/E1275,"-")</f>
        <v>-</v>
      </c>
      <c r="O1275" s="753">
        <f>IFERROR(M1275/K1275,"-")</f>
        <v>4.5718056275628038E-3</v>
      </c>
    </row>
    <row r="1276" spans="1:15" ht="24" thickBot="1" x14ac:dyDescent="0.35">
      <c r="A1276" s="252"/>
      <c r="B1276" s="920"/>
      <c r="C1276" s="679" t="s">
        <v>417</v>
      </c>
      <c r="D1276" s="773"/>
      <c r="E1276" s="472">
        <v>150000</v>
      </c>
      <c r="F1276" s="473">
        <v>110000</v>
      </c>
      <c r="G1276" s="607">
        <f t="shared" si="1658"/>
        <v>0</v>
      </c>
      <c r="H1276" s="285">
        <v>0</v>
      </c>
      <c r="I1276" s="285">
        <v>0</v>
      </c>
      <c r="J1276" s="359"/>
      <c r="K1276" s="471">
        <f>+L1276+M1276</f>
        <v>0</v>
      </c>
      <c r="L1276" s="472">
        <f>+H1276+L1172</f>
        <v>0</v>
      </c>
      <c r="M1276" s="473">
        <f>+I1276+M1172</f>
        <v>0</v>
      </c>
      <c r="N1276" s="344">
        <f t="shared" si="1661"/>
        <v>0</v>
      </c>
      <c r="O1276" s="680" t="str">
        <f t="shared" ref="O1276:O1324" si="1662">IFERROR(M1276/K1276,"-")</f>
        <v>-</v>
      </c>
    </row>
    <row r="1277" spans="1:15" ht="24" thickBot="1" x14ac:dyDescent="0.35">
      <c r="A1277" s="277" t="s">
        <v>111</v>
      </c>
      <c r="B1277" s="921" t="s">
        <v>49</v>
      </c>
      <c r="C1277" s="907"/>
      <c r="D1277" s="908"/>
      <c r="E1277" s="326">
        <f>SUM(E1274:E1276)</f>
        <v>2150000</v>
      </c>
      <c r="F1277" s="329">
        <f t="shared" ref="F1277" si="1663">SUM(F1274)</f>
        <v>110000</v>
      </c>
      <c r="G1277" s="326">
        <f>SUM(G1274)</f>
        <v>0</v>
      </c>
      <c r="H1277" s="327">
        <f t="shared" ref="H1277:I1277" si="1664">SUM(H1274)</f>
        <v>0</v>
      </c>
      <c r="I1277" s="327">
        <f t="shared" si="1664"/>
        <v>0</v>
      </c>
      <c r="J1277" s="351" t="str">
        <f>IFERROR(G1277/#REF!,"-")</f>
        <v>-</v>
      </c>
      <c r="K1277" s="681">
        <f>SUM(K1274:K1275)</f>
        <v>499517</v>
      </c>
      <c r="L1277" s="327">
        <f>SUM(L1274:L1275)</f>
        <v>497078</v>
      </c>
      <c r="M1277" s="328">
        <f>SUM(M1274:M1275)</f>
        <v>2439</v>
      </c>
      <c r="N1277" s="345">
        <f>IFERROR(K1277/E1277,"-")</f>
        <v>0.23233348837209303</v>
      </c>
      <c r="O1277" s="351">
        <f t="shared" si="1662"/>
        <v>4.8827167043363892E-3</v>
      </c>
    </row>
    <row r="1278" spans="1:15" ht="23.4" x14ac:dyDescent="0.3">
      <c r="A1278" s="277" t="s">
        <v>111</v>
      </c>
      <c r="B1278" s="922" t="s">
        <v>20</v>
      </c>
      <c r="C1278" s="297" t="s">
        <v>370</v>
      </c>
      <c r="D1278" s="297" t="s">
        <v>324</v>
      </c>
      <c r="E1278" s="273">
        <v>0</v>
      </c>
      <c r="F1278" s="274"/>
      <c r="G1278" s="338">
        <f t="shared" ref="G1278:G1280" si="1665">+H1278+I1278</f>
        <v>0</v>
      </c>
      <c r="H1278" s="275">
        <v>0</v>
      </c>
      <c r="I1278" s="275">
        <v>0</v>
      </c>
      <c r="J1278" s="357" t="str">
        <f>IFERROR(G1278/#REF!,"-")</f>
        <v>-</v>
      </c>
      <c r="K1278" s="338">
        <f t="shared" ref="K1278:K1280" si="1666">+L1278+M1278</f>
        <v>0</v>
      </c>
      <c r="L1278" s="275">
        <f t="shared" ref="L1278:L1280" si="1667">+H1278+L1174</f>
        <v>0</v>
      </c>
      <c r="M1278" s="276">
        <f t="shared" ref="M1278:M1280" si="1668">+I1278+M1174</f>
        <v>0</v>
      </c>
      <c r="N1278" s="342" t="str">
        <f t="shared" ref="N1278:N1281" si="1669">IFERROR(K1278/E1278,"-")</f>
        <v>-</v>
      </c>
      <c r="O1278" s="352" t="str">
        <f t="shared" si="1662"/>
        <v>-</v>
      </c>
    </row>
    <row r="1279" spans="1:15" ht="23.4" x14ac:dyDescent="0.3">
      <c r="A1279" s="277" t="s">
        <v>111</v>
      </c>
      <c r="B1279" s="923"/>
      <c r="C1279" s="298" t="s">
        <v>122</v>
      </c>
      <c r="D1279" s="298"/>
      <c r="E1279" s="279">
        <v>0</v>
      </c>
      <c r="F1279" s="280"/>
      <c r="G1279" s="339">
        <f t="shared" si="1665"/>
        <v>0</v>
      </c>
      <c r="H1279" s="281">
        <v>0</v>
      </c>
      <c r="I1279" s="281">
        <v>0</v>
      </c>
      <c r="J1279" s="358" t="str">
        <f>IFERROR(G1279/#REF!,"-")</f>
        <v>-</v>
      </c>
      <c r="K1279" s="339">
        <f t="shared" si="1666"/>
        <v>0</v>
      </c>
      <c r="L1279" s="281">
        <f t="shared" si="1667"/>
        <v>0</v>
      </c>
      <c r="M1279" s="251">
        <f t="shared" si="1668"/>
        <v>0</v>
      </c>
      <c r="N1279" s="343" t="str">
        <f t="shared" si="1669"/>
        <v>-</v>
      </c>
      <c r="O1279" s="264" t="str">
        <f t="shared" si="1662"/>
        <v>-</v>
      </c>
    </row>
    <row r="1280" spans="1:15" ht="24" thickBot="1" x14ac:dyDescent="0.35">
      <c r="A1280" s="277" t="s">
        <v>111</v>
      </c>
      <c r="B1280" s="924"/>
      <c r="C1280" s="299" t="s">
        <v>128</v>
      </c>
      <c r="D1280" s="299"/>
      <c r="E1280" s="283">
        <v>0</v>
      </c>
      <c r="F1280" s="284"/>
      <c r="G1280" s="340">
        <f t="shared" si="1665"/>
        <v>0</v>
      </c>
      <c r="H1280" s="285">
        <v>0</v>
      </c>
      <c r="I1280" s="285">
        <v>0</v>
      </c>
      <c r="J1280" s="359" t="str">
        <f>IFERROR(G1280/#REF!,"-")</f>
        <v>-</v>
      </c>
      <c r="K1280" s="340">
        <f t="shared" si="1666"/>
        <v>0</v>
      </c>
      <c r="L1280" s="285">
        <f t="shared" si="1667"/>
        <v>0</v>
      </c>
      <c r="M1280" s="286">
        <f t="shared" si="1668"/>
        <v>0</v>
      </c>
      <c r="N1280" s="344" t="str">
        <f t="shared" si="1669"/>
        <v>-</v>
      </c>
      <c r="O1280" s="353" t="str">
        <f t="shared" si="1662"/>
        <v>-</v>
      </c>
    </row>
    <row r="1281" spans="1:15" ht="24" thickBot="1" x14ac:dyDescent="0.35">
      <c r="A1281" s="277" t="s">
        <v>111</v>
      </c>
      <c r="B1281" s="907" t="s">
        <v>50</v>
      </c>
      <c r="C1281" s="907"/>
      <c r="D1281" s="925"/>
      <c r="E1281" s="326">
        <f t="shared" ref="E1281" si="1670">SUM(E1278:E1280)</f>
        <v>0</v>
      </c>
      <c r="F1281" s="289">
        <v>50000</v>
      </c>
      <c r="G1281" s="326">
        <f>SUM(G1278:G1280)</f>
        <v>0</v>
      </c>
      <c r="H1281" s="327">
        <f t="shared" ref="H1281:I1281" si="1671">SUM(H1278:H1280)</f>
        <v>0</v>
      </c>
      <c r="I1281" s="327">
        <f t="shared" si="1671"/>
        <v>0</v>
      </c>
      <c r="J1281" s="351" t="str">
        <f>IFERROR(G1281/#REF!,"-")</f>
        <v>-</v>
      </c>
      <c r="K1281" s="326">
        <f t="shared" ref="K1281:M1281" si="1672">SUM(K1278:K1280)</f>
        <v>0</v>
      </c>
      <c r="L1281" s="327">
        <f t="shared" si="1672"/>
        <v>0</v>
      </c>
      <c r="M1281" s="328">
        <f t="shared" si="1672"/>
        <v>0</v>
      </c>
      <c r="N1281" s="345" t="str">
        <f t="shared" si="1669"/>
        <v>-</v>
      </c>
      <c r="O1281" s="351" t="str">
        <f t="shared" si="1662"/>
        <v>-</v>
      </c>
    </row>
    <row r="1282" spans="1:15" ht="24" thickBot="1" x14ac:dyDescent="0.35">
      <c r="A1282" s="277" t="s">
        <v>111</v>
      </c>
      <c r="B1282" s="926" t="s">
        <v>21</v>
      </c>
      <c r="C1282" s="927"/>
      <c r="D1282" s="928"/>
      <c r="E1282" s="332">
        <f>+E1257+E1265+E1273+E1277+E1281</f>
        <v>5774600</v>
      </c>
      <c r="F1282" s="333">
        <f>+F1257+F1265+F1273+F1277+F1281</f>
        <v>355000</v>
      </c>
      <c r="G1282" s="332">
        <f>+G1257+G1265+G1273+G1277+G1281</f>
        <v>141813</v>
      </c>
      <c r="H1282" s="330">
        <f>+H1257+H1265+H1273+H1277+H1281</f>
        <v>141352</v>
      </c>
      <c r="I1282" s="330">
        <f>+I1257+I1265+I1273+I1277+I1281</f>
        <v>461</v>
      </c>
      <c r="J1282" s="355" t="str">
        <f>IFERROR(G1282/#REF!,"-")</f>
        <v>-</v>
      </c>
      <c r="K1282" s="332">
        <f>+K1257+K1265+K1273+K1277+K1281</f>
        <v>1516977</v>
      </c>
      <c r="L1282" s="330">
        <f>+L1257+L1265+L1273+L1277+L1281</f>
        <v>1509363</v>
      </c>
      <c r="M1282" s="331">
        <f>+M1257+M1265+M1273+M1277+M1281</f>
        <v>7614</v>
      </c>
      <c r="N1282" s="347">
        <f>IFERROR(K1282/E1282,"-")</f>
        <v>0.26269819554601187</v>
      </c>
      <c r="O1282" s="355">
        <f t="shared" si="1662"/>
        <v>5.019192776159428E-3</v>
      </c>
    </row>
    <row r="1283" spans="1:15" ht="23.4" x14ac:dyDescent="0.3">
      <c r="A1283" s="277" t="s">
        <v>111</v>
      </c>
      <c r="B1283" s="922" t="s">
        <v>22</v>
      </c>
      <c r="C1283" s="272" t="s">
        <v>133</v>
      </c>
      <c r="D1283" s="272"/>
      <c r="E1283" s="273">
        <v>0</v>
      </c>
      <c r="F1283" s="274"/>
      <c r="G1283" s="338">
        <f t="shared" ref="G1283:G1286" si="1673">+H1283+I1283</f>
        <v>0</v>
      </c>
      <c r="H1283" s="275">
        <v>0</v>
      </c>
      <c r="I1283" s="275">
        <v>0</v>
      </c>
      <c r="J1283" s="357" t="str">
        <f>IFERROR(G1283/#REF!,"-")</f>
        <v>-</v>
      </c>
      <c r="K1283" s="338">
        <f t="shared" ref="K1283:K1286" si="1674">+L1283+M1283</f>
        <v>0</v>
      </c>
      <c r="L1283" s="275">
        <f t="shared" ref="L1283:L1286" si="1675">+H1283+L1179</f>
        <v>0</v>
      </c>
      <c r="M1283" s="276">
        <f t="shared" ref="M1283:M1286" si="1676">+I1283+M1179</f>
        <v>0</v>
      </c>
      <c r="N1283" s="342" t="str">
        <f t="shared" ref="N1283:N1297" si="1677">IFERROR(K1283/E1283,"-")</f>
        <v>-</v>
      </c>
      <c r="O1283" s="352" t="str">
        <f t="shared" si="1662"/>
        <v>-</v>
      </c>
    </row>
    <row r="1284" spans="1:15" ht="23.4" x14ac:dyDescent="0.3">
      <c r="A1284" s="277" t="s">
        <v>111</v>
      </c>
      <c r="B1284" s="923"/>
      <c r="C1284" s="301" t="s">
        <v>291</v>
      </c>
      <c r="D1284" s="301" t="s">
        <v>196</v>
      </c>
      <c r="E1284" s="279">
        <v>0</v>
      </c>
      <c r="F1284" s="280"/>
      <c r="G1284" s="339">
        <f t="shared" si="1673"/>
        <v>0</v>
      </c>
      <c r="H1284" s="281">
        <v>0</v>
      </c>
      <c r="I1284" s="281">
        <v>0</v>
      </c>
      <c r="J1284" s="358" t="str">
        <f>IFERROR(G1284/#REF!,"-")</f>
        <v>-</v>
      </c>
      <c r="K1284" s="339">
        <f t="shared" si="1674"/>
        <v>0</v>
      </c>
      <c r="L1284" s="281">
        <f t="shared" si="1675"/>
        <v>0</v>
      </c>
      <c r="M1284" s="251">
        <f t="shared" si="1676"/>
        <v>0</v>
      </c>
      <c r="N1284" s="343" t="str">
        <f t="shared" si="1677"/>
        <v>-</v>
      </c>
      <c r="O1284" s="264" t="str">
        <f t="shared" si="1662"/>
        <v>-</v>
      </c>
    </row>
    <row r="1285" spans="1:15" ht="23.4" x14ac:dyDescent="0.3">
      <c r="A1285" s="277" t="s">
        <v>111</v>
      </c>
      <c r="B1285" s="923"/>
      <c r="C1285" s="301" t="s">
        <v>198</v>
      </c>
      <c r="D1285" s="301" t="s">
        <v>100</v>
      </c>
      <c r="E1285" s="279">
        <v>0</v>
      </c>
      <c r="F1285" s="280"/>
      <c r="G1285" s="339">
        <f t="shared" si="1673"/>
        <v>0</v>
      </c>
      <c r="H1285" s="281">
        <v>0</v>
      </c>
      <c r="I1285" s="281">
        <v>0</v>
      </c>
      <c r="J1285" s="358" t="str">
        <f>IFERROR(G1285/#REF!,"-")</f>
        <v>-</v>
      </c>
      <c r="K1285" s="339">
        <f t="shared" si="1674"/>
        <v>0</v>
      </c>
      <c r="L1285" s="281">
        <f t="shared" si="1675"/>
        <v>0</v>
      </c>
      <c r="M1285" s="251">
        <f t="shared" si="1676"/>
        <v>0</v>
      </c>
      <c r="N1285" s="343" t="str">
        <f t="shared" si="1677"/>
        <v>-</v>
      </c>
      <c r="O1285" s="264" t="str">
        <f t="shared" si="1662"/>
        <v>-</v>
      </c>
    </row>
    <row r="1286" spans="1:15" ht="24" thickBot="1" x14ac:dyDescent="0.35">
      <c r="A1286" s="277" t="s">
        <v>111</v>
      </c>
      <c r="B1286" s="924"/>
      <c r="C1286" s="282" t="s">
        <v>197</v>
      </c>
      <c r="D1286" s="282" t="s">
        <v>100</v>
      </c>
      <c r="E1286" s="283">
        <v>0</v>
      </c>
      <c r="F1286" s="284"/>
      <c r="G1286" s="340">
        <f t="shared" si="1673"/>
        <v>0</v>
      </c>
      <c r="H1286" s="285">
        <v>0</v>
      </c>
      <c r="I1286" s="285">
        <v>0</v>
      </c>
      <c r="J1286" s="359" t="str">
        <f>IFERROR(G1286/#REF!,"-")</f>
        <v>-</v>
      </c>
      <c r="K1286" s="340">
        <f t="shared" si="1674"/>
        <v>0</v>
      </c>
      <c r="L1286" s="285">
        <f t="shared" si="1675"/>
        <v>0</v>
      </c>
      <c r="M1286" s="286">
        <f t="shared" si="1676"/>
        <v>0</v>
      </c>
      <c r="N1286" s="344" t="str">
        <f t="shared" si="1677"/>
        <v>-</v>
      </c>
      <c r="O1286" s="353" t="str">
        <f t="shared" si="1662"/>
        <v>-</v>
      </c>
    </row>
    <row r="1287" spans="1:15" ht="24" thickBot="1" x14ac:dyDescent="0.35">
      <c r="A1287" s="277" t="s">
        <v>111</v>
      </c>
      <c r="B1287" s="906" t="s">
        <v>51</v>
      </c>
      <c r="C1287" s="907"/>
      <c r="D1287" s="908"/>
      <c r="E1287" s="288">
        <v>0</v>
      </c>
      <c r="F1287" s="289">
        <v>80000</v>
      </c>
      <c r="G1287" s="326">
        <f>SUM(G1283:G1286)</f>
        <v>0</v>
      </c>
      <c r="H1287" s="327">
        <f t="shared" ref="H1287:I1287" si="1678">SUM(H1283:H1286)</f>
        <v>0</v>
      </c>
      <c r="I1287" s="327">
        <f t="shared" si="1678"/>
        <v>0</v>
      </c>
      <c r="J1287" s="351" t="str">
        <f>IFERROR(G1287/#REF!,"-")</f>
        <v>-</v>
      </c>
      <c r="K1287" s="326">
        <f t="shared" ref="K1287:M1287" si="1679">SUM(K1283:K1286)</f>
        <v>0</v>
      </c>
      <c r="L1287" s="327">
        <f t="shared" si="1679"/>
        <v>0</v>
      </c>
      <c r="M1287" s="328">
        <f t="shared" si="1679"/>
        <v>0</v>
      </c>
      <c r="N1287" s="345" t="str">
        <f t="shared" si="1677"/>
        <v>-</v>
      </c>
      <c r="O1287" s="351" t="str">
        <f t="shared" si="1662"/>
        <v>-</v>
      </c>
    </row>
    <row r="1288" spans="1:15" ht="23.4" x14ac:dyDescent="0.3">
      <c r="A1288" s="277" t="s">
        <v>111</v>
      </c>
      <c r="B1288" s="922" t="s">
        <v>23</v>
      </c>
      <c r="C1288" s="302" t="s">
        <v>348</v>
      </c>
      <c r="D1288" s="302" t="s">
        <v>263</v>
      </c>
      <c r="E1288" s="273">
        <v>0</v>
      </c>
      <c r="F1288" s="274"/>
      <c r="G1288" s="338">
        <f t="shared" ref="G1288:G1295" si="1680">+H1288+I1288</f>
        <v>0</v>
      </c>
      <c r="H1288" s="275">
        <v>0</v>
      </c>
      <c r="I1288" s="275">
        <v>0</v>
      </c>
      <c r="J1288" s="357" t="str">
        <f>IFERROR(G1288/#REF!,"-")</f>
        <v>-</v>
      </c>
      <c r="K1288" s="338">
        <f t="shared" ref="K1288:K1295" si="1681">+L1288+M1288</f>
        <v>0</v>
      </c>
      <c r="L1288" s="275">
        <f t="shared" ref="L1288:L1295" si="1682">+H1288+L1184</f>
        <v>0</v>
      </c>
      <c r="M1288" s="276">
        <f t="shared" ref="M1288:M1295" si="1683">+I1288+M1184</f>
        <v>0</v>
      </c>
      <c r="N1288" s="342" t="str">
        <f t="shared" si="1677"/>
        <v>-</v>
      </c>
      <c r="O1288" s="352" t="str">
        <f t="shared" si="1662"/>
        <v>-</v>
      </c>
    </row>
    <row r="1289" spans="1:15" ht="23.4" x14ac:dyDescent="0.3">
      <c r="A1289" s="277" t="s">
        <v>111</v>
      </c>
      <c r="B1289" s="923"/>
      <c r="C1289" s="278" t="s">
        <v>24</v>
      </c>
      <c r="D1289" s="278" t="s">
        <v>263</v>
      </c>
      <c r="E1289" s="279">
        <v>0</v>
      </c>
      <c r="F1289" s="280"/>
      <c r="G1289" s="339">
        <f t="shared" si="1680"/>
        <v>9702</v>
      </c>
      <c r="H1289" s="281">
        <v>9639</v>
      </c>
      <c r="I1289" s="281">
        <v>63</v>
      </c>
      <c r="J1289" s="358" t="str">
        <f>IFERROR(G1289/#REF!,"-")</f>
        <v>-</v>
      </c>
      <c r="K1289" s="339">
        <f t="shared" si="1681"/>
        <v>73162</v>
      </c>
      <c r="L1289" s="281">
        <f t="shared" si="1682"/>
        <v>72639</v>
      </c>
      <c r="M1289" s="251">
        <f t="shared" si="1683"/>
        <v>523</v>
      </c>
      <c r="N1289" s="343" t="str">
        <f t="shared" si="1677"/>
        <v>-</v>
      </c>
      <c r="O1289" s="264">
        <f t="shared" si="1662"/>
        <v>7.1485197233536538E-3</v>
      </c>
    </row>
    <row r="1290" spans="1:15" ht="23.4" x14ac:dyDescent="0.3">
      <c r="A1290" s="277" t="s">
        <v>111</v>
      </c>
      <c r="B1290" s="923"/>
      <c r="C1290" s="278" t="s">
        <v>261</v>
      </c>
      <c r="D1290" s="278" t="s">
        <v>263</v>
      </c>
      <c r="E1290" s="279">
        <v>0</v>
      </c>
      <c r="F1290" s="280"/>
      <c r="G1290" s="339">
        <f t="shared" si="1680"/>
        <v>0</v>
      </c>
      <c r="H1290" s="281">
        <v>0</v>
      </c>
      <c r="I1290" s="281">
        <v>0</v>
      </c>
      <c r="J1290" s="358" t="str">
        <f>IFERROR(G1290/#REF!,"-")</f>
        <v>-</v>
      </c>
      <c r="K1290" s="339">
        <f t="shared" si="1681"/>
        <v>11048</v>
      </c>
      <c r="L1290" s="281">
        <f t="shared" si="1682"/>
        <v>10901</v>
      </c>
      <c r="M1290" s="251">
        <f t="shared" si="1683"/>
        <v>147</v>
      </c>
      <c r="N1290" s="343" t="str">
        <f t="shared" si="1677"/>
        <v>-</v>
      </c>
      <c r="O1290" s="264">
        <f t="shared" si="1662"/>
        <v>1.330557566980449E-2</v>
      </c>
    </row>
    <row r="1291" spans="1:15" ht="23.4" x14ac:dyDescent="0.3">
      <c r="A1291" s="277" t="s">
        <v>111</v>
      </c>
      <c r="B1291" s="923"/>
      <c r="C1291" s="278" t="s">
        <v>262</v>
      </c>
      <c r="D1291" s="278" t="s">
        <v>263</v>
      </c>
      <c r="E1291" s="279">
        <v>0</v>
      </c>
      <c r="F1291" s="280"/>
      <c r="G1291" s="339">
        <f t="shared" si="1680"/>
        <v>0</v>
      </c>
      <c r="H1291" s="281">
        <v>0</v>
      </c>
      <c r="I1291" s="281">
        <v>0</v>
      </c>
      <c r="J1291" s="358" t="str">
        <f>IFERROR(G1291/#REF!,"-")</f>
        <v>-</v>
      </c>
      <c r="K1291" s="339">
        <f t="shared" si="1681"/>
        <v>7672</v>
      </c>
      <c r="L1291" s="281">
        <f t="shared" si="1682"/>
        <v>7612</v>
      </c>
      <c r="M1291" s="251">
        <f t="shared" si="1683"/>
        <v>60</v>
      </c>
      <c r="N1291" s="343" t="str">
        <f t="shared" si="1677"/>
        <v>-</v>
      </c>
      <c r="O1291" s="264">
        <f t="shared" si="1662"/>
        <v>7.8206465067778945E-3</v>
      </c>
    </row>
    <row r="1292" spans="1:15" ht="23.4" x14ac:dyDescent="0.3">
      <c r="A1292" s="277" t="s">
        <v>111</v>
      </c>
      <c r="B1292" s="923"/>
      <c r="C1292" s="301" t="s">
        <v>264</v>
      </c>
      <c r="D1292" s="278" t="s">
        <v>263</v>
      </c>
      <c r="E1292" s="279">
        <v>0</v>
      </c>
      <c r="F1292" s="280"/>
      <c r="G1292" s="339">
        <f t="shared" si="1680"/>
        <v>0</v>
      </c>
      <c r="H1292" s="281">
        <v>0</v>
      </c>
      <c r="I1292" s="281">
        <v>0</v>
      </c>
      <c r="J1292" s="358" t="str">
        <f>IFERROR(G1292/#REF!,"-")</f>
        <v>-</v>
      </c>
      <c r="K1292" s="339">
        <f t="shared" si="1681"/>
        <v>0</v>
      </c>
      <c r="L1292" s="281">
        <f t="shared" si="1682"/>
        <v>0</v>
      </c>
      <c r="M1292" s="251">
        <f t="shared" si="1683"/>
        <v>0</v>
      </c>
      <c r="N1292" s="343" t="str">
        <f t="shared" si="1677"/>
        <v>-</v>
      </c>
      <c r="O1292" s="264" t="str">
        <f t="shared" si="1662"/>
        <v>-</v>
      </c>
    </row>
    <row r="1293" spans="1:15" ht="23.4" x14ac:dyDescent="0.3">
      <c r="A1293" s="277" t="s">
        <v>111</v>
      </c>
      <c r="B1293" s="923"/>
      <c r="C1293" s="301" t="s">
        <v>265</v>
      </c>
      <c r="D1293" s="278" t="s">
        <v>263</v>
      </c>
      <c r="E1293" s="279">
        <v>0</v>
      </c>
      <c r="F1293" s="280"/>
      <c r="G1293" s="339">
        <f t="shared" si="1680"/>
        <v>0</v>
      </c>
      <c r="H1293" s="281">
        <v>0</v>
      </c>
      <c r="I1293" s="281">
        <v>0</v>
      </c>
      <c r="J1293" s="358" t="str">
        <f>IFERROR(G1293/#REF!,"-")</f>
        <v>-</v>
      </c>
      <c r="K1293" s="339">
        <f t="shared" si="1681"/>
        <v>0</v>
      </c>
      <c r="L1293" s="281">
        <f t="shared" si="1682"/>
        <v>0</v>
      </c>
      <c r="M1293" s="251">
        <f t="shared" si="1683"/>
        <v>0</v>
      </c>
      <c r="N1293" s="343" t="str">
        <f t="shared" si="1677"/>
        <v>-</v>
      </c>
      <c r="O1293" s="264" t="str">
        <f t="shared" si="1662"/>
        <v>-</v>
      </c>
    </row>
    <row r="1294" spans="1:15" ht="23.4" x14ac:dyDescent="0.3">
      <c r="A1294" s="277" t="s">
        <v>111</v>
      </c>
      <c r="B1294" s="923"/>
      <c r="C1294" s="301" t="s">
        <v>266</v>
      </c>
      <c r="D1294" s="278" t="s">
        <v>268</v>
      </c>
      <c r="E1294" s="279">
        <v>0</v>
      </c>
      <c r="F1294" s="280"/>
      <c r="G1294" s="339">
        <f t="shared" si="1680"/>
        <v>0</v>
      </c>
      <c r="H1294" s="281">
        <v>0</v>
      </c>
      <c r="I1294" s="281">
        <v>0</v>
      </c>
      <c r="J1294" s="358" t="str">
        <f>IFERROR(G1294/#REF!,"-")</f>
        <v>-</v>
      </c>
      <c r="K1294" s="339">
        <f t="shared" si="1681"/>
        <v>10464</v>
      </c>
      <c r="L1294" s="281">
        <f t="shared" si="1682"/>
        <v>10417</v>
      </c>
      <c r="M1294" s="251">
        <f t="shared" si="1683"/>
        <v>47</v>
      </c>
      <c r="N1294" s="343" t="str">
        <f t="shared" si="1677"/>
        <v>-</v>
      </c>
      <c r="O1294" s="264">
        <f t="shared" si="1662"/>
        <v>4.491590214067278E-3</v>
      </c>
    </row>
    <row r="1295" spans="1:15" ht="24" thickBot="1" x14ac:dyDescent="0.35">
      <c r="A1295" s="277" t="s">
        <v>111</v>
      </c>
      <c r="B1295" s="924"/>
      <c r="C1295" s="301" t="s">
        <v>267</v>
      </c>
      <c r="D1295" s="278" t="s">
        <v>263</v>
      </c>
      <c r="E1295" s="283">
        <v>0</v>
      </c>
      <c r="F1295" s="284"/>
      <c r="G1295" s="340">
        <f t="shared" si="1680"/>
        <v>0</v>
      </c>
      <c r="H1295" s="285">
        <v>0</v>
      </c>
      <c r="I1295" s="285">
        <v>0</v>
      </c>
      <c r="J1295" s="359" t="str">
        <f>IFERROR(G1295/#REF!,"-")</f>
        <v>-</v>
      </c>
      <c r="K1295" s="340">
        <f t="shared" si="1681"/>
        <v>14088</v>
      </c>
      <c r="L1295" s="285">
        <f t="shared" si="1682"/>
        <v>14000</v>
      </c>
      <c r="M1295" s="286">
        <f t="shared" si="1683"/>
        <v>88</v>
      </c>
      <c r="N1295" s="344" t="str">
        <f t="shared" si="1677"/>
        <v>-</v>
      </c>
      <c r="O1295" s="353">
        <f t="shared" si="1662"/>
        <v>6.2464508801817146E-3</v>
      </c>
    </row>
    <row r="1296" spans="1:15" ht="24" thickBot="1" x14ac:dyDescent="0.35">
      <c r="A1296" s="277" t="s">
        <v>111</v>
      </c>
      <c r="B1296" s="906" t="s">
        <v>52</v>
      </c>
      <c r="C1296" s="907"/>
      <c r="D1296" s="908"/>
      <c r="E1296" s="288">
        <v>157500</v>
      </c>
      <c r="F1296" s="289">
        <v>14000</v>
      </c>
      <c r="G1296" s="326">
        <f>SUM(G1288:G1295)</f>
        <v>9702</v>
      </c>
      <c r="H1296" s="327">
        <f t="shared" ref="H1296:I1296" si="1684">SUM(H1288:H1295)</f>
        <v>9639</v>
      </c>
      <c r="I1296" s="327">
        <f t="shared" si="1684"/>
        <v>63</v>
      </c>
      <c r="J1296" s="351" t="str">
        <f>IFERROR(G1296/#REF!,"-")</f>
        <v>-</v>
      </c>
      <c r="K1296" s="326">
        <f>SUM(K1288:K1295)</f>
        <v>116434</v>
      </c>
      <c r="L1296" s="327">
        <f t="shared" ref="L1296:M1296" si="1685">SUM(L1288:L1295)</f>
        <v>115569</v>
      </c>
      <c r="M1296" s="328">
        <f t="shared" si="1685"/>
        <v>865</v>
      </c>
      <c r="N1296" s="345">
        <f t="shared" si="1677"/>
        <v>0.73926349206349207</v>
      </c>
      <c r="O1296" s="351">
        <f t="shared" si="1662"/>
        <v>7.4291014652077573E-3</v>
      </c>
    </row>
    <row r="1297" spans="1:15" ht="24" thickBot="1" x14ac:dyDescent="0.35">
      <c r="A1297" s="277" t="s">
        <v>111</v>
      </c>
      <c r="B1297" s="926" t="s">
        <v>25</v>
      </c>
      <c r="C1297" s="927"/>
      <c r="D1297" s="928"/>
      <c r="E1297" s="332">
        <f t="shared" ref="E1297:F1297" si="1686">+E1287+E1296</f>
        <v>157500</v>
      </c>
      <c r="F1297" s="333">
        <f t="shared" si="1686"/>
        <v>94000</v>
      </c>
      <c r="G1297" s="332">
        <f>+G1287+G1296</f>
        <v>9702</v>
      </c>
      <c r="H1297" s="330">
        <f t="shared" ref="H1297:I1297" si="1687">+H1287+H1296</f>
        <v>9639</v>
      </c>
      <c r="I1297" s="330">
        <f t="shared" si="1687"/>
        <v>63</v>
      </c>
      <c r="J1297" s="355" t="str">
        <f>IFERROR(G1297/#REF!,"-")</f>
        <v>-</v>
      </c>
      <c r="K1297" s="332">
        <f t="shared" ref="K1297" si="1688">+K1287+K1296</f>
        <v>116434</v>
      </c>
      <c r="L1297" s="330">
        <f>+L1287+L1296</f>
        <v>115569</v>
      </c>
      <c r="M1297" s="331">
        <f t="shared" ref="M1297" si="1689">+M1287+M1296</f>
        <v>865</v>
      </c>
      <c r="N1297" s="347">
        <f t="shared" si="1677"/>
        <v>0.73926349206349207</v>
      </c>
      <c r="O1297" s="355">
        <f t="shared" si="1662"/>
        <v>7.4291014652077573E-3</v>
      </c>
    </row>
    <row r="1298" spans="1:15" ht="24" thickBot="1" x14ac:dyDescent="0.35">
      <c r="A1298" s="277" t="s">
        <v>111</v>
      </c>
      <c r="B1298" s="900" t="s">
        <v>181</v>
      </c>
      <c r="C1298" s="901"/>
      <c r="D1298" s="902"/>
      <c r="E1298" s="336">
        <f>+E1282+E1297</f>
        <v>5932100</v>
      </c>
      <c r="F1298" s="337">
        <f t="shared" ref="F1298:I1298" si="1690">+F1282+F1297</f>
        <v>449000</v>
      </c>
      <c r="G1298" s="336">
        <f t="shared" si="1690"/>
        <v>151515</v>
      </c>
      <c r="H1298" s="334">
        <f t="shared" si="1690"/>
        <v>150991</v>
      </c>
      <c r="I1298" s="334">
        <f t="shared" si="1690"/>
        <v>524</v>
      </c>
      <c r="J1298" s="356" t="str">
        <f>IFERROR(G1298/#REF!,"-")</f>
        <v>-</v>
      </c>
      <c r="K1298" s="336">
        <f>+K1282+K1297</f>
        <v>1633411</v>
      </c>
      <c r="L1298" s="334">
        <f t="shared" ref="L1298:M1298" si="1691">+L1282+L1297</f>
        <v>1624932</v>
      </c>
      <c r="M1298" s="335">
        <f t="shared" si="1691"/>
        <v>8479</v>
      </c>
      <c r="N1298" s="348">
        <f>IFERROR(K1298/E1298,"-")</f>
        <v>0.27535122469277323</v>
      </c>
      <c r="O1298" s="356">
        <f t="shared" si="1662"/>
        <v>5.1909776535115776E-3</v>
      </c>
    </row>
    <row r="1299" spans="1:15" ht="23.4" x14ac:dyDescent="0.3">
      <c r="A1299" s="271" t="s">
        <v>109</v>
      </c>
      <c r="B1299" s="929" t="s">
        <v>26</v>
      </c>
      <c r="C1299" s="303" t="s">
        <v>334</v>
      </c>
      <c r="D1299" s="303" t="s">
        <v>192</v>
      </c>
      <c r="E1299" s="273">
        <v>0</v>
      </c>
      <c r="F1299" s="274"/>
      <c r="G1299" s="338">
        <f t="shared" ref="G1299:G1307" si="1692">+H1299+I1299</f>
        <v>0</v>
      </c>
      <c r="H1299" s="275">
        <v>0</v>
      </c>
      <c r="I1299" s="275">
        <v>0</v>
      </c>
      <c r="J1299" s="357" t="str">
        <f>IFERROR(G1299/#REF!,"-")</f>
        <v>-</v>
      </c>
      <c r="K1299" s="338">
        <f t="shared" ref="K1299:K1307" si="1693">+L1299+M1299</f>
        <v>326708</v>
      </c>
      <c r="L1299" s="275">
        <f t="shared" ref="L1299:L1307" si="1694">+H1299+L1195</f>
        <v>322218</v>
      </c>
      <c r="M1299" s="276">
        <f t="shared" ref="M1299:M1307" si="1695">+I1299+M1195</f>
        <v>4490</v>
      </c>
      <c r="N1299" s="342" t="str">
        <f t="shared" ref="N1299:N1300" si="1696">IFERROR(K1299/E1299,"-")</f>
        <v>-</v>
      </c>
      <c r="O1299" s="352">
        <f t="shared" si="1662"/>
        <v>1.3743159028857574E-2</v>
      </c>
    </row>
    <row r="1300" spans="1:15" ht="23.4" x14ac:dyDescent="0.3">
      <c r="A1300" s="277" t="s">
        <v>109</v>
      </c>
      <c r="B1300" s="929"/>
      <c r="C1300" s="304" t="s">
        <v>199</v>
      </c>
      <c r="D1300" s="304" t="s">
        <v>115</v>
      </c>
      <c r="E1300" s="279">
        <v>0</v>
      </c>
      <c r="F1300" s="280"/>
      <c r="G1300" s="339">
        <f t="shared" si="1692"/>
        <v>0</v>
      </c>
      <c r="H1300" s="281">
        <v>0</v>
      </c>
      <c r="I1300" s="281">
        <v>0</v>
      </c>
      <c r="J1300" s="358" t="str">
        <f>IFERROR(G1300/#REF!,"-")</f>
        <v>-</v>
      </c>
      <c r="K1300" s="339">
        <f t="shared" si="1693"/>
        <v>0</v>
      </c>
      <c r="L1300" s="281">
        <f t="shared" si="1694"/>
        <v>0</v>
      </c>
      <c r="M1300" s="251">
        <f t="shared" si="1695"/>
        <v>0</v>
      </c>
      <c r="N1300" s="343" t="str">
        <f t="shared" si="1696"/>
        <v>-</v>
      </c>
      <c r="O1300" s="264" t="str">
        <f t="shared" si="1662"/>
        <v>-</v>
      </c>
    </row>
    <row r="1301" spans="1:15" ht="23.4" x14ac:dyDescent="0.3">
      <c r="A1301" s="277" t="s">
        <v>109</v>
      </c>
      <c r="B1301" s="929"/>
      <c r="C1301" s="305" t="s">
        <v>27</v>
      </c>
      <c r="D1301" s="305" t="s">
        <v>310</v>
      </c>
      <c r="E1301" s="283">
        <v>0</v>
      </c>
      <c r="F1301" s="284"/>
      <c r="G1301" s="339">
        <f t="shared" si="1692"/>
        <v>0</v>
      </c>
      <c r="H1301" s="285">
        <v>0</v>
      </c>
      <c r="I1301" s="285">
        <v>0</v>
      </c>
      <c r="J1301" s="359" t="str">
        <f>IFERROR(G1301/#REF!,"-")</f>
        <v>-</v>
      </c>
      <c r="K1301" s="339">
        <f t="shared" si="1693"/>
        <v>0</v>
      </c>
      <c r="L1301" s="285">
        <f t="shared" si="1694"/>
        <v>0</v>
      </c>
      <c r="M1301" s="286">
        <f t="shared" si="1695"/>
        <v>0</v>
      </c>
      <c r="N1301" s="287"/>
      <c r="O1301" s="264" t="str">
        <f t="shared" si="1662"/>
        <v>-</v>
      </c>
    </row>
    <row r="1302" spans="1:15" ht="23.4" x14ac:dyDescent="0.3">
      <c r="A1302" s="277" t="s">
        <v>109</v>
      </c>
      <c r="B1302" s="929"/>
      <c r="C1302" s="305" t="s">
        <v>27</v>
      </c>
      <c r="D1302" s="305" t="s">
        <v>311</v>
      </c>
      <c r="E1302" s="283">
        <v>0</v>
      </c>
      <c r="F1302" s="284"/>
      <c r="G1302" s="339">
        <f t="shared" si="1692"/>
        <v>0</v>
      </c>
      <c r="H1302" s="285">
        <v>0</v>
      </c>
      <c r="I1302" s="285">
        <v>0</v>
      </c>
      <c r="J1302" s="359" t="str">
        <f>IFERROR(G1302/#REF!,"-")</f>
        <v>-</v>
      </c>
      <c r="K1302" s="339">
        <f t="shared" si="1693"/>
        <v>0</v>
      </c>
      <c r="L1302" s="285">
        <f t="shared" si="1694"/>
        <v>0</v>
      </c>
      <c r="M1302" s="286">
        <f t="shared" si="1695"/>
        <v>0</v>
      </c>
      <c r="N1302" s="287"/>
      <c r="O1302" s="264" t="str">
        <f t="shared" si="1662"/>
        <v>-</v>
      </c>
    </row>
    <row r="1303" spans="1:15" ht="23.4" x14ac:dyDescent="0.3">
      <c r="A1303" s="277" t="s">
        <v>109</v>
      </c>
      <c r="B1303" s="929"/>
      <c r="C1303" s="305" t="s">
        <v>325</v>
      </c>
      <c r="D1303" s="305" t="s">
        <v>324</v>
      </c>
      <c r="E1303" s="283">
        <v>0</v>
      </c>
      <c r="F1303" s="284"/>
      <c r="G1303" s="339">
        <f t="shared" si="1692"/>
        <v>0</v>
      </c>
      <c r="H1303" s="285">
        <v>0</v>
      </c>
      <c r="I1303" s="285">
        <v>0</v>
      </c>
      <c r="J1303" s="359" t="str">
        <f>IFERROR(G1303/#REF!,"-")</f>
        <v>-</v>
      </c>
      <c r="K1303" s="339">
        <f t="shared" si="1693"/>
        <v>0</v>
      </c>
      <c r="L1303" s="285">
        <f t="shared" si="1694"/>
        <v>0</v>
      </c>
      <c r="M1303" s="286">
        <f t="shared" si="1695"/>
        <v>0</v>
      </c>
      <c r="N1303" s="287"/>
      <c r="O1303" s="264" t="str">
        <f t="shared" si="1662"/>
        <v>-</v>
      </c>
    </row>
    <row r="1304" spans="1:15" ht="23.4" x14ac:dyDescent="0.3">
      <c r="A1304" s="277"/>
      <c r="B1304" s="929"/>
      <c r="C1304" s="305" t="s">
        <v>393</v>
      </c>
      <c r="D1304" s="305" t="s">
        <v>192</v>
      </c>
      <c r="E1304" s="283">
        <v>0</v>
      </c>
      <c r="F1304" s="284"/>
      <c r="G1304" s="340">
        <f t="shared" si="1692"/>
        <v>0</v>
      </c>
      <c r="H1304" s="285">
        <v>0</v>
      </c>
      <c r="I1304" s="285">
        <v>0</v>
      </c>
      <c r="J1304" s="359" t="str">
        <f>IFERROR(G1304/#REF!,"-")</f>
        <v>-</v>
      </c>
      <c r="K1304" s="340">
        <f t="shared" si="1693"/>
        <v>0</v>
      </c>
      <c r="L1304" s="285">
        <f t="shared" si="1694"/>
        <v>0</v>
      </c>
      <c r="M1304" s="286">
        <f t="shared" si="1695"/>
        <v>0</v>
      </c>
      <c r="N1304" s="287"/>
      <c r="O1304" s="264" t="str">
        <f t="shared" si="1662"/>
        <v>-</v>
      </c>
    </row>
    <row r="1305" spans="1:15" ht="23.4" x14ac:dyDescent="0.3">
      <c r="A1305" s="277"/>
      <c r="B1305" s="929"/>
      <c r="C1305" s="305" t="s">
        <v>325</v>
      </c>
      <c r="D1305" s="305" t="s">
        <v>101</v>
      </c>
      <c r="E1305" s="283">
        <v>0</v>
      </c>
      <c r="F1305" s="284"/>
      <c r="G1305" s="340">
        <f t="shared" si="1692"/>
        <v>0</v>
      </c>
      <c r="H1305" s="285">
        <v>0</v>
      </c>
      <c r="I1305" s="285">
        <v>0</v>
      </c>
      <c r="J1305" s="359" t="str">
        <f>IFERROR(G1305/#REF!,"-")</f>
        <v>-</v>
      </c>
      <c r="K1305" s="340">
        <f t="shared" si="1693"/>
        <v>3978</v>
      </c>
      <c r="L1305" s="285">
        <f t="shared" si="1694"/>
        <v>3978</v>
      </c>
      <c r="M1305" s="286">
        <f t="shared" si="1695"/>
        <v>0</v>
      </c>
      <c r="N1305" s="287"/>
      <c r="O1305" s="264">
        <f t="shared" si="1662"/>
        <v>0</v>
      </c>
    </row>
    <row r="1306" spans="1:15" ht="23.4" x14ac:dyDescent="0.3">
      <c r="A1306" s="277"/>
      <c r="B1306" s="929"/>
      <c r="C1306" s="305" t="s">
        <v>325</v>
      </c>
      <c r="D1306" s="305" t="s">
        <v>394</v>
      </c>
      <c r="E1306" s="283">
        <v>0</v>
      </c>
      <c r="F1306" s="284"/>
      <c r="G1306" s="340">
        <f t="shared" si="1692"/>
        <v>12259</v>
      </c>
      <c r="H1306" s="285">
        <v>11934</v>
      </c>
      <c r="I1306" s="285">
        <v>325</v>
      </c>
      <c r="J1306" s="359" t="str">
        <f>IFERROR(G1306/#REF!,"-")</f>
        <v>-</v>
      </c>
      <c r="K1306" s="340">
        <f t="shared" si="1693"/>
        <v>696052</v>
      </c>
      <c r="L1306" s="285">
        <f t="shared" si="1694"/>
        <v>688194</v>
      </c>
      <c r="M1306" s="286">
        <f t="shared" si="1695"/>
        <v>7858</v>
      </c>
      <c r="N1306" s="287"/>
      <c r="O1306" s="264">
        <f t="shared" si="1662"/>
        <v>1.1289386425152145E-2</v>
      </c>
    </row>
    <row r="1307" spans="1:15" ht="24" thickBot="1" x14ac:dyDescent="0.35">
      <c r="A1307" s="277" t="s">
        <v>109</v>
      </c>
      <c r="B1307" s="929"/>
      <c r="C1307" s="306" t="s">
        <v>326</v>
      </c>
      <c r="D1307" s="305" t="s">
        <v>324</v>
      </c>
      <c r="E1307" s="283">
        <v>0</v>
      </c>
      <c r="F1307" s="284"/>
      <c r="G1307" s="340">
        <f t="shared" si="1692"/>
        <v>0</v>
      </c>
      <c r="H1307" s="285">
        <v>0</v>
      </c>
      <c r="I1307" s="285">
        <v>0</v>
      </c>
      <c r="J1307" s="359" t="str">
        <f>IFERROR(G1307/#REF!,"-")</f>
        <v>-</v>
      </c>
      <c r="K1307" s="340">
        <f t="shared" si="1693"/>
        <v>7956</v>
      </c>
      <c r="L1307" s="285">
        <f t="shared" si="1694"/>
        <v>7956</v>
      </c>
      <c r="M1307" s="286">
        <f t="shared" si="1695"/>
        <v>0</v>
      </c>
      <c r="N1307" s="344" t="str">
        <f t="shared" ref="N1307:N1324" si="1697">IFERROR(K1307/E1307,"-")</f>
        <v>-</v>
      </c>
      <c r="O1307" s="353">
        <f t="shared" si="1662"/>
        <v>0</v>
      </c>
    </row>
    <row r="1308" spans="1:15" ht="24" thickBot="1" x14ac:dyDescent="0.35">
      <c r="A1308" s="277" t="s">
        <v>109</v>
      </c>
      <c r="B1308" s="930"/>
      <c r="C1308" s="307"/>
      <c r="D1308" s="308" t="s">
        <v>55</v>
      </c>
      <c r="E1308" s="288">
        <v>0</v>
      </c>
      <c r="F1308" s="289"/>
      <c r="G1308" s="326">
        <f>SUM(G1299:G1307)</f>
        <v>12259</v>
      </c>
      <c r="H1308" s="327">
        <f>SUM(H1299:H1307)</f>
        <v>11934</v>
      </c>
      <c r="I1308" s="327">
        <f>SUM(I1299:I1307)</f>
        <v>325</v>
      </c>
      <c r="J1308" s="351" t="str">
        <f>IFERROR(G1308/#REF!,"-")</f>
        <v>-</v>
      </c>
      <c r="K1308" s="326">
        <f>SUM(K1299:K1307)</f>
        <v>1034694</v>
      </c>
      <c r="L1308" s="327">
        <f>SUM(L1299:L1307)</f>
        <v>1022346</v>
      </c>
      <c r="M1308" s="328">
        <f>SUM(M1299:M1307)</f>
        <v>12348</v>
      </c>
      <c r="N1308" s="345" t="str">
        <f t="shared" si="1697"/>
        <v>-</v>
      </c>
      <c r="O1308" s="351">
        <f t="shared" si="1662"/>
        <v>1.1933963084738097E-2</v>
      </c>
    </row>
    <row r="1309" spans="1:15" ht="23.4" x14ac:dyDescent="0.3">
      <c r="A1309" s="277" t="s">
        <v>109</v>
      </c>
      <c r="B1309" s="931" t="s">
        <v>28</v>
      </c>
      <c r="C1309" s="303" t="s">
        <v>322</v>
      </c>
      <c r="D1309" s="303" t="s">
        <v>193</v>
      </c>
      <c r="E1309" s="273">
        <v>0</v>
      </c>
      <c r="F1309" s="274"/>
      <c r="G1309" s="338">
        <f t="shared" ref="G1309:G1311" si="1698">+H1309+I1309</f>
        <v>0</v>
      </c>
      <c r="H1309" s="275">
        <v>0</v>
      </c>
      <c r="I1309" s="275">
        <v>0</v>
      </c>
      <c r="J1309" s="357" t="str">
        <f>IFERROR(G1309/#REF!,"-")</f>
        <v>-</v>
      </c>
      <c r="K1309" s="338">
        <f t="shared" ref="K1309:K1311" si="1699">+L1309+M1309</f>
        <v>0</v>
      </c>
      <c r="L1309" s="275">
        <f t="shared" ref="L1309:L1311" si="1700">+H1309+L1205</f>
        <v>0</v>
      </c>
      <c r="M1309" s="276">
        <f t="shared" ref="M1309:M1311" si="1701">+I1309+M1205</f>
        <v>0</v>
      </c>
      <c r="N1309" s="342" t="str">
        <f t="shared" si="1697"/>
        <v>-</v>
      </c>
      <c r="O1309" s="352" t="str">
        <f t="shared" si="1662"/>
        <v>-</v>
      </c>
    </row>
    <row r="1310" spans="1:15" ht="23.4" x14ac:dyDescent="0.3">
      <c r="A1310" s="277" t="s">
        <v>109</v>
      </c>
      <c r="B1310" s="929"/>
      <c r="C1310" s="305" t="s">
        <v>27</v>
      </c>
      <c r="D1310" s="305" t="s">
        <v>311</v>
      </c>
      <c r="E1310" s="279">
        <v>0</v>
      </c>
      <c r="F1310" s="280"/>
      <c r="G1310" s="339">
        <f t="shared" si="1698"/>
        <v>0</v>
      </c>
      <c r="H1310" s="281">
        <v>0</v>
      </c>
      <c r="I1310" s="281">
        <v>0</v>
      </c>
      <c r="J1310" s="358" t="str">
        <f>IFERROR(G1310/#REF!,"-")</f>
        <v>-</v>
      </c>
      <c r="K1310" s="339">
        <f t="shared" si="1699"/>
        <v>0</v>
      </c>
      <c r="L1310" s="281">
        <f t="shared" si="1700"/>
        <v>0</v>
      </c>
      <c r="M1310" s="251">
        <f t="shared" si="1701"/>
        <v>0</v>
      </c>
      <c r="N1310" s="343" t="str">
        <f t="shared" si="1697"/>
        <v>-</v>
      </c>
      <c r="O1310" s="264" t="str">
        <f t="shared" si="1662"/>
        <v>-</v>
      </c>
    </row>
    <row r="1311" spans="1:15" ht="24" thickBot="1" x14ac:dyDescent="0.35">
      <c r="A1311" s="277" t="s">
        <v>109</v>
      </c>
      <c r="B1311" s="929"/>
      <c r="C1311" s="305" t="s">
        <v>27</v>
      </c>
      <c r="D1311" s="306" t="s">
        <v>259</v>
      </c>
      <c r="E1311" s="283">
        <v>0</v>
      </c>
      <c r="F1311" s="284"/>
      <c r="G1311" s="340">
        <f t="shared" si="1698"/>
        <v>108374</v>
      </c>
      <c r="H1311" s="285">
        <v>107406</v>
      </c>
      <c r="I1311" s="285">
        <v>968</v>
      </c>
      <c r="J1311" s="359" t="str">
        <f>IFERROR(G1311/#REF!,"-")</f>
        <v>-</v>
      </c>
      <c r="K1311" s="340">
        <f t="shared" si="1699"/>
        <v>180965</v>
      </c>
      <c r="L1311" s="285">
        <f t="shared" si="1700"/>
        <v>179010</v>
      </c>
      <c r="M1311" s="286">
        <f t="shared" si="1701"/>
        <v>1955</v>
      </c>
      <c r="N1311" s="344" t="str">
        <f t="shared" si="1697"/>
        <v>-</v>
      </c>
      <c r="O1311" s="353">
        <f t="shared" si="1662"/>
        <v>1.0803193987787695E-2</v>
      </c>
    </row>
    <row r="1312" spans="1:15" ht="24" thickBot="1" x14ac:dyDescent="0.35">
      <c r="A1312" s="277" t="s">
        <v>109</v>
      </c>
      <c r="B1312" s="929"/>
      <c r="C1312" s="310"/>
      <c r="D1312" s="311" t="s">
        <v>55</v>
      </c>
      <c r="E1312" s="312">
        <v>0</v>
      </c>
      <c r="F1312" s="313"/>
      <c r="G1312" s="372">
        <f>SUM(G1309:G1311)</f>
        <v>108374</v>
      </c>
      <c r="H1312" s="371">
        <f t="shared" ref="H1312:I1312" si="1702">SUM(H1309:H1311)</f>
        <v>107406</v>
      </c>
      <c r="I1312" s="371">
        <f t="shared" si="1702"/>
        <v>968</v>
      </c>
      <c r="J1312" s="362" t="str">
        <f>IFERROR(G1312/#REF!,"-")</f>
        <v>-</v>
      </c>
      <c r="K1312" s="372">
        <f>SUM(K1309:K1311)</f>
        <v>180965</v>
      </c>
      <c r="L1312" s="371">
        <f t="shared" ref="L1312:M1312" si="1703">SUM(L1309:L1311)</f>
        <v>179010</v>
      </c>
      <c r="M1312" s="373">
        <f t="shared" si="1703"/>
        <v>1955</v>
      </c>
      <c r="N1312" s="361" t="str">
        <f t="shared" si="1697"/>
        <v>-</v>
      </c>
      <c r="O1312" s="362">
        <f t="shared" si="1662"/>
        <v>1.0803193987787695E-2</v>
      </c>
    </row>
    <row r="1313" spans="1:15" ht="24" thickBot="1" x14ac:dyDescent="0.35">
      <c r="A1313" s="809" t="s">
        <v>109</v>
      </c>
      <c r="B1313" s="932" t="s">
        <v>171</v>
      </c>
      <c r="C1313" s="933"/>
      <c r="D1313" s="934"/>
      <c r="E1313" s="314">
        <v>2167000</v>
      </c>
      <c r="F1313" s="315">
        <v>80000</v>
      </c>
      <c r="G1313" s="375">
        <f>+G1308+G1312</f>
        <v>120633</v>
      </c>
      <c r="H1313" s="374">
        <f t="shared" ref="H1313:I1313" si="1704">+H1308+H1312</f>
        <v>119340</v>
      </c>
      <c r="I1313" s="374">
        <f t="shared" si="1704"/>
        <v>1293</v>
      </c>
      <c r="J1313" s="364" t="str">
        <f>IFERROR(G1313/#REF!,"-")</f>
        <v>-</v>
      </c>
      <c r="K1313" s="375">
        <f>+K1308+K1312</f>
        <v>1215659</v>
      </c>
      <c r="L1313" s="374">
        <f>+L1308+L1312</f>
        <v>1201356</v>
      </c>
      <c r="M1313" s="376">
        <f t="shared" ref="M1313" si="1705">+M1308+M1312</f>
        <v>14303</v>
      </c>
      <c r="N1313" s="363">
        <f>IFERROR(K1313/E1313,"-")</f>
        <v>0.5609870789109368</v>
      </c>
      <c r="O1313" s="364">
        <f t="shared" si="1662"/>
        <v>1.1765634935454761E-2</v>
      </c>
    </row>
    <row r="1314" spans="1:15" ht="23.4" x14ac:dyDescent="0.3">
      <c r="A1314" s="277" t="s">
        <v>109</v>
      </c>
      <c r="B1314" s="929" t="s">
        <v>30</v>
      </c>
      <c r="C1314" s="309" t="s">
        <v>396</v>
      </c>
      <c r="D1314" s="303" t="s">
        <v>193</v>
      </c>
      <c r="E1314" s="273">
        <v>0</v>
      </c>
      <c r="F1314" s="274"/>
      <c r="G1314" s="338">
        <f t="shared" ref="G1314:G1316" si="1706">+H1314+I1314</f>
        <v>0</v>
      </c>
      <c r="H1314" s="275">
        <v>0</v>
      </c>
      <c r="I1314" s="275">
        <v>0</v>
      </c>
      <c r="J1314" s="357" t="str">
        <f>IFERROR(G1314/#REF!,"-")</f>
        <v>-</v>
      </c>
      <c r="K1314" s="338">
        <f t="shared" ref="K1314:K1316" si="1707">+L1314+M1314</f>
        <v>0</v>
      </c>
      <c r="L1314" s="275">
        <f t="shared" ref="L1314:L1316" si="1708">+H1314+L1210</f>
        <v>0</v>
      </c>
      <c r="M1314" s="276">
        <f t="shared" ref="M1314:M1316" si="1709">+I1314+M1210</f>
        <v>0</v>
      </c>
      <c r="N1314" s="342" t="str">
        <f t="shared" si="1697"/>
        <v>-</v>
      </c>
      <c r="O1314" s="352" t="str">
        <f t="shared" si="1662"/>
        <v>-</v>
      </c>
    </row>
    <row r="1315" spans="1:15" ht="23.4" x14ac:dyDescent="0.3">
      <c r="A1315" s="277" t="s">
        <v>109</v>
      </c>
      <c r="B1315" s="929"/>
      <c r="C1315" s="309" t="s">
        <v>395</v>
      </c>
      <c r="D1315" s="309" t="s">
        <v>324</v>
      </c>
      <c r="E1315" s="279">
        <v>0</v>
      </c>
      <c r="F1315" s="280"/>
      <c r="G1315" s="339">
        <f t="shared" si="1706"/>
        <v>0</v>
      </c>
      <c r="H1315" s="281">
        <v>0</v>
      </c>
      <c r="I1315" s="281">
        <v>0</v>
      </c>
      <c r="J1315" s="358" t="str">
        <f>IFERROR(G1315/#REF!,"-")</f>
        <v>-</v>
      </c>
      <c r="K1315" s="339">
        <f t="shared" si="1707"/>
        <v>0</v>
      </c>
      <c r="L1315" s="281">
        <f t="shared" si="1708"/>
        <v>0</v>
      </c>
      <c r="M1315" s="251">
        <f t="shared" si="1709"/>
        <v>0</v>
      </c>
      <c r="N1315" s="343" t="str">
        <f t="shared" si="1697"/>
        <v>-</v>
      </c>
      <c r="O1315" s="264" t="str">
        <f t="shared" si="1662"/>
        <v>-</v>
      </c>
    </row>
    <row r="1316" spans="1:15" ht="24" thickBot="1" x14ac:dyDescent="0.35">
      <c r="A1316" s="277" t="s">
        <v>109</v>
      </c>
      <c r="B1316" s="929"/>
      <c r="C1316" s="306" t="s">
        <v>327</v>
      </c>
      <c r="D1316" s="306"/>
      <c r="E1316" s="283">
        <v>0</v>
      </c>
      <c r="F1316" s="284"/>
      <c r="G1316" s="340">
        <f t="shared" si="1706"/>
        <v>0</v>
      </c>
      <c r="H1316" s="285">
        <v>0</v>
      </c>
      <c r="I1316" s="285">
        <v>0</v>
      </c>
      <c r="J1316" s="359" t="str">
        <f>IFERROR(G1316/#REF!,"-")</f>
        <v>-</v>
      </c>
      <c r="K1316" s="340">
        <f t="shared" si="1707"/>
        <v>0</v>
      </c>
      <c r="L1316" s="285">
        <f t="shared" si="1708"/>
        <v>0</v>
      </c>
      <c r="M1316" s="286">
        <f t="shared" si="1709"/>
        <v>0</v>
      </c>
      <c r="N1316" s="344" t="str">
        <f t="shared" si="1697"/>
        <v>-</v>
      </c>
      <c r="O1316" s="353" t="str">
        <f t="shared" si="1662"/>
        <v>-</v>
      </c>
    </row>
    <row r="1317" spans="1:15" ht="24" thickBot="1" x14ac:dyDescent="0.35">
      <c r="A1317" s="277" t="s">
        <v>109</v>
      </c>
      <c r="B1317" s="929"/>
      <c r="C1317" s="307"/>
      <c r="D1317" s="308" t="s">
        <v>53</v>
      </c>
      <c r="E1317" s="288">
        <v>0</v>
      </c>
      <c r="F1317" s="289"/>
      <c r="G1317" s="326">
        <f>SUM(G1314:G1316)</f>
        <v>0</v>
      </c>
      <c r="H1317" s="327">
        <f t="shared" ref="H1317:I1317" si="1710">SUM(H1314:H1316)</f>
        <v>0</v>
      </c>
      <c r="I1317" s="327">
        <f t="shared" si="1710"/>
        <v>0</v>
      </c>
      <c r="J1317" s="351" t="str">
        <f>IFERROR(G1317/#REF!,"-")</f>
        <v>-</v>
      </c>
      <c r="K1317" s="326">
        <f t="shared" ref="K1317" si="1711">SUM(K1314:K1316)</f>
        <v>0</v>
      </c>
      <c r="L1317" s="327">
        <f>SUM(L1314:L1316)</f>
        <v>0</v>
      </c>
      <c r="M1317" s="328">
        <f t="shared" ref="M1317" si="1712">SUM(M1314:M1316)</f>
        <v>0</v>
      </c>
      <c r="N1317" s="345" t="str">
        <f t="shared" si="1697"/>
        <v>-</v>
      </c>
      <c r="O1317" s="351" t="str">
        <f t="shared" si="1662"/>
        <v>-</v>
      </c>
    </row>
    <row r="1318" spans="1:15" ht="23.4" x14ac:dyDescent="0.3">
      <c r="A1318" s="277" t="s">
        <v>109</v>
      </c>
      <c r="B1318" s="929"/>
      <c r="C1318" s="303" t="s">
        <v>352</v>
      </c>
      <c r="D1318" s="303"/>
      <c r="E1318" s="273">
        <v>0</v>
      </c>
      <c r="F1318" s="274"/>
      <c r="G1318" s="338">
        <f t="shared" ref="G1318:G1320" si="1713">+H1318+I1318</f>
        <v>0</v>
      </c>
      <c r="H1318" s="275">
        <v>0</v>
      </c>
      <c r="I1318" s="275">
        <v>0</v>
      </c>
      <c r="J1318" s="357" t="str">
        <f>IFERROR(G1318/#REF!,"-")</f>
        <v>-</v>
      </c>
      <c r="K1318" s="338">
        <f t="shared" ref="K1318:K1320" si="1714">+L1318+M1318</f>
        <v>0</v>
      </c>
      <c r="L1318" s="275">
        <f t="shared" ref="L1318:L1320" si="1715">+H1318+L1214</f>
        <v>0</v>
      </c>
      <c r="M1318" s="276">
        <f t="shared" ref="M1318:M1320" si="1716">+I1318+M1214</f>
        <v>0</v>
      </c>
      <c r="N1318" s="342" t="str">
        <f t="shared" si="1697"/>
        <v>-</v>
      </c>
      <c r="O1318" s="352" t="str">
        <f t="shared" si="1662"/>
        <v>-</v>
      </c>
    </row>
    <row r="1319" spans="1:15" ht="23.4" x14ac:dyDescent="0.3">
      <c r="A1319" s="277" t="s">
        <v>109</v>
      </c>
      <c r="B1319" s="929"/>
      <c r="C1319" s="309" t="s">
        <v>397</v>
      </c>
      <c r="D1319" s="309" t="s">
        <v>259</v>
      </c>
      <c r="E1319" s="279">
        <v>0</v>
      </c>
      <c r="F1319" s="280"/>
      <c r="G1319" s="339">
        <f t="shared" si="1713"/>
        <v>10187</v>
      </c>
      <c r="H1319" s="281">
        <v>9360</v>
      </c>
      <c r="I1319" s="281">
        <v>827</v>
      </c>
      <c r="J1319" s="358" t="str">
        <f>IFERROR(G1319/#REF!,"-")</f>
        <v>-</v>
      </c>
      <c r="K1319" s="339">
        <f t="shared" si="1714"/>
        <v>390096</v>
      </c>
      <c r="L1319" s="281">
        <f t="shared" si="1715"/>
        <v>380016</v>
      </c>
      <c r="M1319" s="251">
        <f t="shared" si="1716"/>
        <v>10080</v>
      </c>
      <c r="N1319" s="343" t="str">
        <f t="shared" si="1697"/>
        <v>-</v>
      </c>
      <c r="O1319" s="264">
        <f t="shared" si="1662"/>
        <v>2.5839793281653745E-2</v>
      </c>
    </row>
    <row r="1320" spans="1:15" ht="24" thickBot="1" x14ac:dyDescent="0.35">
      <c r="A1320" s="277" t="s">
        <v>109</v>
      </c>
      <c r="B1320" s="929"/>
      <c r="C1320" s="306" t="s">
        <v>146</v>
      </c>
      <c r="D1320" s="306"/>
      <c r="E1320" s="283">
        <v>0</v>
      </c>
      <c r="F1320" s="284"/>
      <c r="G1320" s="340">
        <f t="shared" si="1713"/>
        <v>0</v>
      </c>
      <c r="H1320" s="285">
        <v>0</v>
      </c>
      <c r="I1320" s="285">
        <v>0</v>
      </c>
      <c r="J1320" s="359" t="str">
        <f>IFERROR(G1320/#REF!,"-")</f>
        <v>-</v>
      </c>
      <c r="K1320" s="340">
        <f t="shared" si="1714"/>
        <v>0</v>
      </c>
      <c r="L1320" s="285">
        <f t="shared" si="1715"/>
        <v>0</v>
      </c>
      <c r="M1320" s="286">
        <f t="shared" si="1716"/>
        <v>0</v>
      </c>
      <c r="N1320" s="344" t="str">
        <f t="shared" si="1697"/>
        <v>-</v>
      </c>
      <c r="O1320" s="353" t="str">
        <f t="shared" si="1662"/>
        <v>-</v>
      </c>
    </row>
    <row r="1321" spans="1:15" ht="24" thickBot="1" x14ac:dyDescent="0.35">
      <c r="A1321" s="277" t="s">
        <v>109</v>
      </c>
      <c r="B1321" s="929"/>
      <c r="C1321" s="310"/>
      <c r="D1321" s="311" t="s">
        <v>54</v>
      </c>
      <c r="E1321" s="312">
        <v>0</v>
      </c>
      <c r="F1321" s="313"/>
      <c r="G1321" s="372">
        <f>SUM(G1318:G1320)</f>
        <v>10187</v>
      </c>
      <c r="H1321" s="371">
        <f t="shared" ref="H1321:I1321" si="1717">SUM(H1318:H1320)</f>
        <v>9360</v>
      </c>
      <c r="I1321" s="371">
        <f t="shared" si="1717"/>
        <v>827</v>
      </c>
      <c r="J1321" s="362" t="str">
        <f>IFERROR(G1321/#REF!,"-")</f>
        <v>-</v>
      </c>
      <c r="K1321" s="372">
        <f t="shared" ref="K1321:M1321" si="1718">SUM(K1318:K1320)</f>
        <v>390096</v>
      </c>
      <c r="L1321" s="371">
        <f t="shared" si="1718"/>
        <v>380016</v>
      </c>
      <c r="M1321" s="373">
        <f t="shared" si="1718"/>
        <v>10080</v>
      </c>
      <c r="N1321" s="361" t="str">
        <f t="shared" si="1697"/>
        <v>-</v>
      </c>
      <c r="O1321" s="362">
        <f t="shared" si="1662"/>
        <v>2.5839793281653745E-2</v>
      </c>
    </row>
    <row r="1322" spans="1:15" ht="24" thickBot="1" x14ac:dyDescent="0.35">
      <c r="A1322" s="277" t="s">
        <v>109</v>
      </c>
      <c r="B1322" s="932" t="s">
        <v>172</v>
      </c>
      <c r="C1322" s="933"/>
      <c r="D1322" s="934"/>
      <c r="E1322" s="314">
        <v>649600</v>
      </c>
      <c r="F1322" s="315">
        <v>50000</v>
      </c>
      <c r="G1322" s="375">
        <f>+G1317+G1321</f>
        <v>10187</v>
      </c>
      <c r="H1322" s="374">
        <f t="shared" ref="H1322:I1322" si="1719">+H1317+H1321</f>
        <v>9360</v>
      </c>
      <c r="I1322" s="374">
        <f t="shared" si="1719"/>
        <v>827</v>
      </c>
      <c r="J1322" s="364" t="str">
        <f>IFERROR(G1322/#REF!,"-")</f>
        <v>-</v>
      </c>
      <c r="K1322" s="375">
        <f t="shared" ref="K1322:M1322" si="1720">+K1317+K1321</f>
        <v>390096</v>
      </c>
      <c r="L1322" s="374">
        <f t="shared" si="1720"/>
        <v>380016</v>
      </c>
      <c r="M1322" s="376">
        <f t="shared" si="1720"/>
        <v>10080</v>
      </c>
      <c r="N1322" s="363">
        <f t="shared" si="1697"/>
        <v>0.6005172413793104</v>
      </c>
      <c r="O1322" s="364">
        <f t="shared" si="1662"/>
        <v>2.5839793281653745E-2</v>
      </c>
    </row>
    <row r="1323" spans="1:15" ht="24" thickBot="1" x14ac:dyDescent="0.35">
      <c r="A1323" s="277" t="s">
        <v>109</v>
      </c>
      <c r="B1323" s="616" t="s">
        <v>32</v>
      </c>
      <c r="C1323" s="805"/>
      <c r="D1323" s="316" t="s">
        <v>32</v>
      </c>
      <c r="E1323" s="293">
        <v>0</v>
      </c>
      <c r="F1323" s="294">
        <v>110000</v>
      </c>
      <c r="G1323" s="341">
        <f t="shared" ref="G1323" si="1721">+H1323+I1323</f>
        <v>0</v>
      </c>
      <c r="H1323" s="295">
        <v>0</v>
      </c>
      <c r="I1323" s="295">
        <v>0</v>
      </c>
      <c r="J1323" s="360" t="str">
        <f>IFERROR(G1323/#REF!,"-")</f>
        <v>-</v>
      </c>
      <c r="K1323" s="341">
        <f>+L1323+M1323</f>
        <v>0</v>
      </c>
      <c r="L1323" s="295">
        <f>+H1323+L1219</f>
        <v>0</v>
      </c>
      <c r="M1323" s="296">
        <f>+I1323+M1219</f>
        <v>0</v>
      </c>
      <c r="N1323" s="346" t="str">
        <f t="shared" si="1697"/>
        <v>-</v>
      </c>
      <c r="O1323" s="354" t="str">
        <f t="shared" si="1662"/>
        <v>-</v>
      </c>
    </row>
    <row r="1324" spans="1:15" ht="24" thickBot="1" x14ac:dyDescent="0.35">
      <c r="A1324" s="277" t="s">
        <v>109</v>
      </c>
      <c r="B1324" s="926" t="s">
        <v>21</v>
      </c>
      <c r="C1324" s="927"/>
      <c r="D1324" s="928"/>
      <c r="E1324" s="332">
        <f>+E1313+E1322+E1323</f>
        <v>2816600</v>
      </c>
      <c r="F1324" s="333">
        <f t="shared" ref="F1324" si="1722">+F1313+F1322+F1323</f>
        <v>240000</v>
      </c>
      <c r="G1324" s="332">
        <f>+G1313+G1322+G1323</f>
        <v>130820</v>
      </c>
      <c r="H1324" s="330">
        <f t="shared" ref="H1324:I1324" si="1723">+H1313+H1322+H1323</f>
        <v>128700</v>
      </c>
      <c r="I1324" s="330">
        <f t="shared" si="1723"/>
        <v>2120</v>
      </c>
      <c r="J1324" s="355" t="str">
        <f>IFERROR(G1324/#REF!,"-")</f>
        <v>-</v>
      </c>
      <c r="K1324" s="332">
        <f>+K1313+K1322+K1323</f>
        <v>1605755</v>
      </c>
      <c r="L1324" s="330">
        <f>+L1313+L1322+L1323</f>
        <v>1581372</v>
      </c>
      <c r="M1324" s="331">
        <f t="shared" ref="M1324" si="1724">+M1313+M1322+M1323</f>
        <v>24383</v>
      </c>
      <c r="N1324" s="347">
        <f t="shared" si="1697"/>
        <v>0.57010402613079603</v>
      </c>
      <c r="O1324" s="355">
        <f t="shared" si="1662"/>
        <v>1.5184757325993069E-2</v>
      </c>
    </row>
    <row r="1325" spans="1:15" ht="24" thickBot="1" x14ac:dyDescent="0.35">
      <c r="A1325" s="277" t="s">
        <v>109</v>
      </c>
      <c r="B1325" s="900" t="s">
        <v>180</v>
      </c>
      <c r="C1325" s="901"/>
      <c r="D1325" s="902"/>
      <c r="E1325" s="336">
        <f>+E1324</f>
        <v>2816600</v>
      </c>
      <c r="F1325" s="337">
        <f t="shared" ref="F1325:I1325" si="1725">+F1324</f>
        <v>240000</v>
      </c>
      <c r="G1325" s="336">
        <f t="shared" si="1725"/>
        <v>130820</v>
      </c>
      <c r="H1325" s="334">
        <f t="shared" si="1725"/>
        <v>128700</v>
      </c>
      <c r="I1325" s="334">
        <f t="shared" si="1725"/>
        <v>2120</v>
      </c>
      <c r="J1325" s="356" t="str">
        <f>+J1324</f>
        <v>-</v>
      </c>
      <c r="K1325" s="336">
        <f>+K1324</f>
        <v>1605755</v>
      </c>
      <c r="L1325" s="334">
        <f t="shared" ref="L1325" si="1726">+L1324</f>
        <v>1581372</v>
      </c>
      <c r="M1325" s="335">
        <f>+M1324</f>
        <v>24383</v>
      </c>
      <c r="N1325" s="348">
        <f t="shared" ref="N1325:O1325" si="1727">+N1324</f>
        <v>0.57010402613079603</v>
      </c>
      <c r="O1325" s="356">
        <f t="shared" si="1727"/>
        <v>1.5184757325993069E-2</v>
      </c>
    </row>
    <row r="1326" spans="1:15" ht="23.4" x14ac:dyDescent="0.3">
      <c r="A1326" s="271" t="s">
        <v>110</v>
      </c>
      <c r="B1326" s="903" t="s">
        <v>33</v>
      </c>
      <c r="C1326" s="317" t="s">
        <v>121</v>
      </c>
      <c r="D1326" s="317"/>
      <c r="E1326" s="273">
        <v>0</v>
      </c>
      <c r="F1326" s="274"/>
      <c r="G1326" s="338">
        <f t="shared" ref="G1326:G1328" si="1728">+H1326+I1326</f>
        <v>0</v>
      </c>
      <c r="H1326" s="275">
        <v>0</v>
      </c>
      <c r="I1326" s="275">
        <v>0</v>
      </c>
      <c r="J1326" s="357" t="str">
        <f>IFERROR(G1326/#REF!,"-")</f>
        <v>-</v>
      </c>
      <c r="K1326" s="338">
        <f t="shared" ref="K1326:K1328" si="1729">+L1326+M1326</f>
        <v>0</v>
      </c>
      <c r="L1326" s="275">
        <f t="shared" ref="L1326:L1328" si="1730">+H1326+L1222</f>
        <v>0</v>
      </c>
      <c r="M1326" s="276">
        <f t="shared" ref="M1326:M1328" si="1731">+I1326+M1222</f>
        <v>0</v>
      </c>
      <c r="N1326" s="342" t="str">
        <f t="shared" ref="N1326:N1333" si="1732">IFERROR(K1326/E1326,"-")</f>
        <v>-</v>
      </c>
      <c r="O1326" s="352" t="str">
        <f t="shared" ref="O1326:O1351" si="1733">IFERROR(M1326/K1326,"-")</f>
        <v>-</v>
      </c>
    </row>
    <row r="1327" spans="1:15" ht="23.4" x14ac:dyDescent="0.3">
      <c r="A1327" s="277" t="s">
        <v>110</v>
      </c>
      <c r="B1327" s="904"/>
      <c r="C1327" s="318" t="s">
        <v>274</v>
      </c>
      <c r="D1327" s="318"/>
      <c r="E1327" s="279">
        <v>0</v>
      </c>
      <c r="F1327" s="280"/>
      <c r="G1327" s="339">
        <f t="shared" si="1728"/>
        <v>0</v>
      </c>
      <c r="H1327" s="281">
        <v>0</v>
      </c>
      <c r="I1327" s="281">
        <v>0</v>
      </c>
      <c r="J1327" s="358" t="str">
        <f>IFERROR(G1327/#REF!,"-")</f>
        <v>-</v>
      </c>
      <c r="K1327" s="339">
        <f t="shared" si="1729"/>
        <v>10252</v>
      </c>
      <c r="L1327" s="281">
        <f t="shared" si="1730"/>
        <v>9280</v>
      </c>
      <c r="M1327" s="251">
        <f t="shared" si="1731"/>
        <v>972</v>
      </c>
      <c r="N1327" s="343" t="str">
        <f t="shared" si="1732"/>
        <v>-</v>
      </c>
      <c r="O1327" s="264">
        <f t="shared" si="1733"/>
        <v>9.4810768630511119E-2</v>
      </c>
    </row>
    <row r="1328" spans="1:15" ht="24" thickBot="1" x14ac:dyDescent="0.35">
      <c r="A1328" s="277" t="s">
        <v>110</v>
      </c>
      <c r="B1328" s="905"/>
      <c r="C1328" s="319" t="s">
        <v>34</v>
      </c>
      <c r="D1328" s="319"/>
      <c r="E1328" s="283">
        <v>0</v>
      </c>
      <c r="F1328" s="284"/>
      <c r="G1328" s="340">
        <f t="shared" si="1728"/>
        <v>0</v>
      </c>
      <c r="H1328" s="285">
        <v>0</v>
      </c>
      <c r="I1328" s="285">
        <v>0</v>
      </c>
      <c r="J1328" s="359" t="str">
        <f>IFERROR(G1328/#REF!,"-")</f>
        <v>-</v>
      </c>
      <c r="K1328" s="340">
        <f t="shared" si="1729"/>
        <v>0</v>
      </c>
      <c r="L1328" s="285">
        <f t="shared" si="1730"/>
        <v>0</v>
      </c>
      <c r="M1328" s="286">
        <f t="shared" si="1731"/>
        <v>0</v>
      </c>
      <c r="N1328" s="344" t="str">
        <f t="shared" si="1732"/>
        <v>-</v>
      </c>
      <c r="O1328" s="353" t="str">
        <f t="shared" si="1733"/>
        <v>-</v>
      </c>
    </row>
    <row r="1329" spans="1:15" ht="24" thickBot="1" x14ac:dyDescent="0.35">
      <c r="A1329" s="277" t="s">
        <v>110</v>
      </c>
      <c r="B1329" s="906" t="s">
        <v>35</v>
      </c>
      <c r="C1329" s="907"/>
      <c r="D1329" s="908"/>
      <c r="E1329" s="288">
        <v>83700</v>
      </c>
      <c r="F1329" s="289"/>
      <c r="G1329" s="326">
        <f>SUM(G1326:G1328)</f>
        <v>0</v>
      </c>
      <c r="H1329" s="327">
        <f t="shared" ref="H1329:I1329" si="1734">SUM(H1326:H1328)</f>
        <v>0</v>
      </c>
      <c r="I1329" s="327">
        <f t="shared" si="1734"/>
        <v>0</v>
      </c>
      <c r="J1329" s="351" t="str">
        <f>IFERROR(G1329/#REF!,"-")</f>
        <v>-</v>
      </c>
      <c r="K1329" s="326">
        <f t="shared" ref="K1329:M1329" si="1735">SUM(K1326:K1328)</f>
        <v>10252</v>
      </c>
      <c r="L1329" s="327">
        <f t="shared" si="1735"/>
        <v>9280</v>
      </c>
      <c r="M1329" s="328">
        <f t="shared" si="1735"/>
        <v>972</v>
      </c>
      <c r="N1329" s="345">
        <f t="shared" si="1732"/>
        <v>0.12248506571087216</v>
      </c>
      <c r="O1329" s="351">
        <f t="shared" si="1733"/>
        <v>9.4810768630511119E-2</v>
      </c>
    </row>
    <row r="1330" spans="1:15" ht="23.4" x14ac:dyDescent="0.3">
      <c r="A1330" s="277" t="s">
        <v>110</v>
      </c>
      <c r="B1330" s="903" t="s">
        <v>36</v>
      </c>
      <c r="C1330" s="317" t="s">
        <v>121</v>
      </c>
      <c r="D1330" s="317"/>
      <c r="E1330" s="273">
        <v>0</v>
      </c>
      <c r="F1330" s="274"/>
      <c r="G1330" s="338">
        <f t="shared" ref="G1330:G1333" si="1736">+H1330+I1330</f>
        <v>0</v>
      </c>
      <c r="H1330" s="275">
        <v>0</v>
      </c>
      <c r="I1330" s="275">
        <v>0</v>
      </c>
      <c r="J1330" s="357" t="str">
        <f>IFERROR(G1330/#REF!,"-")</f>
        <v>-</v>
      </c>
      <c r="K1330" s="338">
        <f t="shared" ref="K1330:K1333" si="1737">+L1330+M1330</f>
        <v>0</v>
      </c>
      <c r="L1330" s="275">
        <f t="shared" ref="L1330:L1333" si="1738">+H1330+L1226</f>
        <v>0</v>
      </c>
      <c r="M1330" s="276">
        <f t="shared" ref="M1330:M1333" si="1739">+I1330+M1226</f>
        <v>0</v>
      </c>
      <c r="N1330" s="342" t="str">
        <f t="shared" si="1732"/>
        <v>-</v>
      </c>
      <c r="O1330" s="352" t="str">
        <f t="shared" si="1733"/>
        <v>-</v>
      </c>
    </row>
    <row r="1331" spans="1:15" ht="23.4" x14ac:dyDescent="0.3">
      <c r="A1331" s="277" t="s">
        <v>110</v>
      </c>
      <c r="B1331" s="904"/>
      <c r="C1331" s="318" t="s">
        <v>274</v>
      </c>
      <c r="D1331" s="318"/>
      <c r="E1331" s="279">
        <v>0</v>
      </c>
      <c r="F1331" s="280"/>
      <c r="G1331" s="339">
        <f t="shared" si="1736"/>
        <v>10076</v>
      </c>
      <c r="H1331" s="281">
        <v>9920</v>
      </c>
      <c r="I1331" s="281">
        <v>156</v>
      </c>
      <c r="J1331" s="358" t="str">
        <f>IFERROR(G1331/#REF!,"-")</f>
        <v>-</v>
      </c>
      <c r="K1331" s="339">
        <f t="shared" si="1737"/>
        <v>47279</v>
      </c>
      <c r="L1331" s="281">
        <f t="shared" si="1738"/>
        <v>46112</v>
      </c>
      <c r="M1331" s="251">
        <f t="shared" si="1739"/>
        <v>1167</v>
      </c>
      <c r="N1331" s="343" t="str">
        <f t="shared" si="1732"/>
        <v>-</v>
      </c>
      <c r="O1331" s="264">
        <f t="shared" si="1733"/>
        <v>2.4683263182385413E-2</v>
      </c>
    </row>
    <row r="1332" spans="1:15" ht="23.4" x14ac:dyDescent="0.3">
      <c r="A1332" s="277" t="s">
        <v>110</v>
      </c>
      <c r="B1332" s="904"/>
      <c r="C1332" s="318" t="s">
        <v>201</v>
      </c>
      <c r="D1332" s="318"/>
      <c r="E1332" s="279">
        <v>0</v>
      </c>
      <c r="F1332" s="280"/>
      <c r="G1332" s="339">
        <f t="shared" si="1736"/>
        <v>0</v>
      </c>
      <c r="H1332" s="281">
        <v>0</v>
      </c>
      <c r="I1332" s="281">
        <v>0</v>
      </c>
      <c r="J1332" s="358" t="str">
        <f>IFERROR(G1332/#REF!,"-")</f>
        <v>-</v>
      </c>
      <c r="K1332" s="339">
        <f t="shared" si="1737"/>
        <v>0</v>
      </c>
      <c r="L1332" s="281">
        <f t="shared" si="1738"/>
        <v>0</v>
      </c>
      <c r="M1332" s="251">
        <f t="shared" si="1739"/>
        <v>0</v>
      </c>
      <c r="N1332" s="343" t="str">
        <f t="shared" si="1732"/>
        <v>-</v>
      </c>
      <c r="O1332" s="264" t="str">
        <f t="shared" si="1733"/>
        <v>-</v>
      </c>
    </row>
    <row r="1333" spans="1:15" ht="24" thickBot="1" x14ac:dyDescent="0.35">
      <c r="A1333" s="277" t="s">
        <v>110</v>
      </c>
      <c r="B1333" s="905"/>
      <c r="C1333" s="319" t="s">
        <v>37</v>
      </c>
      <c r="D1333" s="319"/>
      <c r="E1333" s="283">
        <v>0</v>
      </c>
      <c r="F1333" s="284"/>
      <c r="G1333" s="340">
        <f t="shared" si="1736"/>
        <v>0</v>
      </c>
      <c r="H1333" s="285">
        <v>0</v>
      </c>
      <c r="I1333" s="285">
        <v>0</v>
      </c>
      <c r="J1333" s="359" t="str">
        <f>IFERROR(G1333/#REF!,"-")</f>
        <v>-</v>
      </c>
      <c r="K1333" s="340">
        <f t="shared" si="1737"/>
        <v>0</v>
      </c>
      <c r="L1333" s="285">
        <f t="shared" si="1738"/>
        <v>0</v>
      </c>
      <c r="M1333" s="286">
        <f t="shared" si="1739"/>
        <v>0</v>
      </c>
      <c r="N1333" s="344" t="str">
        <f t="shared" si="1732"/>
        <v>-</v>
      </c>
      <c r="O1333" s="353" t="str">
        <f t="shared" si="1733"/>
        <v>-</v>
      </c>
    </row>
    <row r="1334" spans="1:15" ht="24" thickBot="1" x14ac:dyDescent="0.35">
      <c r="A1334" s="277" t="s">
        <v>110</v>
      </c>
      <c r="B1334" s="906" t="s">
        <v>38</v>
      </c>
      <c r="C1334" s="907"/>
      <c r="D1334" s="908"/>
      <c r="E1334" s="288">
        <v>10300</v>
      </c>
      <c r="F1334" s="289">
        <v>6500</v>
      </c>
      <c r="G1334" s="326">
        <f>SUM(G1330:G1333)</f>
        <v>10076</v>
      </c>
      <c r="H1334" s="327">
        <f t="shared" ref="H1334:I1334" si="1740">SUM(H1330:H1333)</f>
        <v>9920</v>
      </c>
      <c r="I1334" s="327">
        <f t="shared" si="1740"/>
        <v>156</v>
      </c>
      <c r="J1334" s="351" t="str">
        <f>IFERROR(G1334/#REF!,"-")</f>
        <v>-</v>
      </c>
      <c r="K1334" s="326">
        <f t="shared" ref="K1334:M1334" si="1741">SUM(K1330:K1333)</f>
        <v>47279</v>
      </c>
      <c r="L1334" s="327">
        <f t="shared" si="1741"/>
        <v>46112</v>
      </c>
      <c r="M1334" s="328">
        <f t="shared" si="1741"/>
        <v>1167</v>
      </c>
      <c r="N1334" s="345">
        <f>IFERROR(K1334/E1334,"-")</f>
        <v>4.5901941747572819</v>
      </c>
      <c r="O1334" s="351">
        <f t="shared" si="1733"/>
        <v>2.4683263182385413E-2</v>
      </c>
    </row>
    <row r="1335" spans="1:15" ht="23.4" x14ac:dyDescent="0.3">
      <c r="A1335" s="277" t="s">
        <v>110</v>
      </c>
      <c r="B1335" s="903" t="s">
        <v>39</v>
      </c>
      <c r="C1335" s="320" t="s">
        <v>124</v>
      </c>
      <c r="D1335" s="320"/>
      <c r="E1335" s="273">
        <v>0</v>
      </c>
      <c r="F1335" s="274"/>
      <c r="G1335" s="338">
        <f t="shared" ref="G1335:G1336" si="1742">+H1335+I1335</f>
        <v>0</v>
      </c>
      <c r="H1335" s="275">
        <v>0</v>
      </c>
      <c r="I1335" s="275">
        <v>0</v>
      </c>
      <c r="J1335" s="357" t="str">
        <f>IFERROR(G1335/#REF!,"-")</f>
        <v>-</v>
      </c>
      <c r="K1335" s="338">
        <f t="shared" ref="K1335:K1336" si="1743">+L1335+M1335</f>
        <v>0</v>
      </c>
      <c r="L1335" s="275">
        <f t="shared" ref="L1335:L1336" si="1744">+H1335+L1231</f>
        <v>0</v>
      </c>
      <c r="M1335" s="276">
        <f t="shared" ref="M1335:M1336" si="1745">+I1335+M1231</f>
        <v>0</v>
      </c>
      <c r="N1335" s="342" t="str">
        <f t="shared" ref="N1335:N1351" si="1746">IFERROR(K1335/E1335,"-")</f>
        <v>-</v>
      </c>
      <c r="O1335" s="352" t="str">
        <f t="shared" si="1733"/>
        <v>-</v>
      </c>
    </row>
    <row r="1336" spans="1:15" ht="24" thickBot="1" x14ac:dyDescent="0.35">
      <c r="A1336" s="277" t="s">
        <v>110</v>
      </c>
      <c r="B1336" s="905"/>
      <c r="C1336" s="290" t="s">
        <v>140</v>
      </c>
      <c r="D1336" s="290"/>
      <c r="E1336" s="283">
        <v>0</v>
      </c>
      <c r="F1336" s="284"/>
      <c r="G1336" s="340">
        <f t="shared" si="1742"/>
        <v>0</v>
      </c>
      <c r="H1336" s="285">
        <v>0</v>
      </c>
      <c r="I1336" s="285">
        <v>0</v>
      </c>
      <c r="J1336" s="359" t="str">
        <f>IFERROR(G1336/#REF!,"-")</f>
        <v>-</v>
      </c>
      <c r="K1336" s="340">
        <f t="shared" si="1743"/>
        <v>0</v>
      </c>
      <c r="L1336" s="285">
        <f t="shared" si="1744"/>
        <v>0</v>
      </c>
      <c r="M1336" s="286">
        <f t="shared" si="1745"/>
        <v>0</v>
      </c>
      <c r="N1336" s="344" t="str">
        <f t="shared" si="1746"/>
        <v>-</v>
      </c>
      <c r="O1336" s="353" t="str">
        <f t="shared" si="1733"/>
        <v>-</v>
      </c>
    </row>
    <row r="1337" spans="1:15" ht="24" thickBot="1" x14ac:dyDescent="0.35">
      <c r="A1337" s="809" t="s">
        <v>110</v>
      </c>
      <c r="B1337" s="906" t="s">
        <v>40</v>
      </c>
      <c r="C1337" s="907"/>
      <c r="D1337" s="908"/>
      <c r="E1337" s="288">
        <v>30000</v>
      </c>
      <c r="F1337" s="289">
        <v>2800</v>
      </c>
      <c r="G1337" s="326">
        <f>SUM(G1335:G1336)</f>
        <v>0</v>
      </c>
      <c r="H1337" s="327">
        <f t="shared" ref="H1337:I1337" si="1747">SUM(H1335:H1336)</f>
        <v>0</v>
      </c>
      <c r="I1337" s="327">
        <f t="shared" si="1747"/>
        <v>0</v>
      </c>
      <c r="J1337" s="351" t="str">
        <f>IFERROR(G1337/#REF!,"-")</f>
        <v>-</v>
      </c>
      <c r="K1337" s="326">
        <f t="shared" ref="K1337:M1337" si="1748">SUM(K1335:K1336)</f>
        <v>0</v>
      </c>
      <c r="L1337" s="327">
        <f t="shared" si="1748"/>
        <v>0</v>
      </c>
      <c r="M1337" s="328">
        <f t="shared" si="1748"/>
        <v>0</v>
      </c>
      <c r="N1337" s="345">
        <f t="shared" si="1746"/>
        <v>0</v>
      </c>
      <c r="O1337" s="351" t="str">
        <f t="shared" si="1733"/>
        <v>-</v>
      </c>
    </row>
    <row r="1338" spans="1:15" ht="23.4" x14ac:dyDescent="0.3">
      <c r="A1338" s="277" t="s">
        <v>110</v>
      </c>
      <c r="B1338" s="903" t="s">
        <v>41</v>
      </c>
      <c r="C1338" s="272" t="s">
        <v>346</v>
      </c>
      <c r="D1338" s="272"/>
      <c r="E1338" s="273">
        <v>0</v>
      </c>
      <c r="F1338" s="321"/>
      <c r="G1338" s="338">
        <f t="shared" ref="G1338:G1342" si="1749">+H1338+I1338</f>
        <v>20619</v>
      </c>
      <c r="H1338" s="275">
        <v>20412</v>
      </c>
      <c r="I1338" s="275">
        <v>207</v>
      </c>
      <c r="J1338" s="377" t="str">
        <f>IFERROR(G1338/#REF!,"-")</f>
        <v>-</v>
      </c>
      <c r="K1338" s="338">
        <f t="shared" ref="K1338:K1342" si="1750">+L1338+M1338</f>
        <v>253723</v>
      </c>
      <c r="L1338" s="275">
        <f t="shared" ref="L1338:L1342" si="1751">+H1338+L1234</f>
        <v>250872</v>
      </c>
      <c r="M1338" s="276">
        <f t="shared" ref="M1338:M1342" si="1752">+I1338+M1234</f>
        <v>2851</v>
      </c>
      <c r="N1338" s="365" t="str">
        <f t="shared" si="1746"/>
        <v>-</v>
      </c>
      <c r="O1338" s="366">
        <f t="shared" si="1733"/>
        <v>1.1236663605585619E-2</v>
      </c>
    </row>
    <row r="1339" spans="1:15" ht="23.4" x14ac:dyDescent="0.3">
      <c r="A1339" s="277" t="s">
        <v>110</v>
      </c>
      <c r="B1339" s="904"/>
      <c r="C1339" s="272" t="s">
        <v>347</v>
      </c>
      <c r="D1339" s="278"/>
      <c r="E1339" s="279">
        <v>0</v>
      </c>
      <c r="F1339" s="322"/>
      <c r="G1339" s="339">
        <f t="shared" si="1749"/>
        <v>0</v>
      </c>
      <c r="H1339" s="281">
        <v>0</v>
      </c>
      <c r="I1339" s="281">
        <v>0</v>
      </c>
      <c r="J1339" s="378" t="str">
        <f>IFERROR(G1339/#REF!,"-")</f>
        <v>-</v>
      </c>
      <c r="K1339" s="339">
        <f t="shared" si="1750"/>
        <v>0</v>
      </c>
      <c r="L1339" s="281">
        <f t="shared" si="1751"/>
        <v>0</v>
      </c>
      <c r="M1339" s="251">
        <f t="shared" si="1752"/>
        <v>0</v>
      </c>
      <c r="N1339" s="367" t="str">
        <f t="shared" si="1746"/>
        <v>-</v>
      </c>
      <c r="O1339" s="368" t="str">
        <f t="shared" si="1733"/>
        <v>-</v>
      </c>
    </row>
    <row r="1340" spans="1:15" ht="23.4" x14ac:dyDescent="0.3">
      <c r="A1340" s="277" t="s">
        <v>110</v>
      </c>
      <c r="B1340" s="904"/>
      <c r="C1340" s="278" t="s">
        <v>423</v>
      </c>
      <c r="D1340" s="278"/>
      <c r="E1340" s="279">
        <v>0</v>
      </c>
      <c r="F1340" s="322"/>
      <c r="G1340" s="339">
        <f t="shared" si="1749"/>
        <v>0</v>
      </c>
      <c r="H1340" s="281">
        <v>0</v>
      </c>
      <c r="I1340" s="281">
        <v>0</v>
      </c>
      <c r="J1340" s="378" t="str">
        <f>IFERROR(G1340/#REF!,"-")</f>
        <v>-</v>
      </c>
      <c r="K1340" s="339">
        <f t="shared" si="1750"/>
        <v>34536</v>
      </c>
      <c r="L1340" s="281">
        <f t="shared" si="1751"/>
        <v>33960</v>
      </c>
      <c r="M1340" s="251">
        <f t="shared" si="1752"/>
        <v>576</v>
      </c>
      <c r="N1340" s="367" t="str">
        <f t="shared" si="1746"/>
        <v>-</v>
      </c>
      <c r="O1340" s="368">
        <f t="shared" si="1733"/>
        <v>1.6678248783877692E-2</v>
      </c>
    </row>
    <row r="1341" spans="1:15" ht="23.4" x14ac:dyDescent="0.3">
      <c r="A1341" s="277" t="s">
        <v>110</v>
      </c>
      <c r="B1341" s="904"/>
      <c r="C1341" s="278" t="s">
        <v>166</v>
      </c>
      <c r="D1341" s="278"/>
      <c r="E1341" s="279">
        <v>0</v>
      </c>
      <c r="F1341" s="322"/>
      <c r="G1341" s="339">
        <f t="shared" si="1749"/>
        <v>0</v>
      </c>
      <c r="H1341" s="281">
        <v>0</v>
      </c>
      <c r="I1341" s="281">
        <v>0</v>
      </c>
      <c r="J1341" s="378" t="str">
        <f>IFERROR(G1341/#REF!,"-")</f>
        <v>-</v>
      </c>
      <c r="K1341" s="339">
        <f t="shared" si="1750"/>
        <v>0</v>
      </c>
      <c r="L1341" s="281">
        <f t="shared" si="1751"/>
        <v>0</v>
      </c>
      <c r="M1341" s="251">
        <f t="shared" si="1752"/>
        <v>0</v>
      </c>
      <c r="N1341" s="367" t="str">
        <f t="shared" si="1746"/>
        <v>-</v>
      </c>
      <c r="O1341" s="368" t="str">
        <f t="shared" si="1733"/>
        <v>-</v>
      </c>
    </row>
    <row r="1342" spans="1:15" ht="24" thickBot="1" x14ac:dyDescent="0.35">
      <c r="A1342" s="277" t="s">
        <v>110</v>
      </c>
      <c r="B1342" s="905"/>
      <c r="C1342" s="282" t="s">
        <v>167</v>
      </c>
      <c r="D1342" s="282"/>
      <c r="E1342" s="283">
        <v>0</v>
      </c>
      <c r="F1342" s="323"/>
      <c r="G1342" s="340">
        <f t="shared" si="1749"/>
        <v>0</v>
      </c>
      <c r="H1342" s="285">
        <v>0</v>
      </c>
      <c r="I1342" s="285">
        <v>0</v>
      </c>
      <c r="J1342" s="379" t="str">
        <f>IFERROR(G1342/#REF!,"-")</f>
        <v>-</v>
      </c>
      <c r="K1342" s="340">
        <f t="shared" si="1750"/>
        <v>0</v>
      </c>
      <c r="L1342" s="285">
        <f t="shared" si="1751"/>
        <v>0</v>
      </c>
      <c r="M1342" s="286">
        <f t="shared" si="1752"/>
        <v>0</v>
      </c>
      <c r="N1342" s="369" t="str">
        <f t="shared" si="1746"/>
        <v>-</v>
      </c>
      <c r="O1342" s="370" t="str">
        <f t="shared" si="1733"/>
        <v>-</v>
      </c>
    </row>
    <row r="1343" spans="1:15" ht="24" thickBot="1" x14ac:dyDescent="0.35">
      <c r="A1343" s="277" t="s">
        <v>110</v>
      </c>
      <c r="B1343" s="906" t="s">
        <v>42</v>
      </c>
      <c r="C1343" s="907"/>
      <c r="D1343" s="908"/>
      <c r="E1343" s="326">
        <v>610600</v>
      </c>
      <c r="F1343" s="289">
        <v>25000</v>
      </c>
      <c r="G1343" s="326">
        <f>SUM(G1339:G1342)</f>
        <v>0</v>
      </c>
      <c r="H1343" s="327">
        <f t="shared" ref="H1343:I1343" si="1753">SUM(H1339:H1342)</f>
        <v>0</v>
      </c>
      <c r="I1343" s="327">
        <f t="shared" si="1753"/>
        <v>0</v>
      </c>
      <c r="J1343" s="351" t="str">
        <f>IFERROR(G1343/#REF!,"-")</f>
        <v>-</v>
      </c>
      <c r="K1343" s="326">
        <f>SUM(K1338:K1342)</f>
        <v>288259</v>
      </c>
      <c r="L1343" s="327">
        <f>SUM(L1338:L1342)</f>
        <v>284832</v>
      </c>
      <c r="M1343" s="328">
        <f>SUM(M1338:M1342)</f>
        <v>3427</v>
      </c>
      <c r="N1343" s="345">
        <f t="shared" si="1746"/>
        <v>0.47209138552243696</v>
      </c>
      <c r="O1343" s="351">
        <f t="shared" si="1733"/>
        <v>1.1888614058884545E-2</v>
      </c>
    </row>
    <row r="1344" spans="1:15" ht="23.4" x14ac:dyDescent="0.3">
      <c r="A1344" s="277" t="s">
        <v>110</v>
      </c>
      <c r="B1344" s="903" t="s">
        <v>43</v>
      </c>
      <c r="C1344" s="272" t="s">
        <v>204</v>
      </c>
      <c r="D1344" s="272"/>
      <c r="E1344" s="273">
        <v>0</v>
      </c>
      <c r="F1344" s="274"/>
      <c r="G1344" s="338">
        <f t="shared" ref="G1344:G1346" si="1754">+H1344+I1344</f>
        <v>0</v>
      </c>
      <c r="H1344" s="275">
        <v>0</v>
      </c>
      <c r="I1344" s="275">
        <v>0</v>
      </c>
      <c r="J1344" s="357" t="str">
        <f>IFERROR(G1344/#REF!,"-")</f>
        <v>-</v>
      </c>
      <c r="K1344" s="338">
        <f t="shared" ref="K1344:K1346" si="1755">+L1344+M1344</f>
        <v>0</v>
      </c>
      <c r="L1344" s="275">
        <f t="shared" ref="L1344:L1346" si="1756">+H1344+L1240</f>
        <v>0</v>
      </c>
      <c r="M1344" s="276">
        <f t="shared" ref="M1344:M1346" si="1757">+I1344+M1240</f>
        <v>0</v>
      </c>
      <c r="N1344" s="342" t="str">
        <f t="shared" si="1746"/>
        <v>-</v>
      </c>
      <c r="O1344" s="352" t="str">
        <f t="shared" si="1733"/>
        <v>-</v>
      </c>
    </row>
    <row r="1345" spans="1:15" ht="23.4" x14ac:dyDescent="0.3">
      <c r="A1345" s="277" t="s">
        <v>110</v>
      </c>
      <c r="B1345" s="904"/>
      <c r="C1345" s="278" t="s">
        <v>168</v>
      </c>
      <c r="D1345" s="278"/>
      <c r="E1345" s="279">
        <v>0</v>
      </c>
      <c r="F1345" s="280"/>
      <c r="G1345" s="339">
        <f t="shared" si="1754"/>
        <v>0</v>
      </c>
      <c r="H1345" s="281">
        <v>0</v>
      </c>
      <c r="I1345" s="281">
        <v>0</v>
      </c>
      <c r="J1345" s="378" t="str">
        <f>IFERROR(G1345/#REF!,"-")</f>
        <v>-</v>
      </c>
      <c r="K1345" s="339">
        <f t="shared" si="1755"/>
        <v>0</v>
      </c>
      <c r="L1345" s="281">
        <f t="shared" si="1756"/>
        <v>0</v>
      </c>
      <c r="M1345" s="251">
        <f t="shared" si="1757"/>
        <v>0</v>
      </c>
      <c r="N1345" s="367" t="str">
        <f t="shared" si="1746"/>
        <v>-</v>
      </c>
      <c r="O1345" s="368" t="str">
        <f t="shared" si="1733"/>
        <v>-</v>
      </c>
    </row>
    <row r="1346" spans="1:15" ht="24" thickBot="1" x14ac:dyDescent="0.35">
      <c r="A1346" s="277" t="s">
        <v>110</v>
      </c>
      <c r="B1346" s="905"/>
      <c r="C1346" s="282" t="s">
        <v>204</v>
      </c>
      <c r="D1346" s="282"/>
      <c r="E1346" s="283">
        <v>0</v>
      </c>
      <c r="F1346" s="284"/>
      <c r="G1346" s="340">
        <f t="shared" si="1754"/>
        <v>0</v>
      </c>
      <c r="H1346" s="285">
        <v>0</v>
      </c>
      <c r="I1346" s="285">
        <v>0</v>
      </c>
      <c r="J1346" s="379" t="str">
        <f>IFERROR(G1346/#REF!,"-")</f>
        <v>-</v>
      </c>
      <c r="K1346" s="340">
        <f t="shared" si="1755"/>
        <v>0</v>
      </c>
      <c r="L1346" s="285">
        <f t="shared" si="1756"/>
        <v>0</v>
      </c>
      <c r="M1346" s="286">
        <f t="shared" si="1757"/>
        <v>0</v>
      </c>
      <c r="N1346" s="369" t="str">
        <f t="shared" si="1746"/>
        <v>-</v>
      </c>
      <c r="O1346" s="370" t="str">
        <f t="shared" si="1733"/>
        <v>-</v>
      </c>
    </row>
    <row r="1347" spans="1:15" ht="24" thickBot="1" x14ac:dyDescent="0.35">
      <c r="A1347" s="277" t="s">
        <v>110</v>
      </c>
      <c r="B1347" s="909" t="s">
        <v>44</v>
      </c>
      <c r="C1347" s="910"/>
      <c r="D1347" s="911"/>
      <c r="E1347" s="326">
        <v>0</v>
      </c>
      <c r="F1347" s="289"/>
      <c r="G1347" s="326">
        <f>SUM(G1344:G1346)</f>
        <v>0</v>
      </c>
      <c r="H1347" s="327">
        <f t="shared" ref="H1347:I1347" si="1758">SUM(H1344:H1346)</f>
        <v>0</v>
      </c>
      <c r="I1347" s="327">
        <f t="shared" si="1758"/>
        <v>0</v>
      </c>
      <c r="J1347" s="351" t="str">
        <f>IFERROR(G1347/#REF!,"-")</f>
        <v>-</v>
      </c>
      <c r="K1347" s="326">
        <f t="shared" ref="K1347:M1347" si="1759">SUM(K1344:K1346)</f>
        <v>0</v>
      </c>
      <c r="L1347" s="327">
        <f t="shared" si="1759"/>
        <v>0</v>
      </c>
      <c r="M1347" s="328">
        <f t="shared" si="1759"/>
        <v>0</v>
      </c>
      <c r="N1347" s="345" t="str">
        <f t="shared" si="1746"/>
        <v>-</v>
      </c>
      <c r="O1347" s="351" t="str">
        <f t="shared" si="1733"/>
        <v>-</v>
      </c>
    </row>
    <row r="1348" spans="1:15" ht="23.4" x14ac:dyDescent="0.3">
      <c r="A1348" s="277" t="s">
        <v>110</v>
      </c>
      <c r="B1348" s="903" t="s">
        <v>45</v>
      </c>
      <c r="C1348" s="272" t="s">
        <v>169</v>
      </c>
      <c r="D1348" s="272"/>
      <c r="E1348" s="273">
        <v>0</v>
      </c>
      <c r="F1348" s="274"/>
      <c r="G1348" s="338">
        <f t="shared" ref="G1348:G1349" si="1760">+H1348+I1348</f>
        <v>0</v>
      </c>
      <c r="H1348" s="275">
        <v>0</v>
      </c>
      <c r="I1348" s="275">
        <v>0</v>
      </c>
      <c r="J1348" s="377" t="str">
        <f>IFERROR(G1348/#REF!,"-")</f>
        <v>-</v>
      </c>
      <c r="K1348" s="338">
        <f t="shared" ref="K1348:K1349" si="1761">+L1348+M1348</f>
        <v>0</v>
      </c>
      <c r="L1348" s="275">
        <f t="shared" ref="L1348:L1349" si="1762">+H1348+L1244</f>
        <v>0</v>
      </c>
      <c r="M1348" s="276">
        <f t="shared" ref="M1348:M1349" si="1763">+I1348+M1244</f>
        <v>0</v>
      </c>
      <c r="N1348" s="365" t="str">
        <f t="shared" si="1746"/>
        <v>-</v>
      </c>
      <c r="O1348" s="366" t="str">
        <f t="shared" si="1733"/>
        <v>-</v>
      </c>
    </row>
    <row r="1349" spans="1:15" ht="24" thickBot="1" x14ac:dyDescent="0.35">
      <c r="A1349" s="277" t="s">
        <v>110</v>
      </c>
      <c r="B1349" s="905"/>
      <c r="C1349" s="282" t="s">
        <v>170</v>
      </c>
      <c r="D1349" s="282"/>
      <c r="E1349" s="283">
        <v>0</v>
      </c>
      <c r="F1349" s="284"/>
      <c r="G1349" s="340">
        <f t="shared" si="1760"/>
        <v>0</v>
      </c>
      <c r="H1349" s="285">
        <v>0</v>
      </c>
      <c r="I1349" s="285">
        <v>0</v>
      </c>
      <c r="J1349" s="379" t="str">
        <f>IFERROR(G1349/#REF!,"-")</f>
        <v>-</v>
      </c>
      <c r="K1349" s="340">
        <f t="shared" si="1761"/>
        <v>0</v>
      </c>
      <c r="L1349" s="285">
        <f t="shared" si="1762"/>
        <v>0</v>
      </c>
      <c r="M1349" s="286">
        <f t="shared" si="1763"/>
        <v>0</v>
      </c>
      <c r="N1349" s="369" t="str">
        <f t="shared" si="1746"/>
        <v>-</v>
      </c>
      <c r="O1349" s="370" t="str">
        <f t="shared" si="1733"/>
        <v>-</v>
      </c>
    </row>
    <row r="1350" spans="1:15" ht="24" thickBot="1" x14ac:dyDescent="0.35">
      <c r="A1350" s="277" t="s">
        <v>110</v>
      </c>
      <c r="B1350" s="909" t="s">
        <v>46</v>
      </c>
      <c r="C1350" s="910"/>
      <c r="D1350" s="911"/>
      <c r="E1350" s="288">
        <v>11100</v>
      </c>
      <c r="F1350" s="289">
        <v>25000</v>
      </c>
      <c r="G1350" s="326">
        <f>SUM(G1348:G1349)</f>
        <v>0</v>
      </c>
      <c r="H1350" s="327">
        <f t="shared" ref="H1350:I1350" si="1764">SUM(H1348:H1349)</f>
        <v>0</v>
      </c>
      <c r="I1350" s="327">
        <f t="shared" si="1764"/>
        <v>0</v>
      </c>
      <c r="J1350" s="351" t="str">
        <f>IFERROR(G1350/#REF!,"-")</f>
        <v>-</v>
      </c>
      <c r="K1350" s="326">
        <f t="shared" ref="K1350:M1350" si="1765">SUM(K1348:K1349)</f>
        <v>0</v>
      </c>
      <c r="L1350" s="327">
        <f t="shared" si="1765"/>
        <v>0</v>
      </c>
      <c r="M1350" s="328">
        <f t="shared" si="1765"/>
        <v>0</v>
      </c>
      <c r="N1350" s="345">
        <f t="shared" si="1746"/>
        <v>0</v>
      </c>
      <c r="O1350" s="351" t="str">
        <f t="shared" si="1733"/>
        <v>-</v>
      </c>
    </row>
    <row r="1351" spans="1:15" ht="24" thickBot="1" x14ac:dyDescent="0.35">
      <c r="A1351" s="277" t="s">
        <v>110</v>
      </c>
      <c r="B1351" s="912" t="s">
        <v>25</v>
      </c>
      <c r="C1351" s="913"/>
      <c r="D1351" s="914"/>
      <c r="E1351" s="332">
        <f t="shared" ref="E1351:F1351" si="1766">+E1329+E1334+E1337+E1343+E1347+E1350</f>
        <v>745700</v>
      </c>
      <c r="F1351" s="333">
        <f t="shared" si="1766"/>
        <v>59300</v>
      </c>
      <c r="G1351" s="332">
        <f>+G1329+G1334+G1337+G1343+G1347+G1350</f>
        <v>10076</v>
      </c>
      <c r="H1351" s="330">
        <f t="shared" ref="H1351:I1351" si="1767">+H1329+H1334+H1337+H1343+H1347+H1350</f>
        <v>9920</v>
      </c>
      <c r="I1351" s="330">
        <f t="shared" si="1767"/>
        <v>156</v>
      </c>
      <c r="J1351" s="355" t="str">
        <f>IFERROR(G1351/#REF!,"-")</f>
        <v>-</v>
      </c>
      <c r="K1351" s="332">
        <f>+K1329+K1334+K1337+K1343+K1347+K1350</f>
        <v>345790</v>
      </c>
      <c r="L1351" s="330">
        <f t="shared" ref="L1351:M1351" si="1768">+L1329+L1334+L1337+L1343+L1347+L1350</f>
        <v>340224</v>
      </c>
      <c r="M1351" s="331">
        <f t="shared" si="1768"/>
        <v>5566</v>
      </c>
      <c r="N1351" s="347">
        <f t="shared" si="1746"/>
        <v>0.46371194850476061</v>
      </c>
      <c r="O1351" s="355">
        <f t="shared" si="1733"/>
        <v>1.6096474739003441E-2</v>
      </c>
    </row>
    <row r="1352" spans="1:15" ht="24" thickBot="1" x14ac:dyDescent="0.35">
      <c r="A1352" s="324" t="s">
        <v>110</v>
      </c>
      <c r="B1352" s="901" t="s">
        <v>182</v>
      </c>
      <c r="C1352" s="901"/>
      <c r="D1352" s="902"/>
      <c r="E1352" s="336">
        <f>+E1351</f>
        <v>745700</v>
      </c>
      <c r="F1352" s="337">
        <f t="shared" ref="F1352:O1352" si="1769">+F1351</f>
        <v>59300</v>
      </c>
      <c r="G1352" s="336">
        <f t="shared" si="1769"/>
        <v>10076</v>
      </c>
      <c r="H1352" s="334">
        <f t="shared" si="1769"/>
        <v>9920</v>
      </c>
      <c r="I1352" s="334">
        <f t="shared" si="1769"/>
        <v>156</v>
      </c>
      <c r="J1352" s="356" t="str">
        <f t="shared" si="1769"/>
        <v>-</v>
      </c>
      <c r="K1352" s="336">
        <f t="shared" si="1769"/>
        <v>345790</v>
      </c>
      <c r="L1352" s="334">
        <f t="shared" si="1769"/>
        <v>340224</v>
      </c>
      <c r="M1352" s="335">
        <f t="shared" si="1769"/>
        <v>5566</v>
      </c>
      <c r="N1352" s="348">
        <f t="shared" si="1769"/>
        <v>0.46371194850476061</v>
      </c>
      <c r="O1352" s="356">
        <f t="shared" si="1769"/>
        <v>1.6096474739003441E-2</v>
      </c>
    </row>
    <row r="1353" spans="1:15" ht="24.6" thickBot="1" x14ac:dyDescent="0.35">
      <c r="A1353" s="325"/>
      <c r="B1353" s="915" t="s">
        <v>183</v>
      </c>
      <c r="C1353" s="916"/>
      <c r="D1353" s="917"/>
      <c r="E1353" s="380">
        <f>+E1298+E1325+E1352</f>
        <v>9494400</v>
      </c>
      <c r="F1353" s="380">
        <f>+F1298+F1325+F1352</f>
        <v>748300</v>
      </c>
      <c r="G1353" s="380">
        <f>+G1298+G1325+G1352</f>
        <v>292411</v>
      </c>
      <c r="H1353" s="380">
        <f>+H1298+H1325+H1352</f>
        <v>289611</v>
      </c>
      <c r="I1353" s="380">
        <f>+I1298+I1325+I1352</f>
        <v>2800</v>
      </c>
      <c r="J1353" s="381" t="str">
        <f>IFERROR(G1353/#REF!,"-")</f>
        <v>-</v>
      </c>
      <c r="K1353" s="380">
        <f>+K1298+K1325+K1352</f>
        <v>3584956</v>
      </c>
      <c r="L1353" s="380">
        <f>+L1298+L1325+L1352</f>
        <v>3546528</v>
      </c>
      <c r="M1353" s="380">
        <f>+M1298+M1325+M1352</f>
        <v>38428</v>
      </c>
      <c r="N1353" s="381">
        <f>IFERROR(K1353/E1353,"-")</f>
        <v>0.37758636670037077</v>
      </c>
      <c r="O1353" s="381">
        <f>IFERROR(M1353/K1353,"-")</f>
        <v>1.0719238953002492E-2</v>
      </c>
    </row>
    <row r="1354" spans="1:15" ht="23.4" x14ac:dyDescent="0.3">
      <c r="A1354" s="935" t="s">
        <v>1</v>
      </c>
      <c r="B1354" s="938" t="s">
        <v>2</v>
      </c>
      <c r="C1354" s="941" t="s">
        <v>3</v>
      </c>
      <c r="D1354" s="941" t="s">
        <v>93</v>
      </c>
      <c r="E1354" s="944" t="s">
        <v>4</v>
      </c>
      <c r="F1354" s="945"/>
      <c r="G1354" s="945"/>
      <c r="H1354" s="945"/>
      <c r="I1354" s="945"/>
      <c r="J1354" s="945"/>
      <c r="K1354" s="945"/>
      <c r="L1354" s="945"/>
      <c r="M1354" s="945"/>
      <c r="N1354" s="945"/>
      <c r="O1354" s="946"/>
    </row>
    <row r="1355" spans="1:15" ht="23.4" x14ac:dyDescent="0.3">
      <c r="A1355" s="936"/>
      <c r="B1355" s="939"/>
      <c r="C1355" s="942"/>
      <c r="D1355" s="942"/>
      <c r="E1355" s="947" t="s">
        <v>7</v>
      </c>
      <c r="F1355" s="949" t="s">
        <v>116</v>
      </c>
      <c r="G1355" s="951" t="s">
        <v>512</v>
      </c>
      <c r="H1355" s="952"/>
      <c r="I1355" s="952"/>
      <c r="J1355" s="953"/>
      <c r="K1355" s="954" t="s">
        <v>8</v>
      </c>
      <c r="L1355" s="955"/>
      <c r="M1355" s="956"/>
      <c r="N1355" s="957" t="s">
        <v>174</v>
      </c>
      <c r="O1355" s="959" t="s">
        <v>173</v>
      </c>
    </row>
    <row r="1356" spans="1:15" ht="41.4" thickBot="1" x14ac:dyDescent="0.35">
      <c r="A1356" s="937"/>
      <c r="B1356" s="940"/>
      <c r="C1356" s="943"/>
      <c r="D1356" s="943"/>
      <c r="E1356" s="948"/>
      <c r="F1356" s="950"/>
      <c r="G1356" s="462" t="s">
        <v>13</v>
      </c>
      <c r="H1356" s="463" t="s">
        <v>14</v>
      </c>
      <c r="I1356" s="463" t="s">
        <v>15</v>
      </c>
      <c r="J1356" s="464" t="s">
        <v>175</v>
      </c>
      <c r="K1356" s="462" t="s">
        <v>13</v>
      </c>
      <c r="L1356" s="463" t="s">
        <v>14</v>
      </c>
      <c r="M1356" s="465" t="s">
        <v>15</v>
      </c>
      <c r="N1356" s="958"/>
      <c r="O1356" s="960"/>
    </row>
    <row r="1357" spans="1:15" ht="23.4" x14ac:dyDescent="0.3">
      <c r="A1357" s="271" t="s">
        <v>111</v>
      </c>
      <c r="B1357" s="922" t="s">
        <v>16</v>
      </c>
      <c r="C1357" s="272" t="s">
        <v>186</v>
      </c>
      <c r="D1357" s="272" t="s">
        <v>184</v>
      </c>
      <c r="E1357" s="273">
        <v>0</v>
      </c>
      <c r="F1357" s="274"/>
      <c r="G1357" s="338">
        <f>+H1357+I1357</f>
        <v>0</v>
      </c>
      <c r="H1357" s="275">
        <v>0</v>
      </c>
      <c r="I1357" s="275">
        <v>0</v>
      </c>
      <c r="J1357" s="357" t="str">
        <f>IFERROR(G1357/#REF!,"-")</f>
        <v>-</v>
      </c>
      <c r="K1357" s="468">
        <f>+L1357+M1357</f>
        <v>0</v>
      </c>
      <c r="L1357" s="469">
        <f>+H1357+L1253</f>
        <v>0</v>
      </c>
      <c r="M1357" s="469">
        <f>+I1357+M1253</f>
        <v>0</v>
      </c>
      <c r="N1357" s="342" t="str">
        <f>IFERROR(K1357/E1357,"-")</f>
        <v>-</v>
      </c>
      <c r="O1357" s="349" t="str">
        <f t="shared" ref="O1357:O1358" si="1770">IFERROR(M1357/K1357,"-")</f>
        <v>-</v>
      </c>
    </row>
    <row r="1358" spans="1:15" ht="23.4" x14ac:dyDescent="0.3">
      <c r="A1358" s="277" t="s">
        <v>111</v>
      </c>
      <c r="B1358" s="923"/>
      <c r="C1358" s="278" t="s">
        <v>190</v>
      </c>
      <c r="D1358" s="278" t="s">
        <v>101</v>
      </c>
      <c r="E1358" s="279">
        <v>0</v>
      </c>
      <c r="F1358" s="280"/>
      <c r="G1358" s="339">
        <f t="shared" ref="G1358:G1360" si="1771">+H1358+I1358</f>
        <v>0</v>
      </c>
      <c r="H1358" s="281">
        <v>0</v>
      </c>
      <c r="I1358" s="281">
        <v>0</v>
      </c>
      <c r="J1358" s="358" t="str">
        <f>IFERROR(G1358/#REF!,"-")</f>
        <v>-</v>
      </c>
      <c r="K1358" s="339">
        <f t="shared" ref="K1358:K1360" si="1772">+L1358+M1358</f>
        <v>0</v>
      </c>
      <c r="L1358" s="281">
        <f t="shared" ref="L1358:L1360" si="1773">+H1358+L1254</f>
        <v>0</v>
      </c>
      <c r="M1358" s="442">
        <f t="shared" ref="M1358:M1360" si="1774">+I1358+M1254</f>
        <v>0</v>
      </c>
      <c r="N1358" s="343" t="str">
        <f t="shared" ref="N1358:N1360" si="1775">IFERROR(K1358/E1358,"-")</f>
        <v>-</v>
      </c>
      <c r="O1358" s="268" t="str">
        <f t="shared" si="1770"/>
        <v>-</v>
      </c>
    </row>
    <row r="1359" spans="1:15" ht="23.4" x14ac:dyDescent="0.3">
      <c r="A1359" s="277" t="s">
        <v>111</v>
      </c>
      <c r="B1359" s="923"/>
      <c r="C1359" s="278" t="s">
        <v>187</v>
      </c>
      <c r="D1359" s="278" t="s">
        <v>185</v>
      </c>
      <c r="E1359" s="279">
        <v>0</v>
      </c>
      <c r="F1359" s="280"/>
      <c r="G1359" s="339">
        <f t="shared" si="1771"/>
        <v>0</v>
      </c>
      <c r="H1359" s="281">
        <v>0</v>
      </c>
      <c r="I1359" s="281">
        <v>0</v>
      </c>
      <c r="J1359" s="358" t="str">
        <f>IFERROR(G1359/#REF!,"-")</f>
        <v>-</v>
      </c>
      <c r="K1359" s="339">
        <f t="shared" si="1772"/>
        <v>0</v>
      </c>
      <c r="L1359" s="281">
        <f t="shared" si="1773"/>
        <v>0</v>
      </c>
      <c r="M1359" s="442">
        <f t="shared" si="1774"/>
        <v>0</v>
      </c>
      <c r="N1359" s="343" t="str">
        <f t="shared" si="1775"/>
        <v>-</v>
      </c>
      <c r="O1359" s="268" t="str">
        <f>IFERROR(M1359/K1359,"-")</f>
        <v>-</v>
      </c>
    </row>
    <row r="1360" spans="1:15" ht="24" thickBot="1" x14ac:dyDescent="0.35">
      <c r="A1360" s="277" t="s">
        <v>111</v>
      </c>
      <c r="B1360" s="924"/>
      <c r="C1360" s="282" t="s">
        <v>255</v>
      </c>
      <c r="D1360" s="282" t="s">
        <v>256</v>
      </c>
      <c r="E1360" s="283">
        <v>0</v>
      </c>
      <c r="F1360" s="284"/>
      <c r="G1360" s="340">
        <f t="shared" si="1771"/>
        <v>0</v>
      </c>
      <c r="H1360" s="285">
        <v>0</v>
      </c>
      <c r="I1360" s="285">
        <v>0</v>
      </c>
      <c r="J1360" s="359" t="str">
        <f>IFERROR(G1360/#REF!,"-")</f>
        <v>-</v>
      </c>
      <c r="K1360" s="471">
        <f t="shared" si="1772"/>
        <v>105704</v>
      </c>
      <c r="L1360" s="472">
        <f t="shared" si="1773"/>
        <v>104016</v>
      </c>
      <c r="M1360" s="473">
        <f t="shared" si="1774"/>
        <v>1688</v>
      </c>
      <c r="N1360" s="344" t="str">
        <f t="shared" si="1775"/>
        <v>-</v>
      </c>
      <c r="O1360" s="350">
        <f t="shared" ref="O1360:O1378" si="1776">IFERROR(M1360/K1360,"-")</f>
        <v>1.5969121319912207E-2</v>
      </c>
    </row>
    <row r="1361" spans="1:15" ht="24" thickBot="1" x14ac:dyDescent="0.35">
      <c r="A1361" s="277" t="s">
        <v>111</v>
      </c>
      <c r="B1361" s="906" t="s">
        <v>47</v>
      </c>
      <c r="C1361" s="907"/>
      <c r="D1361" s="908"/>
      <c r="E1361" s="326">
        <v>144600</v>
      </c>
      <c r="F1361" s="289">
        <v>15000</v>
      </c>
      <c r="G1361" s="326">
        <f>SUM(G1357:G1360)</f>
        <v>0</v>
      </c>
      <c r="H1361" s="327">
        <f t="shared" ref="H1361:I1361" si="1777">SUM(H1357:H1360)</f>
        <v>0</v>
      </c>
      <c r="I1361" s="327">
        <f t="shared" si="1777"/>
        <v>0</v>
      </c>
      <c r="J1361" s="351" t="str">
        <f>IFERROR(G1361/#REF!,"-")</f>
        <v>-</v>
      </c>
      <c r="K1361" s="326">
        <f t="shared" ref="K1361:M1361" si="1778">SUM(K1357:K1360)</f>
        <v>105704</v>
      </c>
      <c r="L1361" s="327">
        <f t="shared" si="1778"/>
        <v>104016</v>
      </c>
      <c r="M1361" s="328">
        <f t="shared" si="1778"/>
        <v>1688</v>
      </c>
      <c r="N1361" s="345">
        <f>IFERROR(K1361/E1361,"-")</f>
        <v>0.7310096818810512</v>
      </c>
      <c r="O1361" s="351">
        <f t="shared" si="1776"/>
        <v>1.5969121319912207E-2</v>
      </c>
    </row>
    <row r="1362" spans="1:15" ht="23.4" x14ac:dyDescent="0.3">
      <c r="A1362" s="277" t="s">
        <v>111</v>
      </c>
      <c r="B1362" s="922" t="s">
        <v>17</v>
      </c>
      <c r="C1362" s="272" t="s">
        <v>331</v>
      </c>
      <c r="D1362" s="272"/>
      <c r="E1362" s="273">
        <v>0</v>
      </c>
      <c r="F1362" s="274"/>
      <c r="G1362" s="338">
        <f t="shared" ref="G1362:G1368" si="1779">+H1362+I1362</f>
        <v>0</v>
      </c>
      <c r="H1362" s="275">
        <v>0</v>
      </c>
      <c r="I1362" s="275">
        <v>0</v>
      </c>
      <c r="J1362" s="357" t="str">
        <f>IFERROR(G1362/#REF!,"-")</f>
        <v>-</v>
      </c>
      <c r="K1362" s="468">
        <f t="shared" ref="K1362:K1368" si="1780">+L1362+M1362</f>
        <v>0</v>
      </c>
      <c r="L1362" s="469">
        <f t="shared" ref="L1362:L1368" si="1781">+H1362+L1258</f>
        <v>0</v>
      </c>
      <c r="M1362" s="470">
        <f t="shared" ref="M1362:M1368" si="1782">+I1362+M1258</f>
        <v>0</v>
      </c>
      <c r="N1362" s="342" t="str">
        <f t="shared" ref="N1362:N1368" si="1783">IFERROR(K1362/E1362,"-")</f>
        <v>-</v>
      </c>
      <c r="O1362" s="352" t="str">
        <f t="shared" si="1776"/>
        <v>-</v>
      </c>
    </row>
    <row r="1363" spans="1:15" ht="23.4" x14ac:dyDescent="0.3">
      <c r="A1363" s="277" t="s">
        <v>111</v>
      </c>
      <c r="B1363" s="923"/>
      <c r="C1363" s="278" t="s">
        <v>421</v>
      </c>
      <c r="D1363" s="278" t="s">
        <v>257</v>
      </c>
      <c r="E1363" s="279">
        <v>0</v>
      </c>
      <c r="F1363" s="280"/>
      <c r="G1363" s="339">
        <f t="shared" si="1779"/>
        <v>30740</v>
      </c>
      <c r="H1363" s="281">
        <v>30600</v>
      </c>
      <c r="I1363" s="281">
        <v>140</v>
      </c>
      <c r="J1363" s="358" t="str">
        <f>IFERROR(G1363/#REF!,"-")</f>
        <v>-</v>
      </c>
      <c r="K1363" s="339">
        <f t="shared" si="1780"/>
        <v>438860</v>
      </c>
      <c r="L1363" s="810">
        <f t="shared" si="1781"/>
        <v>436823</v>
      </c>
      <c r="M1363" s="442">
        <f t="shared" si="1782"/>
        <v>2037</v>
      </c>
      <c r="N1363" s="343" t="str">
        <f t="shared" si="1783"/>
        <v>-</v>
      </c>
      <c r="O1363" s="264">
        <f t="shared" si="1776"/>
        <v>4.641571343936563E-3</v>
      </c>
    </row>
    <row r="1364" spans="1:15" ht="23.4" x14ac:dyDescent="0.3">
      <c r="A1364" s="277" t="s">
        <v>111</v>
      </c>
      <c r="B1364" s="923"/>
      <c r="C1364" s="278" t="s">
        <v>290</v>
      </c>
      <c r="D1364" s="278" t="s">
        <v>205</v>
      </c>
      <c r="E1364" s="279">
        <v>0</v>
      </c>
      <c r="F1364" s="280"/>
      <c r="G1364" s="339">
        <f t="shared" si="1779"/>
        <v>0</v>
      </c>
      <c r="H1364" s="281">
        <v>0</v>
      </c>
      <c r="I1364" s="281">
        <v>0</v>
      </c>
      <c r="J1364" s="358" t="str">
        <f>IFERROR(G1364/#REF!,"-")</f>
        <v>-</v>
      </c>
      <c r="K1364" s="339">
        <f t="shared" si="1780"/>
        <v>0</v>
      </c>
      <c r="L1364" s="281">
        <f t="shared" si="1781"/>
        <v>0</v>
      </c>
      <c r="M1364" s="442">
        <f t="shared" si="1782"/>
        <v>0</v>
      </c>
      <c r="N1364" s="343" t="str">
        <f t="shared" si="1783"/>
        <v>-</v>
      </c>
      <c r="O1364" s="264" t="str">
        <f t="shared" si="1776"/>
        <v>-</v>
      </c>
    </row>
    <row r="1365" spans="1:15" ht="23.4" x14ac:dyDescent="0.3">
      <c r="A1365" s="277" t="s">
        <v>111</v>
      </c>
      <c r="B1365" s="923"/>
      <c r="C1365" s="278" t="s">
        <v>330</v>
      </c>
      <c r="D1365" s="278" t="s">
        <v>206</v>
      </c>
      <c r="E1365" s="279">
        <v>0</v>
      </c>
      <c r="F1365" s="280"/>
      <c r="G1365" s="339">
        <f t="shared" si="1779"/>
        <v>0</v>
      </c>
      <c r="H1365" s="281">
        <v>0</v>
      </c>
      <c r="I1365" s="281">
        <v>0</v>
      </c>
      <c r="J1365" s="358" t="str">
        <f>IFERROR(G1365/#REF!,"-")</f>
        <v>-</v>
      </c>
      <c r="K1365" s="339">
        <f t="shared" si="1780"/>
        <v>1836</v>
      </c>
      <c r="L1365" s="281">
        <f t="shared" si="1781"/>
        <v>1836</v>
      </c>
      <c r="M1365" s="442">
        <f t="shared" si="1782"/>
        <v>0</v>
      </c>
      <c r="N1365" s="343" t="str">
        <f t="shared" si="1783"/>
        <v>-</v>
      </c>
      <c r="O1365" s="264">
        <f t="shared" si="1776"/>
        <v>0</v>
      </c>
    </row>
    <row r="1366" spans="1:15" ht="23.4" x14ac:dyDescent="0.3">
      <c r="A1366" s="277" t="s">
        <v>111</v>
      </c>
      <c r="B1366" s="923"/>
      <c r="C1366" s="278" t="s">
        <v>377</v>
      </c>
      <c r="D1366" s="278" t="s">
        <v>371</v>
      </c>
      <c r="E1366" s="279">
        <v>0</v>
      </c>
      <c r="F1366" s="280"/>
      <c r="G1366" s="339">
        <f t="shared" si="1779"/>
        <v>0</v>
      </c>
      <c r="H1366" s="281">
        <v>0</v>
      </c>
      <c r="I1366" s="281">
        <v>0</v>
      </c>
      <c r="J1366" s="358" t="str">
        <f>IFERROR(G1366/#REF!,"-")</f>
        <v>-</v>
      </c>
      <c r="K1366" s="339">
        <f t="shared" si="1780"/>
        <v>10610</v>
      </c>
      <c r="L1366" s="281">
        <f t="shared" si="1781"/>
        <v>10610</v>
      </c>
      <c r="M1366" s="442">
        <f t="shared" si="1782"/>
        <v>0</v>
      </c>
      <c r="N1366" s="343" t="str">
        <f t="shared" si="1783"/>
        <v>-</v>
      </c>
      <c r="O1366" s="264">
        <f t="shared" si="1776"/>
        <v>0</v>
      </c>
    </row>
    <row r="1367" spans="1:15" ht="23.4" x14ac:dyDescent="0.3">
      <c r="A1367" s="277" t="s">
        <v>111</v>
      </c>
      <c r="B1367" s="923"/>
      <c r="C1367" s="278" t="s">
        <v>443</v>
      </c>
      <c r="D1367" s="278" t="s">
        <v>207</v>
      </c>
      <c r="E1367" s="279">
        <v>0</v>
      </c>
      <c r="F1367" s="280"/>
      <c r="G1367" s="339">
        <f t="shared" si="1779"/>
        <v>12240</v>
      </c>
      <c r="H1367" s="281">
        <v>12240</v>
      </c>
      <c r="I1367" s="281">
        <v>0</v>
      </c>
      <c r="J1367" s="358" t="str">
        <f>IFERROR(G1367/#REF!,"-")</f>
        <v>-</v>
      </c>
      <c r="K1367" s="339">
        <f t="shared" si="1780"/>
        <v>429780</v>
      </c>
      <c r="L1367" s="810">
        <f t="shared" si="1781"/>
        <v>428400</v>
      </c>
      <c r="M1367" s="442">
        <f t="shared" si="1782"/>
        <v>1380</v>
      </c>
      <c r="N1367" s="343" t="str">
        <f t="shared" si="1783"/>
        <v>-</v>
      </c>
      <c r="O1367" s="264">
        <f t="shared" si="1776"/>
        <v>3.2109451347200895E-3</v>
      </c>
    </row>
    <row r="1368" spans="1:15" ht="24" thickBot="1" x14ac:dyDescent="0.35">
      <c r="A1368" s="277" t="s">
        <v>111</v>
      </c>
      <c r="B1368" s="924"/>
      <c r="C1368" s="282" t="s">
        <v>416</v>
      </c>
      <c r="D1368" s="282" t="s">
        <v>257</v>
      </c>
      <c r="E1368" s="283">
        <v>0</v>
      </c>
      <c r="F1368" s="284"/>
      <c r="G1368" s="340">
        <f t="shared" si="1779"/>
        <v>0</v>
      </c>
      <c r="H1368" s="285">
        <v>0</v>
      </c>
      <c r="I1368" s="285">
        <v>0</v>
      </c>
      <c r="J1368" s="359" t="str">
        <f>IFERROR(G1368/#REF!,"-")</f>
        <v>-</v>
      </c>
      <c r="K1368" s="471">
        <f t="shared" si="1780"/>
        <v>73650</v>
      </c>
      <c r="L1368" s="719">
        <f t="shared" si="1781"/>
        <v>73440</v>
      </c>
      <c r="M1368" s="473">
        <f t="shared" si="1782"/>
        <v>210</v>
      </c>
      <c r="N1368" s="344" t="str">
        <f t="shared" si="1783"/>
        <v>-</v>
      </c>
      <c r="O1368" s="353">
        <f t="shared" si="1776"/>
        <v>2.8513238289205704E-3</v>
      </c>
    </row>
    <row r="1369" spans="1:15" ht="24" thickBot="1" x14ac:dyDescent="0.35">
      <c r="A1369" s="277" t="s">
        <v>111</v>
      </c>
      <c r="B1369" s="906" t="s">
        <v>48</v>
      </c>
      <c r="C1369" s="907"/>
      <c r="D1369" s="908"/>
      <c r="E1369" s="326">
        <v>3480000</v>
      </c>
      <c r="F1369" s="289">
        <v>100000</v>
      </c>
      <c r="G1369" s="326">
        <f>SUM(G1362:G1368)</f>
        <v>42980</v>
      </c>
      <c r="H1369" s="327">
        <f t="shared" ref="H1369:I1369" si="1784">SUM(H1362:H1368)</f>
        <v>42840</v>
      </c>
      <c r="I1369" s="327">
        <f t="shared" si="1784"/>
        <v>140</v>
      </c>
      <c r="J1369" s="351" t="str">
        <f>IFERROR(G1369/#REF!,"-")</f>
        <v>-</v>
      </c>
      <c r="K1369" s="326">
        <f>SUM(K1362:K1368)</f>
        <v>954736</v>
      </c>
      <c r="L1369" s="327">
        <f>SUM(L1362:L1368)</f>
        <v>951109</v>
      </c>
      <c r="M1369" s="328">
        <f t="shared" ref="M1369" si="1785">SUM(M1362:M1368)</f>
        <v>3627</v>
      </c>
      <c r="N1369" s="345">
        <f>IFERROR(K1369/E1369,"-")</f>
        <v>0.27434942528735634</v>
      </c>
      <c r="O1369" s="351">
        <f t="shared" si="1776"/>
        <v>3.7989559417472476E-3</v>
      </c>
    </row>
    <row r="1370" spans="1:15" ht="23.4" x14ac:dyDescent="0.3">
      <c r="A1370" s="277" t="s">
        <v>111</v>
      </c>
      <c r="B1370" s="922" t="s">
        <v>18</v>
      </c>
      <c r="C1370" s="272" t="s">
        <v>359</v>
      </c>
      <c r="D1370" s="272" t="s">
        <v>99</v>
      </c>
      <c r="E1370" s="273">
        <v>0</v>
      </c>
      <c r="F1370" s="274"/>
      <c r="G1370" s="338">
        <f t="shared" ref="G1370:G1376" si="1786">+H1370+I1370</f>
        <v>0</v>
      </c>
      <c r="H1370" s="275">
        <v>0</v>
      </c>
      <c r="I1370" s="275">
        <v>0</v>
      </c>
      <c r="J1370" s="357" t="str">
        <f>IFERROR(G1370/#REF!,"-")</f>
        <v>-</v>
      </c>
      <c r="K1370" s="338">
        <f t="shared" ref="K1370:K1376" si="1787">+L1370+M1370</f>
        <v>0</v>
      </c>
      <c r="L1370" s="275">
        <f t="shared" ref="L1370:L1376" si="1788">+H1370+L1266</f>
        <v>0</v>
      </c>
      <c r="M1370" s="276">
        <f t="shared" ref="M1370:M1376" si="1789">+I1370+M1266</f>
        <v>0</v>
      </c>
      <c r="N1370" s="342" t="str">
        <f t="shared" ref="N1370:N1377" si="1790">IFERROR(K1370/E1370,"-")</f>
        <v>-</v>
      </c>
      <c r="O1370" s="352" t="str">
        <f t="shared" si="1776"/>
        <v>-</v>
      </c>
    </row>
    <row r="1371" spans="1:15" ht="23.4" x14ac:dyDescent="0.3">
      <c r="A1371" s="277" t="s">
        <v>111</v>
      </c>
      <c r="B1371" s="923"/>
      <c r="C1371" s="278" t="s">
        <v>258</v>
      </c>
      <c r="D1371" s="278" t="s">
        <v>259</v>
      </c>
      <c r="E1371" s="279">
        <v>0</v>
      </c>
      <c r="F1371" s="280"/>
      <c r="G1371" s="339">
        <f t="shared" si="1786"/>
        <v>0</v>
      </c>
      <c r="H1371" s="281">
        <v>0</v>
      </c>
      <c r="I1371" s="281">
        <v>0</v>
      </c>
      <c r="J1371" s="358" t="str">
        <f>IFERROR(G1371/#REF!,"-")</f>
        <v>-</v>
      </c>
      <c r="K1371" s="339">
        <f t="shared" si="1787"/>
        <v>0</v>
      </c>
      <c r="L1371" s="281">
        <f t="shared" si="1788"/>
        <v>0</v>
      </c>
      <c r="M1371" s="251">
        <f t="shared" si="1789"/>
        <v>0</v>
      </c>
      <c r="N1371" s="343" t="str">
        <f t="shared" si="1790"/>
        <v>-</v>
      </c>
      <c r="O1371" s="264" t="str">
        <f t="shared" si="1776"/>
        <v>-</v>
      </c>
    </row>
    <row r="1372" spans="1:15" ht="23.4" x14ac:dyDescent="0.3">
      <c r="A1372" s="277" t="s">
        <v>111</v>
      </c>
      <c r="B1372" s="923"/>
      <c r="C1372" s="278" t="s">
        <v>123</v>
      </c>
      <c r="D1372" s="278"/>
      <c r="E1372" s="279">
        <v>0</v>
      </c>
      <c r="F1372" s="280"/>
      <c r="G1372" s="339">
        <f t="shared" si="1786"/>
        <v>0</v>
      </c>
      <c r="H1372" s="281">
        <v>0</v>
      </c>
      <c r="I1372" s="281">
        <v>0</v>
      </c>
      <c r="J1372" s="358" t="str">
        <f>IFERROR(G1372/#REF!,"-")</f>
        <v>-</v>
      </c>
      <c r="K1372" s="339">
        <f t="shared" si="1787"/>
        <v>0</v>
      </c>
      <c r="L1372" s="281">
        <f t="shared" si="1788"/>
        <v>0</v>
      </c>
      <c r="M1372" s="251">
        <f t="shared" si="1789"/>
        <v>0</v>
      </c>
      <c r="N1372" s="343" t="str">
        <f t="shared" si="1790"/>
        <v>-</v>
      </c>
      <c r="O1372" s="264" t="str">
        <f t="shared" si="1776"/>
        <v>-</v>
      </c>
    </row>
    <row r="1373" spans="1:15" ht="23.4" x14ac:dyDescent="0.3">
      <c r="A1373" s="277" t="s">
        <v>111</v>
      </c>
      <c r="B1373" s="923"/>
      <c r="C1373" s="278" t="s">
        <v>130</v>
      </c>
      <c r="D1373" s="278"/>
      <c r="E1373" s="279">
        <v>0</v>
      </c>
      <c r="F1373" s="280"/>
      <c r="G1373" s="339">
        <f t="shared" si="1786"/>
        <v>0</v>
      </c>
      <c r="H1373" s="281">
        <v>0</v>
      </c>
      <c r="I1373" s="281">
        <v>0</v>
      </c>
      <c r="J1373" s="358" t="str">
        <f>IFERROR(G1373/#REF!,"-")</f>
        <v>-</v>
      </c>
      <c r="K1373" s="339">
        <f t="shared" si="1787"/>
        <v>0</v>
      </c>
      <c r="L1373" s="281">
        <f t="shared" si="1788"/>
        <v>0</v>
      </c>
      <c r="M1373" s="251">
        <f t="shared" si="1789"/>
        <v>0</v>
      </c>
      <c r="N1373" s="343" t="str">
        <f t="shared" si="1790"/>
        <v>-</v>
      </c>
      <c r="O1373" s="264" t="str">
        <f t="shared" si="1776"/>
        <v>-</v>
      </c>
    </row>
    <row r="1374" spans="1:15" ht="23.4" x14ac:dyDescent="0.3">
      <c r="A1374" s="277" t="s">
        <v>111</v>
      </c>
      <c r="B1374" s="923"/>
      <c r="C1374" s="278" t="s">
        <v>191</v>
      </c>
      <c r="D1374" s="278" t="s">
        <v>192</v>
      </c>
      <c r="E1374" s="279">
        <v>0</v>
      </c>
      <c r="F1374" s="280"/>
      <c r="G1374" s="339">
        <f t="shared" si="1786"/>
        <v>0</v>
      </c>
      <c r="H1374" s="281">
        <v>0</v>
      </c>
      <c r="I1374" s="281">
        <v>0</v>
      </c>
      <c r="J1374" s="358" t="str">
        <f>IFERROR(G1374/#REF!,"-")</f>
        <v>-</v>
      </c>
      <c r="K1374" s="339">
        <f t="shared" si="1787"/>
        <v>0</v>
      </c>
      <c r="L1374" s="281">
        <f t="shared" si="1788"/>
        <v>0</v>
      </c>
      <c r="M1374" s="251">
        <f t="shared" si="1789"/>
        <v>0</v>
      </c>
      <c r="N1374" s="343" t="str">
        <f t="shared" si="1790"/>
        <v>-</v>
      </c>
      <c r="O1374" s="264" t="str">
        <f t="shared" si="1776"/>
        <v>-</v>
      </c>
    </row>
    <row r="1375" spans="1:15" ht="23.4" x14ac:dyDescent="0.3">
      <c r="A1375" s="277" t="s">
        <v>111</v>
      </c>
      <c r="B1375" s="923"/>
      <c r="C1375" s="278" t="s">
        <v>194</v>
      </c>
      <c r="D1375" s="278" t="s">
        <v>193</v>
      </c>
      <c r="E1375" s="279">
        <v>0</v>
      </c>
      <c r="F1375" s="280"/>
      <c r="G1375" s="339">
        <f t="shared" si="1786"/>
        <v>0</v>
      </c>
      <c r="H1375" s="281">
        <v>0</v>
      </c>
      <c r="I1375" s="281">
        <v>0</v>
      </c>
      <c r="J1375" s="358" t="str">
        <f>IFERROR(G1375/#REF!,"-")</f>
        <v>-</v>
      </c>
      <c r="K1375" s="339">
        <f t="shared" si="1787"/>
        <v>0</v>
      </c>
      <c r="L1375" s="281">
        <f t="shared" si="1788"/>
        <v>0</v>
      </c>
      <c r="M1375" s="251">
        <f t="shared" si="1789"/>
        <v>0</v>
      </c>
      <c r="N1375" s="343" t="str">
        <f t="shared" si="1790"/>
        <v>-</v>
      </c>
      <c r="O1375" s="264" t="str">
        <f t="shared" si="1776"/>
        <v>-</v>
      </c>
    </row>
    <row r="1376" spans="1:15" ht="24" thickBot="1" x14ac:dyDescent="0.35">
      <c r="A1376" s="277" t="s">
        <v>111</v>
      </c>
      <c r="B1376" s="924"/>
      <c r="C1376" s="290" t="s">
        <v>195</v>
      </c>
      <c r="D1376" s="290" t="s">
        <v>115</v>
      </c>
      <c r="E1376" s="283">
        <v>0</v>
      </c>
      <c r="F1376" s="284"/>
      <c r="G1376" s="340">
        <f t="shared" si="1786"/>
        <v>0</v>
      </c>
      <c r="H1376" s="285">
        <v>0</v>
      </c>
      <c r="I1376" s="285">
        <v>0</v>
      </c>
      <c r="J1376" s="359" t="str">
        <f>IFERROR(G1376/#REF!,"-")</f>
        <v>-</v>
      </c>
      <c r="K1376" s="340">
        <f t="shared" si="1787"/>
        <v>0</v>
      </c>
      <c r="L1376" s="285">
        <f t="shared" si="1788"/>
        <v>0</v>
      </c>
      <c r="M1376" s="286">
        <f t="shared" si="1789"/>
        <v>0</v>
      </c>
      <c r="N1376" s="344" t="str">
        <f t="shared" si="1790"/>
        <v>-</v>
      </c>
      <c r="O1376" s="353" t="str">
        <f t="shared" si="1776"/>
        <v>-</v>
      </c>
    </row>
    <row r="1377" spans="1:15" ht="24" thickBot="1" x14ac:dyDescent="0.35">
      <c r="A1377" s="277" t="s">
        <v>111</v>
      </c>
      <c r="B1377" s="906" t="s">
        <v>29</v>
      </c>
      <c r="C1377" s="907"/>
      <c r="D1377" s="908"/>
      <c r="E1377" s="326">
        <f t="shared" ref="E1377" si="1791">SUM(E1370:E1376)</f>
        <v>0</v>
      </c>
      <c r="F1377" s="289">
        <v>80000</v>
      </c>
      <c r="G1377" s="326">
        <f>SUM(G1370:G1376)</f>
        <v>0</v>
      </c>
      <c r="H1377" s="327">
        <f t="shared" ref="H1377:I1377" si="1792">SUM(H1370:H1376)</f>
        <v>0</v>
      </c>
      <c r="I1377" s="327">
        <f t="shared" si="1792"/>
        <v>0</v>
      </c>
      <c r="J1377" s="351" t="str">
        <f>IFERROR(G1377/#REF!,"-")</f>
        <v>-</v>
      </c>
      <c r="K1377" s="326">
        <f t="shared" ref="K1377:M1377" si="1793">SUM(K1370:K1376)</f>
        <v>0</v>
      </c>
      <c r="L1377" s="327">
        <f t="shared" si="1793"/>
        <v>0</v>
      </c>
      <c r="M1377" s="328">
        <f t="shared" si="1793"/>
        <v>0</v>
      </c>
      <c r="N1377" s="345" t="str">
        <f t="shared" si="1790"/>
        <v>-</v>
      </c>
      <c r="O1377" s="351" t="str">
        <f t="shared" si="1776"/>
        <v>-</v>
      </c>
    </row>
    <row r="1378" spans="1:15" ht="23.4" x14ac:dyDescent="0.3">
      <c r="A1378" s="252" t="s">
        <v>111</v>
      </c>
      <c r="B1378" s="918" t="s">
        <v>19</v>
      </c>
      <c r="C1378" s="757" t="s">
        <v>260</v>
      </c>
      <c r="D1378" s="771" t="s">
        <v>192</v>
      </c>
      <c r="E1378" s="540">
        <v>2000000</v>
      </c>
      <c r="F1378" s="470">
        <v>110000</v>
      </c>
      <c r="G1378" s="770">
        <f t="shared" ref="G1378:G1380" si="1794">+H1378+I1378</f>
        <v>0</v>
      </c>
      <c r="H1378" s="469">
        <v>0</v>
      </c>
      <c r="I1378" s="469">
        <v>0</v>
      </c>
      <c r="J1378" s="544" t="str">
        <f>IFERROR(G1378/#REF!,"-")</f>
        <v>-</v>
      </c>
      <c r="K1378" s="468">
        <f>+L1378+M1378</f>
        <v>329781</v>
      </c>
      <c r="L1378" s="469">
        <f t="shared" ref="L1378:L1379" si="1795">+H1378+L1274</f>
        <v>328118</v>
      </c>
      <c r="M1378" s="470">
        <f t="shared" ref="M1378:M1379" si="1796">+I1378+M1274</f>
        <v>1663</v>
      </c>
      <c r="N1378" s="775">
        <f>IFERROR(K1378/E1378,"-")</f>
        <v>0.1648905</v>
      </c>
      <c r="O1378" s="776">
        <f t="shared" si="1776"/>
        <v>5.0427404853524002E-3</v>
      </c>
    </row>
    <row r="1379" spans="1:15" ht="23.4" x14ac:dyDescent="0.3">
      <c r="A1379" s="252"/>
      <c r="B1379" s="919"/>
      <c r="C1379" s="302" t="s">
        <v>458</v>
      </c>
      <c r="D1379" s="772"/>
      <c r="E1379" s="755">
        <v>0</v>
      </c>
      <c r="F1379" s="441">
        <v>110000</v>
      </c>
      <c r="G1379" s="756">
        <f t="shared" si="1794"/>
        <v>67969</v>
      </c>
      <c r="H1379" s="275">
        <v>67584</v>
      </c>
      <c r="I1379" s="275">
        <v>385</v>
      </c>
      <c r="J1379" s="357" t="str">
        <f>IFERROR(G1379/#REF!,"-")</f>
        <v>-</v>
      </c>
      <c r="K1379" s="341">
        <f>+L1379+M1379</f>
        <v>237705</v>
      </c>
      <c r="L1379" s="295">
        <f t="shared" si="1795"/>
        <v>236544</v>
      </c>
      <c r="M1379" s="774">
        <f t="shared" si="1796"/>
        <v>1161</v>
      </c>
      <c r="N1379" s="346" t="str">
        <f t="shared" ref="N1379:N1380" si="1797">IFERROR(K1379/E1379,"-")</f>
        <v>-</v>
      </c>
      <c r="O1379" s="753">
        <f>IFERROR(M1379/K1379,"-")</f>
        <v>4.8842052123430303E-3</v>
      </c>
    </row>
    <row r="1380" spans="1:15" ht="24" thickBot="1" x14ac:dyDescent="0.35">
      <c r="A1380" s="252"/>
      <c r="B1380" s="920"/>
      <c r="C1380" s="679" t="s">
        <v>417</v>
      </c>
      <c r="D1380" s="773"/>
      <c r="E1380" s="472">
        <v>150000</v>
      </c>
      <c r="F1380" s="473">
        <v>110000</v>
      </c>
      <c r="G1380" s="607">
        <f t="shared" si="1794"/>
        <v>0</v>
      </c>
      <c r="H1380" s="285">
        <v>0</v>
      </c>
      <c r="I1380" s="285">
        <v>0</v>
      </c>
      <c r="J1380" s="359"/>
      <c r="K1380" s="471">
        <f>+L1380+M1380</f>
        <v>0</v>
      </c>
      <c r="L1380" s="472">
        <f>+H1380+L1276</f>
        <v>0</v>
      </c>
      <c r="M1380" s="473">
        <f>+I1380+M1276</f>
        <v>0</v>
      </c>
      <c r="N1380" s="344">
        <f t="shared" si="1797"/>
        <v>0</v>
      </c>
      <c r="O1380" s="680" t="str">
        <f t="shared" ref="O1380:O1428" si="1798">IFERROR(M1380/K1380,"-")</f>
        <v>-</v>
      </c>
    </row>
    <row r="1381" spans="1:15" ht="24" thickBot="1" x14ac:dyDescent="0.35">
      <c r="A1381" s="277" t="s">
        <v>111</v>
      </c>
      <c r="B1381" s="921" t="s">
        <v>49</v>
      </c>
      <c r="C1381" s="907"/>
      <c r="D1381" s="908"/>
      <c r="E1381" s="326">
        <f>SUM(E1378:E1380)</f>
        <v>2150000</v>
      </c>
      <c r="F1381" s="329">
        <f t="shared" ref="F1381" si="1799">SUM(F1378)</f>
        <v>110000</v>
      </c>
      <c r="G1381" s="326">
        <f>SUM(G1378)</f>
        <v>0</v>
      </c>
      <c r="H1381" s="327">
        <f t="shared" ref="H1381:I1381" si="1800">SUM(H1378)</f>
        <v>0</v>
      </c>
      <c r="I1381" s="327">
        <f t="shared" si="1800"/>
        <v>0</v>
      </c>
      <c r="J1381" s="351" t="str">
        <f>IFERROR(G1381/#REF!,"-")</f>
        <v>-</v>
      </c>
      <c r="K1381" s="681">
        <f>SUM(K1378:K1379)</f>
        <v>567486</v>
      </c>
      <c r="L1381" s="327">
        <f>SUM(L1378:L1379)</f>
        <v>564662</v>
      </c>
      <c r="M1381" s="328">
        <f>SUM(M1378:M1379)</f>
        <v>2824</v>
      </c>
      <c r="N1381" s="345">
        <f>IFERROR(K1381/E1381,"-")</f>
        <v>0.26394697674418605</v>
      </c>
      <c r="O1381" s="351">
        <f t="shared" si="1798"/>
        <v>4.9763342179366538E-3</v>
      </c>
    </row>
    <row r="1382" spans="1:15" ht="23.4" x14ac:dyDescent="0.3">
      <c r="A1382" s="277" t="s">
        <v>111</v>
      </c>
      <c r="B1382" s="922" t="s">
        <v>20</v>
      </c>
      <c r="C1382" s="297" t="s">
        <v>370</v>
      </c>
      <c r="D1382" s="297" t="s">
        <v>324</v>
      </c>
      <c r="E1382" s="273">
        <v>0</v>
      </c>
      <c r="F1382" s="274"/>
      <c r="G1382" s="338">
        <f t="shared" ref="G1382:G1384" si="1801">+H1382+I1382</f>
        <v>0</v>
      </c>
      <c r="H1382" s="275">
        <v>0</v>
      </c>
      <c r="I1382" s="275">
        <v>0</v>
      </c>
      <c r="J1382" s="357" t="str">
        <f>IFERROR(G1382/#REF!,"-")</f>
        <v>-</v>
      </c>
      <c r="K1382" s="338">
        <f t="shared" ref="K1382:K1384" si="1802">+L1382+M1382</f>
        <v>0</v>
      </c>
      <c r="L1382" s="275">
        <f t="shared" ref="L1382:L1384" si="1803">+H1382+L1278</f>
        <v>0</v>
      </c>
      <c r="M1382" s="276">
        <f t="shared" ref="M1382:M1384" si="1804">+I1382+M1278</f>
        <v>0</v>
      </c>
      <c r="N1382" s="342" t="str">
        <f t="shared" ref="N1382:N1385" si="1805">IFERROR(K1382/E1382,"-")</f>
        <v>-</v>
      </c>
      <c r="O1382" s="352" t="str">
        <f t="shared" si="1798"/>
        <v>-</v>
      </c>
    </row>
    <row r="1383" spans="1:15" ht="23.4" x14ac:dyDescent="0.3">
      <c r="A1383" s="277" t="s">
        <v>111</v>
      </c>
      <c r="B1383" s="923"/>
      <c r="C1383" s="298" t="s">
        <v>122</v>
      </c>
      <c r="D1383" s="298"/>
      <c r="E1383" s="279">
        <v>0</v>
      </c>
      <c r="F1383" s="280"/>
      <c r="G1383" s="339">
        <f t="shared" si="1801"/>
        <v>0</v>
      </c>
      <c r="H1383" s="281">
        <v>0</v>
      </c>
      <c r="I1383" s="281">
        <v>0</v>
      </c>
      <c r="J1383" s="358" t="str">
        <f>IFERROR(G1383/#REF!,"-")</f>
        <v>-</v>
      </c>
      <c r="K1383" s="339">
        <f t="shared" si="1802"/>
        <v>0</v>
      </c>
      <c r="L1383" s="281">
        <f t="shared" si="1803"/>
        <v>0</v>
      </c>
      <c r="M1383" s="251">
        <f t="shared" si="1804"/>
        <v>0</v>
      </c>
      <c r="N1383" s="343" t="str">
        <f t="shared" si="1805"/>
        <v>-</v>
      </c>
      <c r="O1383" s="264" t="str">
        <f t="shared" si="1798"/>
        <v>-</v>
      </c>
    </row>
    <row r="1384" spans="1:15" ht="24" thickBot="1" x14ac:dyDescent="0.35">
      <c r="A1384" s="277" t="s">
        <v>111</v>
      </c>
      <c r="B1384" s="924"/>
      <c r="C1384" s="299" t="s">
        <v>128</v>
      </c>
      <c r="D1384" s="299"/>
      <c r="E1384" s="283">
        <v>0</v>
      </c>
      <c r="F1384" s="284"/>
      <c r="G1384" s="340">
        <f t="shared" si="1801"/>
        <v>0</v>
      </c>
      <c r="H1384" s="285">
        <v>0</v>
      </c>
      <c r="I1384" s="285">
        <v>0</v>
      </c>
      <c r="J1384" s="359" t="str">
        <f>IFERROR(G1384/#REF!,"-")</f>
        <v>-</v>
      </c>
      <c r="K1384" s="340">
        <f t="shared" si="1802"/>
        <v>0</v>
      </c>
      <c r="L1384" s="285">
        <f t="shared" si="1803"/>
        <v>0</v>
      </c>
      <c r="M1384" s="286">
        <f t="shared" si="1804"/>
        <v>0</v>
      </c>
      <c r="N1384" s="344" t="str">
        <f t="shared" si="1805"/>
        <v>-</v>
      </c>
      <c r="O1384" s="353" t="str">
        <f t="shared" si="1798"/>
        <v>-</v>
      </c>
    </row>
    <row r="1385" spans="1:15" ht="24" thickBot="1" x14ac:dyDescent="0.35">
      <c r="A1385" s="277" t="s">
        <v>111</v>
      </c>
      <c r="B1385" s="907" t="s">
        <v>50</v>
      </c>
      <c r="C1385" s="907"/>
      <c r="D1385" s="925"/>
      <c r="E1385" s="326">
        <f t="shared" ref="E1385" si="1806">SUM(E1382:E1384)</f>
        <v>0</v>
      </c>
      <c r="F1385" s="289">
        <v>50000</v>
      </c>
      <c r="G1385" s="326">
        <f>SUM(G1382:G1384)</f>
        <v>0</v>
      </c>
      <c r="H1385" s="327">
        <f t="shared" ref="H1385:I1385" si="1807">SUM(H1382:H1384)</f>
        <v>0</v>
      </c>
      <c r="I1385" s="327">
        <f t="shared" si="1807"/>
        <v>0</v>
      </c>
      <c r="J1385" s="351" t="str">
        <f>IFERROR(G1385/#REF!,"-")</f>
        <v>-</v>
      </c>
      <c r="K1385" s="326">
        <f t="shared" ref="K1385:M1385" si="1808">SUM(K1382:K1384)</f>
        <v>0</v>
      </c>
      <c r="L1385" s="327">
        <f t="shared" si="1808"/>
        <v>0</v>
      </c>
      <c r="M1385" s="328">
        <f t="shared" si="1808"/>
        <v>0</v>
      </c>
      <c r="N1385" s="345" t="str">
        <f t="shared" si="1805"/>
        <v>-</v>
      </c>
      <c r="O1385" s="351" t="str">
        <f t="shared" si="1798"/>
        <v>-</v>
      </c>
    </row>
    <row r="1386" spans="1:15" ht="24" thickBot="1" x14ac:dyDescent="0.35">
      <c r="A1386" s="277" t="s">
        <v>111</v>
      </c>
      <c r="B1386" s="926" t="s">
        <v>21</v>
      </c>
      <c r="C1386" s="927"/>
      <c r="D1386" s="928"/>
      <c r="E1386" s="332">
        <f>+E1361+E1369+E1377+E1381+E1385</f>
        <v>5774600</v>
      </c>
      <c r="F1386" s="333">
        <f>+F1361+F1369+F1377+F1381+F1385</f>
        <v>355000</v>
      </c>
      <c r="G1386" s="332">
        <f>+G1361+G1369+G1377+G1381+G1385</f>
        <v>42980</v>
      </c>
      <c r="H1386" s="330">
        <f>+H1361+H1369+H1377+H1381+H1385</f>
        <v>42840</v>
      </c>
      <c r="I1386" s="330">
        <f>+I1361+I1369+I1377+I1381+I1385</f>
        <v>140</v>
      </c>
      <c r="J1386" s="355" t="str">
        <f>IFERROR(G1386/#REF!,"-")</f>
        <v>-</v>
      </c>
      <c r="K1386" s="332">
        <f>+K1361+K1369+K1377+K1381+K1385</f>
        <v>1627926</v>
      </c>
      <c r="L1386" s="330">
        <f>+L1361+L1369+L1377+L1381+L1385</f>
        <v>1619787</v>
      </c>
      <c r="M1386" s="331">
        <f>+M1361+M1369+M1377+M1381+M1385</f>
        <v>8139</v>
      </c>
      <c r="N1386" s="347">
        <f>IFERROR(K1386/E1386,"-")</f>
        <v>0.28191147438783637</v>
      </c>
      <c r="O1386" s="355">
        <f t="shared" si="1798"/>
        <v>4.9996130045223183E-3</v>
      </c>
    </row>
    <row r="1387" spans="1:15" ht="23.4" x14ac:dyDescent="0.3">
      <c r="A1387" s="277" t="s">
        <v>111</v>
      </c>
      <c r="B1387" s="922" t="s">
        <v>22</v>
      </c>
      <c r="C1387" s="272" t="s">
        <v>133</v>
      </c>
      <c r="D1387" s="272"/>
      <c r="E1387" s="273">
        <v>0</v>
      </c>
      <c r="F1387" s="274"/>
      <c r="G1387" s="338">
        <f t="shared" ref="G1387:G1390" si="1809">+H1387+I1387</f>
        <v>0</v>
      </c>
      <c r="H1387" s="275">
        <v>0</v>
      </c>
      <c r="I1387" s="275">
        <v>0</v>
      </c>
      <c r="J1387" s="357" t="str">
        <f>IFERROR(G1387/#REF!,"-")</f>
        <v>-</v>
      </c>
      <c r="K1387" s="338">
        <f t="shared" ref="K1387:K1390" si="1810">+L1387+M1387</f>
        <v>0</v>
      </c>
      <c r="L1387" s="275">
        <f t="shared" ref="L1387:L1390" si="1811">+H1387+L1283</f>
        <v>0</v>
      </c>
      <c r="M1387" s="276">
        <f t="shared" ref="M1387:M1390" si="1812">+I1387+M1283</f>
        <v>0</v>
      </c>
      <c r="N1387" s="342" t="str">
        <f t="shared" ref="N1387:N1401" si="1813">IFERROR(K1387/E1387,"-")</f>
        <v>-</v>
      </c>
      <c r="O1387" s="352" t="str">
        <f t="shared" si="1798"/>
        <v>-</v>
      </c>
    </row>
    <row r="1388" spans="1:15" ht="23.4" x14ac:dyDescent="0.3">
      <c r="A1388" s="277" t="s">
        <v>111</v>
      </c>
      <c r="B1388" s="923"/>
      <c r="C1388" s="301" t="s">
        <v>291</v>
      </c>
      <c r="D1388" s="301" t="s">
        <v>196</v>
      </c>
      <c r="E1388" s="279">
        <v>0</v>
      </c>
      <c r="F1388" s="280"/>
      <c r="G1388" s="339">
        <f t="shared" si="1809"/>
        <v>0</v>
      </c>
      <c r="H1388" s="281">
        <v>0</v>
      </c>
      <c r="I1388" s="281">
        <v>0</v>
      </c>
      <c r="J1388" s="358" t="str">
        <f>IFERROR(G1388/#REF!,"-")</f>
        <v>-</v>
      </c>
      <c r="K1388" s="339">
        <f t="shared" si="1810"/>
        <v>0</v>
      </c>
      <c r="L1388" s="281">
        <f t="shared" si="1811"/>
        <v>0</v>
      </c>
      <c r="M1388" s="251">
        <f t="shared" si="1812"/>
        <v>0</v>
      </c>
      <c r="N1388" s="343" t="str">
        <f t="shared" si="1813"/>
        <v>-</v>
      </c>
      <c r="O1388" s="264" t="str">
        <f t="shared" si="1798"/>
        <v>-</v>
      </c>
    </row>
    <row r="1389" spans="1:15" ht="23.4" x14ac:dyDescent="0.3">
      <c r="A1389" s="277" t="s">
        <v>111</v>
      </c>
      <c r="B1389" s="923"/>
      <c r="C1389" s="301" t="s">
        <v>473</v>
      </c>
      <c r="D1389" s="301" t="s">
        <v>196</v>
      </c>
      <c r="E1389" s="279">
        <v>0</v>
      </c>
      <c r="F1389" s="280"/>
      <c r="G1389" s="339">
        <f t="shared" si="1809"/>
        <v>39682</v>
      </c>
      <c r="H1389" s="281">
        <v>39600</v>
      </c>
      <c r="I1389" s="281">
        <v>82</v>
      </c>
      <c r="J1389" s="358" t="str">
        <f>IFERROR(G1389/#REF!,"-")</f>
        <v>-</v>
      </c>
      <c r="K1389" s="339">
        <f t="shared" si="1810"/>
        <v>39682</v>
      </c>
      <c r="L1389" s="281">
        <f t="shared" si="1811"/>
        <v>39600</v>
      </c>
      <c r="M1389" s="251">
        <f t="shared" si="1812"/>
        <v>82</v>
      </c>
      <c r="N1389" s="343" t="str">
        <f t="shared" si="1813"/>
        <v>-</v>
      </c>
      <c r="O1389" s="264">
        <f t="shared" si="1798"/>
        <v>2.0664281034222065E-3</v>
      </c>
    </row>
    <row r="1390" spans="1:15" ht="24" thickBot="1" x14ac:dyDescent="0.35">
      <c r="A1390" s="277" t="s">
        <v>111</v>
      </c>
      <c r="B1390" s="924"/>
      <c r="C1390" s="282" t="s">
        <v>197</v>
      </c>
      <c r="D1390" s="282" t="s">
        <v>100</v>
      </c>
      <c r="E1390" s="283">
        <v>0</v>
      </c>
      <c r="F1390" s="284"/>
      <c r="G1390" s="340">
        <f t="shared" si="1809"/>
        <v>0</v>
      </c>
      <c r="H1390" s="285">
        <v>0</v>
      </c>
      <c r="I1390" s="285">
        <v>0</v>
      </c>
      <c r="J1390" s="359" t="str">
        <f>IFERROR(G1390/#REF!,"-")</f>
        <v>-</v>
      </c>
      <c r="K1390" s="340">
        <f t="shared" si="1810"/>
        <v>0</v>
      </c>
      <c r="L1390" s="285">
        <f t="shared" si="1811"/>
        <v>0</v>
      </c>
      <c r="M1390" s="286">
        <f t="shared" si="1812"/>
        <v>0</v>
      </c>
      <c r="N1390" s="344" t="str">
        <f t="shared" si="1813"/>
        <v>-</v>
      </c>
      <c r="O1390" s="353" t="str">
        <f t="shared" si="1798"/>
        <v>-</v>
      </c>
    </row>
    <row r="1391" spans="1:15" ht="24" thickBot="1" x14ac:dyDescent="0.35">
      <c r="A1391" s="277" t="s">
        <v>111</v>
      </c>
      <c r="B1391" s="906" t="s">
        <v>51</v>
      </c>
      <c r="C1391" s="907"/>
      <c r="D1391" s="908"/>
      <c r="E1391" s="288">
        <v>0</v>
      </c>
      <c r="F1391" s="289">
        <v>80000</v>
      </c>
      <c r="G1391" s="326">
        <f>SUM(G1387:G1390)</f>
        <v>39682</v>
      </c>
      <c r="H1391" s="327">
        <f t="shared" ref="H1391:I1391" si="1814">SUM(H1387:H1390)</f>
        <v>39600</v>
      </c>
      <c r="I1391" s="327">
        <f t="shared" si="1814"/>
        <v>82</v>
      </c>
      <c r="J1391" s="351" t="str">
        <f>IFERROR(G1391/#REF!,"-")</f>
        <v>-</v>
      </c>
      <c r="K1391" s="326">
        <f t="shared" ref="K1391:M1391" si="1815">SUM(K1387:K1390)</f>
        <v>39682</v>
      </c>
      <c r="L1391" s="327">
        <f t="shared" si="1815"/>
        <v>39600</v>
      </c>
      <c r="M1391" s="328">
        <f t="shared" si="1815"/>
        <v>82</v>
      </c>
      <c r="N1391" s="345" t="str">
        <f t="shared" si="1813"/>
        <v>-</v>
      </c>
      <c r="O1391" s="351">
        <f t="shared" si="1798"/>
        <v>2.0664281034222065E-3</v>
      </c>
    </row>
    <row r="1392" spans="1:15" ht="23.4" x14ac:dyDescent="0.3">
      <c r="A1392" s="277" t="s">
        <v>111</v>
      </c>
      <c r="B1392" s="922" t="s">
        <v>23</v>
      </c>
      <c r="C1392" s="302" t="s">
        <v>348</v>
      </c>
      <c r="D1392" s="302" t="s">
        <v>263</v>
      </c>
      <c r="E1392" s="273">
        <v>0</v>
      </c>
      <c r="F1392" s="274"/>
      <c r="G1392" s="338">
        <f t="shared" ref="G1392:G1399" si="1816">+H1392+I1392</f>
        <v>0</v>
      </c>
      <c r="H1392" s="275">
        <v>0</v>
      </c>
      <c r="I1392" s="275">
        <v>0</v>
      </c>
      <c r="J1392" s="357" t="str">
        <f>IFERROR(G1392/#REF!,"-")</f>
        <v>-</v>
      </c>
      <c r="K1392" s="338">
        <f t="shared" ref="K1392:K1399" si="1817">+L1392+M1392</f>
        <v>0</v>
      </c>
      <c r="L1392" s="275">
        <f t="shared" ref="L1392:L1399" si="1818">+H1392+L1288</f>
        <v>0</v>
      </c>
      <c r="M1392" s="276">
        <f t="shared" ref="M1392:M1399" si="1819">+I1392+M1288</f>
        <v>0</v>
      </c>
      <c r="N1392" s="342" t="str">
        <f t="shared" si="1813"/>
        <v>-</v>
      </c>
      <c r="O1392" s="352" t="str">
        <f t="shared" si="1798"/>
        <v>-</v>
      </c>
    </row>
    <row r="1393" spans="1:15" ht="23.4" x14ac:dyDescent="0.3">
      <c r="A1393" s="277" t="s">
        <v>111</v>
      </c>
      <c r="B1393" s="923"/>
      <c r="C1393" s="278" t="s">
        <v>24</v>
      </c>
      <c r="D1393" s="278" t="s">
        <v>263</v>
      </c>
      <c r="E1393" s="279">
        <v>0</v>
      </c>
      <c r="F1393" s="280"/>
      <c r="G1393" s="339">
        <f t="shared" si="1816"/>
        <v>9815</v>
      </c>
      <c r="H1393" s="281">
        <v>9750</v>
      </c>
      <c r="I1393" s="281">
        <v>65</v>
      </c>
      <c r="J1393" s="358" t="str">
        <f>IFERROR(G1393/#REF!,"-")</f>
        <v>-</v>
      </c>
      <c r="K1393" s="339">
        <f t="shared" si="1817"/>
        <v>82977</v>
      </c>
      <c r="L1393" s="281">
        <f t="shared" si="1818"/>
        <v>82389</v>
      </c>
      <c r="M1393" s="251">
        <f t="shared" si="1819"/>
        <v>588</v>
      </c>
      <c r="N1393" s="343" t="str">
        <f t="shared" si="1813"/>
        <v>-</v>
      </c>
      <c r="O1393" s="264">
        <f t="shared" si="1798"/>
        <v>7.086301023175097E-3</v>
      </c>
    </row>
    <row r="1394" spans="1:15" ht="23.4" x14ac:dyDescent="0.3">
      <c r="A1394" s="277" t="s">
        <v>111</v>
      </c>
      <c r="B1394" s="923"/>
      <c r="C1394" s="278" t="s">
        <v>261</v>
      </c>
      <c r="D1394" s="278" t="s">
        <v>263</v>
      </c>
      <c r="E1394" s="279">
        <v>0</v>
      </c>
      <c r="F1394" s="280"/>
      <c r="G1394" s="339">
        <f t="shared" si="1816"/>
        <v>0</v>
      </c>
      <c r="H1394" s="281">
        <v>0</v>
      </c>
      <c r="I1394" s="281">
        <v>0</v>
      </c>
      <c r="J1394" s="358" t="str">
        <f>IFERROR(G1394/#REF!,"-")</f>
        <v>-</v>
      </c>
      <c r="K1394" s="339">
        <f t="shared" si="1817"/>
        <v>11048</v>
      </c>
      <c r="L1394" s="281">
        <f t="shared" si="1818"/>
        <v>10901</v>
      </c>
      <c r="M1394" s="251">
        <f t="shared" si="1819"/>
        <v>147</v>
      </c>
      <c r="N1394" s="343" t="str">
        <f t="shared" si="1813"/>
        <v>-</v>
      </c>
      <c r="O1394" s="264">
        <f t="shared" si="1798"/>
        <v>1.330557566980449E-2</v>
      </c>
    </row>
    <row r="1395" spans="1:15" ht="23.4" x14ac:dyDescent="0.3">
      <c r="A1395" s="277" t="s">
        <v>111</v>
      </c>
      <c r="B1395" s="923"/>
      <c r="C1395" s="278" t="s">
        <v>262</v>
      </c>
      <c r="D1395" s="278" t="s">
        <v>263</v>
      </c>
      <c r="E1395" s="279">
        <v>0</v>
      </c>
      <c r="F1395" s="280"/>
      <c r="G1395" s="339">
        <f t="shared" si="1816"/>
        <v>0</v>
      </c>
      <c r="H1395" s="281">
        <v>0</v>
      </c>
      <c r="I1395" s="281">
        <v>0</v>
      </c>
      <c r="J1395" s="358" t="str">
        <f>IFERROR(G1395/#REF!,"-")</f>
        <v>-</v>
      </c>
      <c r="K1395" s="339">
        <f t="shared" si="1817"/>
        <v>7672</v>
      </c>
      <c r="L1395" s="281">
        <f t="shared" si="1818"/>
        <v>7612</v>
      </c>
      <c r="M1395" s="251">
        <f t="shared" si="1819"/>
        <v>60</v>
      </c>
      <c r="N1395" s="343" t="str">
        <f t="shared" si="1813"/>
        <v>-</v>
      </c>
      <c r="O1395" s="264">
        <f t="shared" si="1798"/>
        <v>7.8206465067778945E-3</v>
      </c>
    </row>
    <row r="1396" spans="1:15" ht="23.4" x14ac:dyDescent="0.3">
      <c r="A1396" s="277" t="s">
        <v>111</v>
      </c>
      <c r="B1396" s="923"/>
      <c r="C1396" s="301" t="s">
        <v>264</v>
      </c>
      <c r="D1396" s="278" t="s">
        <v>263</v>
      </c>
      <c r="E1396" s="279">
        <v>0</v>
      </c>
      <c r="F1396" s="280"/>
      <c r="G1396" s="339">
        <f t="shared" si="1816"/>
        <v>0</v>
      </c>
      <c r="H1396" s="281">
        <v>0</v>
      </c>
      <c r="I1396" s="281">
        <v>0</v>
      </c>
      <c r="J1396" s="358" t="str">
        <f>IFERROR(G1396/#REF!,"-")</f>
        <v>-</v>
      </c>
      <c r="K1396" s="339">
        <f t="shared" si="1817"/>
        <v>0</v>
      </c>
      <c r="L1396" s="281">
        <f t="shared" si="1818"/>
        <v>0</v>
      </c>
      <c r="M1396" s="251">
        <f t="shared" si="1819"/>
        <v>0</v>
      </c>
      <c r="N1396" s="343" t="str">
        <f t="shared" si="1813"/>
        <v>-</v>
      </c>
      <c r="O1396" s="264" t="str">
        <f t="shared" si="1798"/>
        <v>-</v>
      </c>
    </row>
    <row r="1397" spans="1:15" ht="23.4" x14ac:dyDescent="0.3">
      <c r="A1397" s="277" t="s">
        <v>111</v>
      </c>
      <c r="B1397" s="923"/>
      <c r="C1397" s="301" t="s">
        <v>265</v>
      </c>
      <c r="D1397" s="278" t="s">
        <v>263</v>
      </c>
      <c r="E1397" s="279">
        <v>0</v>
      </c>
      <c r="F1397" s="280"/>
      <c r="G1397" s="339">
        <f t="shared" si="1816"/>
        <v>0</v>
      </c>
      <c r="H1397" s="281">
        <v>0</v>
      </c>
      <c r="I1397" s="281">
        <v>0</v>
      </c>
      <c r="J1397" s="358" t="str">
        <f>IFERROR(G1397/#REF!,"-")</f>
        <v>-</v>
      </c>
      <c r="K1397" s="339">
        <f t="shared" si="1817"/>
        <v>0</v>
      </c>
      <c r="L1397" s="281">
        <f t="shared" si="1818"/>
        <v>0</v>
      </c>
      <c r="M1397" s="251">
        <f t="shared" si="1819"/>
        <v>0</v>
      </c>
      <c r="N1397" s="343" t="str">
        <f t="shared" si="1813"/>
        <v>-</v>
      </c>
      <c r="O1397" s="264" t="str">
        <f t="shared" si="1798"/>
        <v>-</v>
      </c>
    </row>
    <row r="1398" spans="1:15" ht="23.4" x14ac:dyDescent="0.3">
      <c r="A1398" s="277" t="s">
        <v>111</v>
      </c>
      <c r="B1398" s="923"/>
      <c r="C1398" s="301" t="s">
        <v>266</v>
      </c>
      <c r="D1398" s="278" t="s">
        <v>268</v>
      </c>
      <c r="E1398" s="279">
        <v>0</v>
      </c>
      <c r="F1398" s="280"/>
      <c r="G1398" s="339">
        <f t="shared" si="1816"/>
        <v>0</v>
      </c>
      <c r="H1398" s="281">
        <v>0</v>
      </c>
      <c r="I1398" s="281">
        <v>0</v>
      </c>
      <c r="J1398" s="358" t="str">
        <f>IFERROR(G1398/#REF!,"-")</f>
        <v>-</v>
      </c>
      <c r="K1398" s="339">
        <f t="shared" si="1817"/>
        <v>10464</v>
      </c>
      <c r="L1398" s="281">
        <f t="shared" si="1818"/>
        <v>10417</v>
      </c>
      <c r="M1398" s="251">
        <f t="shared" si="1819"/>
        <v>47</v>
      </c>
      <c r="N1398" s="343" t="str">
        <f t="shared" si="1813"/>
        <v>-</v>
      </c>
      <c r="O1398" s="264">
        <f t="shared" si="1798"/>
        <v>4.491590214067278E-3</v>
      </c>
    </row>
    <row r="1399" spans="1:15" ht="24" thickBot="1" x14ac:dyDescent="0.35">
      <c r="A1399" s="277" t="s">
        <v>111</v>
      </c>
      <c r="B1399" s="924"/>
      <c r="C1399" s="301" t="s">
        <v>267</v>
      </c>
      <c r="D1399" s="278" t="s">
        <v>263</v>
      </c>
      <c r="E1399" s="283">
        <v>0</v>
      </c>
      <c r="F1399" s="284"/>
      <c r="G1399" s="340">
        <f t="shared" si="1816"/>
        <v>0</v>
      </c>
      <c r="H1399" s="285">
        <v>0</v>
      </c>
      <c r="I1399" s="285">
        <v>0</v>
      </c>
      <c r="J1399" s="359" t="str">
        <f>IFERROR(G1399/#REF!,"-")</f>
        <v>-</v>
      </c>
      <c r="K1399" s="340">
        <f t="shared" si="1817"/>
        <v>14088</v>
      </c>
      <c r="L1399" s="285">
        <f t="shared" si="1818"/>
        <v>14000</v>
      </c>
      <c r="M1399" s="286">
        <f t="shared" si="1819"/>
        <v>88</v>
      </c>
      <c r="N1399" s="344" t="str">
        <f t="shared" si="1813"/>
        <v>-</v>
      </c>
      <c r="O1399" s="353">
        <f t="shared" si="1798"/>
        <v>6.2464508801817146E-3</v>
      </c>
    </row>
    <row r="1400" spans="1:15" ht="24" thickBot="1" x14ac:dyDescent="0.35">
      <c r="A1400" s="277" t="s">
        <v>111</v>
      </c>
      <c r="B1400" s="906" t="s">
        <v>52</v>
      </c>
      <c r="C1400" s="907"/>
      <c r="D1400" s="908"/>
      <c r="E1400" s="288">
        <v>157500</v>
      </c>
      <c r="F1400" s="289">
        <v>14000</v>
      </c>
      <c r="G1400" s="326">
        <f>SUM(G1392:G1399)</f>
        <v>9815</v>
      </c>
      <c r="H1400" s="327">
        <f t="shared" ref="H1400:I1400" si="1820">SUM(H1392:H1399)</f>
        <v>9750</v>
      </c>
      <c r="I1400" s="327">
        <f t="shared" si="1820"/>
        <v>65</v>
      </c>
      <c r="J1400" s="351" t="str">
        <f>IFERROR(G1400/#REF!,"-")</f>
        <v>-</v>
      </c>
      <c r="K1400" s="326">
        <f>SUM(K1392:K1399)</f>
        <v>126249</v>
      </c>
      <c r="L1400" s="327">
        <f t="shared" ref="L1400:M1400" si="1821">SUM(L1392:L1399)</f>
        <v>125319</v>
      </c>
      <c r="M1400" s="328">
        <f t="shared" si="1821"/>
        <v>930</v>
      </c>
      <c r="N1400" s="345">
        <f t="shared" si="1813"/>
        <v>0.80158095238095239</v>
      </c>
      <c r="O1400" s="351">
        <f t="shared" si="1798"/>
        <v>7.366394981346387E-3</v>
      </c>
    </row>
    <row r="1401" spans="1:15" ht="24" thickBot="1" x14ac:dyDescent="0.35">
      <c r="A1401" s="277" t="s">
        <v>111</v>
      </c>
      <c r="B1401" s="926" t="s">
        <v>25</v>
      </c>
      <c r="C1401" s="927"/>
      <c r="D1401" s="928"/>
      <c r="E1401" s="332">
        <f t="shared" ref="E1401:F1401" si="1822">+E1391+E1400</f>
        <v>157500</v>
      </c>
      <c r="F1401" s="333">
        <f t="shared" si="1822"/>
        <v>94000</v>
      </c>
      <c r="G1401" s="332">
        <f>+G1391+G1400</f>
        <v>49497</v>
      </c>
      <c r="H1401" s="330">
        <f t="shared" ref="H1401:I1401" si="1823">+H1391+H1400</f>
        <v>49350</v>
      </c>
      <c r="I1401" s="330">
        <f t="shared" si="1823"/>
        <v>147</v>
      </c>
      <c r="J1401" s="355" t="str">
        <f>IFERROR(G1401/#REF!,"-")</f>
        <v>-</v>
      </c>
      <c r="K1401" s="332">
        <f t="shared" ref="K1401" si="1824">+K1391+K1400</f>
        <v>165931</v>
      </c>
      <c r="L1401" s="330">
        <f>+L1391+L1400</f>
        <v>164919</v>
      </c>
      <c r="M1401" s="331">
        <f t="shared" ref="M1401" si="1825">+M1391+M1400</f>
        <v>1012</v>
      </c>
      <c r="N1401" s="347">
        <f t="shared" si="1813"/>
        <v>1.0535301587301587</v>
      </c>
      <c r="O1401" s="355">
        <f t="shared" si="1798"/>
        <v>6.0989206356859178E-3</v>
      </c>
    </row>
    <row r="1402" spans="1:15" ht="24" thickBot="1" x14ac:dyDescent="0.35">
      <c r="A1402" s="277" t="s">
        <v>111</v>
      </c>
      <c r="B1402" s="900" t="s">
        <v>181</v>
      </c>
      <c r="C1402" s="901"/>
      <c r="D1402" s="902"/>
      <c r="E1402" s="336">
        <f>+E1386+E1401</f>
        <v>5932100</v>
      </c>
      <c r="F1402" s="337">
        <f t="shared" ref="F1402:I1402" si="1826">+F1386+F1401</f>
        <v>449000</v>
      </c>
      <c r="G1402" s="336">
        <f t="shared" si="1826"/>
        <v>92477</v>
      </c>
      <c r="H1402" s="334">
        <f t="shared" si="1826"/>
        <v>92190</v>
      </c>
      <c r="I1402" s="334">
        <f t="shared" si="1826"/>
        <v>287</v>
      </c>
      <c r="J1402" s="356" t="str">
        <f>IFERROR(G1402/#REF!,"-")</f>
        <v>-</v>
      </c>
      <c r="K1402" s="336">
        <f>+K1386+K1401</f>
        <v>1793857</v>
      </c>
      <c r="L1402" s="334">
        <f t="shared" ref="L1402:M1402" si="1827">+L1386+L1401</f>
        <v>1784706</v>
      </c>
      <c r="M1402" s="335">
        <f t="shared" si="1827"/>
        <v>9151</v>
      </c>
      <c r="N1402" s="348">
        <f>IFERROR(K1402/E1402,"-")</f>
        <v>0.3023983075133595</v>
      </c>
      <c r="O1402" s="356">
        <f t="shared" si="1798"/>
        <v>5.101298487003145E-3</v>
      </c>
    </row>
    <row r="1403" spans="1:15" ht="23.4" x14ac:dyDescent="0.3">
      <c r="A1403" s="271" t="s">
        <v>109</v>
      </c>
      <c r="B1403" s="929" t="s">
        <v>26</v>
      </c>
      <c r="C1403" s="303" t="s">
        <v>334</v>
      </c>
      <c r="D1403" s="303" t="s">
        <v>192</v>
      </c>
      <c r="E1403" s="273">
        <v>0</v>
      </c>
      <c r="F1403" s="274"/>
      <c r="G1403" s="338">
        <f t="shared" ref="G1403:G1411" si="1828">+H1403+I1403</f>
        <v>0</v>
      </c>
      <c r="H1403" s="275">
        <v>0</v>
      </c>
      <c r="I1403" s="275">
        <v>0</v>
      </c>
      <c r="J1403" s="357" t="str">
        <f>IFERROR(G1403/#REF!,"-")</f>
        <v>-</v>
      </c>
      <c r="K1403" s="338">
        <f t="shared" ref="K1403:K1411" si="1829">+L1403+M1403</f>
        <v>326708</v>
      </c>
      <c r="L1403" s="275">
        <f t="shared" ref="L1403:L1411" si="1830">+H1403+L1299</f>
        <v>322218</v>
      </c>
      <c r="M1403" s="276">
        <f t="shared" ref="M1403:M1411" si="1831">+I1403+M1299</f>
        <v>4490</v>
      </c>
      <c r="N1403" s="342" t="str">
        <f t="shared" ref="N1403:N1404" si="1832">IFERROR(K1403/E1403,"-")</f>
        <v>-</v>
      </c>
      <c r="O1403" s="352">
        <f t="shared" si="1798"/>
        <v>1.3743159028857574E-2</v>
      </c>
    </row>
    <row r="1404" spans="1:15" ht="23.4" x14ac:dyDescent="0.3">
      <c r="A1404" s="277" t="s">
        <v>109</v>
      </c>
      <c r="B1404" s="929"/>
      <c r="C1404" s="304" t="s">
        <v>199</v>
      </c>
      <c r="D1404" s="304" t="s">
        <v>115</v>
      </c>
      <c r="E1404" s="279">
        <v>0</v>
      </c>
      <c r="F1404" s="280"/>
      <c r="G1404" s="339">
        <f t="shared" si="1828"/>
        <v>0</v>
      </c>
      <c r="H1404" s="281">
        <v>0</v>
      </c>
      <c r="I1404" s="281">
        <v>0</v>
      </c>
      <c r="J1404" s="358" t="str">
        <f>IFERROR(G1404/#REF!,"-")</f>
        <v>-</v>
      </c>
      <c r="K1404" s="339">
        <f t="shared" si="1829"/>
        <v>0</v>
      </c>
      <c r="L1404" s="281">
        <f t="shared" si="1830"/>
        <v>0</v>
      </c>
      <c r="M1404" s="251">
        <f t="shared" si="1831"/>
        <v>0</v>
      </c>
      <c r="N1404" s="343" t="str">
        <f t="shared" si="1832"/>
        <v>-</v>
      </c>
      <c r="O1404" s="264" t="str">
        <f t="shared" si="1798"/>
        <v>-</v>
      </c>
    </row>
    <row r="1405" spans="1:15" ht="23.4" x14ac:dyDescent="0.3">
      <c r="A1405" s="277" t="s">
        <v>109</v>
      </c>
      <c r="B1405" s="929"/>
      <c r="C1405" s="305" t="s">
        <v>27</v>
      </c>
      <c r="D1405" s="305" t="s">
        <v>310</v>
      </c>
      <c r="E1405" s="283">
        <v>0</v>
      </c>
      <c r="F1405" s="284"/>
      <c r="G1405" s="339">
        <f t="shared" si="1828"/>
        <v>0</v>
      </c>
      <c r="H1405" s="285">
        <v>0</v>
      </c>
      <c r="I1405" s="285">
        <v>0</v>
      </c>
      <c r="J1405" s="359" t="str">
        <f>IFERROR(G1405/#REF!,"-")</f>
        <v>-</v>
      </c>
      <c r="K1405" s="339">
        <f t="shared" si="1829"/>
        <v>0</v>
      </c>
      <c r="L1405" s="285">
        <f t="shared" si="1830"/>
        <v>0</v>
      </c>
      <c r="M1405" s="286">
        <f t="shared" si="1831"/>
        <v>0</v>
      </c>
      <c r="N1405" s="287"/>
      <c r="O1405" s="264" t="str">
        <f t="shared" si="1798"/>
        <v>-</v>
      </c>
    </row>
    <row r="1406" spans="1:15" ht="23.4" x14ac:dyDescent="0.3">
      <c r="A1406" s="277" t="s">
        <v>109</v>
      </c>
      <c r="B1406" s="929"/>
      <c r="C1406" s="305" t="s">
        <v>27</v>
      </c>
      <c r="D1406" s="305" t="s">
        <v>311</v>
      </c>
      <c r="E1406" s="283">
        <v>0</v>
      </c>
      <c r="F1406" s="284"/>
      <c r="G1406" s="339">
        <f t="shared" si="1828"/>
        <v>0</v>
      </c>
      <c r="H1406" s="285">
        <v>0</v>
      </c>
      <c r="I1406" s="285">
        <v>0</v>
      </c>
      <c r="J1406" s="359" t="str">
        <f>IFERROR(G1406/#REF!,"-")</f>
        <v>-</v>
      </c>
      <c r="K1406" s="339">
        <f t="shared" si="1829"/>
        <v>0</v>
      </c>
      <c r="L1406" s="285">
        <f t="shared" si="1830"/>
        <v>0</v>
      </c>
      <c r="M1406" s="286">
        <f t="shared" si="1831"/>
        <v>0</v>
      </c>
      <c r="N1406" s="287"/>
      <c r="O1406" s="264" t="str">
        <f t="shared" si="1798"/>
        <v>-</v>
      </c>
    </row>
    <row r="1407" spans="1:15" ht="23.4" x14ac:dyDescent="0.3">
      <c r="A1407" s="277" t="s">
        <v>109</v>
      </c>
      <c r="B1407" s="929"/>
      <c r="C1407" s="305" t="s">
        <v>325</v>
      </c>
      <c r="D1407" s="305" t="s">
        <v>324</v>
      </c>
      <c r="E1407" s="283">
        <v>0</v>
      </c>
      <c r="F1407" s="284"/>
      <c r="G1407" s="339">
        <f t="shared" si="1828"/>
        <v>0</v>
      </c>
      <c r="H1407" s="285">
        <v>0</v>
      </c>
      <c r="I1407" s="285">
        <v>0</v>
      </c>
      <c r="J1407" s="359" t="str">
        <f>IFERROR(G1407/#REF!,"-")</f>
        <v>-</v>
      </c>
      <c r="K1407" s="339">
        <f t="shared" si="1829"/>
        <v>0</v>
      </c>
      <c r="L1407" s="285">
        <f t="shared" si="1830"/>
        <v>0</v>
      </c>
      <c r="M1407" s="286">
        <f t="shared" si="1831"/>
        <v>0</v>
      </c>
      <c r="N1407" s="287"/>
      <c r="O1407" s="264" t="str">
        <f t="shared" si="1798"/>
        <v>-</v>
      </c>
    </row>
    <row r="1408" spans="1:15" ht="23.4" x14ac:dyDescent="0.3">
      <c r="A1408" s="277"/>
      <c r="B1408" s="929"/>
      <c r="C1408" s="305" t="s">
        <v>393</v>
      </c>
      <c r="D1408" s="305" t="s">
        <v>192</v>
      </c>
      <c r="E1408" s="283">
        <v>0</v>
      </c>
      <c r="F1408" s="284"/>
      <c r="G1408" s="340">
        <f t="shared" si="1828"/>
        <v>0</v>
      </c>
      <c r="H1408" s="285">
        <v>0</v>
      </c>
      <c r="I1408" s="285">
        <v>0</v>
      </c>
      <c r="J1408" s="359" t="str">
        <f>IFERROR(G1408/#REF!,"-")</f>
        <v>-</v>
      </c>
      <c r="K1408" s="340">
        <f t="shared" si="1829"/>
        <v>0</v>
      </c>
      <c r="L1408" s="285">
        <f t="shared" si="1830"/>
        <v>0</v>
      </c>
      <c r="M1408" s="286">
        <f t="shared" si="1831"/>
        <v>0</v>
      </c>
      <c r="N1408" s="287"/>
      <c r="O1408" s="264" t="str">
        <f t="shared" si="1798"/>
        <v>-</v>
      </c>
    </row>
    <row r="1409" spans="1:15" ht="23.4" x14ac:dyDescent="0.3">
      <c r="A1409" s="277"/>
      <c r="B1409" s="929"/>
      <c r="C1409" s="305" t="s">
        <v>325</v>
      </c>
      <c r="D1409" s="305" t="s">
        <v>101</v>
      </c>
      <c r="E1409" s="283">
        <v>0</v>
      </c>
      <c r="F1409" s="284"/>
      <c r="G1409" s="340">
        <f t="shared" si="1828"/>
        <v>0</v>
      </c>
      <c r="H1409" s="285">
        <v>0</v>
      </c>
      <c r="I1409" s="285">
        <v>0</v>
      </c>
      <c r="J1409" s="359" t="str">
        <f>IFERROR(G1409/#REF!,"-")</f>
        <v>-</v>
      </c>
      <c r="K1409" s="340">
        <f t="shared" si="1829"/>
        <v>3978</v>
      </c>
      <c r="L1409" s="285">
        <f t="shared" si="1830"/>
        <v>3978</v>
      </c>
      <c r="M1409" s="286">
        <f t="shared" si="1831"/>
        <v>0</v>
      </c>
      <c r="N1409" s="287"/>
      <c r="O1409" s="264">
        <f t="shared" si="1798"/>
        <v>0</v>
      </c>
    </row>
    <row r="1410" spans="1:15" ht="23.4" x14ac:dyDescent="0.3">
      <c r="A1410" s="277"/>
      <c r="B1410" s="929"/>
      <c r="C1410" s="305" t="s">
        <v>325</v>
      </c>
      <c r="D1410" s="305" t="s">
        <v>394</v>
      </c>
      <c r="E1410" s="283">
        <v>0</v>
      </c>
      <c r="F1410" s="284"/>
      <c r="G1410" s="340">
        <f t="shared" si="1828"/>
        <v>0</v>
      </c>
      <c r="H1410" s="285">
        <v>0</v>
      </c>
      <c r="I1410" s="285">
        <v>0</v>
      </c>
      <c r="J1410" s="359" t="str">
        <f>IFERROR(G1410/#REF!,"-")</f>
        <v>-</v>
      </c>
      <c r="K1410" s="340">
        <f t="shared" si="1829"/>
        <v>696052</v>
      </c>
      <c r="L1410" s="285">
        <f t="shared" si="1830"/>
        <v>688194</v>
      </c>
      <c r="M1410" s="286">
        <f t="shared" si="1831"/>
        <v>7858</v>
      </c>
      <c r="N1410" s="287"/>
      <c r="O1410" s="264">
        <f t="shared" si="1798"/>
        <v>1.1289386425152145E-2</v>
      </c>
    </row>
    <row r="1411" spans="1:15" ht="24" thickBot="1" x14ac:dyDescent="0.35">
      <c r="A1411" s="277" t="s">
        <v>109</v>
      </c>
      <c r="B1411" s="929"/>
      <c r="C1411" s="306" t="s">
        <v>326</v>
      </c>
      <c r="D1411" s="305" t="s">
        <v>324</v>
      </c>
      <c r="E1411" s="283">
        <v>0</v>
      </c>
      <c r="F1411" s="284"/>
      <c r="G1411" s="340">
        <f t="shared" si="1828"/>
        <v>0</v>
      </c>
      <c r="H1411" s="285">
        <v>0</v>
      </c>
      <c r="I1411" s="285">
        <v>0</v>
      </c>
      <c r="J1411" s="359" t="str">
        <f>IFERROR(G1411/#REF!,"-")</f>
        <v>-</v>
      </c>
      <c r="K1411" s="340">
        <f t="shared" si="1829"/>
        <v>7956</v>
      </c>
      <c r="L1411" s="285">
        <f t="shared" si="1830"/>
        <v>7956</v>
      </c>
      <c r="M1411" s="286">
        <f t="shared" si="1831"/>
        <v>0</v>
      </c>
      <c r="N1411" s="344" t="str">
        <f t="shared" ref="N1411:N1416" si="1833">IFERROR(K1411/E1411,"-")</f>
        <v>-</v>
      </c>
      <c r="O1411" s="353">
        <f t="shared" si="1798"/>
        <v>0</v>
      </c>
    </row>
    <row r="1412" spans="1:15" ht="24" thickBot="1" x14ac:dyDescent="0.35">
      <c r="A1412" s="277" t="s">
        <v>109</v>
      </c>
      <c r="B1412" s="930"/>
      <c r="C1412" s="307"/>
      <c r="D1412" s="308" t="s">
        <v>55</v>
      </c>
      <c r="E1412" s="288">
        <v>0</v>
      </c>
      <c r="F1412" s="289"/>
      <c r="G1412" s="326">
        <f>SUM(G1403:G1411)</f>
        <v>0</v>
      </c>
      <c r="H1412" s="327">
        <f>SUM(H1403:H1411)</f>
        <v>0</v>
      </c>
      <c r="I1412" s="327">
        <f>SUM(I1403:I1411)</f>
        <v>0</v>
      </c>
      <c r="J1412" s="351" t="str">
        <f>IFERROR(G1412/#REF!,"-")</f>
        <v>-</v>
      </c>
      <c r="K1412" s="326">
        <f>SUM(K1403:K1411)</f>
        <v>1034694</v>
      </c>
      <c r="L1412" s="327">
        <f>SUM(L1403:L1411)</f>
        <v>1022346</v>
      </c>
      <c r="M1412" s="328">
        <f>SUM(M1403:M1411)</f>
        <v>12348</v>
      </c>
      <c r="N1412" s="345" t="str">
        <f t="shared" si="1833"/>
        <v>-</v>
      </c>
      <c r="O1412" s="351">
        <f t="shared" si="1798"/>
        <v>1.1933963084738097E-2</v>
      </c>
    </row>
    <row r="1413" spans="1:15" ht="23.4" x14ac:dyDescent="0.3">
      <c r="A1413" s="277" t="s">
        <v>109</v>
      </c>
      <c r="B1413" s="931" t="s">
        <v>28</v>
      </c>
      <c r="C1413" s="303" t="s">
        <v>322</v>
      </c>
      <c r="D1413" s="303" t="s">
        <v>193</v>
      </c>
      <c r="E1413" s="273">
        <v>0</v>
      </c>
      <c r="F1413" s="274"/>
      <c r="G1413" s="338">
        <f t="shared" ref="G1413:G1415" si="1834">+H1413+I1413</f>
        <v>0</v>
      </c>
      <c r="H1413" s="275">
        <v>0</v>
      </c>
      <c r="I1413" s="275">
        <v>0</v>
      </c>
      <c r="J1413" s="357" t="str">
        <f>IFERROR(G1413/#REF!,"-")</f>
        <v>-</v>
      </c>
      <c r="K1413" s="338">
        <f t="shared" ref="K1413:K1415" si="1835">+L1413+M1413</f>
        <v>0</v>
      </c>
      <c r="L1413" s="275">
        <f t="shared" ref="L1413:L1415" si="1836">+H1413+L1309</f>
        <v>0</v>
      </c>
      <c r="M1413" s="276">
        <f t="shared" ref="M1413:M1415" si="1837">+I1413+M1309</f>
        <v>0</v>
      </c>
      <c r="N1413" s="342" t="str">
        <f t="shared" si="1833"/>
        <v>-</v>
      </c>
      <c r="O1413" s="352" t="str">
        <f t="shared" si="1798"/>
        <v>-</v>
      </c>
    </row>
    <row r="1414" spans="1:15" ht="23.4" x14ac:dyDescent="0.3">
      <c r="A1414" s="277" t="s">
        <v>109</v>
      </c>
      <c r="B1414" s="929"/>
      <c r="C1414" s="305" t="s">
        <v>27</v>
      </c>
      <c r="D1414" s="305" t="s">
        <v>394</v>
      </c>
      <c r="E1414" s="279">
        <v>0</v>
      </c>
      <c r="F1414" s="280"/>
      <c r="G1414" s="339">
        <f t="shared" si="1834"/>
        <v>140063</v>
      </c>
      <c r="H1414" s="281">
        <f>67626+71604</f>
        <v>139230</v>
      </c>
      <c r="I1414" s="281">
        <f>390+443</f>
        <v>833</v>
      </c>
      <c r="J1414" s="358" t="str">
        <f>IFERROR(G1414/#REF!,"-")</f>
        <v>-</v>
      </c>
      <c r="K1414" s="339">
        <f t="shared" si="1835"/>
        <v>140063</v>
      </c>
      <c r="L1414" s="281">
        <f t="shared" si="1836"/>
        <v>139230</v>
      </c>
      <c r="M1414" s="251">
        <f t="shared" si="1837"/>
        <v>833</v>
      </c>
      <c r="N1414" s="343" t="str">
        <f t="shared" si="1833"/>
        <v>-</v>
      </c>
      <c r="O1414" s="264">
        <f t="shared" si="1798"/>
        <v>5.9473237043330502E-3</v>
      </c>
    </row>
    <row r="1415" spans="1:15" ht="24" thickBot="1" x14ac:dyDescent="0.35">
      <c r="A1415" s="277" t="s">
        <v>109</v>
      </c>
      <c r="B1415" s="929"/>
      <c r="C1415" s="305" t="s">
        <v>27</v>
      </c>
      <c r="D1415" s="306" t="s">
        <v>259</v>
      </c>
      <c r="E1415" s="283">
        <v>0</v>
      </c>
      <c r="F1415" s="284"/>
      <c r="G1415" s="340">
        <f t="shared" si="1834"/>
        <v>40595</v>
      </c>
      <c r="H1415" s="285">
        <f>31824+7956</f>
        <v>39780</v>
      </c>
      <c r="I1415" s="285">
        <f>435+380</f>
        <v>815</v>
      </c>
      <c r="J1415" s="359" t="str">
        <f>IFERROR(G1415/#REF!,"-")</f>
        <v>-</v>
      </c>
      <c r="K1415" s="340">
        <f t="shared" si="1835"/>
        <v>221560</v>
      </c>
      <c r="L1415" s="285">
        <f t="shared" si="1836"/>
        <v>218790</v>
      </c>
      <c r="M1415" s="286">
        <f t="shared" si="1837"/>
        <v>2770</v>
      </c>
      <c r="N1415" s="344" t="str">
        <f t="shared" si="1833"/>
        <v>-</v>
      </c>
      <c r="O1415" s="353">
        <f t="shared" si="1798"/>
        <v>1.2502256725040621E-2</v>
      </c>
    </row>
    <row r="1416" spans="1:15" ht="24" thickBot="1" x14ac:dyDescent="0.35">
      <c r="A1416" s="277" t="s">
        <v>109</v>
      </c>
      <c r="B1416" s="929"/>
      <c r="C1416" s="310"/>
      <c r="D1416" s="311" t="s">
        <v>55</v>
      </c>
      <c r="E1416" s="312">
        <v>0</v>
      </c>
      <c r="F1416" s="313"/>
      <c r="G1416" s="372">
        <f>SUM(G1413:G1415)</f>
        <v>180658</v>
      </c>
      <c r="H1416" s="371">
        <f t="shared" ref="H1416:I1416" si="1838">SUM(H1413:H1415)</f>
        <v>179010</v>
      </c>
      <c r="I1416" s="371">
        <f t="shared" si="1838"/>
        <v>1648</v>
      </c>
      <c r="J1416" s="362" t="str">
        <f>IFERROR(G1416/#REF!,"-")</f>
        <v>-</v>
      </c>
      <c r="K1416" s="372">
        <f>SUM(K1413:K1415)</f>
        <v>361623</v>
      </c>
      <c r="L1416" s="371">
        <f>SUM(L1413:L1415)</f>
        <v>358020</v>
      </c>
      <c r="M1416" s="373">
        <f t="shared" ref="M1416" si="1839">SUM(M1413:M1415)</f>
        <v>3603</v>
      </c>
      <c r="N1416" s="361" t="str">
        <f t="shared" si="1833"/>
        <v>-</v>
      </c>
      <c r="O1416" s="362">
        <f t="shared" si="1798"/>
        <v>9.9634149376560677E-3</v>
      </c>
    </row>
    <row r="1417" spans="1:15" ht="24" thickBot="1" x14ac:dyDescent="0.35">
      <c r="A1417" s="821" t="s">
        <v>109</v>
      </c>
      <c r="B1417" s="932" t="s">
        <v>171</v>
      </c>
      <c r="C1417" s="933"/>
      <c r="D1417" s="934"/>
      <c r="E1417" s="314">
        <v>2167000</v>
      </c>
      <c r="F1417" s="315">
        <v>80000</v>
      </c>
      <c r="G1417" s="375">
        <f>+G1412+G1416</f>
        <v>180658</v>
      </c>
      <c r="H1417" s="374">
        <f t="shared" ref="H1417:I1417" si="1840">+H1412+H1416</f>
        <v>179010</v>
      </c>
      <c r="I1417" s="374">
        <f t="shared" si="1840"/>
        <v>1648</v>
      </c>
      <c r="J1417" s="364" t="str">
        <f>IFERROR(G1417/#REF!,"-")</f>
        <v>-</v>
      </c>
      <c r="K1417" s="375">
        <f>+K1412+K1416</f>
        <v>1396317</v>
      </c>
      <c r="L1417" s="374">
        <f>+L1412+L1416</f>
        <v>1380366</v>
      </c>
      <c r="M1417" s="376">
        <f t="shared" ref="M1417" si="1841">+M1412+M1416</f>
        <v>15951</v>
      </c>
      <c r="N1417" s="363">
        <f>IFERROR(K1417/E1417,"-")</f>
        <v>0.64435486848177204</v>
      </c>
      <c r="O1417" s="364">
        <f t="shared" si="1798"/>
        <v>1.1423623718682791E-2</v>
      </c>
    </row>
    <row r="1418" spans="1:15" ht="23.4" x14ac:dyDescent="0.3">
      <c r="A1418" s="277" t="s">
        <v>109</v>
      </c>
      <c r="B1418" s="929" t="s">
        <v>30</v>
      </c>
      <c r="C1418" s="309" t="s">
        <v>396</v>
      </c>
      <c r="D1418" s="303" t="s">
        <v>193</v>
      </c>
      <c r="E1418" s="273">
        <v>0</v>
      </c>
      <c r="F1418" s="274"/>
      <c r="G1418" s="338">
        <f t="shared" ref="G1418:G1420" si="1842">+H1418+I1418</f>
        <v>0</v>
      </c>
      <c r="H1418" s="275">
        <v>0</v>
      </c>
      <c r="I1418" s="275">
        <v>0</v>
      </c>
      <c r="J1418" s="357" t="str">
        <f>IFERROR(G1418/#REF!,"-")</f>
        <v>-</v>
      </c>
      <c r="K1418" s="338">
        <f t="shared" ref="K1418:K1420" si="1843">+L1418+M1418</f>
        <v>0</v>
      </c>
      <c r="L1418" s="275">
        <f t="shared" ref="L1418:L1420" si="1844">+H1418+L1314</f>
        <v>0</v>
      </c>
      <c r="M1418" s="276">
        <f t="shared" ref="M1418:M1420" si="1845">+I1418+M1314</f>
        <v>0</v>
      </c>
      <c r="N1418" s="342" t="str">
        <f t="shared" ref="N1418:N1428" si="1846">IFERROR(K1418/E1418,"-")</f>
        <v>-</v>
      </c>
      <c r="O1418" s="352" t="str">
        <f t="shared" si="1798"/>
        <v>-</v>
      </c>
    </row>
    <row r="1419" spans="1:15" ht="23.4" x14ac:dyDescent="0.3">
      <c r="A1419" s="277" t="s">
        <v>109</v>
      </c>
      <c r="B1419" s="929"/>
      <c r="C1419" s="309" t="s">
        <v>395</v>
      </c>
      <c r="D1419" s="309" t="s">
        <v>324</v>
      </c>
      <c r="E1419" s="279">
        <v>0</v>
      </c>
      <c r="F1419" s="280"/>
      <c r="G1419" s="339">
        <f t="shared" si="1842"/>
        <v>0</v>
      </c>
      <c r="H1419" s="281">
        <v>0</v>
      </c>
      <c r="I1419" s="281">
        <v>0</v>
      </c>
      <c r="J1419" s="358" t="str">
        <f>IFERROR(G1419/#REF!,"-")</f>
        <v>-</v>
      </c>
      <c r="K1419" s="339">
        <f t="shared" si="1843"/>
        <v>0</v>
      </c>
      <c r="L1419" s="281">
        <f t="shared" si="1844"/>
        <v>0</v>
      </c>
      <c r="M1419" s="251">
        <f t="shared" si="1845"/>
        <v>0</v>
      </c>
      <c r="N1419" s="343" t="str">
        <f t="shared" si="1846"/>
        <v>-</v>
      </c>
      <c r="O1419" s="264" t="str">
        <f t="shared" si="1798"/>
        <v>-</v>
      </c>
    </row>
    <row r="1420" spans="1:15" ht="24" thickBot="1" x14ac:dyDescent="0.35">
      <c r="A1420" s="277" t="s">
        <v>109</v>
      </c>
      <c r="B1420" s="929"/>
      <c r="C1420" s="306" t="s">
        <v>327</v>
      </c>
      <c r="D1420" s="306"/>
      <c r="E1420" s="283">
        <v>0</v>
      </c>
      <c r="F1420" s="284"/>
      <c r="G1420" s="340">
        <f t="shared" si="1842"/>
        <v>20932</v>
      </c>
      <c r="H1420" s="285">
        <v>20592</v>
      </c>
      <c r="I1420" s="285">
        <v>340</v>
      </c>
      <c r="J1420" s="359" t="str">
        <f>IFERROR(G1420/#REF!,"-")</f>
        <v>-</v>
      </c>
      <c r="K1420" s="340">
        <f t="shared" si="1843"/>
        <v>20932</v>
      </c>
      <c r="L1420" s="285">
        <f t="shared" si="1844"/>
        <v>20592</v>
      </c>
      <c r="M1420" s="286">
        <f t="shared" si="1845"/>
        <v>340</v>
      </c>
      <c r="N1420" s="344" t="str">
        <f t="shared" si="1846"/>
        <v>-</v>
      </c>
      <c r="O1420" s="353">
        <f t="shared" si="1798"/>
        <v>1.624307280718517E-2</v>
      </c>
    </row>
    <row r="1421" spans="1:15" ht="24" thickBot="1" x14ac:dyDescent="0.35">
      <c r="A1421" s="277" t="s">
        <v>109</v>
      </c>
      <c r="B1421" s="929"/>
      <c r="C1421" s="307"/>
      <c r="D1421" s="308" t="s">
        <v>53</v>
      </c>
      <c r="E1421" s="288">
        <v>0</v>
      </c>
      <c r="F1421" s="289"/>
      <c r="G1421" s="326">
        <f>SUM(G1418:G1420)</f>
        <v>20932</v>
      </c>
      <c r="H1421" s="327">
        <f t="shared" ref="H1421:I1421" si="1847">SUM(H1418:H1420)</f>
        <v>20592</v>
      </c>
      <c r="I1421" s="327">
        <f t="shared" si="1847"/>
        <v>340</v>
      </c>
      <c r="J1421" s="351" t="str">
        <f>IFERROR(G1421/#REF!,"-")</f>
        <v>-</v>
      </c>
      <c r="K1421" s="326">
        <f t="shared" ref="K1421" si="1848">SUM(K1418:K1420)</f>
        <v>20932</v>
      </c>
      <c r="L1421" s="327">
        <f>SUM(L1418:L1420)</f>
        <v>20592</v>
      </c>
      <c r="M1421" s="328">
        <f t="shared" ref="M1421" si="1849">SUM(M1418:M1420)</f>
        <v>340</v>
      </c>
      <c r="N1421" s="345" t="str">
        <f t="shared" si="1846"/>
        <v>-</v>
      </c>
      <c r="O1421" s="351">
        <f t="shared" si="1798"/>
        <v>1.624307280718517E-2</v>
      </c>
    </row>
    <row r="1422" spans="1:15" ht="23.4" x14ac:dyDescent="0.3">
      <c r="A1422" s="277" t="s">
        <v>109</v>
      </c>
      <c r="B1422" s="929"/>
      <c r="C1422" s="303" t="s">
        <v>352</v>
      </c>
      <c r="D1422" s="303"/>
      <c r="E1422" s="273">
        <v>0</v>
      </c>
      <c r="F1422" s="274"/>
      <c r="G1422" s="338">
        <f t="shared" ref="G1422:G1424" si="1850">+H1422+I1422</f>
        <v>0</v>
      </c>
      <c r="H1422" s="275">
        <v>0</v>
      </c>
      <c r="I1422" s="275">
        <v>0</v>
      </c>
      <c r="J1422" s="357" t="str">
        <f>IFERROR(G1422/#REF!,"-")</f>
        <v>-</v>
      </c>
      <c r="K1422" s="338">
        <f t="shared" ref="K1422:K1424" si="1851">+L1422+M1422</f>
        <v>0</v>
      </c>
      <c r="L1422" s="275">
        <f t="shared" ref="L1422:L1424" si="1852">+H1422+L1318</f>
        <v>0</v>
      </c>
      <c r="M1422" s="276">
        <f t="shared" ref="M1422:M1424" si="1853">+I1422+M1318</f>
        <v>0</v>
      </c>
      <c r="N1422" s="342" t="str">
        <f t="shared" si="1846"/>
        <v>-</v>
      </c>
      <c r="O1422" s="352" t="str">
        <f t="shared" si="1798"/>
        <v>-</v>
      </c>
    </row>
    <row r="1423" spans="1:15" ht="23.4" x14ac:dyDescent="0.3">
      <c r="A1423" s="277" t="s">
        <v>109</v>
      </c>
      <c r="B1423" s="929"/>
      <c r="C1423" s="309" t="s">
        <v>397</v>
      </c>
      <c r="D1423" s="309" t="s">
        <v>259</v>
      </c>
      <c r="E1423" s="279">
        <v>0</v>
      </c>
      <c r="F1423" s="280"/>
      <c r="G1423" s="339">
        <f t="shared" si="1850"/>
        <v>103245</v>
      </c>
      <c r="H1423" s="281">
        <f>73008+14976+13104</f>
        <v>101088</v>
      </c>
      <c r="I1423" s="281">
        <f>768+665+724</f>
        <v>2157</v>
      </c>
      <c r="J1423" s="358" t="str">
        <f>IFERROR(G1423/#REF!,"-")</f>
        <v>-</v>
      </c>
      <c r="K1423" s="339">
        <f t="shared" si="1851"/>
        <v>493341</v>
      </c>
      <c r="L1423" s="281">
        <f t="shared" si="1852"/>
        <v>481104</v>
      </c>
      <c r="M1423" s="251">
        <f t="shared" si="1853"/>
        <v>12237</v>
      </c>
      <c r="N1423" s="343" t="str">
        <f t="shared" si="1846"/>
        <v>-</v>
      </c>
      <c r="O1423" s="264">
        <f t="shared" si="1798"/>
        <v>2.4804344256812227E-2</v>
      </c>
    </row>
    <row r="1424" spans="1:15" ht="24" thickBot="1" x14ac:dyDescent="0.35">
      <c r="A1424" s="277" t="s">
        <v>109</v>
      </c>
      <c r="B1424" s="929"/>
      <c r="C1424" s="306" t="s">
        <v>146</v>
      </c>
      <c r="D1424" s="306"/>
      <c r="E1424" s="283">
        <v>0</v>
      </c>
      <c r="F1424" s="284"/>
      <c r="G1424" s="340">
        <f t="shared" si="1850"/>
        <v>0</v>
      </c>
      <c r="H1424" s="285">
        <v>0</v>
      </c>
      <c r="I1424" s="285">
        <v>0</v>
      </c>
      <c r="J1424" s="359" t="str">
        <f>IFERROR(G1424/#REF!,"-")</f>
        <v>-</v>
      </c>
      <c r="K1424" s="340">
        <f t="shared" si="1851"/>
        <v>0</v>
      </c>
      <c r="L1424" s="285">
        <f t="shared" si="1852"/>
        <v>0</v>
      </c>
      <c r="M1424" s="286">
        <f t="shared" si="1853"/>
        <v>0</v>
      </c>
      <c r="N1424" s="344" t="str">
        <f t="shared" si="1846"/>
        <v>-</v>
      </c>
      <c r="O1424" s="353" t="str">
        <f t="shared" si="1798"/>
        <v>-</v>
      </c>
    </row>
    <row r="1425" spans="1:15" ht="24" thickBot="1" x14ac:dyDescent="0.35">
      <c r="A1425" s="277" t="s">
        <v>109</v>
      </c>
      <c r="B1425" s="929"/>
      <c r="C1425" s="310"/>
      <c r="D1425" s="311" t="s">
        <v>54</v>
      </c>
      <c r="E1425" s="312">
        <v>0</v>
      </c>
      <c r="F1425" s="313"/>
      <c r="G1425" s="372">
        <f>SUM(G1422:G1424)</f>
        <v>103245</v>
      </c>
      <c r="H1425" s="371">
        <f t="shared" ref="H1425:I1425" si="1854">SUM(H1422:H1424)</f>
        <v>101088</v>
      </c>
      <c r="I1425" s="371">
        <f t="shared" si="1854"/>
        <v>2157</v>
      </c>
      <c r="J1425" s="362" t="str">
        <f>IFERROR(G1425/#REF!,"-")</f>
        <v>-</v>
      </c>
      <c r="K1425" s="372">
        <f t="shared" ref="K1425:M1425" si="1855">SUM(K1422:K1424)</f>
        <v>493341</v>
      </c>
      <c r="L1425" s="371">
        <f t="shared" si="1855"/>
        <v>481104</v>
      </c>
      <c r="M1425" s="373">
        <f t="shared" si="1855"/>
        <v>12237</v>
      </c>
      <c r="N1425" s="361" t="str">
        <f t="shared" si="1846"/>
        <v>-</v>
      </c>
      <c r="O1425" s="362">
        <f t="shared" si="1798"/>
        <v>2.4804344256812227E-2</v>
      </c>
    </row>
    <row r="1426" spans="1:15" ht="24" thickBot="1" x14ac:dyDescent="0.35">
      <c r="A1426" s="277" t="s">
        <v>109</v>
      </c>
      <c r="B1426" s="932" t="s">
        <v>172</v>
      </c>
      <c r="C1426" s="933"/>
      <c r="D1426" s="934"/>
      <c r="E1426" s="314">
        <v>649600</v>
      </c>
      <c r="F1426" s="315">
        <v>50000</v>
      </c>
      <c r="G1426" s="375">
        <f>+G1421+G1425</f>
        <v>124177</v>
      </c>
      <c r="H1426" s="374">
        <f t="shared" ref="H1426:I1426" si="1856">+H1421+H1425</f>
        <v>121680</v>
      </c>
      <c r="I1426" s="374">
        <f t="shared" si="1856"/>
        <v>2497</v>
      </c>
      <c r="J1426" s="364" t="str">
        <f>IFERROR(G1426/#REF!,"-")</f>
        <v>-</v>
      </c>
      <c r="K1426" s="375">
        <f t="shared" ref="K1426:M1426" si="1857">+K1421+K1425</f>
        <v>514273</v>
      </c>
      <c r="L1426" s="374">
        <f t="shared" si="1857"/>
        <v>501696</v>
      </c>
      <c r="M1426" s="376">
        <f t="shared" si="1857"/>
        <v>12577</v>
      </c>
      <c r="N1426" s="363">
        <f t="shared" si="1846"/>
        <v>0.79167641625615759</v>
      </c>
      <c r="O1426" s="364">
        <f t="shared" si="1798"/>
        <v>2.4455882381536655E-2</v>
      </c>
    </row>
    <row r="1427" spans="1:15" ht="24" thickBot="1" x14ac:dyDescent="0.35">
      <c r="A1427" s="277" t="s">
        <v>109</v>
      </c>
      <c r="B1427" s="616" t="s">
        <v>32</v>
      </c>
      <c r="C1427" s="817"/>
      <c r="D1427" s="316" t="s">
        <v>32</v>
      </c>
      <c r="E1427" s="293">
        <v>0</v>
      </c>
      <c r="F1427" s="294">
        <v>110000</v>
      </c>
      <c r="G1427" s="341">
        <f t="shared" ref="G1427" si="1858">+H1427+I1427</f>
        <v>0</v>
      </c>
      <c r="H1427" s="295">
        <v>0</v>
      </c>
      <c r="I1427" s="295">
        <v>0</v>
      </c>
      <c r="J1427" s="360" t="str">
        <f>IFERROR(G1427/#REF!,"-")</f>
        <v>-</v>
      </c>
      <c r="K1427" s="341">
        <f>+L1427+M1427</f>
        <v>0</v>
      </c>
      <c r="L1427" s="295">
        <f>+H1427+L1323</f>
        <v>0</v>
      </c>
      <c r="M1427" s="296">
        <f>+I1427+M1323</f>
        <v>0</v>
      </c>
      <c r="N1427" s="346" t="str">
        <f t="shared" si="1846"/>
        <v>-</v>
      </c>
      <c r="O1427" s="354" t="str">
        <f t="shared" si="1798"/>
        <v>-</v>
      </c>
    </row>
    <row r="1428" spans="1:15" ht="24" thickBot="1" x14ac:dyDescent="0.35">
      <c r="A1428" s="277" t="s">
        <v>109</v>
      </c>
      <c r="B1428" s="926" t="s">
        <v>21</v>
      </c>
      <c r="C1428" s="927"/>
      <c r="D1428" s="928"/>
      <c r="E1428" s="332">
        <f>+E1417+E1426+E1427</f>
        <v>2816600</v>
      </c>
      <c r="F1428" s="333">
        <f t="shared" ref="F1428" si="1859">+F1417+F1426+F1427</f>
        <v>240000</v>
      </c>
      <c r="G1428" s="332">
        <f>+G1417+G1426+G1427</f>
        <v>304835</v>
      </c>
      <c r="H1428" s="330">
        <f t="shared" ref="H1428:I1428" si="1860">+H1417+H1426+H1427</f>
        <v>300690</v>
      </c>
      <c r="I1428" s="330">
        <f t="shared" si="1860"/>
        <v>4145</v>
      </c>
      <c r="J1428" s="355" t="str">
        <f>IFERROR(G1428/#REF!,"-")</f>
        <v>-</v>
      </c>
      <c r="K1428" s="332">
        <f>+K1417+K1426+K1427</f>
        <v>1910590</v>
      </c>
      <c r="L1428" s="330">
        <f>+L1417+L1426+L1427</f>
        <v>1882062</v>
      </c>
      <c r="M1428" s="331">
        <f t="shared" ref="M1428" si="1861">+M1417+M1426+M1427</f>
        <v>28528</v>
      </c>
      <c r="N1428" s="347">
        <f t="shared" si="1846"/>
        <v>0.67833203152737342</v>
      </c>
      <c r="O1428" s="355">
        <f t="shared" si="1798"/>
        <v>1.4931513302173674E-2</v>
      </c>
    </row>
    <row r="1429" spans="1:15" ht="24" thickBot="1" x14ac:dyDescent="0.35">
      <c r="A1429" s="277" t="s">
        <v>109</v>
      </c>
      <c r="B1429" s="900" t="s">
        <v>180</v>
      </c>
      <c r="C1429" s="901"/>
      <c r="D1429" s="902"/>
      <c r="E1429" s="336">
        <f>+E1428</f>
        <v>2816600</v>
      </c>
      <c r="F1429" s="337">
        <f t="shared" ref="F1429:I1429" si="1862">+F1428</f>
        <v>240000</v>
      </c>
      <c r="G1429" s="336">
        <f t="shared" si="1862"/>
        <v>304835</v>
      </c>
      <c r="H1429" s="334">
        <f t="shared" si="1862"/>
        <v>300690</v>
      </c>
      <c r="I1429" s="334">
        <f t="shared" si="1862"/>
        <v>4145</v>
      </c>
      <c r="J1429" s="356" t="str">
        <f>+J1428</f>
        <v>-</v>
      </c>
      <c r="K1429" s="336">
        <f>+K1428</f>
        <v>1910590</v>
      </c>
      <c r="L1429" s="334">
        <f t="shared" ref="L1429" si="1863">+L1428</f>
        <v>1882062</v>
      </c>
      <c r="M1429" s="335">
        <f>+M1428</f>
        <v>28528</v>
      </c>
      <c r="N1429" s="348">
        <f t="shared" ref="N1429:O1429" si="1864">+N1428</f>
        <v>0.67833203152737342</v>
      </c>
      <c r="O1429" s="356">
        <f t="shared" si="1864"/>
        <v>1.4931513302173674E-2</v>
      </c>
    </row>
    <row r="1430" spans="1:15" ht="23.4" x14ac:dyDescent="0.3">
      <c r="A1430" s="271" t="s">
        <v>110</v>
      </c>
      <c r="B1430" s="903" t="s">
        <v>33</v>
      </c>
      <c r="C1430" s="317" t="s">
        <v>121</v>
      </c>
      <c r="D1430" s="317"/>
      <c r="E1430" s="273">
        <v>0</v>
      </c>
      <c r="F1430" s="274"/>
      <c r="G1430" s="338">
        <f t="shared" ref="G1430:G1432" si="1865">+H1430+I1430</f>
        <v>0</v>
      </c>
      <c r="H1430" s="275">
        <v>0</v>
      </c>
      <c r="I1430" s="275">
        <v>0</v>
      </c>
      <c r="J1430" s="357" t="str">
        <f>IFERROR(G1430/#REF!,"-")</f>
        <v>-</v>
      </c>
      <c r="K1430" s="338">
        <f t="shared" ref="K1430:K1432" si="1866">+L1430+M1430</f>
        <v>0</v>
      </c>
      <c r="L1430" s="275">
        <f t="shared" ref="L1430:L1432" si="1867">+H1430+L1326</f>
        <v>0</v>
      </c>
      <c r="M1430" s="276">
        <f t="shared" ref="M1430:M1432" si="1868">+I1430+M1326</f>
        <v>0</v>
      </c>
      <c r="N1430" s="342" t="str">
        <f t="shared" ref="N1430:N1437" si="1869">IFERROR(K1430/E1430,"-")</f>
        <v>-</v>
      </c>
      <c r="O1430" s="352" t="str">
        <f t="shared" ref="O1430:O1455" si="1870">IFERROR(M1430/K1430,"-")</f>
        <v>-</v>
      </c>
    </row>
    <row r="1431" spans="1:15" ht="23.4" x14ac:dyDescent="0.3">
      <c r="A1431" s="277" t="s">
        <v>110</v>
      </c>
      <c r="B1431" s="904"/>
      <c r="C1431" s="318" t="s">
        <v>274</v>
      </c>
      <c r="D1431" s="318"/>
      <c r="E1431" s="279">
        <v>0</v>
      </c>
      <c r="F1431" s="280"/>
      <c r="G1431" s="339">
        <f t="shared" si="1865"/>
        <v>0</v>
      </c>
      <c r="H1431" s="281">
        <v>0</v>
      </c>
      <c r="I1431" s="281">
        <v>0</v>
      </c>
      <c r="J1431" s="358" t="str">
        <f>IFERROR(G1431/#REF!,"-")</f>
        <v>-</v>
      </c>
      <c r="K1431" s="339">
        <f t="shared" si="1866"/>
        <v>10252</v>
      </c>
      <c r="L1431" s="281">
        <f t="shared" si="1867"/>
        <v>9280</v>
      </c>
      <c r="M1431" s="251">
        <f t="shared" si="1868"/>
        <v>972</v>
      </c>
      <c r="N1431" s="343" t="str">
        <f t="shared" si="1869"/>
        <v>-</v>
      </c>
      <c r="O1431" s="264">
        <f t="shared" si="1870"/>
        <v>9.4810768630511119E-2</v>
      </c>
    </row>
    <row r="1432" spans="1:15" ht="24" thickBot="1" x14ac:dyDescent="0.35">
      <c r="A1432" s="277" t="s">
        <v>110</v>
      </c>
      <c r="B1432" s="905"/>
      <c r="C1432" s="319" t="s">
        <v>34</v>
      </c>
      <c r="D1432" s="319"/>
      <c r="E1432" s="283">
        <v>0</v>
      </c>
      <c r="F1432" s="284"/>
      <c r="G1432" s="340">
        <f t="shared" si="1865"/>
        <v>0</v>
      </c>
      <c r="H1432" s="285">
        <v>0</v>
      </c>
      <c r="I1432" s="285">
        <v>0</v>
      </c>
      <c r="J1432" s="359" t="str">
        <f>IFERROR(G1432/#REF!,"-")</f>
        <v>-</v>
      </c>
      <c r="K1432" s="340">
        <f t="shared" si="1866"/>
        <v>0</v>
      </c>
      <c r="L1432" s="285">
        <f t="shared" si="1867"/>
        <v>0</v>
      </c>
      <c r="M1432" s="286">
        <f t="shared" si="1868"/>
        <v>0</v>
      </c>
      <c r="N1432" s="344" t="str">
        <f t="shared" si="1869"/>
        <v>-</v>
      </c>
      <c r="O1432" s="353" t="str">
        <f t="shared" si="1870"/>
        <v>-</v>
      </c>
    </row>
    <row r="1433" spans="1:15" ht="24" thickBot="1" x14ac:dyDescent="0.35">
      <c r="A1433" s="277" t="s">
        <v>110</v>
      </c>
      <c r="B1433" s="906" t="s">
        <v>35</v>
      </c>
      <c r="C1433" s="907"/>
      <c r="D1433" s="908"/>
      <c r="E1433" s="288">
        <v>83700</v>
      </c>
      <c r="F1433" s="289"/>
      <c r="G1433" s="326">
        <f>SUM(G1430:G1432)</f>
        <v>0</v>
      </c>
      <c r="H1433" s="327">
        <f t="shared" ref="H1433:I1433" si="1871">SUM(H1430:H1432)</f>
        <v>0</v>
      </c>
      <c r="I1433" s="327">
        <f t="shared" si="1871"/>
        <v>0</v>
      </c>
      <c r="J1433" s="351" t="str">
        <f>IFERROR(G1433/#REF!,"-")</f>
        <v>-</v>
      </c>
      <c r="K1433" s="326">
        <f t="shared" ref="K1433:M1433" si="1872">SUM(K1430:K1432)</f>
        <v>10252</v>
      </c>
      <c r="L1433" s="327">
        <f t="shared" si="1872"/>
        <v>9280</v>
      </c>
      <c r="M1433" s="328">
        <f t="shared" si="1872"/>
        <v>972</v>
      </c>
      <c r="N1433" s="345">
        <f t="shared" si="1869"/>
        <v>0.12248506571087216</v>
      </c>
      <c r="O1433" s="351">
        <f t="shared" si="1870"/>
        <v>9.4810768630511119E-2</v>
      </c>
    </row>
    <row r="1434" spans="1:15" ht="23.4" x14ac:dyDescent="0.3">
      <c r="A1434" s="277" t="s">
        <v>110</v>
      </c>
      <c r="B1434" s="903" t="s">
        <v>36</v>
      </c>
      <c r="C1434" s="317" t="s">
        <v>121</v>
      </c>
      <c r="D1434" s="317"/>
      <c r="E1434" s="273">
        <v>0</v>
      </c>
      <c r="F1434" s="274"/>
      <c r="G1434" s="338">
        <f t="shared" ref="G1434:G1437" si="1873">+H1434+I1434</f>
        <v>0</v>
      </c>
      <c r="H1434" s="275">
        <v>0</v>
      </c>
      <c r="I1434" s="275">
        <v>0</v>
      </c>
      <c r="J1434" s="357" t="str">
        <f>IFERROR(G1434/#REF!,"-")</f>
        <v>-</v>
      </c>
      <c r="K1434" s="338">
        <f t="shared" ref="K1434:K1437" si="1874">+L1434+M1434</f>
        <v>0</v>
      </c>
      <c r="L1434" s="275">
        <f t="shared" ref="L1434:L1437" si="1875">+H1434+L1330</f>
        <v>0</v>
      </c>
      <c r="M1434" s="276">
        <f t="shared" ref="M1434:M1437" si="1876">+I1434+M1330</f>
        <v>0</v>
      </c>
      <c r="N1434" s="342" t="str">
        <f t="shared" si="1869"/>
        <v>-</v>
      </c>
      <c r="O1434" s="352" t="str">
        <f t="shared" si="1870"/>
        <v>-</v>
      </c>
    </row>
    <row r="1435" spans="1:15" ht="23.4" x14ac:dyDescent="0.3">
      <c r="A1435" s="277" t="s">
        <v>110</v>
      </c>
      <c r="B1435" s="904"/>
      <c r="C1435" s="318" t="s">
        <v>274</v>
      </c>
      <c r="D1435" s="318"/>
      <c r="E1435" s="279">
        <v>0</v>
      </c>
      <c r="F1435" s="280"/>
      <c r="G1435" s="339">
        <f t="shared" si="1873"/>
        <v>4560</v>
      </c>
      <c r="H1435" s="281">
        <v>4480</v>
      </c>
      <c r="I1435" s="281">
        <v>80</v>
      </c>
      <c r="J1435" s="358" t="str">
        <f>IFERROR(G1435/#REF!,"-")</f>
        <v>-</v>
      </c>
      <c r="K1435" s="339">
        <f t="shared" si="1874"/>
        <v>51839</v>
      </c>
      <c r="L1435" s="281">
        <f t="shared" si="1875"/>
        <v>50592</v>
      </c>
      <c r="M1435" s="251">
        <f t="shared" si="1876"/>
        <v>1247</v>
      </c>
      <c r="N1435" s="343" t="str">
        <f t="shared" si="1869"/>
        <v>-</v>
      </c>
      <c r="O1435" s="264">
        <f t="shared" si="1870"/>
        <v>2.4055247979320588E-2</v>
      </c>
    </row>
    <row r="1436" spans="1:15" ht="23.4" x14ac:dyDescent="0.3">
      <c r="A1436" s="277" t="s">
        <v>110</v>
      </c>
      <c r="B1436" s="904"/>
      <c r="C1436" s="318" t="s">
        <v>201</v>
      </c>
      <c r="D1436" s="318"/>
      <c r="E1436" s="279">
        <v>0</v>
      </c>
      <c r="F1436" s="280"/>
      <c r="G1436" s="339">
        <f t="shared" si="1873"/>
        <v>0</v>
      </c>
      <c r="H1436" s="281">
        <v>0</v>
      </c>
      <c r="I1436" s="281">
        <v>0</v>
      </c>
      <c r="J1436" s="358" t="str">
        <f>IFERROR(G1436/#REF!,"-")</f>
        <v>-</v>
      </c>
      <c r="K1436" s="339">
        <f t="shared" si="1874"/>
        <v>0</v>
      </c>
      <c r="L1436" s="281">
        <f t="shared" si="1875"/>
        <v>0</v>
      </c>
      <c r="M1436" s="251">
        <f t="shared" si="1876"/>
        <v>0</v>
      </c>
      <c r="N1436" s="343" t="str">
        <f t="shared" si="1869"/>
        <v>-</v>
      </c>
      <c r="O1436" s="264" t="str">
        <f t="shared" si="1870"/>
        <v>-</v>
      </c>
    </row>
    <row r="1437" spans="1:15" ht="24" thickBot="1" x14ac:dyDescent="0.35">
      <c r="A1437" s="277" t="s">
        <v>110</v>
      </c>
      <c r="B1437" s="905"/>
      <c r="C1437" s="319" t="s">
        <v>37</v>
      </c>
      <c r="D1437" s="319"/>
      <c r="E1437" s="283">
        <v>0</v>
      </c>
      <c r="F1437" s="284"/>
      <c r="G1437" s="340">
        <f t="shared" si="1873"/>
        <v>0</v>
      </c>
      <c r="H1437" s="285">
        <v>0</v>
      </c>
      <c r="I1437" s="285">
        <v>0</v>
      </c>
      <c r="J1437" s="359" t="str">
        <f>IFERROR(G1437/#REF!,"-")</f>
        <v>-</v>
      </c>
      <c r="K1437" s="340">
        <f t="shared" si="1874"/>
        <v>0</v>
      </c>
      <c r="L1437" s="285">
        <f t="shared" si="1875"/>
        <v>0</v>
      </c>
      <c r="M1437" s="286">
        <f t="shared" si="1876"/>
        <v>0</v>
      </c>
      <c r="N1437" s="344" t="str">
        <f t="shared" si="1869"/>
        <v>-</v>
      </c>
      <c r="O1437" s="353" t="str">
        <f t="shared" si="1870"/>
        <v>-</v>
      </c>
    </row>
    <row r="1438" spans="1:15" ht="24" thickBot="1" x14ac:dyDescent="0.35">
      <c r="A1438" s="277" t="s">
        <v>110</v>
      </c>
      <c r="B1438" s="906" t="s">
        <v>38</v>
      </c>
      <c r="C1438" s="907"/>
      <c r="D1438" s="908"/>
      <c r="E1438" s="288">
        <v>10300</v>
      </c>
      <c r="F1438" s="289">
        <v>6500</v>
      </c>
      <c r="G1438" s="326">
        <f>SUM(G1434:G1437)</f>
        <v>4560</v>
      </c>
      <c r="H1438" s="327">
        <f t="shared" ref="H1438:I1438" si="1877">SUM(H1434:H1437)</f>
        <v>4480</v>
      </c>
      <c r="I1438" s="327">
        <f t="shared" si="1877"/>
        <v>80</v>
      </c>
      <c r="J1438" s="351" t="str">
        <f>IFERROR(G1438/#REF!,"-")</f>
        <v>-</v>
      </c>
      <c r="K1438" s="326">
        <f t="shared" ref="K1438:M1438" si="1878">SUM(K1434:K1437)</f>
        <v>51839</v>
      </c>
      <c r="L1438" s="327">
        <f t="shared" si="1878"/>
        <v>50592</v>
      </c>
      <c r="M1438" s="328">
        <f t="shared" si="1878"/>
        <v>1247</v>
      </c>
      <c r="N1438" s="345">
        <f>IFERROR(K1438/E1438,"-")</f>
        <v>5.0329126213592232</v>
      </c>
      <c r="O1438" s="351">
        <f t="shared" si="1870"/>
        <v>2.4055247979320588E-2</v>
      </c>
    </row>
    <row r="1439" spans="1:15" ht="23.4" x14ac:dyDescent="0.3">
      <c r="A1439" s="277" t="s">
        <v>110</v>
      </c>
      <c r="B1439" s="903" t="s">
        <v>39</v>
      </c>
      <c r="C1439" s="320" t="s">
        <v>124</v>
      </c>
      <c r="D1439" s="320"/>
      <c r="E1439" s="273">
        <v>0</v>
      </c>
      <c r="F1439" s="274"/>
      <c r="G1439" s="338">
        <f t="shared" ref="G1439:G1440" si="1879">+H1439+I1439</f>
        <v>0</v>
      </c>
      <c r="H1439" s="275">
        <v>0</v>
      </c>
      <c r="I1439" s="275">
        <v>0</v>
      </c>
      <c r="J1439" s="357" t="str">
        <f>IFERROR(G1439/#REF!,"-")</f>
        <v>-</v>
      </c>
      <c r="K1439" s="338">
        <f t="shared" ref="K1439:K1440" si="1880">+L1439+M1439</f>
        <v>0</v>
      </c>
      <c r="L1439" s="275">
        <f t="shared" ref="L1439:L1440" si="1881">+H1439+L1335</f>
        <v>0</v>
      </c>
      <c r="M1439" s="276">
        <f t="shared" ref="M1439:M1440" si="1882">+I1439+M1335</f>
        <v>0</v>
      </c>
      <c r="N1439" s="342" t="str">
        <f t="shared" ref="N1439:N1455" si="1883">IFERROR(K1439/E1439,"-")</f>
        <v>-</v>
      </c>
      <c r="O1439" s="352" t="str">
        <f t="shared" si="1870"/>
        <v>-</v>
      </c>
    </row>
    <row r="1440" spans="1:15" ht="24" thickBot="1" x14ac:dyDescent="0.35">
      <c r="A1440" s="277" t="s">
        <v>110</v>
      </c>
      <c r="B1440" s="905"/>
      <c r="C1440" s="290" t="s">
        <v>140</v>
      </c>
      <c r="D1440" s="290"/>
      <c r="E1440" s="283">
        <v>0</v>
      </c>
      <c r="F1440" s="284"/>
      <c r="G1440" s="340">
        <f t="shared" si="1879"/>
        <v>0</v>
      </c>
      <c r="H1440" s="285">
        <v>0</v>
      </c>
      <c r="I1440" s="285">
        <v>0</v>
      </c>
      <c r="J1440" s="359" t="str">
        <f>IFERROR(G1440/#REF!,"-")</f>
        <v>-</v>
      </c>
      <c r="K1440" s="340">
        <f t="shared" si="1880"/>
        <v>0</v>
      </c>
      <c r="L1440" s="285">
        <f t="shared" si="1881"/>
        <v>0</v>
      </c>
      <c r="M1440" s="286">
        <f t="shared" si="1882"/>
        <v>0</v>
      </c>
      <c r="N1440" s="344" t="str">
        <f t="shared" si="1883"/>
        <v>-</v>
      </c>
      <c r="O1440" s="353" t="str">
        <f t="shared" si="1870"/>
        <v>-</v>
      </c>
    </row>
    <row r="1441" spans="1:15" ht="24" thickBot="1" x14ac:dyDescent="0.35">
      <c r="A1441" s="821" t="s">
        <v>110</v>
      </c>
      <c r="B1441" s="906" t="s">
        <v>40</v>
      </c>
      <c r="C1441" s="907"/>
      <c r="D1441" s="908"/>
      <c r="E1441" s="288">
        <v>30000</v>
      </c>
      <c r="F1441" s="289">
        <v>2800</v>
      </c>
      <c r="G1441" s="326">
        <f>SUM(G1439:G1440)</f>
        <v>0</v>
      </c>
      <c r="H1441" s="327">
        <f t="shared" ref="H1441:I1441" si="1884">SUM(H1439:H1440)</f>
        <v>0</v>
      </c>
      <c r="I1441" s="327">
        <f t="shared" si="1884"/>
        <v>0</v>
      </c>
      <c r="J1441" s="351" t="str">
        <f>IFERROR(G1441/#REF!,"-")</f>
        <v>-</v>
      </c>
      <c r="K1441" s="326">
        <f t="shared" ref="K1441:M1441" si="1885">SUM(K1439:K1440)</f>
        <v>0</v>
      </c>
      <c r="L1441" s="327">
        <f t="shared" si="1885"/>
        <v>0</v>
      </c>
      <c r="M1441" s="328">
        <f t="shared" si="1885"/>
        <v>0</v>
      </c>
      <c r="N1441" s="345">
        <f t="shared" si="1883"/>
        <v>0</v>
      </c>
      <c r="O1441" s="351" t="str">
        <f t="shared" si="1870"/>
        <v>-</v>
      </c>
    </row>
    <row r="1442" spans="1:15" ht="23.4" x14ac:dyDescent="0.3">
      <c r="A1442" s="277" t="s">
        <v>110</v>
      </c>
      <c r="B1442" s="903" t="s">
        <v>41</v>
      </c>
      <c r="C1442" s="272" t="s">
        <v>346</v>
      </c>
      <c r="D1442" s="272"/>
      <c r="E1442" s="273">
        <v>0</v>
      </c>
      <c r="F1442" s="321"/>
      <c r="G1442" s="338">
        <f t="shared" ref="G1442:G1446" si="1886">+H1442+I1442</f>
        <v>11865</v>
      </c>
      <c r="H1442" s="275">
        <v>11760</v>
      </c>
      <c r="I1442" s="275">
        <v>105</v>
      </c>
      <c r="J1442" s="377" t="str">
        <f>IFERROR(G1442/#REF!,"-")</f>
        <v>-</v>
      </c>
      <c r="K1442" s="338">
        <f t="shared" ref="K1442:K1446" si="1887">+L1442+M1442</f>
        <v>265588</v>
      </c>
      <c r="L1442" s="275">
        <f t="shared" ref="L1442:L1446" si="1888">+H1442+L1338</f>
        <v>262632</v>
      </c>
      <c r="M1442" s="276">
        <f t="shared" ref="M1442:M1446" si="1889">+I1442+M1338</f>
        <v>2956</v>
      </c>
      <c r="N1442" s="365" t="str">
        <f t="shared" si="1883"/>
        <v>-</v>
      </c>
      <c r="O1442" s="366">
        <f t="shared" si="1870"/>
        <v>1.1130020934680783E-2</v>
      </c>
    </row>
    <row r="1443" spans="1:15" ht="23.4" x14ac:dyDescent="0.3">
      <c r="A1443" s="277" t="s">
        <v>110</v>
      </c>
      <c r="B1443" s="904"/>
      <c r="C1443" s="272" t="s">
        <v>347</v>
      </c>
      <c r="D1443" s="278"/>
      <c r="E1443" s="279">
        <v>0</v>
      </c>
      <c r="F1443" s="322"/>
      <c r="G1443" s="339">
        <f t="shared" si="1886"/>
        <v>0</v>
      </c>
      <c r="H1443" s="281">
        <v>0</v>
      </c>
      <c r="I1443" s="281">
        <v>0</v>
      </c>
      <c r="J1443" s="378" t="str">
        <f>IFERROR(G1443/#REF!,"-")</f>
        <v>-</v>
      </c>
      <c r="K1443" s="339">
        <f t="shared" si="1887"/>
        <v>0</v>
      </c>
      <c r="L1443" s="281">
        <f t="shared" si="1888"/>
        <v>0</v>
      </c>
      <c r="M1443" s="251">
        <f t="shared" si="1889"/>
        <v>0</v>
      </c>
      <c r="N1443" s="367" t="str">
        <f t="shared" si="1883"/>
        <v>-</v>
      </c>
      <c r="O1443" s="368" t="str">
        <f t="shared" si="1870"/>
        <v>-</v>
      </c>
    </row>
    <row r="1444" spans="1:15" ht="23.4" x14ac:dyDescent="0.3">
      <c r="A1444" s="277" t="s">
        <v>110</v>
      </c>
      <c r="B1444" s="904"/>
      <c r="C1444" s="278" t="s">
        <v>423</v>
      </c>
      <c r="D1444" s="278"/>
      <c r="E1444" s="279">
        <v>0</v>
      </c>
      <c r="F1444" s="322"/>
      <c r="G1444" s="339">
        <f t="shared" si="1886"/>
        <v>0</v>
      </c>
      <c r="H1444" s="281">
        <v>0</v>
      </c>
      <c r="I1444" s="281">
        <v>0</v>
      </c>
      <c r="J1444" s="378" t="str">
        <f>IFERROR(G1444/#REF!,"-")</f>
        <v>-</v>
      </c>
      <c r="K1444" s="339">
        <f t="shared" si="1887"/>
        <v>34536</v>
      </c>
      <c r="L1444" s="281">
        <f t="shared" si="1888"/>
        <v>33960</v>
      </c>
      <c r="M1444" s="251">
        <f t="shared" si="1889"/>
        <v>576</v>
      </c>
      <c r="N1444" s="367" t="str">
        <f t="shared" si="1883"/>
        <v>-</v>
      </c>
      <c r="O1444" s="368">
        <f t="shared" si="1870"/>
        <v>1.6678248783877692E-2</v>
      </c>
    </row>
    <row r="1445" spans="1:15" ht="23.4" x14ac:dyDescent="0.3">
      <c r="A1445" s="277" t="s">
        <v>110</v>
      </c>
      <c r="B1445" s="904"/>
      <c r="C1445" s="278" t="s">
        <v>166</v>
      </c>
      <c r="D1445" s="278"/>
      <c r="E1445" s="279">
        <v>0</v>
      </c>
      <c r="F1445" s="322"/>
      <c r="G1445" s="339">
        <f t="shared" si="1886"/>
        <v>0</v>
      </c>
      <c r="H1445" s="281">
        <v>0</v>
      </c>
      <c r="I1445" s="281">
        <v>0</v>
      </c>
      <c r="J1445" s="378" t="str">
        <f>IFERROR(G1445/#REF!,"-")</f>
        <v>-</v>
      </c>
      <c r="K1445" s="339">
        <f t="shared" si="1887"/>
        <v>0</v>
      </c>
      <c r="L1445" s="281">
        <f t="shared" si="1888"/>
        <v>0</v>
      </c>
      <c r="M1445" s="251">
        <f t="shared" si="1889"/>
        <v>0</v>
      </c>
      <c r="N1445" s="367" t="str">
        <f t="shared" si="1883"/>
        <v>-</v>
      </c>
      <c r="O1445" s="368" t="str">
        <f t="shared" si="1870"/>
        <v>-</v>
      </c>
    </row>
    <row r="1446" spans="1:15" ht="24" thickBot="1" x14ac:dyDescent="0.35">
      <c r="A1446" s="277" t="s">
        <v>110</v>
      </c>
      <c r="B1446" s="905"/>
      <c r="C1446" s="282" t="s">
        <v>167</v>
      </c>
      <c r="D1446" s="282"/>
      <c r="E1446" s="283">
        <v>0</v>
      </c>
      <c r="F1446" s="323"/>
      <c r="G1446" s="340">
        <f t="shared" si="1886"/>
        <v>0</v>
      </c>
      <c r="H1446" s="285">
        <v>0</v>
      </c>
      <c r="I1446" s="285">
        <v>0</v>
      </c>
      <c r="J1446" s="379" t="str">
        <f>IFERROR(G1446/#REF!,"-")</f>
        <v>-</v>
      </c>
      <c r="K1446" s="340">
        <f t="shared" si="1887"/>
        <v>0</v>
      </c>
      <c r="L1446" s="285">
        <f t="shared" si="1888"/>
        <v>0</v>
      </c>
      <c r="M1446" s="286">
        <f t="shared" si="1889"/>
        <v>0</v>
      </c>
      <c r="N1446" s="369" t="str">
        <f t="shared" si="1883"/>
        <v>-</v>
      </c>
      <c r="O1446" s="370" t="str">
        <f t="shared" si="1870"/>
        <v>-</v>
      </c>
    </row>
    <row r="1447" spans="1:15" ht="24" thickBot="1" x14ac:dyDescent="0.35">
      <c r="A1447" s="277" t="s">
        <v>110</v>
      </c>
      <c r="B1447" s="906" t="s">
        <v>42</v>
      </c>
      <c r="C1447" s="907"/>
      <c r="D1447" s="908"/>
      <c r="E1447" s="326">
        <v>610600</v>
      </c>
      <c r="F1447" s="289">
        <v>25000</v>
      </c>
      <c r="G1447" s="326">
        <f>SUM(G1443:G1446)</f>
        <v>0</v>
      </c>
      <c r="H1447" s="327">
        <f t="shared" ref="H1447:I1447" si="1890">SUM(H1443:H1446)</f>
        <v>0</v>
      </c>
      <c r="I1447" s="327">
        <f t="shared" si="1890"/>
        <v>0</v>
      </c>
      <c r="J1447" s="351" t="str">
        <f>IFERROR(G1447/#REF!,"-")</f>
        <v>-</v>
      </c>
      <c r="K1447" s="326">
        <f>SUM(K1442:K1446)</f>
        <v>300124</v>
      </c>
      <c r="L1447" s="327">
        <f>SUM(L1442:L1446)</f>
        <v>296592</v>
      </c>
      <c r="M1447" s="328">
        <f>SUM(M1442:M1446)</f>
        <v>3532</v>
      </c>
      <c r="N1447" s="345">
        <f t="shared" si="1883"/>
        <v>0.49152309204061578</v>
      </c>
      <c r="O1447" s="351">
        <f t="shared" si="1870"/>
        <v>1.1768469032799777E-2</v>
      </c>
    </row>
    <row r="1448" spans="1:15" ht="23.4" x14ac:dyDescent="0.3">
      <c r="A1448" s="277" t="s">
        <v>110</v>
      </c>
      <c r="B1448" s="903" t="s">
        <v>43</v>
      </c>
      <c r="C1448" s="272" t="s">
        <v>204</v>
      </c>
      <c r="D1448" s="272"/>
      <c r="E1448" s="273">
        <v>0</v>
      </c>
      <c r="F1448" s="274"/>
      <c r="G1448" s="338">
        <f t="shared" ref="G1448:G1450" si="1891">+H1448+I1448</f>
        <v>0</v>
      </c>
      <c r="H1448" s="275">
        <v>0</v>
      </c>
      <c r="I1448" s="275">
        <v>0</v>
      </c>
      <c r="J1448" s="357" t="str">
        <f>IFERROR(G1448/#REF!,"-")</f>
        <v>-</v>
      </c>
      <c r="K1448" s="338">
        <f t="shared" ref="K1448:K1450" si="1892">+L1448+M1448</f>
        <v>0</v>
      </c>
      <c r="L1448" s="275">
        <f t="shared" ref="L1448:L1450" si="1893">+H1448+L1344</f>
        <v>0</v>
      </c>
      <c r="M1448" s="276">
        <f t="shared" ref="M1448:M1450" si="1894">+I1448+M1344</f>
        <v>0</v>
      </c>
      <c r="N1448" s="342" t="str">
        <f t="shared" si="1883"/>
        <v>-</v>
      </c>
      <c r="O1448" s="352" t="str">
        <f t="shared" si="1870"/>
        <v>-</v>
      </c>
    </row>
    <row r="1449" spans="1:15" ht="23.4" x14ac:dyDescent="0.3">
      <c r="A1449" s="277" t="s">
        <v>110</v>
      </c>
      <c r="B1449" s="904"/>
      <c r="C1449" s="278" t="s">
        <v>168</v>
      </c>
      <c r="D1449" s="278"/>
      <c r="E1449" s="279">
        <v>0</v>
      </c>
      <c r="F1449" s="280"/>
      <c r="G1449" s="339">
        <f t="shared" si="1891"/>
        <v>0</v>
      </c>
      <c r="H1449" s="281">
        <v>0</v>
      </c>
      <c r="I1449" s="281">
        <v>0</v>
      </c>
      <c r="J1449" s="378" t="str">
        <f>IFERROR(G1449/#REF!,"-")</f>
        <v>-</v>
      </c>
      <c r="K1449" s="339">
        <f t="shared" si="1892"/>
        <v>0</v>
      </c>
      <c r="L1449" s="281">
        <f t="shared" si="1893"/>
        <v>0</v>
      </c>
      <c r="M1449" s="251">
        <f t="shared" si="1894"/>
        <v>0</v>
      </c>
      <c r="N1449" s="367" t="str">
        <f t="shared" si="1883"/>
        <v>-</v>
      </c>
      <c r="O1449" s="368" t="str">
        <f t="shared" si="1870"/>
        <v>-</v>
      </c>
    </row>
    <row r="1450" spans="1:15" ht="24" thickBot="1" x14ac:dyDescent="0.35">
      <c r="A1450" s="277" t="s">
        <v>110</v>
      </c>
      <c r="B1450" s="905"/>
      <c r="C1450" s="282" t="s">
        <v>204</v>
      </c>
      <c r="D1450" s="282"/>
      <c r="E1450" s="283">
        <v>0</v>
      </c>
      <c r="F1450" s="284"/>
      <c r="G1450" s="340">
        <f t="shared" si="1891"/>
        <v>0</v>
      </c>
      <c r="H1450" s="285">
        <v>0</v>
      </c>
      <c r="I1450" s="285">
        <v>0</v>
      </c>
      <c r="J1450" s="379" t="str">
        <f>IFERROR(G1450/#REF!,"-")</f>
        <v>-</v>
      </c>
      <c r="K1450" s="340">
        <f t="shared" si="1892"/>
        <v>0</v>
      </c>
      <c r="L1450" s="285">
        <f t="shared" si="1893"/>
        <v>0</v>
      </c>
      <c r="M1450" s="286">
        <f t="shared" si="1894"/>
        <v>0</v>
      </c>
      <c r="N1450" s="369" t="str">
        <f t="shared" si="1883"/>
        <v>-</v>
      </c>
      <c r="O1450" s="370" t="str">
        <f t="shared" si="1870"/>
        <v>-</v>
      </c>
    </row>
    <row r="1451" spans="1:15" ht="24" thickBot="1" x14ac:dyDescent="0.35">
      <c r="A1451" s="277" t="s">
        <v>110</v>
      </c>
      <c r="B1451" s="909" t="s">
        <v>44</v>
      </c>
      <c r="C1451" s="910"/>
      <c r="D1451" s="911"/>
      <c r="E1451" s="326">
        <v>0</v>
      </c>
      <c r="F1451" s="289"/>
      <c r="G1451" s="326">
        <f>SUM(G1448:G1450)</f>
        <v>0</v>
      </c>
      <c r="H1451" s="327">
        <f t="shared" ref="H1451:I1451" si="1895">SUM(H1448:H1450)</f>
        <v>0</v>
      </c>
      <c r="I1451" s="327">
        <f t="shared" si="1895"/>
        <v>0</v>
      </c>
      <c r="J1451" s="351" t="str">
        <f>IFERROR(G1451/#REF!,"-")</f>
        <v>-</v>
      </c>
      <c r="K1451" s="326">
        <f t="shared" ref="K1451:M1451" si="1896">SUM(K1448:K1450)</f>
        <v>0</v>
      </c>
      <c r="L1451" s="327">
        <f t="shared" si="1896"/>
        <v>0</v>
      </c>
      <c r="M1451" s="328">
        <f t="shared" si="1896"/>
        <v>0</v>
      </c>
      <c r="N1451" s="345" t="str">
        <f t="shared" si="1883"/>
        <v>-</v>
      </c>
      <c r="O1451" s="351" t="str">
        <f t="shared" si="1870"/>
        <v>-</v>
      </c>
    </row>
    <row r="1452" spans="1:15" ht="23.4" x14ac:dyDescent="0.3">
      <c r="A1452" s="277" t="s">
        <v>110</v>
      </c>
      <c r="B1452" s="903" t="s">
        <v>45</v>
      </c>
      <c r="C1452" s="272" t="s">
        <v>169</v>
      </c>
      <c r="D1452" s="272"/>
      <c r="E1452" s="273">
        <v>0</v>
      </c>
      <c r="F1452" s="274"/>
      <c r="G1452" s="338">
        <f t="shared" ref="G1452:G1453" si="1897">+H1452+I1452</f>
        <v>0</v>
      </c>
      <c r="H1452" s="275">
        <v>0</v>
      </c>
      <c r="I1452" s="275">
        <v>0</v>
      </c>
      <c r="J1452" s="377" t="str">
        <f>IFERROR(G1452/#REF!,"-")</f>
        <v>-</v>
      </c>
      <c r="K1452" s="338">
        <f t="shared" ref="K1452:K1453" si="1898">+L1452+M1452</f>
        <v>0</v>
      </c>
      <c r="L1452" s="275">
        <f t="shared" ref="L1452:L1453" si="1899">+H1452+L1348</f>
        <v>0</v>
      </c>
      <c r="M1452" s="276">
        <f t="shared" ref="M1452:M1453" si="1900">+I1452+M1348</f>
        <v>0</v>
      </c>
      <c r="N1452" s="365" t="str">
        <f t="shared" si="1883"/>
        <v>-</v>
      </c>
      <c r="O1452" s="366" t="str">
        <f t="shared" si="1870"/>
        <v>-</v>
      </c>
    </row>
    <row r="1453" spans="1:15" ht="24" thickBot="1" x14ac:dyDescent="0.35">
      <c r="A1453" s="277" t="s">
        <v>110</v>
      </c>
      <c r="B1453" s="905"/>
      <c r="C1453" s="282" t="s">
        <v>170</v>
      </c>
      <c r="D1453" s="282"/>
      <c r="E1453" s="283">
        <v>0</v>
      </c>
      <c r="F1453" s="284"/>
      <c r="G1453" s="340">
        <f t="shared" si="1897"/>
        <v>0</v>
      </c>
      <c r="H1453" s="285">
        <v>0</v>
      </c>
      <c r="I1453" s="285">
        <v>0</v>
      </c>
      <c r="J1453" s="379" t="str">
        <f>IFERROR(G1453/#REF!,"-")</f>
        <v>-</v>
      </c>
      <c r="K1453" s="340">
        <f t="shared" si="1898"/>
        <v>0</v>
      </c>
      <c r="L1453" s="285">
        <f t="shared" si="1899"/>
        <v>0</v>
      </c>
      <c r="M1453" s="286">
        <f t="shared" si="1900"/>
        <v>0</v>
      </c>
      <c r="N1453" s="369" t="str">
        <f t="shared" si="1883"/>
        <v>-</v>
      </c>
      <c r="O1453" s="370" t="str">
        <f t="shared" si="1870"/>
        <v>-</v>
      </c>
    </row>
    <row r="1454" spans="1:15" ht="24" thickBot="1" x14ac:dyDescent="0.35">
      <c r="A1454" s="277" t="s">
        <v>110</v>
      </c>
      <c r="B1454" s="909" t="s">
        <v>46</v>
      </c>
      <c r="C1454" s="910"/>
      <c r="D1454" s="911"/>
      <c r="E1454" s="288">
        <v>11100</v>
      </c>
      <c r="F1454" s="289">
        <v>25000</v>
      </c>
      <c r="G1454" s="326">
        <f>SUM(G1452:G1453)</f>
        <v>0</v>
      </c>
      <c r="H1454" s="327">
        <f t="shared" ref="H1454:I1454" si="1901">SUM(H1452:H1453)</f>
        <v>0</v>
      </c>
      <c r="I1454" s="327">
        <f t="shared" si="1901"/>
        <v>0</v>
      </c>
      <c r="J1454" s="351" t="str">
        <f>IFERROR(G1454/#REF!,"-")</f>
        <v>-</v>
      </c>
      <c r="K1454" s="326">
        <f t="shared" ref="K1454:M1454" si="1902">SUM(K1452:K1453)</f>
        <v>0</v>
      </c>
      <c r="L1454" s="327">
        <f t="shared" si="1902"/>
        <v>0</v>
      </c>
      <c r="M1454" s="328">
        <f t="shared" si="1902"/>
        <v>0</v>
      </c>
      <c r="N1454" s="345">
        <f t="shared" si="1883"/>
        <v>0</v>
      </c>
      <c r="O1454" s="351" t="str">
        <f t="shared" si="1870"/>
        <v>-</v>
      </c>
    </row>
    <row r="1455" spans="1:15" ht="24" thickBot="1" x14ac:dyDescent="0.35">
      <c r="A1455" s="277" t="s">
        <v>110</v>
      </c>
      <c r="B1455" s="912" t="s">
        <v>25</v>
      </c>
      <c r="C1455" s="913"/>
      <c r="D1455" s="914"/>
      <c r="E1455" s="332">
        <f t="shared" ref="E1455:F1455" si="1903">+E1433+E1438+E1441+E1447+E1451+E1454</f>
        <v>745700</v>
      </c>
      <c r="F1455" s="333">
        <f t="shared" si="1903"/>
        <v>59300</v>
      </c>
      <c r="G1455" s="332">
        <f>+G1433+G1438+G1441+G1447+G1451+G1454</f>
        <v>4560</v>
      </c>
      <c r="H1455" s="330">
        <f t="shared" ref="H1455:I1455" si="1904">+H1433+H1438+H1441+H1447+H1451+H1454</f>
        <v>4480</v>
      </c>
      <c r="I1455" s="330">
        <f t="shared" si="1904"/>
        <v>80</v>
      </c>
      <c r="J1455" s="355" t="str">
        <f>IFERROR(G1455/#REF!,"-")</f>
        <v>-</v>
      </c>
      <c r="K1455" s="332">
        <f>+K1433+K1438+K1441+K1447+K1451+K1454</f>
        <v>362215</v>
      </c>
      <c r="L1455" s="330">
        <f t="shared" ref="L1455:M1455" si="1905">+L1433+L1438+L1441+L1447+L1451+L1454</f>
        <v>356464</v>
      </c>
      <c r="M1455" s="331">
        <f t="shared" si="1905"/>
        <v>5751</v>
      </c>
      <c r="N1455" s="347">
        <f t="shared" si="1883"/>
        <v>0.48573823253319032</v>
      </c>
      <c r="O1455" s="355">
        <f t="shared" si="1870"/>
        <v>1.5877310437171294E-2</v>
      </c>
    </row>
    <row r="1456" spans="1:15" ht="24" thickBot="1" x14ac:dyDescent="0.35">
      <c r="A1456" s="324" t="s">
        <v>110</v>
      </c>
      <c r="B1456" s="901" t="s">
        <v>182</v>
      </c>
      <c r="C1456" s="901"/>
      <c r="D1456" s="902"/>
      <c r="E1456" s="336">
        <f>+E1455</f>
        <v>745700</v>
      </c>
      <c r="F1456" s="337">
        <f t="shared" ref="F1456:O1456" si="1906">+F1455</f>
        <v>59300</v>
      </c>
      <c r="G1456" s="336">
        <f t="shared" si="1906"/>
        <v>4560</v>
      </c>
      <c r="H1456" s="334">
        <f t="shared" si="1906"/>
        <v>4480</v>
      </c>
      <c r="I1456" s="334">
        <f t="shared" si="1906"/>
        <v>80</v>
      </c>
      <c r="J1456" s="356" t="str">
        <f t="shared" si="1906"/>
        <v>-</v>
      </c>
      <c r="K1456" s="336">
        <f t="shared" si="1906"/>
        <v>362215</v>
      </c>
      <c r="L1456" s="334">
        <f t="shared" si="1906"/>
        <v>356464</v>
      </c>
      <c r="M1456" s="335">
        <f t="shared" si="1906"/>
        <v>5751</v>
      </c>
      <c r="N1456" s="348">
        <f t="shared" si="1906"/>
        <v>0.48573823253319032</v>
      </c>
      <c r="O1456" s="356">
        <f t="shared" si="1906"/>
        <v>1.5877310437171294E-2</v>
      </c>
    </row>
    <row r="1457" spans="1:15" ht="24.6" thickBot="1" x14ac:dyDescent="0.35">
      <c r="A1457" s="325"/>
      <c r="B1457" s="915" t="s">
        <v>183</v>
      </c>
      <c r="C1457" s="916"/>
      <c r="D1457" s="917"/>
      <c r="E1457" s="380">
        <f>+E1402+E1429+E1456</f>
        <v>9494400</v>
      </c>
      <c r="F1457" s="380">
        <f>+F1402+F1429+F1456</f>
        <v>748300</v>
      </c>
      <c r="G1457" s="380">
        <f>+G1402+G1429+G1456</f>
        <v>401872</v>
      </c>
      <c r="H1457" s="380">
        <f>+H1402+H1429+H1456</f>
        <v>397360</v>
      </c>
      <c r="I1457" s="380">
        <f>+I1402+I1429+I1456</f>
        <v>4512</v>
      </c>
      <c r="J1457" s="381" t="str">
        <f>IFERROR(G1457/#REF!,"-")</f>
        <v>-</v>
      </c>
      <c r="K1457" s="380">
        <f>+K1402+K1429+K1456</f>
        <v>4066662</v>
      </c>
      <c r="L1457" s="380">
        <f>+L1402+L1429+L1456</f>
        <v>4023232</v>
      </c>
      <c r="M1457" s="380">
        <f>+M1402+M1429+M1456</f>
        <v>43430</v>
      </c>
      <c r="N1457" s="381">
        <f>IFERROR(K1457/E1457,"-")</f>
        <v>0.42832216885743174</v>
      </c>
      <c r="O1457" s="381">
        <f>IFERROR(M1457/K1457,"-")</f>
        <v>1.0679520451908715E-2</v>
      </c>
    </row>
    <row r="1458" spans="1:15" ht="23.4" x14ac:dyDescent="0.3">
      <c r="A1458" s="935" t="s">
        <v>1</v>
      </c>
      <c r="B1458" s="938" t="s">
        <v>2</v>
      </c>
      <c r="C1458" s="941" t="s">
        <v>3</v>
      </c>
      <c r="D1458" s="941" t="s">
        <v>93</v>
      </c>
      <c r="E1458" s="944" t="s">
        <v>4</v>
      </c>
      <c r="F1458" s="945"/>
      <c r="G1458" s="945"/>
      <c r="H1458" s="945"/>
      <c r="I1458" s="945"/>
      <c r="J1458" s="945"/>
      <c r="K1458" s="945"/>
      <c r="L1458" s="945"/>
      <c r="M1458" s="945"/>
      <c r="N1458" s="945"/>
      <c r="O1458" s="946"/>
    </row>
    <row r="1459" spans="1:15" ht="23.4" x14ac:dyDescent="0.3">
      <c r="A1459" s="936"/>
      <c r="B1459" s="939"/>
      <c r="C1459" s="942"/>
      <c r="D1459" s="942"/>
      <c r="E1459" s="947" t="s">
        <v>7</v>
      </c>
      <c r="F1459" s="949" t="s">
        <v>116</v>
      </c>
      <c r="G1459" s="951">
        <v>44521</v>
      </c>
      <c r="H1459" s="952"/>
      <c r="I1459" s="952"/>
      <c r="J1459" s="953"/>
      <c r="K1459" s="954" t="s">
        <v>8</v>
      </c>
      <c r="L1459" s="955"/>
      <c r="M1459" s="956"/>
      <c r="N1459" s="957" t="s">
        <v>174</v>
      </c>
      <c r="O1459" s="959" t="s">
        <v>173</v>
      </c>
    </row>
    <row r="1460" spans="1:15" ht="41.4" thickBot="1" x14ac:dyDescent="0.35">
      <c r="A1460" s="937"/>
      <c r="B1460" s="940"/>
      <c r="C1460" s="943"/>
      <c r="D1460" s="943"/>
      <c r="E1460" s="948"/>
      <c r="F1460" s="950"/>
      <c r="G1460" s="462" t="s">
        <v>13</v>
      </c>
      <c r="H1460" s="463" t="s">
        <v>14</v>
      </c>
      <c r="I1460" s="463" t="s">
        <v>15</v>
      </c>
      <c r="J1460" s="464" t="s">
        <v>175</v>
      </c>
      <c r="K1460" s="462" t="s">
        <v>13</v>
      </c>
      <c r="L1460" s="463" t="s">
        <v>14</v>
      </c>
      <c r="M1460" s="465" t="s">
        <v>15</v>
      </c>
      <c r="N1460" s="958"/>
      <c r="O1460" s="960"/>
    </row>
    <row r="1461" spans="1:15" ht="23.4" x14ac:dyDescent="0.3">
      <c r="A1461" s="271" t="s">
        <v>111</v>
      </c>
      <c r="B1461" s="922" t="s">
        <v>16</v>
      </c>
      <c r="C1461" s="272" t="s">
        <v>186</v>
      </c>
      <c r="D1461" s="272" t="s">
        <v>184</v>
      </c>
      <c r="E1461" s="273">
        <v>0</v>
      </c>
      <c r="F1461" s="274"/>
      <c r="G1461" s="338">
        <f>+H1461+I1461</f>
        <v>0</v>
      </c>
      <c r="H1461" s="275">
        <v>0</v>
      </c>
      <c r="I1461" s="275">
        <v>0</v>
      </c>
      <c r="J1461" s="357" t="str">
        <f>IFERROR(G1461/#REF!,"-")</f>
        <v>-</v>
      </c>
      <c r="K1461" s="468">
        <f>+L1461+M1461</f>
        <v>0</v>
      </c>
      <c r="L1461" s="469">
        <f>+H1461+L1357</f>
        <v>0</v>
      </c>
      <c r="M1461" s="469">
        <f>+I1461+M1357</f>
        <v>0</v>
      </c>
      <c r="N1461" s="342" t="str">
        <f>IFERROR(K1461/E1461,"-")</f>
        <v>-</v>
      </c>
      <c r="O1461" s="349" t="str">
        <f t="shared" ref="O1461:O1462" si="1907">IFERROR(M1461/K1461,"-")</f>
        <v>-</v>
      </c>
    </row>
    <row r="1462" spans="1:15" ht="23.4" x14ac:dyDescent="0.3">
      <c r="A1462" s="277" t="s">
        <v>111</v>
      </c>
      <c r="B1462" s="923"/>
      <c r="C1462" s="278" t="s">
        <v>190</v>
      </c>
      <c r="D1462" s="278" t="s">
        <v>101</v>
      </c>
      <c r="E1462" s="279">
        <v>0</v>
      </c>
      <c r="F1462" s="280"/>
      <c r="G1462" s="339">
        <f t="shared" ref="G1462:G1464" si="1908">+H1462+I1462</f>
        <v>0</v>
      </c>
      <c r="H1462" s="281">
        <v>0</v>
      </c>
      <c r="I1462" s="281">
        <v>0</v>
      </c>
      <c r="J1462" s="358" t="str">
        <f>IFERROR(G1462/#REF!,"-")</f>
        <v>-</v>
      </c>
      <c r="K1462" s="339">
        <f t="shared" ref="K1462:K1464" si="1909">+L1462+M1462</f>
        <v>0</v>
      </c>
      <c r="L1462" s="281">
        <f t="shared" ref="L1462:L1464" si="1910">+H1462+L1358</f>
        <v>0</v>
      </c>
      <c r="M1462" s="442">
        <f t="shared" ref="M1462:M1464" si="1911">+I1462+M1358</f>
        <v>0</v>
      </c>
      <c r="N1462" s="343" t="str">
        <f t="shared" ref="N1462:N1464" si="1912">IFERROR(K1462/E1462,"-")</f>
        <v>-</v>
      </c>
      <c r="O1462" s="268" t="str">
        <f t="shared" si="1907"/>
        <v>-</v>
      </c>
    </row>
    <row r="1463" spans="1:15" ht="23.4" x14ac:dyDescent="0.3">
      <c r="A1463" s="277" t="s">
        <v>111</v>
      </c>
      <c r="B1463" s="923"/>
      <c r="C1463" s="278" t="s">
        <v>187</v>
      </c>
      <c r="D1463" s="278" t="s">
        <v>185</v>
      </c>
      <c r="E1463" s="279">
        <v>0</v>
      </c>
      <c r="F1463" s="280"/>
      <c r="G1463" s="339">
        <f t="shared" si="1908"/>
        <v>0</v>
      </c>
      <c r="H1463" s="281">
        <v>0</v>
      </c>
      <c r="I1463" s="281">
        <v>0</v>
      </c>
      <c r="J1463" s="358" t="str">
        <f>IFERROR(G1463/#REF!,"-")</f>
        <v>-</v>
      </c>
      <c r="K1463" s="339">
        <f t="shared" si="1909"/>
        <v>0</v>
      </c>
      <c r="L1463" s="281">
        <f t="shared" si="1910"/>
        <v>0</v>
      </c>
      <c r="M1463" s="442">
        <f t="shared" si="1911"/>
        <v>0</v>
      </c>
      <c r="N1463" s="343" t="str">
        <f t="shared" si="1912"/>
        <v>-</v>
      </c>
      <c r="O1463" s="268" t="str">
        <f>IFERROR(M1463/K1463,"-")</f>
        <v>-</v>
      </c>
    </row>
    <row r="1464" spans="1:15" ht="24" thickBot="1" x14ac:dyDescent="0.35">
      <c r="A1464" s="277" t="s">
        <v>111</v>
      </c>
      <c r="B1464" s="924"/>
      <c r="C1464" s="282" t="s">
        <v>255</v>
      </c>
      <c r="D1464" s="282" t="s">
        <v>256</v>
      </c>
      <c r="E1464" s="283">
        <v>0</v>
      </c>
      <c r="F1464" s="284"/>
      <c r="G1464" s="340">
        <f t="shared" si="1908"/>
        <v>0</v>
      </c>
      <c r="H1464" s="285">
        <v>0</v>
      </c>
      <c r="I1464" s="285">
        <v>0</v>
      </c>
      <c r="J1464" s="359" t="str">
        <f>IFERROR(G1464/#REF!,"-")</f>
        <v>-</v>
      </c>
      <c r="K1464" s="471">
        <f t="shared" si="1909"/>
        <v>105704</v>
      </c>
      <c r="L1464" s="472">
        <f t="shared" si="1910"/>
        <v>104016</v>
      </c>
      <c r="M1464" s="473">
        <f t="shared" si="1911"/>
        <v>1688</v>
      </c>
      <c r="N1464" s="344" t="str">
        <f t="shared" si="1912"/>
        <v>-</v>
      </c>
      <c r="O1464" s="350">
        <f t="shared" ref="O1464:O1482" si="1913">IFERROR(M1464/K1464,"-")</f>
        <v>1.5969121319912207E-2</v>
      </c>
    </row>
    <row r="1465" spans="1:15" ht="24" thickBot="1" x14ac:dyDescent="0.35">
      <c r="A1465" s="277" t="s">
        <v>111</v>
      </c>
      <c r="B1465" s="906" t="s">
        <v>47</v>
      </c>
      <c r="C1465" s="907"/>
      <c r="D1465" s="908"/>
      <c r="E1465" s="326">
        <v>144600</v>
      </c>
      <c r="F1465" s="289">
        <v>15000</v>
      </c>
      <c r="G1465" s="326">
        <f>SUM(G1461:G1464)</f>
        <v>0</v>
      </c>
      <c r="H1465" s="327">
        <f t="shared" ref="H1465:I1465" si="1914">SUM(H1461:H1464)</f>
        <v>0</v>
      </c>
      <c r="I1465" s="327">
        <f t="shared" si="1914"/>
        <v>0</v>
      </c>
      <c r="J1465" s="351" t="str">
        <f>IFERROR(G1465/#REF!,"-")</f>
        <v>-</v>
      </c>
      <c r="K1465" s="326">
        <f t="shared" ref="K1465:M1465" si="1915">SUM(K1461:K1464)</f>
        <v>105704</v>
      </c>
      <c r="L1465" s="327">
        <f t="shared" si="1915"/>
        <v>104016</v>
      </c>
      <c r="M1465" s="328">
        <f t="shared" si="1915"/>
        <v>1688</v>
      </c>
      <c r="N1465" s="345">
        <f>IFERROR(K1465/E1465,"-")</f>
        <v>0.7310096818810512</v>
      </c>
      <c r="O1465" s="351">
        <f t="shared" si="1913"/>
        <v>1.5969121319912207E-2</v>
      </c>
    </row>
    <row r="1466" spans="1:15" ht="23.4" x14ac:dyDescent="0.3">
      <c r="A1466" s="277" t="s">
        <v>111</v>
      </c>
      <c r="B1466" s="922" t="s">
        <v>17</v>
      </c>
      <c r="C1466" s="272" t="s">
        <v>331</v>
      </c>
      <c r="D1466" s="272"/>
      <c r="E1466" s="273">
        <v>0</v>
      </c>
      <c r="F1466" s="274"/>
      <c r="G1466" s="338">
        <f t="shared" ref="G1466:G1472" si="1916">+H1466+I1466</f>
        <v>0</v>
      </c>
      <c r="H1466" s="275">
        <v>0</v>
      </c>
      <c r="I1466" s="275">
        <v>0</v>
      </c>
      <c r="J1466" s="357" t="str">
        <f>IFERROR(G1466/#REF!,"-")</f>
        <v>-</v>
      </c>
      <c r="K1466" s="468">
        <f t="shared" ref="K1466:K1472" si="1917">+L1466+M1466</f>
        <v>0</v>
      </c>
      <c r="L1466" s="469">
        <f t="shared" ref="L1466:L1472" si="1918">+H1466+L1362</f>
        <v>0</v>
      </c>
      <c r="M1466" s="470">
        <f t="shared" ref="M1466:M1472" si="1919">+I1466+M1362</f>
        <v>0</v>
      </c>
      <c r="N1466" s="342" t="str">
        <f t="shared" ref="N1466:N1472" si="1920">IFERROR(K1466/E1466,"-")</f>
        <v>-</v>
      </c>
      <c r="O1466" s="352" t="str">
        <f t="shared" si="1913"/>
        <v>-</v>
      </c>
    </row>
    <row r="1467" spans="1:15" ht="23.4" x14ac:dyDescent="0.3">
      <c r="A1467" s="277" t="s">
        <v>111</v>
      </c>
      <c r="B1467" s="923"/>
      <c r="C1467" s="278" t="s">
        <v>421</v>
      </c>
      <c r="D1467" s="278" t="s">
        <v>257</v>
      </c>
      <c r="E1467" s="279">
        <v>0</v>
      </c>
      <c r="F1467" s="280"/>
      <c r="G1467" s="339">
        <f t="shared" si="1916"/>
        <v>49298</v>
      </c>
      <c r="H1467" s="281">
        <v>48960</v>
      </c>
      <c r="I1467" s="281">
        <v>338</v>
      </c>
      <c r="J1467" s="358" t="str">
        <f>IFERROR(G1467/#REF!,"-")</f>
        <v>-</v>
      </c>
      <c r="K1467" s="339">
        <f t="shared" si="1917"/>
        <v>488158</v>
      </c>
      <c r="L1467" s="281">
        <f t="shared" si="1918"/>
        <v>485783</v>
      </c>
      <c r="M1467" s="442">
        <f t="shared" si="1919"/>
        <v>2375</v>
      </c>
      <c r="N1467" s="343" t="str">
        <f t="shared" si="1920"/>
        <v>-</v>
      </c>
      <c r="O1467" s="264">
        <f t="shared" si="1913"/>
        <v>4.865228061406348E-3</v>
      </c>
    </row>
    <row r="1468" spans="1:15" ht="23.4" x14ac:dyDescent="0.3">
      <c r="A1468" s="277" t="s">
        <v>111</v>
      </c>
      <c r="B1468" s="923"/>
      <c r="C1468" s="278" t="s">
        <v>290</v>
      </c>
      <c r="D1468" s="278" t="s">
        <v>205</v>
      </c>
      <c r="E1468" s="279">
        <v>0</v>
      </c>
      <c r="F1468" s="280"/>
      <c r="G1468" s="339">
        <f t="shared" si="1916"/>
        <v>0</v>
      </c>
      <c r="H1468" s="281">
        <v>0</v>
      </c>
      <c r="I1468" s="281">
        <v>0</v>
      </c>
      <c r="J1468" s="358" t="str">
        <f>IFERROR(G1468/#REF!,"-")</f>
        <v>-</v>
      </c>
      <c r="K1468" s="339">
        <f t="shared" si="1917"/>
        <v>0</v>
      </c>
      <c r="L1468" s="281">
        <f t="shared" si="1918"/>
        <v>0</v>
      </c>
      <c r="M1468" s="442">
        <f t="shared" si="1919"/>
        <v>0</v>
      </c>
      <c r="N1468" s="343" t="str">
        <f t="shared" si="1920"/>
        <v>-</v>
      </c>
      <c r="O1468" s="264" t="str">
        <f t="shared" si="1913"/>
        <v>-</v>
      </c>
    </row>
    <row r="1469" spans="1:15" ht="23.4" x14ac:dyDescent="0.3">
      <c r="A1469" s="277" t="s">
        <v>111</v>
      </c>
      <c r="B1469" s="923"/>
      <c r="C1469" s="278" t="s">
        <v>330</v>
      </c>
      <c r="D1469" s="278" t="s">
        <v>206</v>
      </c>
      <c r="E1469" s="279">
        <v>0</v>
      </c>
      <c r="F1469" s="280"/>
      <c r="G1469" s="339">
        <f t="shared" si="1916"/>
        <v>0</v>
      </c>
      <c r="H1469" s="281">
        <v>0</v>
      </c>
      <c r="I1469" s="281">
        <v>0</v>
      </c>
      <c r="J1469" s="358" t="str">
        <f>IFERROR(G1469/#REF!,"-")</f>
        <v>-</v>
      </c>
      <c r="K1469" s="339">
        <f t="shared" si="1917"/>
        <v>1836</v>
      </c>
      <c r="L1469" s="281">
        <f t="shared" si="1918"/>
        <v>1836</v>
      </c>
      <c r="M1469" s="442">
        <f t="shared" si="1919"/>
        <v>0</v>
      </c>
      <c r="N1469" s="343" t="str">
        <f t="shared" si="1920"/>
        <v>-</v>
      </c>
      <c r="O1469" s="264">
        <f t="shared" si="1913"/>
        <v>0</v>
      </c>
    </row>
    <row r="1470" spans="1:15" ht="23.4" x14ac:dyDescent="0.3">
      <c r="A1470" s="277" t="s">
        <v>111</v>
      </c>
      <c r="B1470" s="923"/>
      <c r="C1470" s="278" t="s">
        <v>377</v>
      </c>
      <c r="D1470" s="278" t="s">
        <v>371</v>
      </c>
      <c r="E1470" s="279">
        <v>0</v>
      </c>
      <c r="F1470" s="280"/>
      <c r="G1470" s="339">
        <f t="shared" si="1916"/>
        <v>0</v>
      </c>
      <c r="H1470" s="281">
        <v>0</v>
      </c>
      <c r="I1470" s="281">
        <v>0</v>
      </c>
      <c r="J1470" s="358" t="str">
        <f>IFERROR(G1470/#REF!,"-")</f>
        <v>-</v>
      </c>
      <c r="K1470" s="339">
        <f t="shared" si="1917"/>
        <v>10610</v>
      </c>
      <c r="L1470" s="281">
        <f t="shared" si="1918"/>
        <v>10610</v>
      </c>
      <c r="M1470" s="442">
        <f t="shared" si="1919"/>
        <v>0</v>
      </c>
      <c r="N1470" s="343" t="str">
        <f t="shared" si="1920"/>
        <v>-</v>
      </c>
      <c r="O1470" s="264">
        <f t="shared" si="1913"/>
        <v>0</v>
      </c>
    </row>
    <row r="1471" spans="1:15" ht="23.4" x14ac:dyDescent="0.3">
      <c r="A1471" s="277" t="s">
        <v>111</v>
      </c>
      <c r="B1471" s="923"/>
      <c r="C1471" s="278" t="s">
        <v>443</v>
      </c>
      <c r="D1471" s="278" t="s">
        <v>207</v>
      </c>
      <c r="E1471" s="279">
        <v>0</v>
      </c>
      <c r="F1471" s="280"/>
      <c r="G1471" s="339">
        <f t="shared" si="1916"/>
        <v>12240</v>
      </c>
      <c r="H1471" s="281">
        <v>12240</v>
      </c>
      <c r="I1471" s="281">
        <v>0</v>
      </c>
      <c r="J1471" s="358" t="str">
        <f>IFERROR(G1471/#REF!,"-")</f>
        <v>-</v>
      </c>
      <c r="K1471" s="339">
        <f t="shared" si="1917"/>
        <v>442020</v>
      </c>
      <c r="L1471" s="281">
        <f t="shared" si="1918"/>
        <v>440640</v>
      </c>
      <c r="M1471" s="442">
        <f t="shared" si="1919"/>
        <v>1380</v>
      </c>
      <c r="N1471" s="343" t="str">
        <f t="shared" si="1920"/>
        <v>-</v>
      </c>
      <c r="O1471" s="264">
        <f t="shared" si="1913"/>
        <v>3.1220306773449167E-3</v>
      </c>
    </row>
    <row r="1472" spans="1:15" ht="24" thickBot="1" x14ac:dyDescent="0.35">
      <c r="A1472" s="277" t="s">
        <v>111</v>
      </c>
      <c r="B1472" s="924"/>
      <c r="C1472" s="282" t="s">
        <v>416</v>
      </c>
      <c r="D1472" s="282" t="s">
        <v>257</v>
      </c>
      <c r="E1472" s="283">
        <v>0</v>
      </c>
      <c r="F1472" s="284"/>
      <c r="G1472" s="340">
        <f t="shared" si="1916"/>
        <v>0</v>
      </c>
      <c r="H1472" s="285">
        <v>0</v>
      </c>
      <c r="I1472" s="285">
        <v>0</v>
      </c>
      <c r="J1472" s="359" t="str">
        <f>IFERROR(G1472/#REF!,"-")</f>
        <v>-</v>
      </c>
      <c r="K1472" s="471">
        <f t="shared" si="1917"/>
        <v>73650</v>
      </c>
      <c r="L1472" s="472">
        <f t="shared" si="1918"/>
        <v>73440</v>
      </c>
      <c r="M1472" s="473">
        <f t="shared" si="1919"/>
        <v>210</v>
      </c>
      <c r="N1472" s="344" t="str">
        <f t="shared" si="1920"/>
        <v>-</v>
      </c>
      <c r="O1472" s="353">
        <f t="shared" si="1913"/>
        <v>2.8513238289205704E-3</v>
      </c>
    </row>
    <row r="1473" spans="1:15" ht="24" thickBot="1" x14ac:dyDescent="0.35">
      <c r="A1473" s="277" t="s">
        <v>111</v>
      </c>
      <c r="B1473" s="906" t="s">
        <v>48</v>
      </c>
      <c r="C1473" s="907"/>
      <c r="D1473" s="908"/>
      <c r="E1473" s="326">
        <v>3480000</v>
      </c>
      <c r="F1473" s="289">
        <v>100000</v>
      </c>
      <c r="G1473" s="326">
        <f>SUM(G1466:G1472)</f>
        <v>61538</v>
      </c>
      <c r="H1473" s="327">
        <f t="shared" ref="H1473:I1473" si="1921">SUM(H1466:H1472)</f>
        <v>61200</v>
      </c>
      <c r="I1473" s="327">
        <f t="shared" si="1921"/>
        <v>338</v>
      </c>
      <c r="J1473" s="351" t="str">
        <f>IFERROR(G1473/#REF!,"-")</f>
        <v>-</v>
      </c>
      <c r="K1473" s="326">
        <f>SUM(K1466:K1472)</f>
        <v>1016274</v>
      </c>
      <c r="L1473" s="327">
        <f>SUM(L1466:L1472)</f>
        <v>1012309</v>
      </c>
      <c r="M1473" s="328">
        <f t="shared" ref="M1473" si="1922">SUM(M1466:M1472)</f>
        <v>3965</v>
      </c>
      <c r="N1473" s="345">
        <f>IFERROR(K1473/E1473,"-")</f>
        <v>0.29203275862068967</v>
      </c>
      <c r="O1473" s="351">
        <f t="shared" si="1913"/>
        <v>3.9015068770823615E-3</v>
      </c>
    </row>
    <row r="1474" spans="1:15" ht="23.4" x14ac:dyDescent="0.3">
      <c r="A1474" s="277" t="s">
        <v>111</v>
      </c>
      <c r="B1474" s="922" t="s">
        <v>18</v>
      </c>
      <c r="C1474" s="272" t="s">
        <v>359</v>
      </c>
      <c r="D1474" s="272" t="s">
        <v>99</v>
      </c>
      <c r="E1474" s="273">
        <v>0</v>
      </c>
      <c r="F1474" s="274"/>
      <c r="G1474" s="338">
        <f t="shared" ref="G1474:G1480" si="1923">+H1474+I1474</f>
        <v>0</v>
      </c>
      <c r="H1474" s="275">
        <v>0</v>
      </c>
      <c r="I1474" s="275">
        <v>0</v>
      </c>
      <c r="J1474" s="357" t="str">
        <f>IFERROR(G1474/#REF!,"-")</f>
        <v>-</v>
      </c>
      <c r="K1474" s="338">
        <f t="shared" ref="K1474:K1480" si="1924">+L1474+M1474</f>
        <v>0</v>
      </c>
      <c r="L1474" s="275">
        <f t="shared" ref="L1474:L1480" si="1925">+H1474+L1370</f>
        <v>0</v>
      </c>
      <c r="M1474" s="276">
        <f t="shared" ref="M1474:M1480" si="1926">+I1474+M1370</f>
        <v>0</v>
      </c>
      <c r="N1474" s="342" t="str">
        <f t="shared" ref="N1474:N1481" si="1927">IFERROR(K1474/E1474,"-")</f>
        <v>-</v>
      </c>
      <c r="O1474" s="352" t="str">
        <f t="shared" si="1913"/>
        <v>-</v>
      </c>
    </row>
    <row r="1475" spans="1:15" ht="23.4" x14ac:dyDescent="0.3">
      <c r="A1475" s="277" t="s">
        <v>111</v>
      </c>
      <c r="B1475" s="923"/>
      <c r="C1475" s="278" t="s">
        <v>258</v>
      </c>
      <c r="D1475" s="278" t="s">
        <v>259</v>
      </c>
      <c r="E1475" s="279">
        <v>0</v>
      </c>
      <c r="F1475" s="280"/>
      <c r="G1475" s="339">
        <f t="shared" si="1923"/>
        <v>0</v>
      </c>
      <c r="H1475" s="281">
        <v>0</v>
      </c>
      <c r="I1475" s="281">
        <v>0</v>
      </c>
      <c r="J1475" s="358" t="str">
        <f>IFERROR(G1475/#REF!,"-")</f>
        <v>-</v>
      </c>
      <c r="K1475" s="339">
        <f t="shared" si="1924"/>
        <v>0</v>
      </c>
      <c r="L1475" s="281">
        <f t="shared" si="1925"/>
        <v>0</v>
      </c>
      <c r="M1475" s="251">
        <f t="shared" si="1926"/>
        <v>0</v>
      </c>
      <c r="N1475" s="343" t="str">
        <f t="shared" si="1927"/>
        <v>-</v>
      </c>
      <c r="O1475" s="264" t="str">
        <f t="shared" si="1913"/>
        <v>-</v>
      </c>
    </row>
    <row r="1476" spans="1:15" ht="23.4" x14ac:dyDescent="0.3">
      <c r="A1476" s="277" t="s">
        <v>111</v>
      </c>
      <c r="B1476" s="923"/>
      <c r="C1476" s="278" t="s">
        <v>123</v>
      </c>
      <c r="D1476" s="278"/>
      <c r="E1476" s="279">
        <v>0</v>
      </c>
      <c r="F1476" s="280"/>
      <c r="G1476" s="339">
        <f t="shared" si="1923"/>
        <v>0</v>
      </c>
      <c r="H1476" s="281">
        <v>0</v>
      </c>
      <c r="I1476" s="281">
        <v>0</v>
      </c>
      <c r="J1476" s="358" t="str">
        <f>IFERROR(G1476/#REF!,"-")</f>
        <v>-</v>
      </c>
      <c r="K1476" s="339">
        <f t="shared" si="1924"/>
        <v>0</v>
      </c>
      <c r="L1476" s="281">
        <f t="shared" si="1925"/>
        <v>0</v>
      </c>
      <c r="M1476" s="251">
        <f t="shared" si="1926"/>
        <v>0</v>
      </c>
      <c r="N1476" s="343" t="str">
        <f t="shared" si="1927"/>
        <v>-</v>
      </c>
      <c r="O1476" s="264" t="str">
        <f t="shared" si="1913"/>
        <v>-</v>
      </c>
    </row>
    <row r="1477" spans="1:15" ht="23.4" x14ac:dyDescent="0.3">
      <c r="A1477" s="277" t="s">
        <v>111</v>
      </c>
      <c r="B1477" s="923"/>
      <c r="C1477" s="278" t="s">
        <v>130</v>
      </c>
      <c r="D1477" s="278"/>
      <c r="E1477" s="279">
        <v>0</v>
      </c>
      <c r="F1477" s="280"/>
      <c r="G1477" s="339">
        <f t="shared" si="1923"/>
        <v>0</v>
      </c>
      <c r="H1477" s="281">
        <v>0</v>
      </c>
      <c r="I1477" s="281">
        <v>0</v>
      </c>
      <c r="J1477" s="358" t="str">
        <f>IFERROR(G1477/#REF!,"-")</f>
        <v>-</v>
      </c>
      <c r="K1477" s="339">
        <f t="shared" si="1924"/>
        <v>0</v>
      </c>
      <c r="L1477" s="281">
        <f t="shared" si="1925"/>
        <v>0</v>
      </c>
      <c r="M1477" s="251">
        <f t="shared" si="1926"/>
        <v>0</v>
      </c>
      <c r="N1477" s="343" t="str">
        <f t="shared" si="1927"/>
        <v>-</v>
      </c>
      <c r="O1477" s="264" t="str">
        <f t="shared" si="1913"/>
        <v>-</v>
      </c>
    </row>
    <row r="1478" spans="1:15" ht="23.4" x14ac:dyDescent="0.3">
      <c r="A1478" s="277" t="s">
        <v>111</v>
      </c>
      <c r="B1478" s="923"/>
      <c r="C1478" s="278" t="s">
        <v>191</v>
      </c>
      <c r="D1478" s="278" t="s">
        <v>192</v>
      </c>
      <c r="E1478" s="279">
        <v>0</v>
      </c>
      <c r="F1478" s="280"/>
      <c r="G1478" s="339">
        <f t="shared" si="1923"/>
        <v>0</v>
      </c>
      <c r="H1478" s="281">
        <v>0</v>
      </c>
      <c r="I1478" s="281">
        <v>0</v>
      </c>
      <c r="J1478" s="358" t="str">
        <f>IFERROR(G1478/#REF!,"-")</f>
        <v>-</v>
      </c>
      <c r="K1478" s="339">
        <f t="shared" si="1924"/>
        <v>0</v>
      </c>
      <c r="L1478" s="281">
        <f t="shared" si="1925"/>
        <v>0</v>
      </c>
      <c r="M1478" s="251">
        <f t="shared" si="1926"/>
        <v>0</v>
      </c>
      <c r="N1478" s="343" t="str">
        <f t="shared" si="1927"/>
        <v>-</v>
      </c>
      <c r="O1478" s="264" t="str">
        <f t="shared" si="1913"/>
        <v>-</v>
      </c>
    </row>
    <row r="1479" spans="1:15" ht="23.4" x14ac:dyDescent="0.3">
      <c r="A1479" s="277" t="s">
        <v>111</v>
      </c>
      <c r="B1479" s="923"/>
      <c r="C1479" s="278" t="s">
        <v>194</v>
      </c>
      <c r="D1479" s="278" t="s">
        <v>193</v>
      </c>
      <c r="E1479" s="279">
        <v>0</v>
      </c>
      <c r="F1479" s="280"/>
      <c r="G1479" s="339">
        <f t="shared" si="1923"/>
        <v>0</v>
      </c>
      <c r="H1479" s="281">
        <v>0</v>
      </c>
      <c r="I1479" s="281">
        <v>0</v>
      </c>
      <c r="J1479" s="358" t="str">
        <f>IFERROR(G1479/#REF!,"-")</f>
        <v>-</v>
      </c>
      <c r="K1479" s="339">
        <f t="shared" si="1924"/>
        <v>0</v>
      </c>
      <c r="L1479" s="281">
        <f t="shared" si="1925"/>
        <v>0</v>
      </c>
      <c r="M1479" s="251">
        <f t="shared" si="1926"/>
        <v>0</v>
      </c>
      <c r="N1479" s="343" t="str">
        <f t="shared" si="1927"/>
        <v>-</v>
      </c>
      <c r="O1479" s="264" t="str">
        <f t="shared" si="1913"/>
        <v>-</v>
      </c>
    </row>
    <row r="1480" spans="1:15" ht="24" thickBot="1" x14ac:dyDescent="0.35">
      <c r="A1480" s="277" t="s">
        <v>111</v>
      </c>
      <c r="B1480" s="924"/>
      <c r="C1480" s="290" t="s">
        <v>195</v>
      </c>
      <c r="D1480" s="290" t="s">
        <v>115</v>
      </c>
      <c r="E1480" s="283">
        <v>0</v>
      </c>
      <c r="F1480" s="284"/>
      <c r="G1480" s="340">
        <f t="shared" si="1923"/>
        <v>0</v>
      </c>
      <c r="H1480" s="285">
        <v>0</v>
      </c>
      <c r="I1480" s="285">
        <v>0</v>
      </c>
      <c r="J1480" s="359" t="str">
        <f>IFERROR(G1480/#REF!,"-")</f>
        <v>-</v>
      </c>
      <c r="K1480" s="340">
        <f t="shared" si="1924"/>
        <v>0</v>
      </c>
      <c r="L1480" s="285">
        <f t="shared" si="1925"/>
        <v>0</v>
      </c>
      <c r="M1480" s="286">
        <f t="shared" si="1926"/>
        <v>0</v>
      </c>
      <c r="N1480" s="344" t="str">
        <f t="shared" si="1927"/>
        <v>-</v>
      </c>
      <c r="O1480" s="353" t="str">
        <f t="shared" si="1913"/>
        <v>-</v>
      </c>
    </row>
    <row r="1481" spans="1:15" ht="24" thickBot="1" x14ac:dyDescent="0.35">
      <c r="A1481" s="277" t="s">
        <v>111</v>
      </c>
      <c r="B1481" s="906" t="s">
        <v>29</v>
      </c>
      <c r="C1481" s="907"/>
      <c r="D1481" s="908"/>
      <c r="E1481" s="326">
        <f t="shared" ref="E1481" si="1928">SUM(E1474:E1480)</f>
        <v>0</v>
      </c>
      <c r="F1481" s="289">
        <v>80000</v>
      </c>
      <c r="G1481" s="326">
        <f>SUM(G1474:G1480)</f>
        <v>0</v>
      </c>
      <c r="H1481" s="327">
        <f t="shared" ref="H1481:I1481" si="1929">SUM(H1474:H1480)</f>
        <v>0</v>
      </c>
      <c r="I1481" s="327">
        <f t="shared" si="1929"/>
        <v>0</v>
      </c>
      <c r="J1481" s="351" t="str">
        <f>IFERROR(G1481/#REF!,"-")</f>
        <v>-</v>
      </c>
      <c r="K1481" s="326">
        <f t="shared" ref="K1481:M1481" si="1930">SUM(K1474:K1480)</f>
        <v>0</v>
      </c>
      <c r="L1481" s="327">
        <f t="shared" si="1930"/>
        <v>0</v>
      </c>
      <c r="M1481" s="328">
        <f t="shared" si="1930"/>
        <v>0</v>
      </c>
      <c r="N1481" s="345" t="str">
        <f t="shared" si="1927"/>
        <v>-</v>
      </c>
      <c r="O1481" s="351" t="str">
        <f t="shared" si="1913"/>
        <v>-</v>
      </c>
    </row>
    <row r="1482" spans="1:15" ht="23.4" x14ac:dyDescent="0.3">
      <c r="A1482" s="252" t="s">
        <v>111</v>
      </c>
      <c r="B1482" s="918" t="s">
        <v>19</v>
      </c>
      <c r="C1482" s="757" t="s">
        <v>260</v>
      </c>
      <c r="D1482" s="771" t="s">
        <v>192</v>
      </c>
      <c r="E1482" s="540">
        <v>2000000</v>
      </c>
      <c r="F1482" s="470">
        <v>110000</v>
      </c>
      <c r="G1482" s="770">
        <f t="shared" ref="G1482:G1484" si="1931">+H1482+I1482</f>
        <v>0</v>
      </c>
      <c r="H1482" s="469">
        <v>0</v>
      </c>
      <c r="I1482" s="469">
        <v>0</v>
      </c>
      <c r="J1482" s="544" t="str">
        <f>IFERROR(G1482/#REF!,"-")</f>
        <v>-</v>
      </c>
      <c r="K1482" s="468">
        <f>+L1482+M1482</f>
        <v>329781</v>
      </c>
      <c r="L1482" s="469">
        <f t="shared" ref="L1482:L1483" si="1932">+H1482+L1378</f>
        <v>328118</v>
      </c>
      <c r="M1482" s="470">
        <f t="shared" ref="M1482:M1483" si="1933">+I1482+M1378</f>
        <v>1663</v>
      </c>
      <c r="N1482" s="775">
        <f>IFERROR(K1482/E1482,"-")</f>
        <v>0.1648905</v>
      </c>
      <c r="O1482" s="776">
        <f t="shared" si="1913"/>
        <v>5.0427404853524002E-3</v>
      </c>
    </row>
    <row r="1483" spans="1:15" ht="23.4" x14ac:dyDescent="0.3">
      <c r="A1483" s="252"/>
      <c r="B1483" s="919"/>
      <c r="C1483" s="302" t="s">
        <v>458</v>
      </c>
      <c r="D1483" s="772"/>
      <c r="E1483" s="755">
        <v>0</v>
      </c>
      <c r="F1483" s="441">
        <v>110000</v>
      </c>
      <c r="G1483" s="756">
        <f t="shared" si="1931"/>
        <v>50848</v>
      </c>
      <c r="H1483" s="275">
        <v>50688</v>
      </c>
      <c r="I1483" s="275">
        <v>160</v>
      </c>
      <c r="J1483" s="357" t="str">
        <f>IFERROR(G1483/#REF!,"-")</f>
        <v>-</v>
      </c>
      <c r="K1483" s="341">
        <f>+L1483+M1483</f>
        <v>288553</v>
      </c>
      <c r="L1483" s="295">
        <f t="shared" si="1932"/>
        <v>287232</v>
      </c>
      <c r="M1483" s="774">
        <f t="shared" si="1933"/>
        <v>1321</v>
      </c>
      <c r="N1483" s="346" t="str">
        <f t="shared" ref="N1483:N1484" si="1934">IFERROR(K1483/E1483,"-")</f>
        <v>-</v>
      </c>
      <c r="O1483" s="753">
        <f>IFERROR(M1483/K1483,"-")</f>
        <v>4.5780151306692362E-3</v>
      </c>
    </row>
    <row r="1484" spans="1:15" ht="24" thickBot="1" x14ac:dyDescent="0.35">
      <c r="A1484" s="252"/>
      <c r="B1484" s="920"/>
      <c r="C1484" s="679" t="s">
        <v>417</v>
      </c>
      <c r="D1484" s="773"/>
      <c r="E1484" s="472">
        <v>150000</v>
      </c>
      <c r="F1484" s="473">
        <v>110000</v>
      </c>
      <c r="G1484" s="607">
        <f t="shared" si="1931"/>
        <v>0</v>
      </c>
      <c r="H1484" s="285">
        <v>0</v>
      </c>
      <c r="I1484" s="285">
        <v>0</v>
      </c>
      <c r="J1484" s="359"/>
      <c r="K1484" s="471">
        <f>+L1484+M1484</f>
        <v>0</v>
      </c>
      <c r="L1484" s="472">
        <f>+H1484+L1380</f>
        <v>0</v>
      </c>
      <c r="M1484" s="473">
        <f>+I1484+M1380</f>
        <v>0</v>
      </c>
      <c r="N1484" s="344">
        <f t="shared" si="1934"/>
        <v>0</v>
      </c>
      <c r="O1484" s="680" t="str">
        <f t="shared" ref="O1484:O1532" si="1935">IFERROR(M1484/K1484,"-")</f>
        <v>-</v>
      </c>
    </row>
    <row r="1485" spans="1:15" ht="24" thickBot="1" x14ac:dyDescent="0.35">
      <c r="A1485" s="277" t="s">
        <v>111</v>
      </c>
      <c r="B1485" s="921" t="s">
        <v>49</v>
      </c>
      <c r="C1485" s="907"/>
      <c r="D1485" s="908"/>
      <c r="E1485" s="326">
        <f>SUM(E1482:E1484)</f>
        <v>2150000</v>
      </c>
      <c r="F1485" s="329">
        <f t="shared" ref="F1485" si="1936">SUM(F1482)</f>
        <v>110000</v>
      </c>
      <c r="G1485" s="326">
        <f>SUM(G1482)</f>
        <v>0</v>
      </c>
      <c r="H1485" s="327">
        <f t="shared" ref="H1485:I1485" si="1937">SUM(H1482)</f>
        <v>0</v>
      </c>
      <c r="I1485" s="327">
        <f t="shared" si="1937"/>
        <v>0</v>
      </c>
      <c r="J1485" s="351" t="str">
        <f>IFERROR(G1485/#REF!,"-")</f>
        <v>-</v>
      </c>
      <c r="K1485" s="681">
        <f>SUM(K1482:K1483)</f>
        <v>618334</v>
      </c>
      <c r="L1485" s="327">
        <f>SUM(L1482:L1483)</f>
        <v>615350</v>
      </c>
      <c r="M1485" s="328">
        <f>SUM(M1482:M1483)</f>
        <v>2984</v>
      </c>
      <c r="N1485" s="345">
        <f>IFERROR(K1485/E1485,"-")</f>
        <v>0.28759720930232557</v>
      </c>
      <c r="O1485" s="351">
        <f t="shared" si="1935"/>
        <v>4.8258708076864606E-3</v>
      </c>
    </row>
    <row r="1486" spans="1:15" ht="23.4" x14ac:dyDescent="0.3">
      <c r="A1486" s="277" t="s">
        <v>111</v>
      </c>
      <c r="B1486" s="922" t="s">
        <v>20</v>
      </c>
      <c r="C1486" s="297" t="s">
        <v>370</v>
      </c>
      <c r="D1486" s="297" t="s">
        <v>324</v>
      </c>
      <c r="E1486" s="273">
        <v>0</v>
      </c>
      <c r="F1486" s="274"/>
      <c r="G1486" s="338">
        <f t="shared" ref="G1486:G1488" si="1938">+H1486+I1486</f>
        <v>0</v>
      </c>
      <c r="H1486" s="275">
        <v>0</v>
      </c>
      <c r="I1486" s="275">
        <v>0</v>
      </c>
      <c r="J1486" s="357" t="str">
        <f>IFERROR(G1486/#REF!,"-")</f>
        <v>-</v>
      </c>
      <c r="K1486" s="338">
        <f t="shared" ref="K1486:K1488" si="1939">+L1486+M1486</f>
        <v>0</v>
      </c>
      <c r="L1486" s="275">
        <f t="shared" ref="L1486:L1488" si="1940">+H1486+L1382</f>
        <v>0</v>
      </c>
      <c r="M1486" s="276">
        <f t="shared" ref="M1486:M1488" si="1941">+I1486+M1382</f>
        <v>0</v>
      </c>
      <c r="N1486" s="342" t="str">
        <f t="shared" ref="N1486:N1489" si="1942">IFERROR(K1486/E1486,"-")</f>
        <v>-</v>
      </c>
      <c r="O1486" s="352" t="str">
        <f t="shared" si="1935"/>
        <v>-</v>
      </c>
    </row>
    <row r="1487" spans="1:15" ht="23.4" x14ac:dyDescent="0.3">
      <c r="A1487" s="277" t="s">
        <v>111</v>
      </c>
      <c r="B1487" s="923"/>
      <c r="C1487" s="298" t="s">
        <v>122</v>
      </c>
      <c r="D1487" s="298"/>
      <c r="E1487" s="279">
        <v>0</v>
      </c>
      <c r="F1487" s="280"/>
      <c r="G1487" s="339">
        <f t="shared" si="1938"/>
        <v>0</v>
      </c>
      <c r="H1487" s="281">
        <v>0</v>
      </c>
      <c r="I1487" s="281">
        <v>0</v>
      </c>
      <c r="J1487" s="358" t="str">
        <f>IFERROR(G1487/#REF!,"-")</f>
        <v>-</v>
      </c>
      <c r="K1487" s="339">
        <f t="shared" si="1939"/>
        <v>0</v>
      </c>
      <c r="L1487" s="281">
        <f t="shared" si="1940"/>
        <v>0</v>
      </c>
      <c r="M1487" s="251">
        <f t="shared" si="1941"/>
        <v>0</v>
      </c>
      <c r="N1487" s="343" t="str">
        <f t="shared" si="1942"/>
        <v>-</v>
      </c>
      <c r="O1487" s="264" t="str">
        <f t="shared" si="1935"/>
        <v>-</v>
      </c>
    </row>
    <row r="1488" spans="1:15" ht="24" thickBot="1" x14ac:dyDescent="0.35">
      <c r="A1488" s="277" t="s">
        <v>111</v>
      </c>
      <c r="B1488" s="924"/>
      <c r="C1488" s="299" t="s">
        <v>128</v>
      </c>
      <c r="D1488" s="299"/>
      <c r="E1488" s="283">
        <v>0</v>
      </c>
      <c r="F1488" s="284"/>
      <c r="G1488" s="340">
        <f t="shared" si="1938"/>
        <v>0</v>
      </c>
      <c r="H1488" s="285">
        <v>0</v>
      </c>
      <c r="I1488" s="285">
        <v>0</v>
      </c>
      <c r="J1488" s="359" t="str">
        <f>IFERROR(G1488/#REF!,"-")</f>
        <v>-</v>
      </c>
      <c r="K1488" s="340">
        <f t="shared" si="1939"/>
        <v>0</v>
      </c>
      <c r="L1488" s="285">
        <f t="shared" si="1940"/>
        <v>0</v>
      </c>
      <c r="M1488" s="286">
        <f t="shared" si="1941"/>
        <v>0</v>
      </c>
      <c r="N1488" s="344" t="str">
        <f t="shared" si="1942"/>
        <v>-</v>
      </c>
      <c r="O1488" s="353" t="str">
        <f t="shared" si="1935"/>
        <v>-</v>
      </c>
    </row>
    <row r="1489" spans="1:15" ht="24" thickBot="1" x14ac:dyDescent="0.35">
      <c r="A1489" s="277" t="s">
        <v>111</v>
      </c>
      <c r="B1489" s="907" t="s">
        <v>50</v>
      </c>
      <c r="C1489" s="907"/>
      <c r="D1489" s="925"/>
      <c r="E1489" s="326">
        <f t="shared" ref="E1489" si="1943">SUM(E1486:E1488)</f>
        <v>0</v>
      </c>
      <c r="F1489" s="289">
        <v>50000</v>
      </c>
      <c r="G1489" s="326">
        <f>SUM(G1486:G1488)</f>
        <v>0</v>
      </c>
      <c r="H1489" s="327">
        <f t="shared" ref="H1489:I1489" si="1944">SUM(H1486:H1488)</f>
        <v>0</v>
      </c>
      <c r="I1489" s="327">
        <f t="shared" si="1944"/>
        <v>0</v>
      </c>
      <c r="J1489" s="351" t="str">
        <f>IFERROR(G1489/#REF!,"-")</f>
        <v>-</v>
      </c>
      <c r="K1489" s="326">
        <f t="shared" ref="K1489:M1489" si="1945">SUM(K1486:K1488)</f>
        <v>0</v>
      </c>
      <c r="L1489" s="327">
        <f t="shared" si="1945"/>
        <v>0</v>
      </c>
      <c r="M1489" s="328">
        <f t="shared" si="1945"/>
        <v>0</v>
      </c>
      <c r="N1489" s="345" t="str">
        <f t="shared" si="1942"/>
        <v>-</v>
      </c>
      <c r="O1489" s="351" t="str">
        <f t="shared" si="1935"/>
        <v>-</v>
      </c>
    </row>
    <row r="1490" spans="1:15" ht="24" thickBot="1" x14ac:dyDescent="0.35">
      <c r="A1490" s="277" t="s">
        <v>111</v>
      </c>
      <c r="B1490" s="926" t="s">
        <v>21</v>
      </c>
      <c r="C1490" s="927"/>
      <c r="D1490" s="928"/>
      <c r="E1490" s="332">
        <f>+E1465+E1473+E1481+E1485+E1489</f>
        <v>5774600</v>
      </c>
      <c r="F1490" s="333">
        <f>+F1465+F1473+F1481+F1485+F1489</f>
        <v>355000</v>
      </c>
      <c r="G1490" s="332">
        <f>+G1465+G1473+G1481+G1485+G1489</f>
        <v>61538</v>
      </c>
      <c r="H1490" s="330">
        <f>+H1465+H1473+H1481+H1485+H1489</f>
        <v>61200</v>
      </c>
      <c r="I1490" s="330">
        <f>+I1465+I1473+I1481+I1485+I1489</f>
        <v>338</v>
      </c>
      <c r="J1490" s="355" t="str">
        <f>IFERROR(G1490/#REF!,"-")</f>
        <v>-</v>
      </c>
      <c r="K1490" s="332">
        <f>+K1465+K1473+K1481+K1485+K1489</f>
        <v>1740312</v>
      </c>
      <c r="L1490" s="330">
        <f>+L1465+L1473+L1481+L1485+L1489</f>
        <v>1731675</v>
      </c>
      <c r="M1490" s="331">
        <f>+M1465+M1473+M1481+M1485+M1489</f>
        <v>8637</v>
      </c>
      <c r="N1490" s="347">
        <f>IFERROR(K1490/E1490,"-")</f>
        <v>0.30137360163474525</v>
      </c>
      <c r="O1490" s="355">
        <f t="shared" si="1935"/>
        <v>4.9629032035634988E-3</v>
      </c>
    </row>
    <row r="1491" spans="1:15" ht="23.4" x14ac:dyDescent="0.3">
      <c r="A1491" s="277" t="s">
        <v>111</v>
      </c>
      <c r="B1491" s="922" t="s">
        <v>22</v>
      </c>
      <c r="C1491" s="272" t="s">
        <v>133</v>
      </c>
      <c r="D1491" s="272"/>
      <c r="E1491" s="273">
        <v>0</v>
      </c>
      <c r="F1491" s="274"/>
      <c r="G1491" s="338">
        <f t="shared" ref="G1491:G1494" si="1946">+H1491+I1491</f>
        <v>0</v>
      </c>
      <c r="H1491" s="275">
        <v>0</v>
      </c>
      <c r="I1491" s="275">
        <v>0</v>
      </c>
      <c r="J1491" s="357" t="str">
        <f>IFERROR(G1491/#REF!,"-")</f>
        <v>-</v>
      </c>
      <c r="K1491" s="338">
        <f t="shared" ref="K1491:K1494" si="1947">+L1491+M1491</f>
        <v>0</v>
      </c>
      <c r="L1491" s="275">
        <f t="shared" ref="L1491:L1494" si="1948">+H1491+L1387</f>
        <v>0</v>
      </c>
      <c r="M1491" s="276">
        <f t="shared" ref="M1491:M1494" si="1949">+I1491+M1387</f>
        <v>0</v>
      </c>
      <c r="N1491" s="342" t="str">
        <f t="shared" ref="N1491:N1505" si="1950">IFERROR(K1491/E1491,"-")</f>
        <v>-</v>
      </c>
      <c r="O1491" s="352" t="str">
        <f t="shared" si="1935"/>
        <v>-</v>
      </c>
    </row>
    <row r="1492" spans="1:15" ht="23.4" x14ac:dyDescent="0.3">
      <c r="A1492" s="277" t="s">
        <v>111</v>
      </c>
      <c r="B1492" s="923"/>
      <c r="C1492" s="301" t="s">
        <v>291</v>
      </c>
      <c r="D1492" s="301" t="s">
        <v>196</v>
      </c>
      <c r="E1492" s="279">
        <v>0</v>
      </c>
      <c r="F1492" s="280"/>
      <c r="G1492" s="339">
        <f t="shared" si="1946"/>
        <v>0</v>
      </c>
      <c r="H1492" s="281">
        <v>0</v>
      </c>
      <c r="I1492" s="281">
        <v>0</v>
      </c>
      <c r="J1492" s="358" t="str">
        <f>IFERROR(G1492/#REF!,"-")</f>
        <v>-</v>
      </c>
      <c r="K1492" s="339">
        <f t="shared" si="1947"/>
        <v>0</v>
      </c>
      <c r="L1492" s="281">
        <f t="shared" si="1948"/>
        <v>0</v>
      </c>
      <c r="M1492" s="251">
        <f t="shared" si="1949"/>
        <v>0</v>
      </c>
      <c r="N1492" s="343" t="str">
        <f t="shared" si="1950"/>
        <v>-</v>
      </c>
      <c r="O1492" s="264" t="str">
        <f t="shared" si="1935"/>
        <v>-</v>
      </c>
    </row>
    <row r="1493" spans="1:15" ht="23.4" x14ac:dyDescent="0.3">
      <c r="A1493" s="277" t="s">
        <v>111</v>
      </c>
      <c r="B1493" s="923"/>
      <c r="C1493" s="301" t="s">
        <v>473</v>
      </c>
      <c r="D1493" s="301" t="s">
        <v>196</v>
      </c>
      <c r="E1493" s="279">
        <v>1000000</v>
      </c>
      <c r="F1493" s="280"/>
      <c r="G1493" s="339">
        <f t="shared" si="1946"/>
        <v>59560</v>
      </c>
      <c r="H1493" s="281">
        <v>59400</v>
      </c>
      <c r="I1493" s="281">
        <v>160</v>
      </c>
      <c r="J1493" s="358" t="str">
        <f>IFERROR(G1493/#REF!,"-")</f>
        <v>-</v>
      </c>
      <c r="K1493" s="339">
        <f t="shared" si="1947"/>
        <v>99242</v>
      </c>
      <c r="L1493" s="281">
        <f t="shared" si="1948"/>
        <v>99000</v>
      </c>
      <c r="M1493" s="251">
        <f t="shared" si="1949"/>
        <v>242</v>
      </c>
      <c r="N1493" s="343">
        <f t="shared" si="1950"/>
        <v>9.9241999999999997E-2</v>
      </c>
      <c r="O1493" s="264">
        <f t="shared" si="1935"/>
        <v>2.4384837064952338E-3</v>
      </c>
    </row>
    <row r="1494" spans="1:15" ht="24" thickBot="1" x14ac:dyDescent="0.35">
      <c r="A1494" s="277" t="s">
        <v>111</v>
      </c>
      <c r="B1494" s="924"/>
      <c r="C1494" s="282" t="s">
        <v>197</v>
      </c>
      <c r="D1494" s="282" t="s">
        <v>100</v>
      </c>
      <c r="E1494" s="283">
        <v>0</v>
      </c>
      <c r="F1494" s="284"/>
      <c r="G1494" s="340">
        <f t="shared" si="1946"/>
        <v>0</v>
      </c>
      <c r="H1494" s="285">
        <v>0</v>
      </c>
      <c r="I1494" s="285">
        <v>0</v>
      </c>
      <c r="J1494" s="359" t="str">
        <f>IFERROR(G1494/#REF!,"-")</f>
        <v>-</v>
      </c>
      <c r="K1494" s="340">
        <f t="shared" si="1947"/>
        <v>0</v>
      </c>
      <c r="L1494" s="285">
        <f t="shared" si="1948"/>
        <v>0</v>
      </c>
      <c r="M1494" s="286">
        <f t="shared" si="1949"/>
        <v>0</v>
      </c>
      <c r="N1494" s="344" t="str">
        <f t="shared" si="1950"/>
        <v>-</v>
      </c>
      <c r="O1494" s="353" t="str">
        <f t="shared" si="1935"/>
        <v>-</v>
      </c>
    </row>
    <row r="1495" spans="1:15" ht="24" thickBot="1" x14ac:dyDescent="0.35">
      <c r="A1495" s="277" t="s">
        <v>111</v>
      </c>
      <c r="B1495" s="906" t="s">
        <v>51</v>
      </c>
      <c r="C1495" s="907"/>
      <c r="D1495" s="908"/>
      <c r="E1495" s="288">
        <f>SUM(E1491:E1494)</f>
        <v>1000000</v>
      </c>
      <c r="F1495" s="289">
        <v>80000</v>
      </c>
      <c r="G1495" s="326">
        <f>SUM(G1491:G1494)</f>
        <v>59560</v>
      </c>
      <c r="H1495" s="327">
        <f t="shared" ref="H1495:I1495" si="1951">SUM(H1491:H1494)</f>
        <v>59400</v>
      </c>
      <c r="I1495" s="327">
        <f t="shared" si="1951"/>
        <v>160</v>
      </c>
      <c r="J1495" s="351" t="str">
        <f>IFERROR(G1495/#REF!,"-")</f>
        <v>-</v>
      </c>
      <c r="K1495" s="326">
        <f t="shared" ref="K1495:M1495" si="1952">SUM(K1491:K1494)</f>
        <v>99242</v>
      </c>
      <c r="L1495" s="327">
        <f t="shared" si="1952"/>
        <v>99000</v>
      </c>
      <c r="M1495" s="328">
        <f t="shared" si="1952"/>
        <v>242</v>
      </c>
      <c r="N1495" s="345">
        <f t="shared" si="1950"/>
        <v>9.9241999999999997E-2</v>
      </c>
      <c r="O1495" s="351">
        <f t="shared" si="1935"/>
        <v>2.4384837064952338E-3</v>
      </c>
    </row>
    <row r="1496" spans="1:15" ht="23.4" x14ac:dyDescent="0.3">
      <c r="A1496" s="277" t="s">
        <v>111</v>
      </c>
      <c r="B1496" s="922" t="s">
        <v>23</v>
      </c>
      <c r="C1496" s="302" t="s">
        <v>348</v>
      </c>
      <c r="D1496" s="302" t="s">
        <v>263</v>
      </c>
      <c r="E1496" s="273">
        <v>0</v>
      </c>
      <c r="F1496" s="274"/>
      <c r="G1496" s="338">
        <f t="shared" ref="G1496:G1503" si="1953">+H1496+I1496</f>
        <v>0</v>
      </c>
      <c r="H1496" s="275">
        <v>0</v>
      </c>
      <c r="I1496" s="275">
        <v>0</v>
      </c>
      <c r="J1496" s="357" t="str">
        <f>IFERROR(G1496/#REF!,"-")</f>
        <v>-</v>
      </c>
      <c r="K1496" s="338">
        <f t="shared" ref="K1496:K1503" si="1954">+L1496+M1496</f>
        <v>0</v>
      </c>
      <c r="L1496" s="275">
        <f t="shared" ref="L1496:L1503" si="1955">+H1496+L1392</f>
        <v>0</v>
      </c>
      <c r="M1496" s="276">
        <f t="shared" ref="M1496:M1503" si="1956">+I1496+M1392</f>
        <v>0</v>
      </c>
      <c r="N1496" s="342" t="str">
        <f t="shared" si="1950"/>
        <v>-</v>
      </c>
      <c r="O1496" s="352" t="str">
        <f t="shared" si="1935"/>
        <v>-</v>
      </c>
    </row>
    <row r="1497" spans="1:15" ht="23.4" x14ac:dyDescent="0.3">
      <c r="A1497" s="277" t="s">
        <v>111</v>
      </c>
      <c r="B1497" s="923"/>
      <c r="C1497" s="278" t="s">
        <v>24</v>
      </c>
      <c r="D1497" s="278" t="s">
        <v>263</v>
      </c>
      <c r="E1497" s="279">
        <v>0</v>
      </c>
      <c r="F1497" s="280"/>
      <c r="G1497" s="339">
        <f t="shared" si="1953"/>
        <v>13200</v>
      </c>
      <c r="H1497" s="281">
        <v>13125</v>
      </c>
      <c r="I1497" s="281">
        <v>75</v>
      </c>
      <c r="J1497" s="358" t="str">
        <f>IFERROR(G1497/#REF!,"-")</f>
        <v>-</v>
      </c>
      <c r="K1497" s="339">
        <f t="shared" si="1954"/>
        <v>96177</v>
      </c>
      <c r="L1497" s="281">
        <f t="shared" si="1955"/>
        <v>95514</v>
      </c>
      <c r="M1497" s="251">
        <f t="shared" si="1956"/>
        <v>663</v>
      </c>
      <c r="N1497" s="343" t="str">
        <f t="shared" si="1950"/>
        <v>-</v>
      </c>
      <c r="O1497" s="264">
        <f t="shared" si="1935"/>
        <v>6.8935400355594374E-3</v>
      </c>
    </row>
    <row r="1498" spans="1:15" ht="23.4" x14ac:dyDescent="0.3">
      <c r="A1498" s="277" t="s">
        <v>111</v>
      </c>
      <c r="B1498" s="923"/>
      <c r="C1498" s="278" t="s">
        <v>261</v>
      </c>
      <c r="D1498" s="278" t="s">
        <v>263</v>
      </c>
      <c r="E1498" s="279">
        <v>0</v>
      </c>
      <c r="F1498" s="280"/>
      <c r="G1498" s="339">
        <f t="shared" si="1953"/>
        <v>0</v>
      </c>
      <c r="H1498" s="281">
        <v>0</v>
      </c>
      <c r="I1498" s="281">
        <v>0</v>
      </c>
      <c r="J1498" s="358" t="str">
        <f>IFERROR(G1498/#REF!,"-")</f>
        <v>-</v>
      </c>
      <c r="K1498" s="339">
        <f t="shared" si="1954"/>
        <v>11048</v>
      </c>
      <c r="L1498" s="281">
        <f t="shared" si="1955"/>
        <v>10901</v>
      </c>
      <c r="M1498" s="251">
        <f t="shared" si="1956"/>
        <v>147</v>
      </c>
      <c r="N1498" s="343" t="str">
        <f t="shared" si="1950"/>
        <v>-</v>
      </c>
      <c r="O1498" s="264">
        <f t="shared" si="1935"/>
        <v>1.330557566980449E-2</v>
      </c>
    </row>
    <row r="1499" spans="1:15" ht="23.4" x14ac:dyDescent="0.3">
      <c r="A1499" s="277" t="s">
        <v>111</v>
      </c>
      <c r="B1499" s="923"/>
      <c r="C1499" s="278" t="s">
        <v>262</v>
      </c>
      <c r="D1499" s="278" t="s">
        <v>263</v>
      </c>
      <c r="E1499" s="279">
        <v>0</v>
      </c>
      <c r="F1499" s="280"/>
      <c r="G1499" s="339">
        <f t="shared" si="1953"/>
        <v>0</v>
      </c>
      <c r="H1499" s="281">
        <v>0</v>
      </c>
      <c r="I1499" s="281">
        <v>0</v>
      </c>
      <c r="J1499" s="358" t="str">
        <f>IFERROR(G1499/#REF!,"-")</f>
        <v>-</v>
      </c>
      <c r="K1499" s="339">
        <f t="shared" si="1954"/>
        <v>7672</v>
      </c>
      <c r="L1499" s="281">
        <f t="shared" si="1955"/>
        <v>7612</v>
      </c>
      <c r="M1499" s="251">
        <f t="shared" si="1956"/>
        <v>60</v>
      </c>
      <c r="N1499" s="343" t="str">
        <f t="shared" si="1950"/>
        <v>-</v>
      </c>
      <c r="O1499" s="264">
        <f t="shared" si="1935"/>
        <v>7.8206465067778945E-3</v>
      </c>
    </row>
    <row r="1500" spans="1:15" ht="23.4" x14ac:dyDescent="0.3">
      <c r="A1500" s="277" t="s">
        <v>111</v>
      </c>
      <c r="B1500" s="923"/>
      <c r="C1500" s="301" t="s">
        <v>264</v>
      </c>
      <c r="D1500" s="278" t="s">
        <v>263</v>
      </c>
      <c r="E1500" s="279">
        <v>0</v>
      </c>
      <c r="F1500" s="280"/>
      <c r="G1500" s="339">
        <f t="shared" si="1953"/>
        <v>0</v>
      </c>
      <c r="H1500" s="281">
        <v>0</v>
      </c>
      <c r="I1500" s="281">
        <v>0</v>
      </c>
      <c r="J1500" s="358" t="str">
        <f>IFERROR(G1500/#REF!,"-")</f>
        <v>-</v>
      </c>
      <c r="K1500" s="339">
        <f t="shared" si="1954"/>
        <v>0</v>
      </c>
      <c r="L1500" s="281">
        <f t="shared" si="1955"/>
        <v>0</v>
      </c>
      <c r="M1500" s="251">
        <f t="shared" si="1956"/>
        <v>0</v>
      </c>
      <c r="N1500" s="343" t="str">
        <f t="shared" si="1950"/>
        <v>-</v>
      </c>
      <c r="O1500" s="264" t="str">
        <f t="shared" si="1935"/>
        <v>-</v>
      </c>
    </row>
    <row r="1501" spans="1:15" ht="23.4" x14ac:dyDescent="0.3">
      <c r="A1501" s="277" t="s">
        <v>111</v>
      </c>
      <c r="B1501" s="923"/>
      <c r="C1501" s="301" t="s">
        <v>265</v>
      </c>
      <c r="D1501" s="278" t="s">
        <v>263</v>
      </c>
      <c r="E1501" s="279">
        <v>0</v>
      </c>
      <c r="F1501" s="280"/>
      <c r="G1501" s="339">
        <f t="shared" si="1953"/>
        <v>0</v>
      </c>
      <c r="H1501" s="281">
        <v>0</v>
      </c>
      <c r="I1501" s="281">
        <v>0</v>
      </c>
      <c r="J1501" s="358" t="str">
        <f>IFERROR(G1501/#REF!,"-")</f>
        <v>-</v>
      </c>
      <c r="K1501" s="339">
        <f t="shared" si="1954"/>
        <v>0</v>
      </c>
      <c r="L1501" s="281">
        <f t="shared" si="1955"/>
        <v>0</v>
      </c>
      <c r="M1501" s="251">
        <f t="shared" si="1956"/>
        <v>0</v>
      </c>
      <c r="N1501" s="343" t="str">
        <f t="shared" si="1950"/>
        <v>-</v>
      </c>
      <c r="O1501" s="264" t="str">
        <f t="shared" si="1935"/>
        <v>-</v>
      </c>
    </row>
    <row r="1502" spans="1:15" ht="23.4" x14ac:dyDescent="0.3">
      <c r="A1502" s="277" t="s">
        <v>111</v>
      </c>
      <c r="B1502" s="923"/>
      <c r="C1502" s="301" t="s">
        <v>266</v>
      </c>
      <c r="D1502" s="278" t="s">
        <v>268</v>
      </c>
      <c r="E1502" s="279">
        <v>0</v>
      </c>
      <c r="F1502" s="280"/>
      <c r="G1502" s="339">
        <f t="shared" si="1953"/>
        <v>0</v>
      </c>
      <c r="H1502" s="281">
        <v>0</v>
      </c>
      <c r="I1502" s="281">
        <v>0</v>
      </c>
      <c r="J1502" s="358" t="str">
        <f>IFERROR(G1502/#REF!,"-")</f>
        <v>-</v>
      </c>
      <c r="K1502" s="339">
        <f t="shared" si="1954"/>
        <v>10464</v>
      </c>
      <c r="L1502" s="281">
        <f t="shared" si="1955"/>
        <v>10417</v>
      </c>
      <c r="M1502" s="251">
        <f t="shared" si="1956"/>
        <v>47</v>
      </c>
      <c r="N1502" s="343" t="str">
        <f t="shared" si="1950"/>
        <v>-</v>
      </c>
      <c r="O1502" s="264">
        <f t="shared" si="1935"/>
        <v>4.491590214067278E-3</v>
      </c>
    </row>
    <row r="1503" spans="1:15" ht="24" thickBot="1" x14ac:dyDescent="0.35">
      <c r="A1503" s="277" t="s">
        <v>111</v>
      </c>
      <c r="B1503" s="924"/>
      <c r="C1503" s="301" t="s">
        <v>267</v>
      </c>
      <c r="D1503" s="278" t="s">
        <v>263</v>
      </c>
      <c r="E1503" s="283">
        <v>0</v>
      </c>
      <c r="F1503" s="284"/>
      <c r="G1503" s="340">
        <f t="shared" si="1953"/>
        <v>0</v>
      </c>
      <c r="H1503" s="285">
        <v>0</v>
      </c>
      <c r="I1503" s="285">
        <v>0</v>
      </c>
      <c r="J1503" s="359" t="str">
        <f>IFERROR(G1503/#REF!,"-")</f>
        <v>-</v>
      </c>
      <c r="K1503" s="340">
        <f t="shared" si="1954"/>
        <v>14088</v>
      </c>
      <c r="L1503" s="285">
        <f t="shared" si="1955"/>
        <v>14000</v>
      </c>
      <c r="M1503" s="286">
        <f t="shared" si="1956"/>
        <v>88</v>
      </c>
      <c r="N1503" s="344" t="str">
        <f t="shared" si="1950"/>
        <v>-</v>
      </c>
      <c r="O1503" s="353">
        <f t="shared" si="1935"/>
        <v>6.2464508801817146E-3</v>
      </c>
    </row>
    <row r="1504" spans="1:15" ht="24" thickBot="1" x14ac:dyDescent="0.35">
      <c r="A1504" s="277" t="s">
        <v>111</v>
      </c>
      <c r="B1504" s="906" t="s">
        <v>52</v>
      </c>
      <c r="C1504" s="907"/>
      <c r="D1504" s="908"/>
      <c r="E1504" s="288">
        <v>157500</v>
      </c>
      <c r="F1504" s="289">
        <v>14000</v>
      </c>
      <c r="G1504" s="326">
        <f>SUM(G1496:G1503)</f>
        <v>13200</v>
      </c>
      <c r="H1504" s="327">
        <f t="shared" ref="H1504:I1504" si="1957">SUM(H1496:H1503)</f>
        <v>13125</v>
      </c>
      <c r="I1504" s="327">
        <f t="shared" si="1957"/>
        <v>75</v>
      </c>
      <c r="J1504" s="351" t="str">
        <f>IFERROR(G1504/#REF!,"-")</f>
        <v>-</v>
      </c>
      <c r="K1504" s="326">
        <f>SUM(K1496:K1503)</f>
        <v>139449</v>
      </c>
      <c r="L1504" s="327">
        <f t="shared" ref="L1504:M1504" si="1958">SUM(L1496:L1503)</f>
        <v>138444</v>
      </c>
      <c r="M1504" s="328">
        <f t="shared" si="1958"/>
        <v>1005</v>
      </c>
      <c r="N1504" s="345">
        <f t="shared" si="1950"/>
        <v>0.88539047619047617</v>
      </c>
      <c r="O1504" s="351">
        <f t="shared" si="1935"/>
        <v>7.2069358690273868E-3</v>
      </c>
    </row>
    <row r="1505" spans="1:15" ht="24" thickBot="1" x14ac:dyDescent="0.35">
      <c r="A1505" s="277" t="s">
        <v>111</v>
      </c>
      <c r="B1505" s="926" t="s">
        <v>25</v>
      </c>
      <c r="C1505" s="927"/>
      <c r="D1505" s="928"/>
      <c r="E1505" s="332">
        <f t="shared" ref="E1505:F1505" si="1959">+E1495+E1504</f>
        <v>1157500</v>
      </c>
      <c r="F1505" s="333">
        <f t="shared" si="1959"/>
        <v>94000</v>
      </c>
      <c r="G1505" s="332">
        <f>+G1495+G1504</f>
        <v>72760</v>
      </c>
      <c r="H1505" s="330">
        <f t="shared" ref="H1505:I1505" si="1960">+H1495+H1504</f>
        <v>72525</v>
      </c>
      <c r="I1505" s="330">
        <f t="shared" si="1960"/>
        <v>235</v>
      </c>
      <c r="J1505" s="355" t="str">
        <f>IFERROR(G1505/#REF!,"-")</f>
        <v>-</v>
      </c>
      <c r="K1505" s="332">
        <f t="shared" ref="K1505" si="1961">+K1495+K1504</f>
        <v>238691</v>
      </c>
      <c r="L1505" s="330">
        <f>+L1495+L1504</f>
        <v>237444</v>
      </c>
      <c r="M1505" s="331">
        <f t="shared" ref="M1505" si="1962">+M1495+M1504</f>
        <v>1247</v>
      </c>
      <c r="N1505" s="347">
        <f t="shared" si="1950"/>
        <v>0.20621252699784018</v>
      </c>
      <c r="O1505" s="355">
        <f t="shared" si="1935"/>
        <v>5.2243276872609356E-3</v>
      </c>
    </row>
    <row r="1506" spans="1:15" ht="24" thickBot="1" x14ac:dyDescent="0.35">
      <c r="A1506" s="277" t="s">
        <v>111</v>
      </c>
      <c r="B1506" s="900" t="s">
        <v>181</v>
      </c>
      <c r="C1506" s="901"/>
      <c r="D1506" s="902"/>
      <c r="E1506" s="336">
        <f>+E1490+E1505</f>
        <v>6932100</v>
      </c>
      <c r="F1506" s="337">
        <f t="shared" ref="F1506:I1506" si="1963">+F1490+F1505</f>
        <v>449000</v>
      </c>
      <c r="G1506" s="336">
        <f t="shared" si="1963"/>
        <v>134298</v>
      </c>
      <c r="H1506" s="334">
        <f t="shared" si="1963"/>
        <v>133725</v>
      </c>
      <c r="I1506" s="334">
        <f t="shared" si="1963"/>
        <v>573</v>
      </c>
      <c r="J1506" s="356" t="str">
        <f>IFERROR(G1506/#REF!,"-")</f>
        <v>-</v>
      </c>
      <c r="K1506" s="336">
        <f>+K1490+K1505</f>
        <v>1979003</v>
      </c>
      <c r="L1506" s="334">
        <f t="shared" ref="L1506:M1506" si="1964">+L1490+L1505</f>
        <v>1969119</v>
      </c>
      <c r="M1506" s="335">
        <f t="shared" si="1964"/>
        <v>9884</v>
      </c>
      <c r="N1506" s="348">
        <f>IFERROR(K1506/E1506,"-")</f>
        <v>0.2854839081952078</v>
      </c>
      <c r="O1506" s="356">
        <f t="shared" si="1935"/>
        <v>4.9944340660423459E-3</v>
      </c>
    </row>
    <row r="1507" spans="1:15" ht="23.4" x14ac:dyDescent="0.3">
      <c r="A1507" s="271" t="s">
        <v>109</v>
      </c>
      <c r="B1507" s="929" t="s">
        <v>26</v>
      </c>
      <c r="C1507" s="303" t="s">
        <v>334</v>
      </c>
      <c r="D1507" s="303" t="s">
        <v>192</v>
      </c>
      <c r="E1507" s="273">
        <v>0</v>
      </c>
      <c r="F1507" s="274"/>
      <c r="G1507" s="338">
        <f t="shared" ref="G1507:G1515" si="1965">+H1507+I1507</f>
        <v>0</v>
      </c>
      <c r="H1507" s="275">
        <v>0</v>
      </c>
      <c r="I1507" s="275">
        <v>0</v>
      </c>
      <c r="J1507" s="357" t="str">
        <f>IFERROR(G1507/#REF!,"-")</f>
        <v>-</v>
      </c>
      <c r="K1507" s="338">
        <f t="shared" ref="K1507:K1515" si="1966">+L1507+M1507</f>
        <v>326708</v>
      </c>
      <c r="L1507" s="275">
        <f t="shared" ref="L1507:L1515" si="1967">+H1507+L1403</f>
        <v>322218</v>
      </c>
      <c r="M1507" s="276">
        <f t="shared" ref="M1507:M1515" si="1968">+I1507+M1403</f>
        <v>4490</v>
      </c>
      <c r="N1507" s="342" t="str">
        <f t="shared" ref="N1507:N1508" si="1969">IFERROR(K1507/E1507,"-")</f>
        <v>-</v>
      </c>
      <c r="O1507" s="352">
        <f t="shared" si="1935"/>
        <v>1.3743159028857574E-2</v>
      </c>
    </row>
    <row r="1508" spans="1:15" ht="23.4" x14ac:dyDescent="0.3">
      <c r="A1508" s="277" t="s">
        <v>109</v>
      </c>
      <c r="B1508" s="929"/>
      <c r="C1508" s="304" t="s">
        <v>199</v>
      </c>
      <c r="D1508" s="304" t="s">
        <v>115</v>
      </c>
      <c r="E1508" s="279">
        <v>0</v>
      </c>
      <c r="F1508" s="280"/>
      <c r="G1508" s="339">
        <f t="shared" si="1965"/>
        <v>0</v>
      </c>
      <c r="H1508" s="281">
        <v>0</v>
      </c>
      <c r="I1508" s="281">
        <v>0</v>
      </c>
      <c r="J1508" s="358" t="str">
        <f>IFERROR(G1508/#REF!,"-")</f>
        <v>-</v>
      </c>
      <c r="K1508" s="339">
        <f t="shared" si="1966"/>
        <v>0</v>
      </c>
      <c r="L1508" s="281">
        <f t="shared" si="1967"/>
        <v>0</v>
      </c>
      <c r="M1508" s="251">
        <f t="shared" si="1968"/>
        <v>0</v>
      </c>
      <c r="N1508" s="343" t="str">
        <f t="shared" si="1969"/>
        <v>-</v>
      </c>
      <c r="O1508" s="264" t="str">
        <f t="shared" si="1935"/>
        <v>-</v>
      </c>
    </row>
    <row r="1509" spans="1:15" ht="23.4" x14ac:dyDescent="0.3">
      <c r="A1509" s="277" t="s">
        <v>109</v>
      </c>
      <c r="B1509" s="929"/>
      <c r="C1509" s="305" t="s">
        <v>27</v>
      </c>
      <c r="D1509" s="305" t="s">
        <v>310</v>
      </c>
      <c r="E1509" s="283">
        <v>0</v>
      </c>
      <c r="F1509" s="284"/>
      <c r="G1509" s="339">
        <f t="shared" si="1965"/>
        <v>0</v>
      </c>
      <c r="H1509" s="285">
        <v>0</v>
      </c>
      <c r="I1509" s="285">
        <v>0</v>
      </c>
      <c r="J1509" s="359" t="str">
        <f>IFERROR(G1509/#REF!,"-")</f>
        <v>-</v>
      </c>
      <c r="K1509" s="339">
        <f t="shared" si="1966"/>
        <v>0</v>
      </c>
      <c r="L1509" s="285">
        <f t="shared" si="1967"/>
        <v>0</v>
      </c>
      <c r="M1509" s="286">
        <f t="shared" si="1968"/>
        <v>0</v>
      </c>
      <c r="N1509" s="287"/>
      <c r="O1509" s="264" t="str">
        <f t="shared" si="1935"/>
        <v>-</v>
      </c>
    </row>
    <row r="1510" spans="1:15" ht="23.4" x14ac:dyDescent="0.3">
      <c r="A1510" s="277" t="s">
        <v>109</v>
      </c>
      <c r="B1510" s="929"/>
      <c r="C1510" s="305" t="s">
        <v>27</v>
      </c>
      <c r="D1510" s="305" t="s">
        <v>311</v>
      </c>
      <c r="E1510" s="283">
        <v>0</v>
      </c>
      <c r="F1510" s="284"/>
      <c r="G1510" s="339">
        <f t="shared" si="1965"/>
        <v>0</v>
      </c>
      <c r="H1510" s="285">
        <v>0</v>
      </c>
      <c r="I1510" s="285">
        <v>0</v>
      </c>
      <c r="J1510" s="359" t="str">
        <f>IFERROR(G1510/#REF!,"-")</f>
        <v>-</v>
      </c>
      <c r="K1510" s="339">
        <f t="shared" si="1966"/>
        <v>0</v>
      </c>
      <c r="L1510" s="285">
        <f t="shared" si="1967"/>
        <v>0</v>
      </c>
      <c r="M1510" s="286">
        <f t="shared" si="1968"/>
        <v>0</v>
      </c>
      <c r="N1510" s="287"/>
      <c r="O1510" s="264" t="str">
        <f t="shared" si="1935"/>
        <v>-</v>
      </c>
    </row>
    <row r="1511" spans="1:15" ht="23.4" x14ac:dyDescent="0.3">
      <c r="A1511" s="277" t="s">
        <v>109</v>
      </c>
      <c r="B1511" s="929"/>
      <c r="C1511" s="305" t="s">
        <v>325</v>
      </c>
      <c r="D1511" s="305" t="s">
        <v>324</v>
      </c>
      <c r="E1511" s="283">
        <v>0</v>
      </c>
      <c r="F1511" s="284"/>
      <c r="G1511" s="339">
        <f t="shared" si="1965"/>
        <v>0</v>
      </c>
      <c r="H1511" s="285">
        <v>0</v>
      </c>
      <c r="I1511" s="285">
        <v>0</v>
      </c>
      <c r="J1511" s="359" t="str">
        <f>IFERROR(G1511/#REF!,"-")</f>
        <v>-</v>
      </c>
      <c r="K1511" s="339">
        <f t="shared" si="1966"/>
        <v>0</v>
      </c>
      <c r="L1511" s="285">
        <f t="shared" si="1967"/>
        <v>0</v>
      </c>
      <c r="M1511" s="286">
        <f t="shared" si="1968"/>
        <v>0</v>
      </c>
      <c r="N1511" s="287"/>
      <c r="O1511" s="264" t="str">
        <f t="shared" si="1935"/>
        <v>-</v>
      </c>
    </row>
    <row r="1512" spans="1:15" ht="23.4" x14ac:dyDescent="0.3">
      <c r="A1512" s="277"/>
      <c r="B1512" s="929"/>
      <c r="C1512" s="305" t="s">
        <v>393</v>
      </c>
      <c r="D1512" s="305" t="s">
        <v>192</v>
      </c>
      <c r="E1512" s="283">
        <v>0</v>
      </c>
      <c r="F1512" s="284"/>
      <c r="G1512" s="340">
        <f t="shared" si="1965"/>
        <v>0</v>
      </c>
      <c r="H1512" s="285">
        <v>0</v>
      </c>
      <c r="I1512" s="285">
        <v>0</v>
      </c>
      <c r="J1512" s="359" t="str">
        <f>IFERROR(G1512/#REF!,"-")</f>
        <v>-</v>
      </c>
      <c r="K1512" s="340">
        <f t="shared" si="1966"/>
        <v>0</v>
      </c>
      <c r="L1512" s="285">
        <f t="shared" si="1967"/>
        <v>0</v>
      </c>
      <c r="M1512" s="286">
        <f t="shared" si="1968"/>
        <v>0</v>
      </c>
      <c r="N1512" s="287"/>
      <c r="O1512" s="264" t="str">
        <f t="shared" si="1935"/>
        <v>-</v>
      </c>
    </row>
    <row r="1513" spans="1:15" ht="23.4" x14ac:dyDescent="0.3">
      <c r="A1513" s="277"/>
      <c r="B1513" s="929"/>
      <c r="C1513" s="305" t="s">
        <v>325</v>
      </c>
      <c r="D1513" s="305" t="s">
        <v>101</v>
      </c>
      <c r="E1513" s="283">
        <v>0</v>
      </c>
      <c r="F1513" s="284"/>
      <c r="G1513" s="340">
        <f t="shared" si="1965"/>
        <v>0</v>
      </c>
      <c r="H1513" s="285">
        <v>0</v>
      </c>
      <c r="I1513" s="285">
        <v>0</v>
      </c>
      <c r="J1513" s="359" t="str">
        <f>IFERROR(G1513/#REF!,"-")</f>
        <v>-</v>
      </c>
      <c r="K1513" s="340">
        <f t="shared" si="1966"/>
        <v>3978</v>
      </c>
      <c r="L1513" s="285">
        <f t="shared" si="1967"/>
        <v>3978</v>
      </c>
      <c r="M1513" s="286">
        <f t="shared" si="1968"/>
        <v>0</v>
      </c>
      <c r="N1513" s="287"/>
      <c r="O1513" s="264">
        <f t="shared" si="1935"/>
        <v>0</v>
      </c>
    </row>
    <row r="1514" spans="1:15" ht="23.4" x14ac:dyDescent="0.3">
      <c r="A1514" s="277"/>
      <c r="B1514" s="929"/>
      <c r="C1514" s="305" t="s">
        <v>325</v>
      </c>
      <c r="D1514" s="305" t="s">
        <v>394</v>
      </c>
      <c r="E1514" s="283">
        <v>0</v>
      </c>
      <c r="F1514" s="284"/>
      <c r="G1514" s="340">
        <f t="shared" si="1965"/>
        <v>16182</v>
      </c>
      <c r="H1514" s="285">
        <v>15912</v>
      </c>
      <c r="I1514" s="285">
        <v>270</v>
      </c>
      <c r="J1514" s="359" t="str">
        <f>IFERROR(G1514/#REF!,"-")</f>
        <v>-</v>
      </c>
      <c r="K1514" s="340">
        <f t="shared" si="1966"/>
        <v>712234</v>
      </c>
      <c r="L1514" s="285">
        <f t="shared" si="1967"/>
        <v>704106</v>
      </c>
      <c r="M1514" s="286">
        <f t="shared" si="1968"/>
        <v>8128</v>
      </c>
      <c r="N1514" s="287"/>
      <c r="O1514" s="264">
        <f t="shared" si="1935"/>
        <v>1.141197977069334E-2</v>
      </c>
    </row>
    <row r="1515" spans="1:15" ht="24" thickBot="1" x14ac:dyDescent="0.35">
      <c r="A1515" s="277" t="s">
        <v>109</v>
      </c>
      <c r="B1515" s="929"/>
      <c r="C1515" s="306" t="s">
        <v>326</v>
      </c>
      <c r="D1515" s="305" t="s">
        <v>324</v>
      </c>
      <c r="E1515" s="283">
        <v>0</v>
      </c>
      <c r="F1515" s="284"/>
      <c r="G1515" s="340">
        <f t="shared" si="1965"/>
        <v>0</v>
      </c>
      <c r="H1515" s="285">
        <v>0</v>
      </c>
      <c r="I1515" s="285">
        <v>0</v>
      </c>
      <c r="J1515" s="359" t="str">
        <f>IFERROR(G1515/#REF!,"-")</f>
        <v>-</v>
      </c>
      <c r="K1515" s="340">
        <f t="shared" si="1966"/>
        <v>7956</v>
      </c>
      <c r="L1515" s="285">
        <f t="shared" si="1967"/>
        <v>7956</v>
      </c>
      <c r="M1515" s="286">
        <f t="shared" si="1968"/>
        <v>0</v>
      </c>
      <c r="N1515" s="344" t="str">
        <f t="shared" ref="N1515:N1520" si="1970">IFERROR(K1515/E1515,"-")</f>
        <v>-</v>
      </c>
      <c r="O1515" s="353">
        <f t="shared" si="1935"/>
        <v>0</v>
      </c>
    </row>
    <row r="1516" spans="1:15" ht="24" thickBot="1" x14ac:dyDescent="0.35">
      <c r="A1516" s="277" t="s">
        <v>109</v>
      </c>
      <c r="B1516" s="930"/>
      <c r="C1516" s="307"/>
      <c r="D1516" s="308" t="s">
        <v>55</v>
      </c>
      <c r="E1516" s="288">
        <v>0</v>
      </c>
      <c r="F1516" s="289"/>
      <c r="G1516" s="326">
        <f>SUM(G1507:G1515)</f>
        <v>16182</v>
      </c>
      <c r="H1516" s="327">
        <f>SUM(H1507:H1515)</f>
        <v>15912</v>
      </c>
      <c r="I1516" s="327">
        <f>SUM(I1507:I1515)</f>
        <v>270</v>
      </c>
      <c r="J1516" s="351" t="str">
        <f>IFERROR(G1516/#REF!,"-")</f>
        <v>-</v>
      </c>
      <c r="K1516" s="326">
        <f>SUM(K1507:K1515)</f>
        <v>1050876</v>
      </c>
      <c r="L1516" s="327">
        <f>SUM(L1507:L1515)</f>
        <v>1038258</v>
      </c>
      <c r="M1516" s="328">
        <f>SUM(M1507:M1515)</f>
        <v>12618</v>
      </c>
      <c r="N1516" s="345" t="str">
        <f t="shared" si="1970"/>
        <v>-</v>
      </c>
      <c r="O1516" s="351">
        <f t="shared" si="1935"/>
        <v>1.2007125483882018E-2</v>
      </c>
    </row>
    <row r="1517" spans="1:15" ht="23.4" x14ac:dyDescent="0.3">
      <c r="A1517" s="277" t="s">
        <v>109</v>
      </c>
      <c r="B1517" s="931" t="s">
        <v>28</v>
      </c>
      <c r="C1517" s="303" t="s">
        <v>322</v>
      </c>
      <c r="D1517" s="303" t="s">
        <v>193</v>
      </c>
      <c r="E1517" s="273">
        <v>0</v>
      </c>
      <c r="F1517" s="274"/>
      <c r="G1517" s="338">
        <f t="shared" ref="G1517:G1519" si="1971">+H1517+I1517</f>
        <v>0</v>
      </c>
      <c r="H1517" s="275">
        <v>0</v>
      </c>
      <c r="I1517" s="275">
        <v>0</v>
      </c>
      <c r="J1517" s="357" t="str">
        <f>IFERROR(G1517/#REF!,"-")</f>
        <v>-</v>
      </c>
      <c r="K1517" s="338">
        <f t="shared" ref="K1517:K1519" si="1972">+L1517+M1517</f>
        <v>0</v>
      </c>
      <c r="L1517" s="275">
        <f t="shared" ref="L1517:L1519" si="1973">+H1517+L1413</f>
        <v>0</v>
      </c>
      <c r="M1517" s="276">
        <f t="shared" ref="M1517:M1519" si="1974">+I1517+M1413</f>
        <v>0</v>
      </c>
      <c r="N1517" s="342" t="str">
        <f t="shared" si="1970"/>
        <v>-</v>
      </c>
      <c r="O1517" s="352" t="str">
        <f t="shared" si="1935"/>
        <v>-</v>
      </c>
    </row>
    <row r="1518" spans="1:15" ht="23.4" x14ac:dyDescent="0.3">
      <c r="A1518" s="277" t="s">
        <v>109</v>
      </c>
      <c r="B1518" s="929"/>
      <c r="C1518" s="305" t="s">
        <v>27</v>
      </c>
      <c r="D1518" s="305" t="s">
        <v>394</v>
      </c>
      <c r="E1518" s="279">
        <v>0</v>
      </c>
      <c r="F1518" s="280"/>
      <c r="G1518" s="339">
        <f t="shared" si="1971"/>
        <v>100735</v>
      </c>
      <c r="H1518" s="281">
        <v>99450</v>
      </c>
      <c r="I1518" s="281">
        <v>1285</v>
      </c>
      <c r="J1518" s="358" t="str">
        <f>IFERROR(G1518/#REF!,"-")</f>
        <v>-</v>
      </c>
      <c r="K1518" s="339">
        <f t="shared" si="1972"/>
        <v>240798</v>
      </c>
      <c r="L1518" s="281">
        <f t="shared" si="1973"/>
        <v>238680</v>
      </c>
      <c r="M1518" s="251">
        <f t="shared" si="1974"/>
        <v>2118</v>
      </c>
      <c r="N1518" s="343" t="str">
        <f t="shared" si="1970"/>
        <v>-</v>
      </c>
      <c r="O1518" s="264">
        <f t="shared" si="1935"/>
        <v>8.7957541175591163E-3</v>
      </c>
    </row>
    <row r="1519" spans="1:15" ht="24" thickBot="1" x14ac:dyDescent="0.35">
      <c r="A1519" s="277" t="s">
        <v>109</v>
      </c>
      <c r="B1519" s="929"/>
      <c r="C1519" s="305" t="s">
        <v>27</v>
      </c>
      <c r="D1519" s="306" t="s">
        <v>259</v>
      </c>
      <c r="E1519" s="283">
        <v>0</v>
      </c>
      <c r="F1519" s="284"/>
      <c r="G1519" s="340">
        <f t="shared" si="1971"/>
        <v>0</v>
      </c>
      <c r="H1519" s="285">
        <v>0</v>
      </c>
      <c r="I1519" s="285">
        <v>0</v>
      </c>
      <c r="J1519" s="359" t="str">
        <f>IFERROR(G1519/#REF!,"-")</f>
        <v>-</v>
      </c>
      <c r="K1519" s="340">
        <f t="shared" si="1972"/>
        <v>221560</v>
      </c>
      <c r="L1519" s="285">
        <f t="shared" si="1973"/>
        <v>218790</v>
      </c>
      <c r="M1519" s="286">
        <f t="shared" si="1974"/>
        <v>2770</v>
      </c>
      <c r="N1519" s="344" t="str">
        <f t="shared" si="1970"/>
        <v>-</v>
      </c>
      <c r="O1519" s="353">
        <f t="shared" si="1935"/>
        <v>1.2502256725040621E-2</v>
      </c>
    </row>
    <row r="1520" spans="1:15" ht="24" thickBot="1" x14ac:dyDescent="0.35">
      <c r="A1520" s="277" t="s">
        <v>109</v>
      </c>
      <c r="B1520" s="929"/>
      <c r="C1520" s="310"/>
      <c r="D1520" s="311" t="s">
        <v>55</v>
      </c>
      <c r="E1520" s="312">
        <v>0</v>
      </c>
      <c r="F1520" s="313"/>
      <c r="G1520" s="372">
        <f>SUM(G1517:G1519)</f>
        <v>100735</v>
      </c>
      <c r="H1520" s="371">
        <f t="shared" ref="H1520:I1520" si="1975">SUM(H1517:H1519)</f>
        <v>99450</v>
      </c>
      <c r="I1520" s="371">
        <f t="shared" si="1975"/>
        <v>1285</v>
      </c>
      <c r="J1520" s="362" t="str">
        <f>IFERROR(G1520/#REF!,"-")</f>
        <v>-</v>
      </c>
      <c r="K1520" s="372">
        <f>SUM(K1517:K1519)</f>
        <v>462358</v>
      </c>
      <c r="L1520" s="371">
        <f>SUM(L1517:L1519)</f>
        <v>457470</v>
      </c>
      <c r="M1520" s="373">
        <f t="shared" ref="M1520" si="1976">SUM(M1517:M1519)</f>
        <v>4888</v>
      </c>
      <c r="N1520" s="361" t="str">
        <f t="shared" si="1970"/>
        <v>-</v>
      </c>
      <c r="O1520" s="362">
        <f t="shared" si="1935"/>
        <v>1.0571894505988865E-2</v>
      </c>
    </row>
    <row r="1521" spans="1:15" ht="24" thickBot="1" x14ac:dyDescent="0.35">
      <c r="A1521" s="829" t="s">
        <v>109</v>
      </c>
      <c r="B1521" s="932" t="s">
        <v>171</v>
      </c>
      <c r="C1521" s="933"/>
      <c r="D1521" s="934"/>
      <c r="E1521" s="314">
        <v>2167000</v>
      </c>
      <c r="F1521" s="315">
        <v>80000</v>
      </c>
      <c r="G1521" s="375">
        <f>+G1516+G1520</f>
        <v>116917</v>
      </c>
      <c r="H1521" s="374">
        <f t="shared" ref="H1521:I1521" si="1977">+H1516+H1520</f>
        <v>115362</v>
      </c>
      <c r="I1521" s="374">
        <f t="shared" si="1977"/>
        <v>1555</v>
      </c>
      <c r="J1521" s="364" t="str">
        <f>IFERROR(G1521/#REF!,"-")</f>
        <v>-</v>
      </c>
      <c r="K1521" s="375">
        <f>+K1516+K1520</f>
        <v>1513234</v>
      </c>
      <c r="L1521" s="374">
        <f>+L1516+L1520</f>
        <v>1495728</v>
      </c>
      <c r="M1521" s="376">
        <f t="shared" ref="M1521" si="1978">+M1516+M1520</f>
        <v>17506</v>
      </c>
      <c r="N1521" s="363">
        <f>IFERROR(K1521/E1521,"-")</f>
        <v>0.69830826026765114</v>
      </c>
      <c r="O1521" s="364">
        <f t="shared" si="1935"/>
        <v>1.156860075837577E-2</v>
      </c>
    </row>
    <row r="1522" spans="1:15" ht="23.4" x14ac:dyDescent="0.3">
      <c r="A1522" s="277" t="s">
        <v>109</v>
      </c>
      <c r="B1522" s="929" t="s">
        <v>30</v>
      </c>
      <c r="C1522" s="309" t="s">
        <v>396</v>
      </c>
      <c r="D1522" s="303" t="s">
        <v>193</v>
      </c>
      <c r="E1522" s="273">
        <v>0</v>
      </c>
      <c r="F1522" s="274"/>
      <c r="G1522" s="338">
        <f t="shared" ref="G1522:G1524" si="1979">+H1522+I1522</f>
        <v>0</v>
      </c>
      <c r="H1522" s="275">
        <v>0</v>
      </c>
      <c r="I1522" s="275">
        <v>0</v>
      </c>
      <c r="J1522" s="357" t="str">
        <f>IFERROR(G1522/#REF!,"-")</f>
        <v>-</v>
      </c>
      <c r="K1522" s="338">
        <f t="shared" ref="K1522:K1524" si="1980">+L1522+M1522</f>
        <v>0</v>
      </c>
      <c r="L1522" s="275">
        <f t="shared" ref="L1522:L1524" si="1981">+H1522+L1418</f>
        <v>0</v>
      </c>
      <c r="M1522" s="276">
        <f t="shared" ref="M1522:M1524" si="1982">+I1522+M1418</f>
        <v>0</v>
      </c>
      <c r="N1522" s="342" t="str">
        <f t="shared" ref="N1522:N1532" si="1983">IFERROR(K1522/E1522,"-")</f>
        <v>-</v>
      </c>
      <c r="O1522" s="352" t="str">
        <f t="shared" si="1935"/>
        <v>-</v>
      </c>
    </row>
    <row r="1523" spans="1:15" ht="23.4" x14ac:dyDescent="0.3">
      <c r="A1523" s="277" t="s">
        <v>109</v>
      </c>
      <c r="B1523" s="929"/>
      <c r="C1523" s="309" t="s">
        <v>395</v>
      </c>
      <c r="D1523" s="309" t="s">
        <v>324</v>
      </c>
      <c r="E1523" s="279">
        <v>0</v>
      </c>
      <c r="F1523" s="280"/>
      <c r="G1523" s="339">
        <f t="shared" si="1979"/>
        <v>0</v>
      </c>
      <c r="H1523" s="281">
        <v>0</v>
      </c>
      <c r="I1523" s="281">
        <v>0</v>
      </c>
      <c r="J1523" s="358" t="str">
        <f>IFERROR(G1523/#REF!,"-")</f>
        <v>-</v>
      </c>
      <c r="K1523" s="339">
        <f t="shared" si="1980"/>
        <v>0</v>
      </c>
      <c r="L1523" s="281">
        <f t="shared" si="1981"/>
        <v>0</v>
      </c>
      <c r="M1523" s="251">
        <f t="shared" si="1982"/>
        <v>0</v>
      </c>
      <c r="N1523" s="343" t="str">
        <f t="shared" si="1983"/>
        <v>-</v>
      </c>
      <c r="O1523" s="264" t="str">
        <f t="shared" si="1935"/>
        <v>-</v>
      </c>
    </row>
    <row r="1524" spans="1:15" ht="24" thickBot="1" x14ac:dyDescent="0.35">
      <c r="A1524" s="277" t="s">
        <v>109</v>
      </c>
      <c r="B1524" s="929"/>
      <c r="C1524" s="306" t="s">
        <v>327</v>
      </c>
      <c r="D1524" s="306"/>
      <c r="E1524" s="283">
        <v>0</v>
      </c>
      <c r="F1524" s="284"/>
      <c r="G1524" s="340">
        <f t="shared" si="1979"/>
        <v>28623</v>
      </c>
      <c r="H1524" s="285">
        <v>28080</v>
      </c>
      <c r="I1524" s="285">
        <v>543</v>
      </c>
      <c r="J1524" s="359" t="str">
        <f>IFERROR(G1524/#REF!,"-")</f>
        <v>-</v>
      </c>
      <c r="K1524" s="340">
        <f t="shared" si="1980"/>
        <v>49555</v>
      </c>
      <c r="L1524" s="285">
        <f t="shared" si="1981"/>
        <v>48672</v>
      </c>
      <c r="M1524" s="286">
        <f t="shared" si="1982"/>
        <v>883</v>
      </c>
      <c r="N1524" s="344" t="str">
        <f t="shared" si="1983"/>
        <v>-</v>
      </c>
      <c r="O1524" s="353">
        <f t="shared" si="1935"/>
        <v>1.7818585410150339E-2</v>
      </c>
    </row>
    <row r="1525" spans="1:15" ht="24" thickBot="1" x14ac:dyDescent="0.35">
      <c r="A1525" s="277" t="s">
        <v>109</v>
      </c>
      <c r="B1525" s="929"/>
      <c r="C1525" s="307"/>
      <c r="D1525" s="308" t="s">
        <v>53</v>
      </c>
      <c r="E1525" s="288">
        <v>0</v>
      </c>
      <c r="F1525" s="289"/>
      <c r="G1525" s="326">
        <f>SUM(G1522:G1524)</f>
        <v>28623</v>
      </c>
      <c r="H1525" s="327">
        <f t="shared" ref="H1525:I1525" si="1984">SUM(H1522:H1524)</f>
        <v>28080</v>
      </c>
      <c r="I1525" s="327">
        <f t="shared" si="1984"/>
        <v>543</v>
      </c>
      <c r="J1525" s="351" t="str">
        <f>IFERROR(G1525/#REF!,"-")</f>
        <v>-</v>
      </c>
      <c r="K1525" s="326">
        <f t="shared" ref="K1525" si="1985">SUM(K1522:K1524)</f>
        <v>49555</v>
      </c>
      <c r="L1525" s="327">
        <f>SUM(L1522:L1524)</f>
        <v>48672</v>
      </c>
      <c r="M1525" s="328">
        <f t="shared" ref="M1525" si="1986">SUM(M1522:M1524)</f>
        <v>883</v>
      </c>
      <c r="N1525" s="345" t="str">
        <f t="shared" si="1983"/>
        <v>-</v>
      </c>
      <c r="O1525" s="351">
        <f t="shared" si="1935"/>
        <v>1.7818585410150339E-2</v>
      </c>
    </row>
    <row r="1526" spans="1:15" ht="23.4" x14ac:dyDescent="0.3">
      <c r="A1526" s="277" t="s">
        <v>109</v>
      </c>
      <c r="B1526" s="929"/>
      <c r="C1526" s="303" t="s">
        <v>352</v>
      </c>
      <c r="D1526" s="303"/>
      <c r="E1526" s="273">
        <v>0</v>
      </c>
      <c r="F1526" s="274"/>
      <c r="G1526" s="338">
        <f t="shared" ref="G1526:G1528" si="1987">+H1526+I1526</f>
        <v>0</v>
      </c>
      <c r="H1526" s="275">
        <v>0</v>
      </c>
      <c r="I1526" s="275">
        <v>0</v>
      </c>
      <c r="J1526" s="357" t="str">
        <f>IFERROR(G1526/#REF!,"-")</f>
        <v>-</v>
      </c>
      <c r="K1526" s="338">
        <f t="shared" ref="K1526:K1528" si="1988">+L1526+M1526</f>
        <v>0</v>
      </c>
      <c r="L1526" s="275">
        <f t="shared" ref="L1526:L1528" si="1989">+H1526+L1422</f>
        <v>0</v>
      </c>
      <c r="M1526" s="276">
        <f t="shared" ref="M1526:M1528" si="1990">+I1526+M1422</f>
        <v>0</v>
      </c>
      <c r="N1526" s="342" t="str">
        <f t="shared" si="1983"/>
        <v>-</v>
      </c>
      <c r="O1526" s="352" t="str">
        <f t="shared" si="1935"/>
        <v>-</v>
      </c>
    </row>
    <row r="1527" spans="1:15" ht="23.4" x14ac:dyDescent="0.3">
      <c r="A1527" s="277" t="s">
        <v>109</v>
      </c>
      <c r="B1527" s="929"/>
      <c r="C1527" s="309" t="s">
        <v>397</v>
      </c>
      <c r="D1527" s="309" t="s">
        <v>259</v>
      </c>
      <c r="E1527" s="279">
        <v>0</v>
      </c>
      <c r="F1527" s="280"/>
      <c r="G1527" s="339">
        <f t="shared" si="1987"/>
        <v>0</v>
      </c>
      <c r="H1527" s="281">
        <v>0</v>
      </c>
      <c r="I1527" s="281">
        <v>0</v>
      </c>
      <c r="J1527" s="358" t="str">
        <f>IFERROR(G1527/#REF!,"-")</f>
        <v>-</v>
      </c>
      <c r="K1527" s="339">
        <f t="shared" si="1988"/>
        <v>493341</v>
      </c>
      <c r="L1527" s="281">
        <f t="shared" si="1989"/>
        <v>481104</v>
      </c>
      <c r="M1527" s="251">
        <f t="shared" si="1990"/>
        <v>12237</v>
      </c>
      <c r="N1527" s="343" t="str">
        <f t="shared" si="1983"/>
        <v>-</v>
      </c>
      <c r="O1527" s="264">
        <f t="shared" si="1935"/>
        <v>2.4804344256812227E-2</v>
      </c>
    </row>
    <row r="1528" spans="1:15" ht="24" thickBot="1" x14ac:dyDescent="0.35">
      <c r="A1528" s="277" t="s">
        <v>109</v>
      </c>
      <c r="B1528" s="929"/>
      <c r="C1528" s="306" t="s">
        <v>146</v>
      </c>
      <c r="D1528" s="306"/>
      <c r="E1528" s="283">
        <v>0</v>
      </c>
      <c r="F1528" s="284"/>
      <c r="G1528" s="340">
        <f t="shared" si="1987"/>
        <v>0</v>
      </c>
      <c r="H1528" s="285">
        <v>0</v>
      </c>
      <c r="I1528" s="285">
        <v>0</v>
      </c>
      <c r="J1528" s="359" t="str">
        <f>IFERROR(G1528/#REF!,"-")</f>
        <v>-</v>
      </c>
      <c r="K1528" s="340">
        <f t="shared" si="1988"/>
        <v>0</v>
      </c>
      <c r="L1528" s="285">
        <f t="shared" si="1989"/>
        <v>0</v>
      </c>
      <c r="M1528" s="286">
        <f t="shared" si="1990"/>
        <v>0</v>
      </c>
      <c r="N1528" s="344" t="str">
        <f t="shared" si="1983"/>
        <v>-</v>
      </c>
      <c r="O1528" s="353" t="str">
        <f t="shared" si="1935"/>
        <v>-</v>
      </c>
    </row>
    <row r="1529" spans="1:15" ht="24" thickBot="1" x14ac:dyDescent="0.35">
      <c r="A1529" s="277" t="s">
        <v>109</v>
      </c>
      <c r="B1529" s="929"/>
      <c r="C1529" s="310"/>
      <c r="D1529" s="311" t="s">
        <v>54</v>
      </c>
      <c r="E1529" s="312">
        <v>0</v>
      </c>
      <c r="F1529" s="313"/>
      <c r="G1529" s="372">
        <f>SUM(G1526:G1528)</f>
        <v>0</v>
      </c>
      <c r="H1529" s="371">
        <f t="shared" ref="H1529:I1529" si="1991">SUM(H1526:H1528)</f>
        <v>0</v>
      </c>
      <c r="I1529" s="371">
        <f t="shared" si="1991"/>
        <v>0</v>
      </c>
      <c r="J1529" s="362" t="str">
        <f>IFERROR(G1529/#REF!,"-")</f>
        <v>-</v>
      </c>
      <c r="K1529" s="372">
        <f t="shared" ref="K1529:M1529" si="1992">SUM(K1526:K1528)</f>
        <v>493341</v>
      </c>
      <c r="L1529" s="371">
        <f t="shared" si="1992"/>
        <v>481104</v>
      </c>
      <c r="M1529" s="373">
        <f t="shared" si="1992"/>
        <v>12237</v>
      </c>
      <c r="N1529" s="361" t="str">
        <f t="shared" si="1983"/>
        <v>-</v>
      </c>
      <c r="O1529" s="362">
        <f t="shared" si="1935"/>
        <v>2.4804344256812227E-2</v>
      </c>
    </row>
    <row r="1530" spans="1:15" ht="24" thickBot="1" x14ac:dyDescent="0.35">
      <c r="A1530" s="277" t="s">
        <v>109</v>
      </c>
      <c r="B1530" s="932" t="s">
        <v>172</v>
      </c>
      <c r="C1530" s="933"/>
      <c r="D1530" s="934"/>
      <c r="E1530" s="314">
        <v>649600</v>
      </c>
      <c r="F1530" s="315">
        <v>50000</v>
      </c>
      <c r="G1530" s="375">
        <f>+G1525+G1529</f>
        <v>28623</v>
      </c>
      <c r="H1530" s="374">
        <f t="shared" ref="H1530:I1530" si="1993">+H1525+H1529</f>
        <v>28080</v>
      </c>
      <c r="I1530" s="374">
        <f t="shared" si="1993"/>
        <v>543</v>
      </c>
      <c r="J1530" s="364" t="str">
        <f>IFERROR(G1530/#REF!,"-")</f>
        <v>-</v>
      </c>
      <c r="K1530" s="375">
        <f t="shared" ref="K1530:M1530" si="1994">+K1525+K1529</f>
        <v>542896</v>
      </c>
      <c r="L1530" s="374">
        <f t="shared" si="1994"/>
        <v>529776</v>
      </c>
      <c r="M1530" s="376">
        <f t="shared" si="1994"/>
        <v>13120</v>
      </c>
      <c r="N1530" s="363">
        <f t="shared" si="1983"/>
        <v>0.83573891625615759</v>
      </c>
      <c r="O1530" s="364">
        <f t="shared" si="1935"/>
        <v>2.4166691226312223E-2</v>
      </c>
    </row>
    <row r="1531" spans="1:15" ht="24" thickBot="1" x14ac:dyDescent="0.35">
      <c r="A1531" s="277" t="s">
        <v>109</v>
      </c>
      <c r="B1531" s="616" t="s">
        <v>32</v>
      </c>
      <c r="C1531" s="825"/>
      <c r="D1531" s="316" t="s">
        <v>32</v>
      </c>
      <c r="E1531" s="293">
        <v>0</v>
      </c>
      <c r="F1531" s="294">
        <v>110000</v>
      </c>
      <c r="G1531" s="341">
        <f t="shared" ref="G1531" si="1995">+H1531+I1531</f>
        <v>0</v>
      </c>
      <c r="H1531" s="295">
        <v>0</v>
      </c>
      <c r="I1531" s="295">
        <v>0</v>
      </c>
      <c r="J1531" s="360" t="str">
        <f>IFERROR(G1531/#REF!,"-")</f>
        <v>-</v>
      </c>
      <c r="K1531" s="341">
        <f>+L1531+M1531</f>
        <v>0</v>
      </c>
      <c r="L1531" s="295">
        <f>+H1531+L1427</f>
        <v>0</v>
      </c>
      <c r="M1531" s="296">
        <f>+I1531+M1427</f>
        <v>0</v>
      </c>
      <c r="N1531" s="346" t="str">
        <f t="shared" si="1983"/>
        <v>-</v>
      </c>
      <c r="O1531" s="354" t="str">
        <f t="shared" si="1935"/>
        <v>-</v>
      </c>
    </row>
    <row r="1532" spans="1:15" ht="24" thickBot="1" x14ac:dyDescent="0.35">
      <c r="A1532" s="277" t="s">
        <v>109</v>
      </c>
      <c r="B1532" s="926" t="s">
        <v>21</v>
      </c>
      <c r="C1532" s="927"/>
      <c r="D1532" s="928"/>
      <c r="E1532" s="332">
        <f>+E1521+E1530+E1531</f>
        <v>2816600</v>
      </c>
      <c r="F1532" s="333">
        <f t="shared" ref="F1532" si="1996">+F1521+F1530+F1531</f>
        <v>240000</v>
      </c>
      <c r="G1532" s="332">
        <f>+G1521+G1530+G1531</f>
        <v>145540</v>
      </c>
      <c r="H1532" s="330">
        <f t="shared" ref="H1532:I1532" si="1997">+H1521+H1530+H1531</f>
        <v>143442</v>
      </c>
      <c r="I1532" s="330">
        <f t="shared" si="1997"/>
        <v>2098</v>
      </c>
      <c r="J1532" s="355" t="str">
        <f>IFERROR(G1532/#REF!,"-")</f>
        <v>-</v>
      </c>
      <c r="K1532" s="332">
        <f>+K1521+K1530+K1531</f>
        <v>2056130</v>
      </c>
      <c r="L1532" s="330">
        <f>+L1521+L1530+L1531</f>
        <v>2025504</v>
      </c>
      <c r="M1532" s="331">
        <f t="shared" ref="M1532" si="1998">+M1521+M1530+M1531</f>
        <v>30626</v>
      </c>
      <c r="N1532" s="347">
        <f t="shared" si="1983"/>
        <v>0.73000426045586875</v>
      </c>
      <c r="O1532" s="355">
        <f t="shared" si="1935"/>
        <v>1.4894972594145312E-2</v>
      </c>
    </row>
    <row r="1533" spans="1:15" ht="24" thickBot="1" x14ac:dyDescent="0.35">
      <c r="A1533" s="277" t="s">
        <v>109</v>
      </c>
      <c r="B1533" s="900" t="s">
        <v>180</v>
      </c>
      <c r="C1533" s="901"/>
      <c r="D1533" s="902"/>
      <c r="E1533" s="336">
        <f>+E1532</f>
        <v>2816600</v>
      </c>
      <c r="F1533" s="337">
        <f t="shared" ref="F1533:I1533" si="1999">+F1532</f>
        <v>240000</v>
      </c>
      <c r="G1533" s="336">
        <f t="shared" si="1999"/>
        <v>145540</v>
      </c>
      <c r="H1533" s="334">
        <f t="shared" si="1999"/>
        <v>143442</v>
      </c>
      <c r="I1533" s="334">
        <f t="shared" si="1999"/>
        <v>2098</v>
      </c>
      <c r="J1533" s="356" t="str">
        <f>+J1532</f>
        <v>-</v>
      </c>
      <c r="K1533" s="336">
        <f>+K1532</f>
        <v>2056130</v>
      </c>
      <c r="L1533" s="334">
        <f t="shared" ref="L1533" si="2000">+L1532</f>
        <v>2025504</v>
      </c>
      <c r="M1533" s="335">
        <f>+M1532</f>
        <v>30626</v>
      </c>
      <c r="N1533" s="348">
        <f t="shared" ref="N1533:O1533" si="2001">+N1532</f>
        <v>0.73000426045586875</v>
      </c>
      <c r="O1533" s="356">
        <f t="shared" si="2001"/>
        <v>1.4894972594145312E-2</v>
      </c>
    </row>
    <row r="1534" spans="1:15" ht="23.4" x14ac:dyDescent="0.3">
      <c r="A1534" s="271" t="s">
        <v>110</v>
      </c>
      <c r="B1534" s="903" t="s">
        <v>33</v>
      </c>
      <c r="C1534" s="317" t="s">
        <v>121</v>
      </c>
      <c r="D1534" s="317"/>
      <c r="E1534" s="273">
        <v>0</v>
      </c>
      <c r="F1534" s="274"/>
      <c r="G1534" s="338">
        <f t="shared" ref="G1534:G1536" si="2002">+H1534+I1534</f>
        <v>0</v>
      </c>
      <c r="H1534" s="275">
        <v>0</v>
      </c>
      <c r="I1534" s="275">
        <v>0</v>
      </c>
      <c r="J1534" s="357" t="str">
        <f>IFERROR(G1534/#REF!,"-")</f>
        <v>-</v>
      </c>
      <c r="K1534" s="338">
        <f t="shared" ref="K1534:K1536" si="2003">+L1534+M1534</f>
        <v>0</v>
      </c>
      <c r="L1534" s="275">
        <f t="shared" ref="L1534:L1536" si="2004">+H1534+L1430</f>
        <v>0</v>
      </c>
      <c r="M1534" s="276">
        <f t="shared" ref="M1534:M1536" si="2005">+I1534+M1430</f>
        <v>0</v>
      </c>
      <c r="N1534" s="342" t="str">
        <f t="shared" ref="N1534:N1541" si="2006">IFERROR(K1534/E1534,"-")</f>
        <v>-</v>
      </c>
      <c r="O1534" s="352" t="str">
        <f t="shared" ref="O1534:O1559" si="2007">IFERROR(M1534/K1534,"-")</f>
        <v>-</v>
      </c>
    </row>
    <row r="1535" spans="1:15" ht="23.4" x14ac:dyDescent="0.3">
      <c r="A1535" s="277" t="s">
        <v>110</v>
      </c>
      <c r="B1535" s="904"/>
      <c r="C1535" s="318" t="s">
        <v>274</v>
      </c>
      <c r="D1535" s="318"/>
      <c r="E1535" s="279">
        <v>0</v>
      </c>
      <c r="F1535" s="280"/>
      <c r="G1535" s="339">
        <f t="shared" si="2002"/>
        <v>0</v>
      </c>
      <c r="H1535" s="281">
        <v>0</v>
      </c>
      <c r="I1535" s="281">
        <v>0</v>
      </c>
      <c r="J1535" s="358" t="str">
        <f>IFERROR(G1535/#REF!,"-")</f>
        <v>-</v>
      </c>
      <c r="K1535" s="339">
        <f t="shared" si="2003"/>
        <v>10252</v>
      </c>
      <c r="L1535" s="281">
        <f t="shared" si="2004"/>
        <v>9280</v>
      </c>
      <c r="M1535" s="251">
        <f t="shared" si="2005"/>
        <v>972</v>
      </c>
      <c r="N1535" s="343" t="str">
        <f t="shared" si="2006"/>
        <v>-</v>
      </c>
      <c r="O1535" s="264">
        <f t="shared" si="2007"/>
        <v>9.4810768630511119E-2</v>
      </c>
    </row>
    <row r="1536" spans="1:15" ht="24" thickBot="1" x14ac:dyDescent="0.35">
      <c r="A1536" s="277" t="s">
        <v>110</v>
      </c>
      <c r="B1536" s="905"/>
      <c r="C1536" s="319" t="s">
        <v>34</v>
      </c>
      <c r="D1536" s="319"/>
      <c r="E1536" s="283">
        <v>0</v>
      </c>
      <c r="F1536" s="284"/>
      <c r="G1536" s="340">
        <f t="shared" si="2002"/>
        <v>0</v>
      </c>
      <c r="H1536" s="285">
        <v>0</v>
      </c>
      <c r="I1536" s="285">
        <v>0</v>
      </c>
      <c r="J1536" s="359" t="str">
        <f>IFERROR(G1536/#REF!,"-")</f>
        <v>-</v>
      </c>
      <c r="K1536" s="340">
        <f t="shared" si="2003"/>
        <v>0</v>
      </c>
      <c r="L1536" s="285">
        <f t="shared" si="2004"/>
        <v>0</v>
      </c>
      <c r="M1536" s="286">
        <f t="shared" si="2005"/>
        <v>0</v>
      </c>
      <c r="N1536" s="344" t="str">
        <f t="shared" si="2006"/>
        <v>-</v>
      </c>
      <c r="O1536" s="353" t="str">
        <f t="shared" si="2007"/>
        <v>-</v>
      </c>
    </row>
    <row r="1537" spans="1:15" ht="24" thickBot="1" x14ac:dyDescent="0.35">
      <c r="A1537" s="277" t="s">
        <v>110</v>
      </c>
      <c r="B1537" s="906" t="s">
        <v>35</v>
      </c>
      <c r="C1537" s="907"/>
      <c r="D1537" s="908"/>
      <c r="E1537" s="288">
        <v>83700</v>
      </c>
      <c r="F1537" s="289"/>
      <c r="G1537" s="326">
        <f>SUM(G1534:G1536)</f>
        <v>0</v>
      </c>
      <c r="H1537" s="327">
        <f t="shared" ref="H1537:I1537" si="2008">SUM(H1534:H1536)</f>
        <v>0</v>
      </c>
      <c r="I1537" s="327">
        <f t="shared" si="2008"/>
        <v>0</v>
      </c>
      <c r="J1537" s="351" t="str">
        <f>IFERROR(G1537/#REF!,"-")</f>
        <v>-</v>
      </c>
      <c r="K1537" s="326">
        <f t="shared" ref="K1537:M1537" si="2009">SUM(K1534:K1536)</f>
        <v>10252</v>
      </c>
      <c r="L1537" s="327">
        <f t="shared" si="2009"/>
        <v>9280</v>
      </c>
      <c r="M1537" s="328">
        <f t="shared" si="2009"/>
        <v>972</v>
      </c>
      <c r="N1537" s="345">
        <f t="shared" si="2006"/>
        <v>0.12248506571087216</v>
      </c>
      <c r="O1537" s="351">
        <f t="shared" si="2007"/>
        <v>9.4810768630511119E-2</v>
      </c>
    </row>
    <row r="1538" spans="1:15" ht="23.4" x14ac:dyDescent="0.3">
      <c r="A1538" s="277" t="s">
        <v>110</v>
      </c>
      <c r="B1538" s="903" t="s">
        <v>36</v>
      </c>
      <c r="C1538" s="317" t="s">
        <v>121</v>
      </c>
      <c r="D1538" s="317"/>
      <c r="E1538" s="273">
        <v>0</v>
      </c>
      <c r="F1538" s="274"/>
      <c r="G1538" s="338">
        <f t="shared" ref="G1538:G1541" si="2010">+H1538+I1538</f>
        <v>0</v>
      </c>
      <c r="H1538" s="275">
        <v>0</v>
      </c>
      <c r="I1538" s="275">
        <v>0</v>
      </c>
      <c r="J1538" s="357" t="str">
        <f>IFERROR(G1538/#REF!,"-")</f>
        <v>-</v>
      </c>
      <c r="K1538" s="338">
        <f t="shared" ref="K1538:K1541" si="2011">+L1538+M1538</f>
        <v>0</v>
      </c>
      <c r="L1538" s="275">
        <f t="shared" ref="L1538:L1541" si="2012">+H1538+L1434</f>
        <v>0</v>
      </c>
      <c r="M1538" s="276">
        <f t="shared" ref="M1538:M1541" si="2013">+I1538+M1434</f>
        <v>0</v>
      </c>
      <c r="N1538" s="342" t="str">
        <f t="shared" si="2006"/>
        <v>-</v>
      </c>
      <c r="O1538" s="352" t="str">
        <f t="shared" si="2007"/>
        <v>-</v>
      </c>
    </row>
    <row r="1539" spans="1:15" ht="23.4" x14ac:dyDescent="0.3">
      <c r="A1539" s="277" t="s">
        <v>110</v>
      </c>
      <c r="B1539" s="904"/>
      <c r="C1539" s="318" t="s">
        <v>274</v>
      </c>
      <c r="D1539" s="318"/>
      <c r="E1539" s="279">
        <v>0</v>
      </c>
      <c r="F1539" s="280"/>
      <c r="G1539" s="339">
        <f t="shared" si="2010"/>
        <v>7467</v>
      </c>
      <c r="H1539" s="281">
        <v>7360</v>
      </c>
      <c r="I1539" s="281">
        <v>107</v>
      </c>
      <c r="J1539" s="358" t="str">
        <f>IFERROR(G1539/#REF!,"-")</f>
        <v>-</v>
      </c>
      <c r="K1539" s="339">
        <f t="shared" si="2011"/>
        <v>59306</v>
      </c>
      <c r="L1539" s="281">
        <f t="shared" si="2012"/>
        <v>57952</v>
      </c>
      <c r="M1539" s="251">
        <f t="shared" si="2013"/>
        <v>1354</v>
      </c>
      <c r="N1539" s="343" t="str">
        <f t="shared" si="2006"/>
        <v>-</v>
      </c>
      <c r="O1539" s="264">
        <f t="shared" si="2007"/>
        <v>2.2830742252048696E-2</v>
      </c>
    </row>
    <row r="1540" spans="1:15" ht="23.4" x14ac:dyDescent="0.3">
      <c r="A1540" s="277" t="s">
        <v>110</v>
      </c>
      <c r="B1540" s="904"/>
      <c r="C1540" s="318" t="s">
        <v>201</v>
      </c>
      <c r="D1540" s="318"/>
      <c r="E1540" s="279">
        <v>0</v>
      </c>
      <c r="F1540" s="280"/>
      <c r="G1540" s="339">
        <f t="shared" si="2010"/>
        <v>0</v>
      </c>
      <c r="H1540" s="281">
        <v>0</v>
      </c>
      <c r="I1540" s="281">
        <v>0</v>
      </c>
      <c r="J1540" s="358" t="str">
        <f>IFERROR(G1540/#REF!,"-")</f>
        <v>-</v>
      </c>
      <c r="K1540" s="339">
        <f t="shared" si="2011"/>
        <v>0</v>
      </c>
      <c r="L1540" s="281">
        <f t="shared" si="2012"/>
        <v>0</v>
      </c>
      <c r="M1540" s="251">
        <f t="shared" si="2013"/>
        <v>0</v>
      </c>
      <c r="N1540" s="343" t="str">
        <f t="shared" si="2006"/>
        <v>-</v>
      </c>
      <c r="O1540" s="264" t="str">
        <f t="shared" si="2007"/>
        <v>-</v>
      </c>
    </row>
    <row r="1541" spans="1:15" ht="24" thickBot="1" x14ac:dyDescent="0.35">
      <c r="A1541" s="277" t="s">
        <v>110</v>
      </c>
      <c r="B1541" s="905"/>
      <c r="C1541" s="319" t="s">
        <v>37</v>
      </c>
      <c r="D1541" s="319"/>
      <c r="E1541" s="283">
        <v>0</v>
      </c>
      <c r="F1541" s="284"/>
      <c r="G1541" s="340">
        <f t="shared" si="2010"/>
        <v>0</v>
      </c>
      <c r="H1541" s="285">
        <v>0</v>
      </c>
      <c r="I1541" s="285">
        <v>0</v>
      </c>
      <c r="J1541" s="359" t="str">
        <f>IFERROR(G1541/#REF!,"-")</f>
        <v>-</v>
      </c>
      <c r="K1541" s="340">
        <f t="shared" si="2011"/>
        <v>0</v>
      </c>
      <c r="L1541" s="285">
        <f t="shared" si="2012"/>
        <v>0</v>
      </c>
      <c r="M1541" s="286">
        <f t="shared" si="2013"/>
        <v>0</v>
      </c>
      <c r="N1541" s="344" t="str">
        <f t="shared" si="2006"/>
        <v>-</v>
      </c>
      <c r="O1541" s="353" t="str">
        <f t="shared" si="2007"/>
        <v>-</v>
      </c>
    </row>
    <row r="1542" spans="1:15" ht="24" thickBot="1" x14ac:dyDescent="0.35">
      <c r="A1542" s="277" t="s">
        <v>110</v>
      </c>
      <c r="B1542" s="906" t="s">
        <v>38</v>
      </c>
      <c r="C1542" s="907"/>
      <c r="D1542" s="908"/>
      <c r="E1542" s="288">
        <v>10300</v>
      </c>
      <c r="F1542" s="289">
        <v>6500</v>
      </c>
      <c r="G1542" s="326">
        <f>SUM(G1538:G1541)</f>
        <v>7467</v>
      </c>
      <c r="H1542" s="327">
        <f t="shared" ref="H1542:I1542" si="2014">SUM(H1538:H1541)</f>
        <v>7360</v>
      </c>
      <c r="I1542" s="327">
        <f t="shared" si="2014"/>
        <v>107</v>
      </c>
      <c r="J1542" s="351" t="str">
        <f>IFERROR(G1542/#REF!,"-")</f>
        <v>-</v>
      </c>
      <c r="K1542" s="326">
        <f t="shared" ref="K1542:M1542" si="2015">SUM(K1538:K1541)</f>
        <v>59306</v>
      </c>
      <c r="L1542" s="327">
        <f t="shared" si="2015"/>
        <v>57952</v>
      </c>
      <c r="M1542" s="328">
        <f t="shared" si="2015"/>
        <v>1354</v>
      </c>
      <c r="N1542" s="345">
        <f>IFERROR(K1542/E1542,"-")</f>
        <v>5.757864077669903</v>
      </c>
      <c r="O1542" s="351">
        <f t="shared" si="2007"/>
        <v>2.2830742252048696E-2</v>
      </c>
    </row>
    <row r="1543" spans="1:15" ht="23.4" x14ac:dyDescent="0.3">
      <c r="A1543" s="277" t="s">
        <v>110</v>
      </c>
      <c r="B1543" s="903" t="s">
        <v>39</v>
      </c>
      <c r="C1543" s="320" t="s">
        <v>124</v>
      </c>
      <c r="D1543" s="320"/>
      <c r="E1543" s="273">
        <v>0</v>
      </c>
      <c r="F1543" s="274"/>
      <c r="G1543" s="338">
        <f t="shared" ref="G1543:G1544" si="2016">+H1543+I1543</f>
        <v>0</v>
      </c>
      <c r="H1543" s="275">
        <v>0</v>
      </c>
      <c r="I1543" s="275">
        <v>0</v>
      </c>
      <c r="J1543" s="357" t="str">
        <f>IFERROR(G1543/#REF!,"-")</f>
        <v>-</v>
      </c>
      <c r="K1543" s="338">
        <f t="shared" ref="K1543:K1544" si="2017">+L1543+M1543</f>
        <v>0</v>
      </c>
      <c r="L1543" s="275">
        <f t="shared" ref="L1543:L1544" si="2018">+H1543+L1439</f>
        <v>0</v>
      </c>
      <c r="M1543" s="276">
        <f t="shared" ref="M1543:M1544" si="2019">+I1543+M1439</f>
        <v>0</v>
      </c>
      <c r="N1543" s="342" t="str">
        <f t="shared" ref="N1543:N1559" si="2020">IFERROR(K1543/E1543,"-")</f>
        <v>-</v>
      </c>
      <c r="O1543" s="352" t="str">
        <f t="shared" si="2007"/>
        <v>-</v>
      </c>
    </row>
    <row r="1544" spans="1:15" ht="24" thickBot="1" x14ac:dyDescent="0.35">
      <c r="A1544" s="277" t="s">
        <v>110</v>
      </c>
      <c r="B1544" s="905"/>
      <c r="C1544" s="290" t="s">
        <v>140</v>
      </c>
      <c r="D1544" s="290"/>
      <c r="E1544" s="283">
        <v>0</v>
      </c>
      <c r="F1544" s="284"/>
      <c r="G1544" s="340">
        <f t="shared" si="2016"/>
        <v>1946</v>
      </c>
      <c r="H1544" s="285">
        <v>1600</v>
      </c>
      <c r="I1544" s="285">
        <v>346</v>
      </c>
      <c r="J1544" s="359" t="str">
        <f>IFERROR(G1544/#REF!,"-")</f>
        <v>-</v>
      </c>
      <c r="K1544" s="340">
        <f t="shared" si="2017"/>
        <v>1946</v>
      </c>
      <c r="L1544" s="285">
        <f t="shared" si="2018"/>
        <v>1600</v>
      </c>
      <c r="M1544" s="286">
        <f t="shared" si="2019"/>
        <v>346</v>
      </c>
      <c r="N1544" s="344" t="str">
        <f t="shared" si="2020"/>
        <v>-</v>
      </c>
      <c r="O1544" s="353">
        <f t="shared" si="2007"/>
        <v>0.1778006166495375</v>
      </c>
    </row>
    <row r="1545" spans="1:15" ht="24" thickBot="1" x14ac:dyDescent="0.35">
      <c r="A1545" s="829" t="s">
        <v>110</v>
      </c>
      <c r="B1545" s="906" t="s">
        <v>40</v>
      </c>
      <c r="C1545" s="907"/>
      <c r="D1545" s="908"/>
      <c r="E1545" s="288">
        <v>30000</v>
      </c>
      <c r="F1545" s="289">
        <v>2800</v>
      </c>
      <c r="G1545" s="326">
        <f>SUM(G1543:G1544)</f>
        <v>1946</v>
      </c>
      <c r="H1545" s="327">
        <f t="shared" ref="H1545:I1545" si="2021">SUM(H1543:H1544)</f>
        <v>1600</v>
      </c>
      <c r="I1545" s="327">
        <f t="shared" si="2021"/>
        <v>346</v>
      </c>
      <c r="J1545" s="351" t="str">
        <f>IFERROR(G1545/#REF!,"-")</f>
        <v>-</v>
      </c>
      <c r="K1545" s="326">
        <f t="shared" ref="K1545:M1545" si="2022">SUM(K1543:K1544)</f>
        <v>1946</v>
      </c>
      <c r="L1545" s="327">
        <f t="shared" si="2022"/>
        <v>1600</v>
      </c>
      <c r="M1545" s="328">
        <f t="shared" si="2022"/>
        <v>346</v>
      </c>
      <c r="N1545" s="345">
        <f t="shared" si="2020"/>
        <v>6.486666666666667E-2</v>
      </c>
      <c r="O1545" s="351">
        <f t="shared" si="2007"/>
        <v>0.1778006166495375</v>
      </c>
    </row>
    <row r="1546" spans="1:15" ht="23.4" x14ac:dyDescent="0.3">
      <c r="A1546" s="277" t="s">
        <v>110</v>
      </c>
      <c r="B1546" s="903" t="s">
        <v>41</v>
      </c>
      <c r="C1546" s="272" t="s">
        <v>346</v>
      </c>
      <c r="D1546" s="272"/>
      <c r="E1546" s="273">
        <v>0</v>
      </c>
      <c r="F1546" s="321"/>
      <c r="G1546" s="338">
        <f t="shared" ref="G1546:G1550" si="2023">+H1546+I1546</f>
        <v>23720</v>
      </c>
      <c r="H1546" s="275">
        <v>23520</v>
      </c>
      <c r="I1546" s="275">
        <v>200</v>
      </c>
      <c r="J1546" s="377" t="str">
        <f>IFERROR(G1546/#REF!,"-")</f>
        <v>-</v>
      </c>
      <c r="K1546" s="338">
        <f t="shared" ref="K1546:K1550" si="2024">+L1546+M1546</f>
        <v>289308</v>
      </c>
      <c r="L1546" s="275">
        <f t="shared" ref="L1546:L1550" si="2025">+H1546+L1442</f>
        <v>286152</v>
      </c>
      <c r="M1546" s="276">
        <f t="shared" ref="M1546:M1550" si="2026">+I1546+M1442</f>
        <v>3156</v>
      </c>
      <c r="N1546" s="365" t="str">
        <f t="shared" si="2020"/>
        <v>-</v>
      </c>
      <c r="O1546" s="366">
        <f t="shared" si="2007"/>
        <v>1.0908789248828238E-2</v>
      </c>
    </row>
    <row r="1547" spans="1:15" ht="23.4" x14ac:dyDescent="0.3">
      <c r="A1547" s="277" t="s">
        <v>110</v>
      </c>
      <c r="B1547" s="904"/>
      <c r="C1547" s="272" t="s">
        <v>347</v>
      </c>
      <c r="D1547" s="278"/>
      <c r="E1547" s="279">
        <v>0</v>
      </c>
      <c r="F1547" s="322"/>
      <c r="G1547" s="339">
        <f t="shared" si="2023"/>
        <v>0</v>
      </c>
      <c r="H1547" s="281">
        <v>0</v>
      </c>
      <c r="I1547" s="281">
        <v>0</v>
      </c>
      <c r="J1547" s="378" t="str">
        <f>IFERROR(G1547/#REF!,"-")</f>
        <v>-</v>
      </c>
      <c r="K1547" s="339">
        <f t="shared" si="2024"/>
        <v>0</v>
      </c>
      <c r="L1547" s="281">
        <f t="shared" si="2025"/>
        <v>0</v>
      </c>
      <c r="M1547" s="251">
        <f t="shared" si="2026"/>
        <v>0</v>
      </c>
      <c r="N1547" s="367" t="str">
        <f t="shared" si="2020"/>
        <v>-</v>
      </c>
      <c r="O1547" s="368" t="str">
        <f t="shared" si="2007"/>
        <v>-</v>
      </c>
    </row>
    <row r="1548" spans="1:15" ht="23.4" x14ac:dyDescent="0.3">
      <c r="A1548" s="277" t="s">
        <v>110</v>
      </c>
      <c r="B1548" s="904"/>
      <c r="C1548" s="278" t="s">
        <v>423</v>
      </c>
      <c r="D1548" s="278"/>
      <c r="E1548" s="279">
        <v>0</v>
      </c>
      <c r="F1548" s="322"/>
      <c r="G1548" s="339">
        <f t="shared" si="2023"/>
        <v>0</v>
      </c>
      <c r="H1548" s="281">
        <v>0</v>
      </c>
      <c r="I1548" s="281">
        <v>0</v>
      </c>
      <c r="J1548" s="378" t="str">
        <f>IFERROR(G1548/#REF!,"-")</f>
        <v>-</v>
      </c>
      <c r="K1548" s="339">
        <f t="shared" si="2024"/>
        <v>34536</v>
      </c>
      <c r="L1548" s="281">
        <f t="shared" si="2025"/>
        <v>33960</v>
      </c>
      <c r="M1548" s="251">
        <f t="shared" si="2026"/>
        <v>576</v>
      </c>
      <c r="N1548" s="367" t="str">
        <f t="shared" si="2020"/>
        <v>-</v>
      </c>
      <c r="O1548" s="368">
        <f t="shared" si="2007"/>
        <v>1.6678248783877692E-2</v>
      </c>
    </row>
    <row r="1549" spans="1:15" ht="23.4" x14ac:dyDescent="0.3">
      <c r="A1549" s="277" t="s">
        <v>110</v>
      </c>
      <c r="B1549" s="904"/>
      <c r="C1549" s="278" t="s">
        <v>166</v>
      </c>
      <c r="D1549" s="278"/>
      <c r="E1549" s="279">
        <v>0</v>
      </c>
      <c r="F1549" s="322"/>
      <c r="G1549" s="339">
        <f t="shared" si="2023"/>
        <v>0</v>
      </c>
      <c r="H1549" s="281">
        <v>0</v>
      </c>
      <c r="I1549" s="281">
        <v>0</v>
      </c>
      <c r="J1549" s="378" t="str">
        <f>IFERROR(G1549/#REF!,"-")</f>
        <v>-</v>
      </c>
      <c r="K1549" s="339">
        <f t="shared" si="2024"/>
        <v>0</v>
      </c>
      <c r="L1549" s="281">
        <f t="shared" si="2025"/>
        <v>0</v>
      </c>
      <c r="M1549" s="251">
        <f t="shared" si="2026"/>
        <v>0</v>
      </c>
      <c r="N1549" s="367" t="str">
        <f t="shared" si="2020"/>
        <v>-</v>
      </c>
      <c r="O1549" s="368" t="str">
        <f t="shared" si="2007"/>
        <v>-</v>
      </c>
    </row>
    <row r="1550" spans="1:15" ht="24" thickBot="1" x14ac:dyDescent="0.35">
      <c r="A1550" s="277" t="s">
        <v>110</v>
      </c>
      <c r="B1550" s="905"/>
      <c r="C1550" s="282" t="s">
        <v>167</v>
      </c>
      <c r="D1550" s="282"/>
      <c r="E1550" s="283">
        <v>0</v>
      </c>
      <c r="F1550" s="323"/>
      <c r="G1550" s="340">
        <f t="shared" si="2023"/>
        <v>0</v>
      </c>
      <c r="H1550" s="285">
        <v>0</v>
      </c>
      <c r="I1550" s="285">
        <v>0</v>
      </c>
      <c r="J1550" s="379" t="str">
        <f>IFERROR(G1550/#REF!,"-")</f>
        <v>-</v>
      </c>
      <c r="K1550" s="340">
        <f t="shared" si="2024"/>
        <v>0</v>
      </c>
      <c r="L1550" s="285">
        <f t="shared" si="2025"/>
        <v>0</v>
      </c>
      <c r="M1550" s="286">
        <f t="shared" si="2026"/>
        <v>0</v>
      </c>
      <c r="N1550" s="369" t="str">
        <f t="shared" si="2020"/>
        <v>-</v>
      </c>
      <c r="O1550" s="370" t="str">
        <f t="shared" si="2007"/>
        <v>-</v>
      </c>
    </row>
    <row r="1551" spans="1:15" ht="24" thickBot="1" x14ac:dyDescent="0.35">
      <c r="A1551" s="277" t="s">
        <v>110</v>
      </c>
      <c r="B1551" s="906" t="s">
        <v>42</v>
      </c>
      <c r="C1551" s="907"/>
      <c r="D1551" s="908"/>
      <c r="E1551" s="326">
        <v>610600</v>
      </c>
      <c r="F1551" s="289">
        <v>25000</v>
      </c>
      <c r="G1551" s="326">
        <f>SUM(G1547:G1550)</f>
        <v>0</v>
      </c>
      <c r="H1551" s="327">
        <f t="shared" ref="H1551:I1551" si="2027">SUM(H1547:H1550)</f>
        <v>0</v>
      </c>
      <c r="I1551" s="327">
        <f t="shared" si="2027"/>
        <v>0</v>
      </c>
      <c r="J1551" s="351" t="str">
        <f>IFERROR(G1551/#REF!,"-")</f>
        <v>-</v>
      </c>
      <c r="K1551" s="326">
        <f>SUM(K1546:K1550)</f>
        <v>323844</v>
      </c>
      <c r="L1551" s="327">
        <f>SUM(L1546:L1550)</f>
        <v>320112</v>
      </c>
      <c r="M1551" s="328">
        <f>SUM(M1546:M1550)</f>
        <v>3732</v>
      </c>
      <c r="N1551" s="345">
        <f t="shared" si="2020"/>
        <v>0.53037012774320336</v>
      </c>
      <c r="O1551" s="351">
        <f t="shared" si="2007"/>
        <v>1.1524067143439435E-2</v>
      </c>
    </row>
    <row r="1552" spans="1:15" ht="23.4" x14ac:dyDescent="0.3">
      <c r="A1552" s="277" t="s">
        <v>110</v>
      </c>
      <c r="B1552" s="903" t="s">
        <v>43</v>
      </c>
      <c r="C1552" s="272" t="s">
        <v>204</v>
      </c>
      <c r="D1552" s="272"/>
      <c r="E1552" s="273">
        <v>0</v>
      </c>
      <c r="F1552" s="274"/>
      <c r="G1552" s="338">
        <f t="shared" ref="G1552:G1554" si="2028">+H1552+I1552</f>
        <v>0</v>
      </c>
      <c r="H1552" s="275">
        <v>0</v>
      </c>
      <c r="I1552" s="275">
        <v>0</v>
      </c>
      <c r="J1552" s="357" t="str">
        <f>IFERROR(G1552/#REF!,"-")</f>
        <v>-</v>
      </c>
      <c r="K1552" s="338">
        <f t="shared" ref="K1552:K1554" si="2029">+L1552+M1552</f>
        <v>0</v>
      </c>
      <c r="L1552" s="275">
        <f t="shared" ref="L1552:L1554" si="2030">+H1552+L1448</f>
        <v>0</v>
      </c>
      <c r="M1552" s="276">
        <f t="shared" ref="M1552:M1554" si="2031">+I1552+M1448</f>
        <v>0</v>
      </c>
      <c r="N1552" s="342" t="str">
        <f t="shared" si="2020"/>
        <v>-</v>
      </c>
      <c r="O1552" s="352" t="str">
        <f t="shared" si="2007"/>
        <v>-</v>
      </c>
    </row>
    <row r="1553" spans="1:15" ht="23.4" x14ac:dyDescent="0.3">
      <c r="A1553" s="277" t="s">
        <v>110</v>
      </c>
      <c r="B1553" s="904"/>
      <c r="C1553" s="278" t="s">
        <v>168</v>
      </c>
      <c r="D1553" s="278"/>
      <c r="E1553" s="279">
        <v>0</v>
      </c>
      <c r="F1553" s="280"/>
      <c r="G1553" s="339">
        <f t="shared" si="2028"/>
        <v>0</v>
      </c>
      <c r="H1553" s="281">
        <v>0</v>
      </c>
      <c r="I1553" s="281">
        <v>0</v>
      </c>
      <c r="J1553" s="378" t="str">
        <f>IFERROR(G1553/#REF!,"-")</f>
        <v>-</v>
      </c>
      <c r="K1553" s="339">
        <f t="shared" si="2029"/>
        <v>0</v>
      </c>
      <c r="L1553" s="281">
        <f t="shared" si="2030"/>
        <v>0</v>
      </c>
      <c r="M1553" s="251">
        <f t="shared" si="2031"/>
        <v>0</v>
      </c>
      <c r="N1553" s="367" t="str">
        <f t="shared" si="2020"/>
        <v>-</v>
      </c>
      <c r="O1553" s="368" t="str">
        <f t="shared" si="2007"/>
        <v>-</v>
      </c>
    </row>
    <row r="1554" spans="1:15" ht="24" thickBot="1" x14ac:dyDescent="0.35">
      <c r="A1554" s="277" t="s">
        <v>110</v>
      </c>
      <c r="B1554" s="905"/>
      <c r="C1554" s="282" t="s">
        <v>204</v>
      </c>
      <c r="D1554" s="282"/>
      <c r="E1554" s="283">
        <v>0</v>
      </c>
      <c r="F1554" s="284"/>
      <c r="G1554" s="340">
        <f t="shared" si="2028"/>
        <v>0</v>
      </c>
      <c r="H1554" s="285">
        <v>0</v>
      </c>
      <c r="I1554" s="285">
        <v>0</v>
      </c>
      <c r="J1554" s="379" t="str">
        <f>IFERROR(G1554/#REF!,"-")</f>
        <v>-</v>
      </c>
      <c r="K1554" s="340">
        <f t="shared" si="2029"/>
        <v>0</v>
      </c>
      <c r="L1554" s="285">
        <f t="shared" si="2030"/>
        <v>0</v>
      </c>
      <c r="M1554" s="286">
        <f t="shared" si="2031"/>
        <v>0</v>
      </c>
      <c r="N1554" s="369" t="str">
        <f t="shared" si="2020"/>
        <v>-</v>
      </c>
      <c r="O1554" s="370" t="str">
        <f t="shared" si="2007"/>
        <v>-</v>
      </c>
    </row>
    <row r="1555" spans="1:15" ht="24" thickBot="1" x14ac:dyDescent="0.35">
      <c r="A1555" s="277" t="s">
        <v>110</v>
      </c>
      <c r="B1555" s="909" t="s">
        <v>44</v>
      </c>
      <c r="C1555" s="910"/>
      <c r="D1555" s="911"/>
      <c r="E1555" s="326">
        <v>0</v>
      </c>
      <c r="F1555" s="289"/>
      <c r="G1555" s="326">
        <f>SUM(G1552:G1554)</f>
        <v>0</v>
      </c>
      <c r="H1555" s="327">
        <f t="shared" ref="H1555:I1555" si="2032">SUM(H1552:H1554)</f>
        <v>0</v>
      </c>
      <c r="I1555" s="327">
        <f t="shared" si="2032"/>
        <v>0</v>
      </c>
      <c r="J1555" s="351" t="str">
        <f>IFERROR(G1555/#REF!,"-")</f>
        <v>-</v>
      </c>
      <c r="K1555" s="326">
        <f t="shared" ref="K1555:M1555" si="2033">SUM(K1552:K1554)</f>
        <v>0</v>
      </c>
      <c r="L1555" s="327">
        <f t="shared" si="2033"/>
        <v>0</v>
      </c>
      <c r="M1555" s="328">
        <f t="shared" si="2033"/>
        <v>0</v>
      </c>
      <c r="N1555" s="345" t="str">
        <f t="shared" si="2020"/>
        <v>-</v>
      </c>
      <c r="O1555" s="351" t="str">
        <f t="shared" si="2007"/>
        <v>-</v>
      </c>
    </row>
    <row r="1556" spans="1:15" ht="23.4" x14ac:dyDescent="0.3">
      <c r="A1556" s="277" t="s">
        <v>110</v>
      </c>
      <c r="B1556" s="903" t="s">
        <v>45</v>
      </c>
      <c r="C1556" s="272" t="s">
        <v>169</v>
      </c>
      <c r="D1556" s="272"/>
      <c r="E1556" s="273">
        <v>0</v>
      </c>
      <c r="F1556" s="274"/>
      <c r="G1556" s="338">
        <f t="shared" ref="G1556:G1557" si="2034">+H1556+I1556</f>
        <v>0</v>
      </c>
      <c r="H1556" s="275">
        <v>0</v>
      </c>
      <c r="I1556" s="275">
        <v>0</v>
      </c>
      <c r="J1556" s="377" t="str">
        <f>IFERROR(G1556/#REF!,"-")</f>
        <v>-</v>
      </c>
      <c r="K1556" s="338">
        <f t="shared" ref="K1556:K1557" si="2035">+L1556+M1556</f>
        <v>0</v>
      </c>
      <c r="L1556" s="275">
        <f t="shared" ref="L1556:L1557" si="2036">+H1556+L1452</f>
        <v>0</v>
      </c>
      <c r="M1556" s="276">
        <f t="shared" ref="M1556:M1557" si="2037">+I1556+M1452</f>
        <v>0</v>
      </c>
      <c r="N1556" s="365" t="str">
        <f t="shared" si="2020"/>
        <v>-</v>
      </c>
      <c r="O1556" s="366" t="str">
        <f t="shared" si="2007"/>
        <v>-</v>
      </c>
    </row>
    <row r="1557" spans="1:15" ht="24" thickBot="1" x14ac:dyDescent="0.35">
      <c r="A1557" s="277" t="s">
        <v>110</v>
      </c>
      <c r="B1557" s="905"/>
      <c r="C1557" s="282" t="s">
        <v>170</v>
      </c>
      <c r="D1557" s="282"/>
      <c r="E1557" s="283">
        <v>0</v>
      </c>
      <c r="F1557" s="284"/>
      <c r="G1557" s="340">
        <f t="shared" si="2034"/>
        <v>0</v>
      </c>
      <c r="H1557" s="285">
        <v>0</v>
      </c>
      <c r="I1557" s="285">
        <v>0</v>
      </c>
      <c r="J1557" s="379" t="str">
        <f>IFERROR(G1557/#REF!,"-")</f>
        <v>-</v>
      </c>
      <c r="K1557" s="340">
        <f t="shared" si="2035"/>
        <v>0</v>
      </c>
      <c r="L1557" s="285">
        <f t="shared" si="2036"/>
        <v>0</v>
      </c>
      <c r="M1557" s="286">
        <f t="shared" si="2037"/>
        <v>0</v>
      </c>
      <c r="N1557" s="369" t="str">
        <f t="shared" si="2020"/>
        <v>-</v>
      </c>
      <c r="O1557" s="370" t="str">
        <f t="shared" si="2007"/>
        <v>-</v>
      </c>
    </row>
    <row r="1558" spans="1:15" ht="24" thickBot="1" x14ac:dyDescent="0.35">
      <c r="A1558" s="277" t="s">
        <v>110</v>
      </c>
      <c r="B1558" s="909" t="s">
        <v>46</v>
      </c>
      <c r="C1558" s="910"/>
      <c r="D1558" s="911"/>
      <c r="E1558" s="288">
        <v>11100</v>
      </c>
      <c r="F1558" s="289">
        <v>25000</v>
      </c>
      <c r="G1558" s="326">
        <f>SUM(G1556:G1557)</f>
        <v>0</v>
      </c>
      <c r="H1558" s="327">
        <f t="shared" ref="H1558:I1558" si="2038">SUM(H1556:H1557)</f>
        <v>0</v>
      </c>
      <c r="I1558" s="327">
        <f t="shared" si="2038"/>
        <v>0</v>
      </c>
      <c r="J1558" s="351" t="str">
        <f>IFERROR(G1558/#REF!,"-")</f>
        <v>-</v>
      </c>
      <c r="K1558" s="326">
        <f t="shared" ref="K1558:M1558" si="2039">SUM(K1556:K1557)</f>
        <v>0</v>
      </c>
      <c r="L1558" s="327">
        <f t="shared" si="2039"/>
        <v>0</v>
      </c>
      <c r="M1558" s="328">
        <f t="shared" si="2039"/>
        <v>0</v>
      </c>
      <c r="N1558" s="345">
        <f t="shared" si="2020"/>
        <v>0</v>
      </c>
      <c r="O1558" s="351" t="str">
        <f t="shared" si="2007"/>
        <v>-</v>
      </c>
    </row>
    <row r="1559" spans="1:15" ht="24" thickBot="1" x14ac:dyDescent="0.35">
      <c r="A1559" s="277" t="s">
        <v>110</v>
      </c>
      <c r="B1559" s="912" t="s">
        <v>25</v>
      </c>
      <c r="C1559" s="913"/>
      <c r="D1559" s="914"/>
      <c r="E1559" s="332">
        <f t="shared" ref="E1559:F1559" si="2040">+E1537+E1542+E1545+E1551+E1555+E1558</f>
        <v>745700</v>
      </c>
      <c r="F1559" s="333">
        <f t="shared" si="2040"/>
        <v>59300</v>
      </c>
      <c r="G1559" s="332">
        <f>+G1537+G1542+G1545+G1551+G1555+G1558</f>
        <v>9413</v>
      </c>
      <c r="H1559" s="330">
        <f t="shared" ref="H1559:I1559" si="2041">+H1537+H1542+H1545+H1551+H1555+H1558</f>
        <v>8960</v>
      </c>
      <c r="I1559" s="330">
        <f t="shared" si="2041"/>
        <v>453</v>
      </c>
      <c r="J1559" s="355" t="str">
        <f>IFERROR(G1559/#REF!,"-")</f>
        <v>-</v>
      </c>
      <c r="K1559" s="332">
        <f>+K1537+K1542+K1545+K1551+K1555+K1558</f>
        <v>395348</v>
      </c>
      <c r="L1559" s="330">
        <f t="shared" ref="L1559:M1559" si="2042">+L1537+L1542+L1545+L1551+L1555+L1558</f>
        <v>388944</v>
      </c>
      <c r="M1559" s="331">
        <f t="shared" si="2042"/>
        <v>6404</v>
      </c>
      <c r="N1559" s="347">
        <f t="shared" si="2020"/>
        <v>0.5301703097760494</v>
      </c>
      <c r="O1559" s="355">
        <f t="shared" si="2007"/>
        <v>1.6198387243643576E-2</v>
      </c>
    </row>
    <row r="1560" spans="1:15" ht="24" thickBot="1" x14ac:dyDescent="0.35">
      <c r="A1560" s="324" t="s">
        <v>110</v>
      </c>
      <c r="B1560" s="901" t="s">
        <v>182</v>
      </c>
      <c r="C1560" s="901"/>
      <c r="D1560" s="902"/>
      <c r="E1560" s="336">
        <f>+E1559</f>
        <v>745700</v>
      </c>
      <c r="F1560" s="337">
        <f t="shared" ref="F1560:O1560" si="2043">+F1559</f>
        <v>59300</v>
      </c>
      <c r="G1560" s="336">
        <f t="shared" si="2043"/>
        <v>9413</v>
      </c>
      <c r="H1560" s="334">
        <f t="shared" si="2043"/>
        <v>8960</v>
      </c>
      <c r="I1560" s="334">
        <f t="shared" si="2043"/>
        <v>453</v>
      </c>
      <c r="J1560" s="356" t="str">
        <f t="shared" si="2043"/>
        <v>-</v>
      </c>
      <c r="K1560" s="336">
        <f t="shared" si="2043"/>
        <v>395348</v>
      </c>
      <c r="L1560" s="334">
        <f t="shared" si="2043"/>
        <v>388944</v>
      </c>
      <c r="M1560" s="335">
        <f t="shared" si="2043"/>
        <v>6404</v>
      </c>
      <c r="N1560" s="348">
        <f t="shared" si="2043"/>
        <v>0.5301703097760494</v>
      </c>
      <c r="O1560" s="356">
        <f t="shared" si="2043"/>
        <v>1.6198387243643576E-2</v>
      </c>
    </row>
    <row r="1561" spans="1:15" ht="24.6" thickBot="1" x14ac:dyDescent="0.35">
      <c r="A1561" s="325"/>
      <c r="B1561" s="915" t="s">
        <v>183</v>
      </c>
      <c r="C1561" s="916"/>
      <c r="D1561" s="917"/>
      <c r="E1561" s="380">
        <f>+E1506+E1533+E1560</f>
        <v>10494400</v>
      </c>
      <c r="F1561" s="380">
        <f>+F1506+F1533+F1560</f>
        <v>748300</v>
      </c>
      <c r="G1561" s="380">
        <f>+G1506+G1533+G1560</f>
        <v>289251</v>
      </c>
      <c r="H1561" s="380">
        <f>+H1506+H1533+H1560</f>
        <v>286127</v>
      </c>
      <c r="I1561" s="380">
        <f>+I1506+I1533+I1560</f>
        <v>3124</v>
      </c>
      <c r="J1561" s="381" t="str">
        <f>IFERROR(G1561/#REF!,"-")</f>
        <v>-</v>
      </c>
      <c r="K1561" s="380">
        <f>+K1506+K1533+K1560</f>
        <v>4430481</v>
      </c>
      <c r="L1561" s="380">
        <f>+L1506+L1533+L1560</f>
        <v>4383567</v>
      </c>
      <c r="M1561" s="380">
        <f>+M1506+M1533+M1560</f>
        <v>46914</v>
      </c>
      <c r="N1561" s="381">
        <f>IFERROR(K1561/E1561,"-")</f>
        <v>0.42217573181887486</v>
      </c>
      <c r="O1561" s="381">
        <f>IFERROR(M1561/K1561,"-")</f>
        <v>1.0588917997842673E-2</v>
      </c>
    </row>
    <row r="1562" spans="1:15" ht="23.4" x14ac:dyDescent="0.3">
      <c r="A1562" s="935" t="s">
        <v>1</v>
      </c>
      <c r="B1562" s="938" t="s">
        <v>2</v>
      </c>
      <c r="C1562" s="941" t="s">
        <v>3</v>
      </c>
      <c r="D1562" s="941" t="s">
        <v>93</v>
      </c>
      <c r="E1562" s="944" t="s">
        <v>4</v>
      </c>
      <c r="F1562" s="945"/>
      <c r="G1562" s="945"/>
      <c r="H1562" s="945"/>
      <c r="I1562" s="945"/>
      <c r="J1562" s="945"/>
      <c r="K1562" s="945"/>
      <c r="L1562" s="945"/>
      <c r="M1562" s="945"/>
      <c r="N1562" s="945"/>
      <c r="O1562" s="946"/>
    </row>
    <row r="1563" spans="1:15" ht="23.4" x14ac:dyDescent="0.3">
      <c r="A1563" s="936"/>
      <c r="B1563" s="939"/>
      <c r="C1563" s="942"/>
      <c r="D1563" s="942"/>
      <c r="E1563" s="947" t="s">
        <v>7</v>
      </c>
      <c r="F1563" s="949" t="s">
        <v>116</v>
      </c>
      <c r="G1563" s="951">
        <v>44522</v>
      </c>
      <c r="H1563" s="952"/>
      <c r="I1563" s="952"/>
      <c r="J1563" s="953"/>
      <c r="K1563" s="954" t="s">
        <v>8</v>
      </c>
      <c r="L1563" s="955"/>
      <c r="M1563" s="956"/>
      <c r="N1563" s="957" t="s">
        <v>174</v>
      </c>
      <c r="O1563" s="959" t="s">
        <v>173</v>
      </c>
    </row>
    <row r="1564" spans="1:15" ht="41.4" thickBot="1" x14ac:dyDescent="0.35">
      <c r="A1564" s="937"/>
      <c r="B1564" s="940"/>
      <c r="C1564" s="943"/>
      <c r="D1564" s="943"/>
      <c r="E1564" s="948"/>
      <c r="F1564" s="950"/>
      <c r="G1564" s="462" t="s">
        <v>13</v>
      </c>
      <c r="H1564" s="463" t="s">
        <v>14</v>
      </c>
      <c r="I1564" s="463" t="s">
        <v>15</v>
      </c>
      <c r="J1564" s="464" t="s">
        <v>175</v>
      </c>
      <c r="K1564" s="462" t="s">
        <v>13</v>
      </c>
      <c r="L1564" s="463" t="s">
        <v>14</v>
      </c>
      <c r="M1564" s="465" t="s">
        <v>15</v>
      </c>
      <c r="N1564" s="958"/>
      <c r="O1564" s="960"/>
    </row>
    <row r="1565" spans="1:15" ht="23.4" x14ac:dyDescent="0.3">
      <c r="A1565" s="271" t="s">
        <v>111</v>
      </c>
      <c r="B1565" s="922" t="s">
        <v>16</v>
      </c>
      <c r="C1565" s="272" t="s">
        <v>186</v>
      </c>
      <c r="D1565" s="272" t="s">
        <v>184</v>
      </c>
      <c r="E1565" s="273">
        <v>0</v>
      </c>
      <c r="F1565" s="274"/>
      <c r="G1565" s="338">
        <f>+H1565+I1565</f>
        <v>0</v>
      </c>
      <c r="H1565" s="275">
        <v>0</v>
      </c>
      <c r="I1565" s="275">
        <v>0</v>
      </c>
      <c r="J1565" s="357" t="str">
        <f>IFERROR(G1565/#REF!,"-")</f>
        <v>-</v>
      </c>
      <c r="K1565" s="468">
        <f>+L1565+M1565</f>
        <v>0</v>
      </c>
      <c r="L1565" s="469">
        <f>+H1565+L1461</f>
        <v>0</v>
      </c>
      <c r="M1565" s="469">
        <f>+I1565+M1461</f>
        <v>0</v>
      </c>
      <c r="N1565" s="342" t="str">
        <f>IFERROR(K1565/E1565,"-")</f>
        <v>-</v>
      </c>
      <c r="O1565" s="349" t="str">
        <f t="shared" ref="O1565:O1566" si="2044">IFERROR(M1565/K1565,"-")</f>
        <v>-</v>
      </c>
    </row>
    <row r="1566" spans="1:15" ht="23.4" x14ac:dyDescent="0.3">
      <c r="A1566" s="277" t="s">
        <v>111</v>
      </c>
      <c r="B1566" s="923"/>
      <c r="C1566" s="278" t="s">
        <v>190</v>
      </c>
      <c r="D1566" s="278" t="s">
        <v>101</v>
      </c>
      <c r="E1566" s="279">
        <v>0</v>
      </c>
      <c r="F1566" s="280"/>
      <c r="G1566" s="339">
        <f t="shared" ref="G1566:G1568" si="2045">+H1566+I1566</f>
        <v>0</v>
      </c>
      <c r="H1566" s="281">
        <v>0</v>
      </c>
      <c r="I1566" s="281">
        <v>0</v>
      </c>
      <c r="J1566" s="358" t="str">
        <f>IFERROR(G1566/#REF!,"-")</f>
        <v>-</v>
      </c>
      <c r="K1566" s="339">
        <f t="shared" ref="K1566:K1568" si="2046">+L1566+M1566</f>
        <v>0</v>
      </c>
      <c r="L1566" s="281">
        <f t="shared" ref="L1566:L1568" si="2047">+H1566+L1462</f>
        <v>0</v>
      </c>
      <c r="M1566" s="442">
        <f t="shared" ref="M1566:M1568" si="2048">+I1566+M1462</f>
        <v>0</v>
      </c>
      <c r="N1566" s="343" t="str">
        <f t="shared" ref="N1566:N1568" si="2049">IFERROR(K1566/E1566,"-")</f>
        <v>-</v>
      </c>
      <c r="O1566" s="268" t="str">
        <f t="shared" si="2044"/>
        <v>-</v>
      </c>
    </row>
    <row r="1567" spans="1:15" ht="23.4" x14ac:dyDescent="0.3">
      <c r="A1567" s="277" t="s">
        <v>111</v>
      </c>
      <c r="B1567" s="923"/>
      <c r="C1567" s="278" t="s">
        <v>187</v>
      </c>
      <c r="D1567" s="278" t="s">
        <v>185</v>
      </c>
      <c r="E1567" s="279">
        <v>0</v>
      </c>
      <c r="F1567" s="280"/>
      <c r="G1567" s="339">
        <f t="shared" si="2045"/>
        <v>0</v>
      </c>
      <c r="H1567" s="281">
        <v>0</v>
      </c>
      <c r="I1567" s="281">
        <v>0</v>
      </c>
      <c r="J1567" s="358" t="str">
        <f>IFERROR(G1567/#REF!,"-")</f>
        <v>-</v>
      </c>
      <c r="K1567" s="339">
        <f t="shared" si="2046"/>
        <v>0</v>
      </c>
      <c r="L1567" s="281">
        <f t="shared" si="2047"/>
        <v>0</v>
      </c>
      <c r="M1567" s="442">
        <f t="shared" si="2048"/>
        <v>0</v>
      </c>
      <c r="N1567" s="343" t="str">
        <f t="shared" si="2049"/>
        <v>-</v>
      </c>
      <c r="O1567" s="268" t="str">
        <f>IFERROR(M1567/K1567,"-")</f>
        <v>-</v>
      </c>
    </row>
    <row r="1568" spans="1:15" ht="24" thickBot="1" x14ac:dyDescent="0.35">
      <c r="A1568" s="277" t="s">
        <v>111</v>
      </c>
      <c r="B1568" s="924"/>
      <c r="C1568" s="282" t="s">
        <v>255</v>
      </c>
      <c r="D1568" s="282" t="s">
        <v>256</v>
      </c>
      <c r="E1568" s="283">
        <v>0</v>
      </c>
      <c r="F1568" s="284"/>
      <c r="G1568" s="340">
        <f t="shared" si="2045"/>
        <v>0</v>
      </c>
      <c r="H1568" s="285">
        <v>0</v>
      </c>
      <c r="I1568" s="285">
        <v>0</v>
      </c>
      <c r="J1568" s="359" t="str">
        <f>IFERROR(G1568/#REF!,"-")</f>
        <v>-</v>
      </c>
      <c r="K1568" s="471">
        <f t="shared" si="2046"/>
        <v>105704</v>
      </c>
      <c r="L1568" s="472">
        <f t="shared" si="2047"/>
        <v>104016</v>
      </c>
      <c r="M1568" s="473">
        <f t="shared" si="2048"/>
        <v>1688</v>
      </c>
      <c r="N1568" s="344" t="str">
        <f t="shared" si="2049"/>
        <v>-</v>
      </c>
      <c r="O1568" s="350">
        <f t="shared" ref="O1568:O1586" si="2050">IFERROR(M1568/K1568,"-")</f>
        <v>1.5969121319912207E-2</v>
      </c>
    </row>
    <row r="1569" spans="1:15" ht="24" thickBot="1" x14ac:dyDescent="0.35">
      <c r="A1569" s="277" t="s">
        <v>111</v>
      </c>
      <c r="B1569" s="906" t="s">
        <v>47</v>
      </c>
      <c r="C1569" s="907"/>
      <c r="D1569" s="908"/>
      <c r="E1569" s="326">
        <v>144600</v>
      </c>
      <c r="F1569" s="289">
        <v>15000</v>
      </c>
      <c r="G1569" s="326">
        <f>SUM(G1565:G1568)</f>
        <v>0</v>
      </c>
      <c r="H1569" s="327">
        <f t="shared" ref="H1569:I1569" si="2051">SUM(H1565:H1568)</f>
        <v>0</v>
      </c>
      <c r="I1569" s="327">
        <f t="shared" si="2051"/>
        <v>0</v>
      </c>
      <c r="J1569" s="351" t="str">
        <f>IFERROR(G1569/#REF!,"-")</f>
        <v>-</v>
      </c>
      <c r="K1569" s="326">
        <f t="shared" ref="K1569:M1569" si="2052">SUM(K1565:K1568)</f>
        <v>105704</v>
      </c>
      <c r="L1569" s="327">
        <f t="shared" si="2052"/>
        <v>104016</v>
      </c>
      <c r="M1569" s="328">
        <f t="shared" si="2052"/>
        <v>1688</v>
      </c>
      <c r="N1569" s="345">
        <f>IFERROR(K1569/E1569,"-")</f>
        <v>0.7310096818810512</v>
      </c>
      <c r="O1569" s="351">
        <f t="shared" si="2050"/>
        <v>1.5969121319912207E-2</v>
      </c>
    </row>
    <row r="1570" spans="1:15" ht="23.4" x14ac:dyDescent="0.3">
      <c r="A1570" s="277" t="s">
        <v>111</v>
      </c>
      <c r="B1570" s="922" t="s">
        <v>17</v>
      </c>
      <c r="C1570" s="272" t="s">
        <v>331</v>
      </c>
      <c r="D1570" s="272"/>
      <c r="E1570" s="273">
        <v>0</v>
      </c>
      <c r="F1570" s="274"/>
      <c r="G1570" s="338">
        <f t="shared" ref="G1570:G1576" si="2053">+H1570+I1570</f>
        <v>0</v>
      </c>
      <c r="H1570" s="275">
        <v>0</v>
      </c>
      <c r="I1570" s="275">
        <v>0</v>
      </c>
      <c r="J1570" s="357" t="str">
        <f>IFERROR(G1570/#REF!,"-")</f>
        <v>-</v>
      </c>
      <c r="K1570" s="468">
        <f t="shared" ref="K1570:K1576" si="2054">+L1570+M1570</f>
        <v>0</v>
      </c>
      <c r="L1570" s="469">
        <f t="shared" ref="L1570:L1576" si="2055">+H1570+L1466</f>
        <v>0</v>
      </c>
      <c r="M1570" s="470">
        <f t="shared" ref="M1570:M1576" si="2056">+I1570+M1466</f>
        <v>0</v>
      </c>
      <c r="N1570" s="342" t="str">
        <f t="shared" ref="N1570:N1576" si="2057">IFERROR(K1570/E1570,"-")</f>
        <v>-</v>
      </c>
      <c r="O1570" s="352" t="str">
        <f t="shared" si="2050"/>
        <v>-</v>
      </c>
    </row>
    <row r="1571" spans="1:15" ht="23.4" x14ac:dyDescent="0.3">
      <c r="A1571" s="277" t="s">
        <v>111</v>
      </c>
      <c r="B1571" s="923"/>
      <c r="C1571" s="278" t="s">
        <v>421</v>
      </c>
      <c r="D1571" s="278" t="s">
        <v>257</v>
      </c>
      <c r="E1571" s="279">
        <v>0</v>
      </c>
      <c r="F1571" s="280"/>
      <c r="G1571" s="339">
        <f t="shared" si="2053"/>
        <v>177789</v>
      </c>
      <c r="H1571" s="281">
        <f>85680+91800</f>
        <v>177480</v>
      </c>
      <c r="I1571" s="281">
        <f>169+140</f>
        <v>309</v>
      </c>
      <c r="J1571" s="358" t="str">
        <f>IFERROR(G1571/#REF!,"-")</f>
        <v>-</v>
      </c>
      <c r="K1571" s="339">
        <f t="shared" si="2054"/>
        <v>665947</v>
      </c>
      <c r="L1571" s="281">
        <f t="shared" si="2055"/>
        <v>663263</v>
      </c>
      <c r="M1571" s="442">
        <f t="shared" si="2056"/>
        <v>2684</v>
      </c>
      <c r="N1571" s="343" t="str">
        <f t="shared" si="2057"/>
        <v>-</v>
      </c>
      <c r="O1571" s="264">
        <f t="shared" si="2050"/>
        <v>4.0303507636493593E-3</v>
      </c>
    </row>
    <row r="1572" spans="1:15" ht="23.4" x14ac:dyDescent="0.3">
      <c r="A1572" s="277" t="s">
        <v>111</v>
      </c>
      <c r="B1572" s="923"/>
      <c r="C1572" s="278" t="s">
        <v>290</v>
      </c>
      <c r="D1572" s="278" t="s">
        <v>205</v>
      </c>
      <c r="E1572" s="279">
        <v>0</v>
      </c>
      <c r="F1572" s="280"/>
      <c r="G1572" s="339">
        <f t="shared" si="2053"/>
        <v>0</v>
      </c>
      <c r="H1572" s="281">
        <v>0</v>
      </c>
      <c r="I1572" s="281">
        <v>0</v>
      </c>
      <c r="J1572" s="358" t="str">
        <f>IFERROR(G1572/#REF!,"-")</f>
        <v>-</v>
      </c>
      <c r="K1572" s="339">
        <f t="shared" si="2054"/>
        <v>0</v>
      </c>
      <c r="L1572" s="281">
        <f t="shared" si="2055"/>
        <v>0</v>
      </c>
      <c r="M1572" s="442">
        <f t="shared" si="2056"/>
        <v>0</v>
      </c>
      <c r="N1572" s="343" t="str">
        <f t="shared" si="2057"/>
        <v>-</v>
      </c>
      <c r="O1572" s="264" t="str">
        <f t="shared" si="2050"/>
        <v>-</v>
      </c>
    </row>
    <row r="1573" spans="1:15" ht="23.4" x14ac:dyDescent="0.3">
      <c r="A1573" s="277" t="s">
        <v>111</v>
      </c>
      <c r="B1573" s="923"/>
      <c r="C1573" s="278" t="s">
        <v>330</v>
      </c>
      <c r="D1573" s="278" t="s">
        <v>206</v>
      </c>
      <c r="E1573" s="279">
        <v>0</v>
      </c>
      <c r="F1573" s="280"/>
      <c r="G1573" s="339">
        <f t="shared" si="2053"/>
        <v>0</v>
      </c>
      <c r="H1573" s="281">
        <v>0</v>
      </c>
      <c r="I1573" s="281">
        <v>0</v>
      </c>
      <c r="J1573" s="358" t="str">
        <f>IFERROR(G1573/#REF!,"-")</f>
        <v>-</v>
      </c>
      <c r="K1573" s="339">
        <f t="shared" si="2054"/>
        <v>1836</v>
      </c>
      <c r="L1573" s="281">
        <f t="shared" si="2055"/>
        <v>1836</v>
      </c>
      <c r="M1573" s="442">
        <f t="shared" si="2056"/>
        <v>0</v>
      </c>
      <c r="N1573" s="343" t="str">
        <f t="shared" si="2057"/>
        <v>-</v>
      </c>
      <c r="O1573" s="264">
        <f t="shared" si="2050"/>
        <v>0</v>
      </c>
    </row>
    <row r="1574" spans="1:15" ht="23.4" x14ac:dyDescent="0.3">
      <c r="A1574" s="277" t="s">
        <v>111</v>
      </c>
      <c r="B1574" s="923"/>
      <c r="C1574" s="278" t="s">
        <v>377</v>
      </c>
      <c r="D1574" s="278" t="s">
        <v>371</v>
      </c>
      <c r="E1574" s="279">
        <v>0</v>
      </c>
      <c r="F1574" s="280"/>
      <c r="G1574" s="339">
        <f t="shared" si="2053"/>
        <v>0</v>
      </c>
      <c r="H1574" s="281">
        <v>0</v>
      </c>
      <c r="I1574" s="281">
        <v>0</v>
      </c>
      <c r="J1574" s="358" t="str">
        <f>IFERROR(G1574/#REF!,"-")</f>
        <v>-</v>
      </c>
      <c r="K1574" s="339">
        <f t="shared" si="2054"/>
        <v>10610</v>
      </c>
      <c r="L1574" s="281">
        <f t="shared" si="2055"/>
        <v>10610</v>
      </c>
      <c r="M1574" s="442">
        <f t="shared" si="2056"/>
        <v>0</v>
      </c>
      <c r="N1574" s="343" t="str">
        <f t="shared" si="2057"/>
        <v>-</v>
      </c>
      <c r="O1574" s="264">
        <f t="shared" si="2050"/>
        <v>0</v>
      </c>
    </row>
    <row r="1575" spans="1:15" ht="23.4" x14ac:dyDescent="0.3">
      <c r="A1575" s="277" t="s">
        <v>111</v>
      </c>
      <c r="B1575" s="923"/>
      <c r="C1575" s="278" t="s">
        <v>443</v>
      </c>
      <c r="D1575" s="278" t="s">
        <v>207</v>
      </c>
      <c r="E1575" s="279">
        <v>0</v>
      </c>
      <c r="F1575" s="280"/>
      <c r="G1575" s="339">
        <f t="shared" si="2053"/>
        <v>6120</v>
      </c>
      <c r="H1575" s="281">
        <v>6120</v>
      </c>
      <c r="I1575" s="281">
        <v>0</v>
      </c>
      <c r="J1575" s="358" t="str">
        <f>IFERROR(G1575/#REF!,"-")</f>
        <v>-</v>
      </c>
      <c r="K1575" s="339">
        <f t="shared" si="2054"/>
        <v>448140</v>
      </c>
      <c r="L1575" s="281">
        <f t="shared" si="2055"/>
        <v>446760</v>
      </c>
      <c r="M1575" s="442">
        <f t="shared" si="2056"/>
        <v>1380</v>
      </c>
      <c r="N1575" s="343" t="str">
        <f t="shared" si="2057"/>
        <v>-</v>
      </c>
      <c r="O1575" s="264">
        <f t="shared" si="2050"/>
        <v>3.0793948319721514E-3</v>
      </c>
    </row>
    <row r="1576" spans="1:15" ht="24" thickBot="1" x14ac:dyDescent="0.35">
      <c r="A1576" s="277" t="s">
        <v>111</v>
      </c>
      <c r="B1576" s="924"/>
      <c r="C1576" s="282" t="s">
        <v>416</v>
      </c>
      <c r="D1576" s="282" t="s">
        <v>257</v>
      </c>
      <c r="E1576" s="283">
        <v>0</v>
      </c>
      <c r="F1576" s="284"/>
      <c r="G1576" s="340">
        <f t="shared" si="2053"/>
        <v>0</v>
      </c>
      <c r="H1576" s="285">
        <v>0</v>
      </c>
      <c r="I1576" s="285">
        <v>0</v>
      </c>
      <c r="J1576" s="359" t="str">
        <f>IFERROR(G1576/#REF!,"-")</f>
        <v>-</v>
      </c>
      <c r="K1576" s="471">
        <f t="shared" si="2054"/>
        <v>73650</v>
      </c>
      <c r="L1576" s="472">
        <f t="shared" si="2055"/>
        <v>73440</v>
      </c>
      <c r="M1576" s="473">
        <f t="shared" si="2056"/>
        <v>210</v>
      </c>
      <c r="N1576" s="344" t="str">
        <f t="shared" si="2057"/>
        <v>-</v>
      </c>
      <c r="O1576" s="353">
        <f t="shared" si="2050"/>
        <v>2.8513238289205704E-3</v>
      </c>
    </row>
    <row r="1577" spans="1:15" ht="24" thickBot="1" x14ac:dyDescent="0.35">
      <c r="A1577" s="277" t="s">
        <v>111</v>
      </c>
      <c r="B1577" s="906" t="s">
        <v>48</v>
      </c>
      <c r="C1577" s="907"/>
      <c r="D1577" s="908"/>
      <c r="E1577" s="326">
        <v>3480000</v>
      </c>
      <c r="F1577" s="289">
        <v>100000</v>
      </c>
      <c r="G1577" s="326">
        <f>SUM(G1570:G1576)</f>
        <v>183909</v>
      </c>
      <c r="H1577" s="327">
        <f t="shared" ref="H1577:I1577" si="2058">SUM(H1570:H1576)</f>
        <v>183600</v>
      </c>
      <c r="I1577" s="327">
        <f t="shared" si="2058"/>
        <v>309</v>
      </c>
      <c r="J1577" s="351" t="str">
        <f>IFERROR(G1577/#REF!,"-")</f>
        <v>-</v>
      </c>
      <c r="K1577" s="326">
        <f>SUM(K1570:K1576)</f>
        <v>1200183</v>
      </c>
      <c r="L1577" s="327">
        <f>SUM(L1570:L1576)</f>
        <v>1195909</v>
      </c>
      <c r="M1577" s="328">
        <f t="shared" ref="M1577" si="2059">SUM(M1570:M1576)</f>
        <v>4274</v>
      </c>
      <c r="N1577" s="345">
        <f>IFERROR(K1577/E1577,"-")</f>
        <v>0.3448801724137931</v>
      </c>
      <c r="O1577" s="351">
        <f t="shared" si="2050"/>
        <v>3.5611235953183808E-3</v>
      </c>
    </row>
    <row r="1578" spans="1:15" ht="23.4" x14ac:dyDescent="0.3">
      <c r="A1578" s="277" t="s">
        <v>111</v>
      </c>
      <c r="B1578" s="922" t="s">
        <v>18</v>
      </c>
      <c r="C1578" s="272" t="s">
        <v>359</v>
      </c>
      <c r="D1578" s="272" t="s">
        <v>99</v>
      </c>
      <c r="E1578" s="273">
        <v>0</v>
      </c>
      <c r="F1578" s="274"/>
      <c r="G1578" s="338">
        <f t="shared" ref="G1578:G1584" si="2060">+H1578+I1578</f>
        <v>0</v>
      </c>
      <c r="H1578" s="275">
        <v>0</v>
      </c>
      <c r="I1578" s="275">
        <v>0</v>
      </c>
      <c r="J1578" s="357" t="str">
        <f>IFERROR(G1578/#REF!,"-")</f>
        <v>-</v>
      </c>
      <c r="K1578" s="338">
        <f t="shared" ref="K1578:K1584" si="2061">+L1578+M1578</f>
        <v>0</v>
      </c>
      <c r="L1578" s="275">
        <f t="shared" ref="L1578:L1584" si="2062">+H1578+L1474</f>
        <v>0</v>
      </c>
      <c r="M1578" s="276">
        <f t="shared" ref="M1578:M1584" si="2063">+I1578+M1474</f>
        <v>0</v>
      </c>
      <c r="N1578" s="342" t="str">
        <f t="shared" ref="N1578:N1585" si="2064">IFERROR(K1578/E1578,"-")</f>
        <v>-</v>
      </c>
      <c r="O1578" s="352" t="str">
        <f t="shared" si="2050"/>
        <v>-</v>
      </c>
    </row>
    <row r="1579" spans="1:15" ht="23.4" x14ac:dyDescent="0.3">
      <c r="A1579" s="277" t="s">
        <v>111</v>
      </c>
      <c r="B1579" s="923"/>
      <c r="C1579" s="278" t="s">
        <v>258</v>
      </c>
      <c r="D1579" s="278" t="s">
        <v>259</v>
      </c>
      <c r="E1579" s="279">
        <v>0</v>
      </c>
      <c r="F1579" s="280"/>
      <c r="G1579" s="339">
        <f t="shared" si="2060"/>
        <v>0</v>
      </c>
      <c r="H1579" s="281">
        <v>0</v>
      </c>
      <c r="I1579" s="281">
        <v>0</v>
      </c>
      <c r="J1579" s="358" t="str">
        <f>IFERROR(G1579/#REF!,"-")</f>
        <v>-</v>
      </c>
      <c r="K1579" s="339">
        <f t="shared" si="2061"/>
        <v>0</v>
      </c>
      <c r="L1579" s="281">
        <f t="shared" si="2062"/>
        <v>0</v>
      </c>
      <c r="M1579" s="251">
        <f t="shared" si="2063"/>
        <v>0</v>
      </c>
      <c r="N1579" s="343" t="str">
        <f t="shared" si="2064"/>
        <v>-</v>
      </c>
      <c r="O1579" s="264" t="str">
        <f t="shared" si="2050"/>
        <v>-</v>
      </c>
    </row>
    <row r="1580" spans="1:15" ht="23.4" x14ac:dyDescent="0.3">
      <c r="A1580" s="277" t="s">
        <v>111</v>
      </c>
      <c r="B1580" s="923"/>
      <c r="C1580" s="278" t="s">
        <v>123</v>
      </c>
      <c r="D1580" s="278"/>
      <c r="E1580" s="279">
        <v>0</v>
      </c>
      <c r="F1580" s="280"/>
      <c r="G1580" s="339">
        <f t="shared" si="2060"/>
        <v>0</v>
      </c>
      <c r="H1580" s="281">
        <v>0</v>
      </c>
      <c r="I1580" s="281">
        <v>0</v>
      </c>
      <c r="J1580" s="358" t="str">
        <f>IFERROR(G1580/#REF!,"-")</f>
        <v>-</v>
      </c>
      <c r="K1580" s="339">
        <f t="shared" si="2061"/>
        <v>0</v>
      </c>
      <c r="L1580" s="281">
        <f t="shared" si="2062"/>
        <v>0</v>
      </c>
      <c r="M1580" s="251">
        <f t="shared" si="2063"/>
        <v>0</v>
      </c>
      <c r="N1580" s="343" t="str">
        <f t="shared" si="2064"/>
        <v>-</v>
      </c>
      <c r="O1580" s="264" t="str">
        <f t="shared" si="2050"/>
        <v>-</v>
      </c>
    </row>
    <row r="1581" spans="1:15" ht="23.4" x14ac:dyDescent="0.3">
      <c r="A1581" s="277" t="s">
        <v>111</v>
      </c>
      <c r="B1581" s="923"/>
      <c r="C1581" s="278" t="s">
        <v>130</v>
      </c>
      <c r="D1581" s="278"/>
      <c r="E1581" s="279">
        <v>0</v>
      </c>
      <c r="F1581" s="280"/>
      <c r="G1581" s="339">
        <f t="shared" si="2060"/>
        <v>0</v>
      </c>
      <c r="H1581" s="281">
        <v>0</v>
      </c>
      <c r="I1581" s="281">
        <v>0</v>
      </c>
      <c r="J1581" s="358" t="str">
        <f>IFERROR(G1581/#REF!,"-")</f>
        <v>-</v>
      </c>
      <c r="K1581" s="339">
        <f t="shared" si="2061"/>
        <v>0</v>
      </c>
      <c r="L1581" s="281">
        <f t="shared" si="2062"/>
        <v>0</v>
      </c>
      <c r="M1581" s="251">
        <f t="shared" si="2063"/>
        <v>0</v>
      </c>
      <c r="N1581" s="343" t="str">
        <f t="shared" si="2064"/>
        <v>-</v>
      </c>
      <c r="O1581" s="264" t="str">
        <f t="shared" si="2050"/>
        <v>-</v>
      </c>
    </row>
    <row r="1582" spans="1:15" ht="23.4" x14ac:dyDescent="0.3">
      <c r="A1582" s="277" t="s">
        <v>111</v>
      </c>
      <c r="B1582" s="923"/>
      <c r="C1582" s="278" t="s">
        <v>191</v>
      </c>
      <c r="D1582" s="278" t="s">
        <v>192</v>
      </c>
      <c r="E1582" s="279">
        <v>0</v>
      </c>
      <c r="F1582" s="280"/>
      <c r="G1582" s="339">
        <f t="shared" si="2060"/>
        <v>0</v>
      </c>
      <c r="H1582" s="281">
        <v>0</v>
      </c>
      <c r="I1582" s="281">
        <v>0</v>
      </c>
      <c r="J1582" s="358" t="str">
        <f>IFERROR(G1582/#REF!,"-")</f>
        <v>-</v>
      </c>
      <c r="K1582" s="339">
        <f t="shared" si="2061"/>
        <v>0</v>
      </c>
      <c r="L1582" s="281">
        <f t="shared" si="2062"/>
        <v>0</v>
      </c>
      <c r="M1582" s="251">
        <f t="shared" si="2063"/>
        <v>0</v>
      </c>
      <c r="N1582" s="343" t="str">
        <f t="shared" si="2064"/>
        <v>-</v>
      </c>
      <c r="O1582" s="264" t="str">
        <f t="shared" si="2050"/>
        <v>-</v>
      </c>
    </row>
    <row r="1583" spans="1:15" ht="23.4" x14ac:dyDescent="0.3">
      <c r="A1583" s="277" t="s">
        <v>111</v>
      </c>
      <c r="B1583" s="923"/>
      <c r="C1583" s="278" t="s">
        <v>194</v>
      </c>
      <c r="D1583" s="278" t="s">
        <v>193</v>
      </c>
      <c r="E1583" s="279">
        <v>0</v>
      </c>
      <c r="F1583" s="280"/>
      <c r="G1583" s="339">
        <f t="shared" si="2060"/>
        <v>0</v>
      </c>
      <c r="H1583" s="281">
        <v>0</v>
      </c>
      <c r="I1583" s="281">
        <v>0</v>
      </c>
      <c r="J1583" s="358" t="str">
        <f>IFERROR(G1583/#REF!,"-")</f>
        <v>-</v>
      </c>
      <c r="K1583" s="339">
        <f t="shared" si="2061"/>
        <v>0</v>
      </c>
      <c r="L1583" s="281">
        <f t="shared" si="2062"/>
        <v>0</v>
      </c>
      <c r="M1583" s="251">
        <f t="shared" si="2063"/>
        <v>0</v>
      </c>
      <c r="N1583" s="343" t="str">
        <f t="shared" si="2064"/>
        <v>-</v>
      </c>
      <c r="O1583" s="264" t="str">
        <f t="shared" si="2050"/>
        <v>-</v>
      </c>
    </row>
    <row r="1584" spans="1:15" ht="24" thickBot="1" x14ac:dyDescent="0.35">
      <c r="A1584" s="277" t="s">
        <v>111</v>
      </c>
      <c r="B1584" s="924"/>
      <c r="C1584" s="290" t="s">
        <v>195</v>
      </c>
      <c r="D1584" s="290" t="s">
        <v>115</v>
      </c>
      <c r="E1584" s="283">
        <v>0</v>
      </c>
      <c r="F1584" s="284"/>
      <c r="G1584" s="340">
        <f t="shared" si="2060"/>
        <v>0</v>
      </c>
      <c r="H1584" s="285">
        <v>0</v>
      </c>
      <c r="I1584" s="285">
        <v>0</v>
      </c>
      <c r="J1584" s="359" t="str">
        <f>IFERROR(G1584/#REF!,"-")</f>
        <v>-</v>
      </c>
      <c r="K1584" s="340">
        <f t="shared" si="2061"/>
        <v>0</v>
      </c>
      <c r="L1584" s="285">
        <f t="shared" si="2062"/>
        <v>0</v>
      </c>
      <c r="M1584" s="286">
        <f t="shared" si="2063"/>
        <v>0</v>
      </c>
      <c r="N1584" s="344" t="str">
        <f t="shared" si="2064"/>
        <v>-</v>
      </c>
      <c r="O1584" s="353" t="str">
        <f t="shared" si="2050"/>
        <v>-</v>
      </c>
    </row>
    <row r="1585" spans="1:15" ht="24" thickBot="1" x14ac:dyDescent="0.35">
      <c r="A1585" s="277" t="s">
        <v>111</v>
      </c>
      <c r="B1585" s="906" t="s">
        <v>29</v>
      </c>
      <c r="C1585" s="907"/>
      <c r="D1585" s="908"/>
      <c r="E1585" s="326">
        <f t="shared" ref="E1585" si="2065">SUM(E1578:E1584)</f>
        <v>0</v>
      </c>
      <c r="F1585" s="289">
        <v>80000</v>
      </c>
      <c r="G1585" s="326">
        <f>SUM(G1578:G1584)</f>
        <v>0</v>
      </c>
      <c r="H1585" s="327">
        <f t="shared" ref="H1585:I1585" si="2066">SUM(H1578:H1584)</f>
        <v>0</v>
      </c>
      <c r="I1585" s="327">
        <f t="shared" si="2066"/>
        <v>0</v>
      </c>
      <c r="J1585" s="351" t="str">
        <f>IFERROR(G1585/#REF!,"-")</f>
        <v>-</v>
      </c>
      <c r="K1585" s="326">
        <f t="shared" ref="K1585:M1585" si="2067">SUM(K1578:K1584)</f>
        <v>0</v>
      </c>
      <c r="L1585" s="327">
        <f t="shared" si="2067"/>
        <v>0</v>
      </c>
      <c r="M1585" s="328">
        <f t="shared" si="2067"/>
        <v>0</v>
      </c>
      <c r="N1585" s="345" t="str">
        <f t="shared" si="2064"/>
        <v>-</v>
      </c>
      <c r="O1585" s="351" t="str">
        <f t="shared" si="2050"/>
        <v>-</v>
      </c>
    </row>
    <row r="1586" spans="1:15" ht="23.4" x14ac:dyDescent="0.3">
      <c r="A1586" s="252" t="s">
        <v>111</v>
      </c>
      <c r="B1586" s="918" t="s">
        <v>19</v>
      </c>
      <c r="C1586" s="757" t="s">
        <v>260</v>
      </c>
      <c r="D1586" s="771" t="s">
        <v>192</v>
      </c>
      <c r="E1586" s="540">
        <v>2000000</v>
      </c>
      <c r="F1586" s="470">
        <v>110000</v>
      </c>
      <c r="G1586" s="770">
        <f t="shared" ref="G1586:G1588" si="2068">+H1586+I1586</f>
        <v>0</v>
      </c>
      <c r="H1586" s="469">
        <v>0</v>
      </c>
      <c r="I1586" s="469">
        <v>0</v>
      </c>
      <c r="J1586" s="544" t="str">
        <f>IFERROR(G1586/#REF!,"-")</f>
        <v>-</v>
      </c>
      <c r="K1586" s="468">
        <f>+L1586+M1586</f>
        <v>329781</v>
      </c>
      <c r="L1586" s="469">
        <f t="shared" ref="L1586:L1587" si="2069">+H1586+L1482</f>
        <v>328118</v>
      </c>
      <c r="M1586" s="470">
        <f t="shared" ref="M1586:M1587" si="2070">+I1586+M1482</f>
        <v>1663</v>
      </c>
      <c r="N1586" s="775">
        <f>IFERROR(K1586/E1586,"-")</f>
        <v>0.1648905</v>
      </c>
      <c r="O1586" s="776">
        <f t="shared" si="2050"/>
        <v>5.0427404853524002E-3</v>
      </c>
    </row>
    <row r="1587" spans="1:15" ht="23.4" x14ac:dyDescent="0.3">
      <c r="A1587" s="252"/>
      <c r="B1587" s="919"/>
      <c r="C1587" s="302" t="s">
        <v>458</v>
      </c>
      <c r="D1587" s="772"/>
      <c r="E1587" s="755">
        <v>0</v>
      </c>
      <c r="F1587" s="441">
        <v>110000</v>
      </c>
      <c r="G1587" s="756">
        <f t="shared" si="2068"/>
        <v>67754</v>
      </c>
      <c r="H1587" s="275">
        <v>67584</v>
      </c>
      <c r="I1587" s="275">
        <v>170</v>
      </c>
      <c r="J1587" s="357" t="str">
        <f>IFERROR(G1587/#REF!,"-")</f>
        <v>-</v>
      </c>
      <c r="K1587" s="341">
        <f>+L1587+M1587</f>
        <v>356307</v>
      </c>
      <c r="L1587" s="295">
        <f t="shared" si="2069"/>
        <v>354816</v>
      </c>
      <c r="M1587" s="774">
        <f t="shared" si="2070"/>
        <v>1491</v>
      </c>
      <c r="N1587" s="346" t="str">
        <f t="shared" ref="N1587:N1588" si="2071">IFERROR(K1587/E1587,"-")</f>
        <v>-</v>
      </c>
      <c r="O1587" s="753">
        <f>IFERROR(M1587/K1587,"-")</f>
        <v>4.1845936229150706E-3</v>
      </c>
    </row>
    <row r="1588" spans="1:15" ht="24" thickBot="1" x14ac:dyDescent="0.35">
      <c r="A1588" s="252"/>
      <c r="B1588" s="920"/>
      <c r="C1588" s="679" t="s">
        <v>417</v>
      </c>
      <c r="D1588" s="773"/>
      <c r="E1588" s="472">
        <v>150000</v>
      </c>
      <c r="F1588" s="473">
        <v>110000</v>
      </c>
      <c r="G1588" s="607">
        <f t="shared" si="2068"/>
        <v>0</v>
      </c>
      <c r="H1588" s="285">
        <v>0</v>
      </c>
      <c r="I1588" s="285">
        <v>0</v>
      </c>
      <c r="J1588" s="359"/>
      <c r="K1588" s="471">
        <f>+L1588+M1588</f>
        <v>0</v>
      </c>
      <c r="L1588" s="472">
        <f>+H1588+L1484</f>
        <v>0</v>
      </c>
      <c r="M1588" s="473">
        <f>+I1588+M1484</f>
        <v>0</v>
      </c>
      <c r="N1588" s="344">
        <f t="shared" si="2071"/>
        <v>0</v>
      </c>
      <c r="O1588" s="680" t="str">
        <f t="shared" ref="O1588:O1636" si="2072">IFERROR(M1588/K1588,"-")</f>
        <v>-</v>
      </c>
    </row>
    <row r="1589" spans="1:15" ht="24" thickBot="1" x14ac:dyDescent="0.35">
      <c r="A1589" s="277" t="s">
        <v>111</v>
      </c>
      <c r="B1589" s="921" t="s">
        <v>49</v>
      </c>
      <c r="C1589" s="907"/>
      <c r="D1589" s="908"/>
      <c r="E1589" s="326">
        <f>SUM(E1586:E1588)</f>
        <v>2150000</v>
      </c>
      <c r="F1589" s="329">
        <f t="shared" ref="F1589" si="2073">SUM(F1586)</f>
        <v>110000</v>
      </c>
      <c r="G1589" s="326">
        <f>SUM(G1586)</f>
        <v>0</v>
      </c>
      <c r="H1589" s="327">
        <f>SUM(H1586:H1588)</f>
        <v>67584</v>
      </c>
      <c r="I1589" s="327">
        <f>SUM(I1586:I1588)</f>
        <v>170</v>
      </c>
      <c r="J1589" s="351" t="str">
        <f>IFERROR(G1589/#REF!,"-")</f>
        <v>-</v>
      </c>
      <c r="K1589" s="681">
        <f>SUM(K1586:K1587)</f>
        <v>686088</v>
      </c>
      <c r="L1589" s="327">
        <f>SUM(L1586:L1587)</f>
        <v>682934</v>
      </c>
      <c r="M1589" s="328">
        <f>SUM(M1586:M1587)</f>
        <v>3154</v>
      </c>
      <c r="N1589" s="345">
        <f>IFERROR(K1589/E1589,"-")</f>
        <v>0.31911069767441863</v>
      </c>
      <c r="O1589" s="351">
        <f t="shared" si="2072"/>
        <v>4.5970779258637379E-3</v>
      </c>
    </row>
    <row r="1590" spans="1:15" ht="23.4" x14ac:dyDescent="0.3">
      <c r="A1590" s="277" t="s">
        <v>111</v>
      </c>
      <c r="B1590" s="922" t="s">
        <v>20</v>
      </c>
      <c r="C1590" s="297" t="s">
        <v>370</v>
      </c>
      <c r="D1590" s="297" t="s">
        <v>324</v>
      </c>
      <c r="E1590" s="273">
        <v>0</v>
      </c>
      <c r="F1590" s="274"/>
      <c r="G1590" s="338">
        <f t="shared" ref="G1590:G1592" si="2074">+H1590+I1590</f>
        <v>0</v>
      </c>
      <c r="H1590" s="275">
        <v>0</v>
      </c>
      <c r="I1590" s="275">
        <v>0</v>
      </c>
      <c r="J1590" s="357" t="str">
        <f>IFERROR(G1590/#REF!,"-")</f>
        <v>-</v>
      </c>
      <c r="K1590" s="338">
        <f t="shared" ref="K1590:K1592" si="2075">+L1590+M1590</f>
        <v>0</v>
      </c>
      <c r="L1590" s="275">
        <f t="shared" ref="L1590:L1592" si="2076">+H1590+L1486</f>
        <v>0</v>
      </c>
      <c r="M1590" s="276">
        <f t="shared" ref="M1590:M1592" si="2077">+I1590+M1486</f>
        <v>0</v>
      </c>
      <c r="N1590" s="342" t="str">
        <f t="shared" ref="N1590:N1593" si="2078">IFERROR(K1590/E1590,"-")</f>
        <v>-</v>
      </c>
      <c r="O1590" s="352" t="str">
        <f t="shared" si="2072"/>
        <v>-</v>
      </c>
    </row>
    <row r="1591" spans="1:15" ht="23.4" x14ac:dyDescent="0.3">
      <c r="A1591" s="277" t="s">
        <v>111</v>
      </c>
      <c r="B1591" s="923"/>
      <c r="C1591" s="298" t="s">
        <v>122</v>
      </c>
      <c r="D1591" s="298"/>
      <c r="E1591" s="279">
        <v>0</v>
      </c>
      <c r="F1591" s="280"/>
      <c r="G1591" s="339">
        <f t="shared" si="2074"/>
        <v>0</v>
      </c>
      <c r="H1591" s="281">
        <v>0</v>
      </c>
      <c r="I1591" s="281">
        <v>0</v>
      </c>
      <c r="J1591" s="358" t="str">
        <f>IFERROR(G1591/#REF!,"-")</f>
        <v>-</v>
      </c>
      <c r="K1591" s="339">
        <f t="shared" si="2075"/>
        <v>0</v>
      </c>
      <c r="L1591" s="281">
        <f t="shared" si="2076"/>
        <v>0</v>
      </c>
      <c r="M1591" s="251">
        <f t="shared" si="2077"/>
        <v>0</v>
      </c>
      <c r="N1591" s="343" t="str">
        <f t="shared" si="2078"/>
        <v>-</v>
      </c>
      <c r="O1591" s="264" t="str">
        <f t="shared" si="2072"/>
        <v>-</v>
      </c>
    </row>
    <row r="1592" spans="1:15" ht="24" thickBot="1" x14ac:dyDescent="0.35">
      <c r="A1592" s="277" t="s">
        <v>111</v>
      </c>
      <c r="B1592" s="924"/>
      <c r="C1592" s="299" t="s">
        <v>128</v>
      </c>
      <c r="D1592" s="299"/>
      <c r="E1592" s="283">
        <v>0</v>
      </c>
      <c r="F1592" s="284"/>
      <c r="G1592" s="340">
        <f t="shared" si="2074"/>
        <v>0</v>
      </c>
      <c r="H1592" s="285">
        <v>0</v>
      </c>
      <c r="I1592" s="285">
        <v>0</v>
      </c>
      <c r="J1592" s="359" t="str">
        <f>IFERROR(G1592/#REF!,"-")</f>
        <v>-</v>
      </c>
      <c r="K1592" s="340">
        <f t="shared" si="2075"/>
        <v>0</v>
      </c>
      <c r="L1592" s="285">
        <f t="shared" si="2076"/>
        <v>0</v>
      </c>
      <c r="M1592" s="286">
        <f t="shared" si="2077"/>
        <v>0</v>
      </c>
      <c r="N1592" s="344" t="str">
        <f t="shared" si="2078"/>
        <v>-</v>
      </c>
      <c r="O1592" s="353" t="str">
        <f t="shared" si="2072"/>
        <v>-</v>
      </c>
    </row>
    <row r="1593" spans="1:15" ht="24" thickBot="1" x14ac:dyDescent="0.35">
      <c r="A1593" s="277" t="s">
        <v>111</v>
      </c>
      <c r="B1593" s="907" t="s">
        <v>50</v>
      </c>
      <c r="C1593" s="907"/>
      <c r="D1593" s="925"/>
      <c r="E1593" s="326">
        <f t="shared" ref="E1593" si="2079">SUM(E1590:E1592)</f>
        <v>0</v>
      </c>
      <c r="F1593" s="289">
        <v>50000</v>
      </c>
      <c r="G1593" s="326">
        <f>SUM(G1590:G1592)</f>
        <v>0</v>
      </c>
      <c r="H1593" s="327">
        <f t="shared" ref="H1593:I1593" si="2080">SUM(H1590:H1592)</f>
        <v>0</v>
      </c>
      <c r="I1593" s="327">
        <f t="shared" si="2080"/>
        <v>0</v>
      </c>
      <c r="J1593" s="351" t="str">
        <f>IFERROR(G1593/#REF!,"-")</f>
        <v>-</v>
      </c>
      <c r="K1593" s="326">
        <f t="shared" ref="K1593:M1593" si="2081">SUM(K1590:K1592)</f>
        <v>0</v>
      </c>
      <c r="L1593" s="327">
        <f t="shared" si="2081"/>
        <v>0</v>
      </c>
      <c r="M1593" s="328">
        <f t="shared" si="2081"/>
        <v>0</v>
      </c>
      <c r="N1593" s="345" t="str">
        <f t="shared" si="2078"/>
        <v>-</v>
      </c>
      <c r="O1593" s="351" t="str">
        <f t="shared" si="2072"/>
        <v>-</v>
      </c>
    </row>
    <row r="1594" spans="1:15" ht="24" thickBot="1" x14ac:dyDescent="0.35">
      <c r="A1594" s="277" t="s">
        <v>111</v>
      </c>
      <c r="B1594" s="926" t="s">
        <v>21</v>
      </c>
      <c r="C1594" s="927"/>
      <c r="D1594" s="928"/>
      <c r="E1594" s="332">
        <f>+E1569+E1577+E1585+E1589+E1593</f>
        <v>5774600</v>
      </c>
      <c r="F1594" s="333">
        <f>+F1569+F1577+F1585+F1589+F1593</f>
        <v>355000</v>
      </c>
      <c r="G1594" s="332">
        <f>+G1569+G1577+G1585+G1589+G1593</f>
        <v>183909</v>
      </c>
      <c r="H1594" s="330">
        <f>+H1569+H1577+H1585+H1589+H1593</f>
        <v>251184</v>
      </c>
      <c r="I1594" s="330">
        <f>+I1569+I1577+I1585+I1589+I1593</f>
        <v>479</v>
      </c>
      <c r="J1594" s="355" t="str">
        <f>IFERROR(G1594/#REF!,"-")</f>
        <v>-</v>
      </c>
      <c r="K1594" s="332">
        <f>+K1569+K1577+K1585+K1589+K1593</f>
        <v>1991975</v>
      </c>
      <c r="L1594" s="330">
        <f>+L1569+L1577+L1585+L1589+L1593</f>
        <v>1982859</v>
      </c>
      <c r="M1594" s="331">
        <f>+M1569+M1577+M1585+M1589+M1593</f>
        <v>9116</v>
      </c>
      <c r="N1594" s="347">
        <f>IFERROR(K1594/E1594,"-")</f>
        <v>0.34495462889204448</v>
      </c>
      <c r="O1594" s="355">
        <f t="shared" si="2072"/>
        <v>4.576362655153805E-3</v>
      </c>
    </row>
    <row r="1595" spans="1:15" ht="23.4" x14ac:dyDescent="0.3">
      <c r="A1595" s="277" t="s">
        <v>111</v>
      </c>
      <c r="B1595" s="922" t="s">
        <v>22</v>
      </c>
      <c r="C1595" s="272" t="s">
        <v>133</v>
      </c>
      <c r="D1595" s="272"/>
      <c r="E1595" s="273">
        <v>0</v>
      </c>
      <c r="F1595" s="274"/>
      <c r="G1595" s="338">
        <f t="shared" ref="G1595:G1598" si="2082">+H1595+I1595</f>
        <v>0</v>
      </c>
      <c r="H1595" s="275">
        <v>0</v>
      </c>
      <c r="I1595" s="275">
        <v>0</v>
      </c>
      <c r="J1595" s="357" t="str">
        <f>IFERROR(G1595/#REF!,"-")</f>
        <v>-</v>
      </c>
      <c r="K1595" s="338">
        <f t="shared" ref="K1595:K1598" si="2083">+L1595+M1595</f>
        <v>0</v>
      </c>
      <c r="L1595" s="275">
        <f t="shared" ref="L1595:L1598" si="2084">+H1595+L1491</f>
        <v>0</v>
      </c>
      <c r="M1595" s="276">
        <f t="shared" ref="M1595:M1598" si="2085">+I1595+M1491</f>
        <v>0</v>
      </c>
      <c r="N1595" s="342" t="str">
        <f t="shared" ref="N1595:N1609" si="2086">IFERROR(K1595/E1595,"-")</f>
        <v>-</v>
      </c>
      <c r="O1595" s="352" t="str">
        <f t="shared" si="2072"/>
        <v>-</v>
      </c>
    </row>
    <row r="1596" spans="1:15" ht="23.4" x14ac:dyDescent="0.3">
      <c r="A1596" s="277" t="s">
        <v>111</v>
      </c>
      <c r="B1596" s="923"/>
      <c r="C1596" s="301" t="s">
        <v>291</v>
      </c>
      <c r="D1596" s="301" t="s">
        <v>196</v>
      </c>
      <c r="E1596" s="279">
        <v>0</v>
      </c>
      <c r="F1596" s="280"/>
      <c r="G1596" s="339">
        <f t="shared" si="2082"/>
        <v>0</v>
      </c>
      <c r="H1596" s="281">
        <v>0</v>
      </c>
      <c r="I1596" s="281">
        <v>0</v>
      </c>
      <c r="J1596" s="358" t="str">
        <f>IFERROR(G1596/#REF!,"-")</f>
        <v>-</v>
      </c>
      <c r="K1596" s="339">
        <f t="shared" si="2083"/>
        <v>0</v>
      </c>
      <c r="L1596" s="281">
        <f t="shared" si="2084"/>
        <v>0</v>
      </c>
      <c r="M1596" s="251">
        <f t="shared" si="2085"/>
        <v>0</v>
      </c>
      <c r="N1596" s="343" t="str">
        <f t="shared" si="2086"/>
        <v>-</v>
      </c>
      <c r="O1596" s="264" t="str">
        <f t="shared" si="2072"/>
        <v>-</v>
      </c>
    </row>
    <row r="1597" spans="1:15" ht="23.4" x14ac:dyDescent="0.3">
      <c r="A1597" s="277" t="s">
        <v>111</v>
      </c>
      <c r="B1597" s="923"/>
      <c r="C1597" s="301" t="s">
        <v>473</v>
      </c>
      <c r="D1597" s="301" t="s">
        <v>196</v>
      </c>
      <c r="E1597" s="279">
        <v>1000000</v>
      </c>
      <c r="F1597" s="280"/>
      <c r="G1597" s="339">
        <f t="shared" si="2082"/>
        <v>69396</v>
      </c>
      <c r="H1597" s="281">
        <v>69300</v>
      </c>
      <c r="I1597" s="281">
        <v>96</v>
      </c>
      <c r="J1597" s="358" t="str">
        <f>IFERROR(G1597/#REF!,"-")</f>
        <v>-</v>
      </c>
      <c r="K1597" s="339">
        <f t="shared" si="2083"/>
        <v>168638</v>
      </c>
      <c r="L1597" s="281">
        <f t="shared" si="2084"/>
        <v>168300</v>
      </c>
      <c r="M1597" s="251">
        <f t="shared" si="2085"/>
        <v>338</v>
      </c>
      <c r="N1597" s="343">
        <f t="shared" si="2086"/>
        <v>0.16863800000000001</v>
      </c>
      <c r="O1597" s="264">
        <f t="shared" si="2072"/>
        <v>2.0042932197962501E-3</v>
      </c>
    </row>
    <row r="1598" spans="1:15" ht="24" thickBot="1" x14ac:dyDescent="0.35">
      <c r="A1598" s="277" t="s">
        <v>111</v>
      </c>
      <c r="B1598" s="924"/>
      <c r="C1598" s="282" t="s">
        <v>197</v>
      </c>
      <c r="D1598" s="282" t="s">
        <v>100</v>
      </c>
      <c r="E1598" s="283">
        <v>0</v>
      </c>
      <c r="F1598" s="284"/>
      <c r="G1598" s="340">
        <f t="shared" si="2082"/>
        <v>0</v>
      </c>
      <c r="H1598" s="285">
        <v>0</v>
      </c>
      <c r="I1598" s="285">
        <v>0</v>
      </c>
      <c r="J1598" s="359" t="str">
        <f>IFERROR(G1598/#REF!,"-")</f>
        <v>-</v>
      </c>
      <c r="K1598" s="340">
        <f t="shared" si="2083"/>
        <v>0</v>
      </c>
      <c r="L1598" s="285">
        <f t="shared" si="2084"/>
        <v>0</v>
      </c>
      <c r="M1598" s="286">
        <f t="shared" si="2085"/>
        <v>0</v>
      </c>
      <c r="N1598" s="344" t="str">
        <f t="shared" si="2086"/>
        <v>-</v>
      </c>
      <c r="O1598" s="353" t="str">
        <f t="shared" si="2072"/>
        <v>-</v>
      </c>
    </row>
    <row r="1599" spans="1:15" ht="24" thickBot="1" x14ac:dyDescent="0.35">
      <c r="A1599" s="277" t="s">
        <v>111</v>
      </c>
      <c r="B1599" s="906" t="s">
        <v>51</v>
      </c>
      <c r="C1599" s="907"/>
      <c r="D1599" s="908"/>
      <c r="E1599" s="288">
        <f>SUM(E1595:E1598)</f>
        <v>1000000</v>
      </c>
      <c r="F1599" s="289">
        <v>80000</v>
      </c>
      <c r="G1599" s="326">
        <f>SUM(G1595:G1598)</f>
        <v>69396</v>
      </c>
      <c r="H1599" s="327">
        <f t="shared" ref="H1599:I1599" si="2087">SUM(H1595:H1598)</f>
        <v>69300</v>
      </c>
      <c r="I1599" s="327">
        <f t="shared" si="2087"/>
        <v>96</v>
      </c>
      <c r="J1599" s="351" t="str">
        <f>IFERROR(G1599/#REF!,"-")</f>
        <v>-</v>
      </c>
      <c r="K1599" s="326">
        <f t="shared" ref="K1599:M1599" si="2088">SUM(K1595:K1598)</f>
        <v>168638</v>
      </c>
      <c r="L1599" s="327">
        <f t="shared" si="2088"/>
        <v>168300</v>
      </c>
      <c r="M1599" s="328">
        <f t="shared" si="2088"/>
        <v>338</v>
      </c>
      <c r="N1599" s="345">
        <f t="shared" si="2086"/>
        <v>0.16863800000000001</v>
      </c>
      <c r="O1599" s="351">
        <f t="shared" si="2072"/>
        <v>2.0042932197962501E-3</v>
      </c>
    </row>
    <row r="1600" spans="1:15" ht="23.4" x14ac:dyDescent="0.3">
      <c r="A1600" s="277" t="s">
        <v>111</v>
      </c>
      <c r="B1600" s="922" t="s">
        <v>23</v>
      </c>
      <c r="C1600" s="302" t="s">
        <v>348</v>
      </c>
      <c r="D1600" s="302" t="s">
        <v>263</v>
      </c>
      <c r="E1600" s="273">
        <v>0</v>
      </c>
      <c r="F1600" s="274"/>
      <c r="G1600" s="338">
        <f t="shared" ref="G1600:G1607" si="2089">+H1600+I1600</f>
        <v>0</v>
      </c>
      <c r="H1600" s="275">
        <v>0</v>
      </c>
      <c r="I1600" s="275">
        <v>0</v>
      </c>
      <c r="J1600" s="357" t="str">
        <f>IFERROR(G1600/#REF!,"-")</f>
        <v>-</v>
      </c>
      <c r="K1600" s="338">
        <f t="shared" ref="K1600:K1607" si="2090">+L1600+M1600</f>
        <v>0</v>
      </c>
      <c r="L1600" s="275">
        <f t="shared" ref="L1600:L1607" si="2091">+H1600+L1496</f>
        <v>0</v>
      </c>
      <c r="M1600" s="276">
        <f t="shared" ref="M1600:M1607" si="2092">+I1600+M1496</f>
        <v>0</v>
      </c>
      <c r="N1600" s="342" t="str">
        <f t="shared" si="2086"/>
        <v>-</v>
      </c>
      <c r="O1600" s="352" t="str">
        <f t="shared" si="2072"/>
        <v>-</v>
      </c>
    </row>
    <row r="1601" spans="1:15" ht="23.4" x14ac:dyDescent="0.3">
      <c r="A1601" s="277" t="s">
        <v>111</v>
      </c>
      <c r="B1601" s="923"/>
      <c r="C1601" s="278" t="s">
        <v>24</v>
      </c>
      <c r="D1601" s="278" t="s">
        <v>263</v>
      </c>
      <c r="E1601" s="279">
        <v>0</v>
      </c>
      <c r="F1601" s="280"/>
      <c r="G1601" s="339">
        <f t="shared" si="2089"/>
        <v>11375</v>
      </c>
      <c r="H1601" s="281">
        <v>11375</v>
      </c>
      <c r="I1601" s="281">
        <v>0</v>
      </c>
      <c r="J1601" s="358" t="str">
        <f>IFERROR(G1601/#REF!,"-")</f>
        <v>-</v>
      </c>
      <c r="K1601" s="339">
        <f t="shared" si="2090"/>
        <v>107552</v>
      </c>
      <c r="L1601" s="281">
        <f t="shared" si="2091"/>
        <v>106889</v>
      </c>
      <c r="M1601" s="251">
        <f t="shared" si="2092"/>
        <v>663</v>
      </c>
      <c r="N1601" s="343" t="str">
        <f t="shared" si="2086"/>
        <v>-</v>
      </c>
      <c r="O1601" s="264">
        <f t="shared" si="2072"/>
        <v>6.1644599821481698E-3</v>
      </c>
    </row>
    <row r="1602" spans="1:15" ht="23.4" x14ac:dyDescent="0.3">
      <c r="A1602" s="277" t="s">
        <v>111</v>
      </c>
      <c r="B1602" s="923"/>
      <c r="C1602" s="278" t="s">
        <v>261</v>
      </c>
      <c r="D1602" s="278" t="s">
        <v>263</v>
      </c>
      <c r="E1602" s="279">
        <v>0</v>
      </c>
      <c r="F1602" s="280"/>
      <c r="G1602" s="339">
        <f t="shared" si="2089"/>
        <v>0</v>
      </c>
      <c r="H1602" s="281">
        <v>0</v>
      </c>
      <c r="I1602" s="281">
        <v>0</v>
      </c>
      <c r="J1602" s="358" t="str">
        <f>IFERROR(G1602/#REF!,"-")</f>
        <v>-</v>
      </c>
      <c r="K1602" s="339">
        <f t="shared" si="2090"/>
        <v>11048</v>
      </c>
      <c r="L1602" s="281">
        <f t="shared" si="2091"/>
        <v>10901</v>
      </c>
      <c r="M1602" s="251">
        <f t="shared" si="2092"/>
        <v>147</v>
      </c>
      <c r="N1602" s="343" t="str">
        <f t="shared" si="2086"/>
        <v>-</v>
      </c>
      <c r="O1602" s="264">
        <f t="shared" si="2072"/>
        <v>1.330557566980449E-2</v>
      </c>
    </row>
    <row r="1603" spans="1:15" ht="23.4" x14ac:dyDescent="0.3">
      <c r="A1603" s="277" t="s">
        <v>111</v>
      </c>
      <c r="B1603" s="923"/>
      <c r="C1603" s="278" t="s">
        <v>262</v>
      </c>
      <c r="D1603" s="278" t="s">
        <v>263</v>
      </c>
      <c r="E1603" s="279">
        <v>0</v>
      </c>
      <c r="F1603" s="280"/>
      <c r="G1603" s="339">
        <f t="shared" si="2089"/>
        <v>0</v>
      </c>
      <c r="H1603" s="281">
        <v>0</v>
      </c>
      <c r="I1603" s="281">
        <v>0</v>
      </c>
      <c r="J1603" s="358" t="str">
        <f>IFERROR(G1603/#REF!,"-")</f>
        <v>-</v>
      </c>
      <c r="K1603" s="339">
        <f t="shared" si="2090"/>
        <v>7672</v>
      </c>
      <c r="L1603" s="281">
        <f t="shared" si="2091"/>
        <v>7612</v>
      </c>
      <c r="M1603" s="251">
        <f t="shared" si="2092"/>
        <v>60</v>
      </c>
      <c r="N1603" s="343" t="str">
        <f t="shared" si="2086"/>
        <v>-</v>
      </c>
      <c r="O1603" s="264">
        <f t="shared" si="2072"/>
        <v>7.8206465067778945E-3</v>
      </c>
    </row>
    <row r="1604" spans="1:15" ht="23.4" x14ac:dyDescent="0.3">
      <c r="A1604" s="277" t="s">
        <v>111</v>
      </c>
      <c r="B1604" s="923"/>
      <c r="C1604" s="301" t="s">
        <v>264</v>
      </c>
      <c r="D1604" s="278" t="s">
        <v>263</v>
      </c>
      <c r="E1604" s="279">
        <v>0</v>
      </c>
      <c r="F1604" s="280"/>
      <c r="G1604" s="339">
        <f t="shared" si="2089"/>
        <v>0</v>
      </c>
      <c r="H1604" s="281">
        <v>0</v>
      </c>
      <c r="I1604" s="281">
        <v>0</v>
      </c>
      <c r="J1604" s="358" t="str">
        <f>IFERROR(G1604/#REF!,"-")</f>
        <v>-</v>
      </c>
      <c r="K1604" s="339">
        <f t="shared" si="2090"/>
        <v>0</v>
      </c>
      <c r="L1604" s="281">
        <f t="shared" si="2091"/>
        <v>0</v>
      </c>
      <c r="M1604" s="251">
        <f t="shared" si="2092"/>
        <v>0</v>
      </c>
      <c r="N1604" s="343" t="str">
        <f t="shared" si="2086"/>
        <v>-</v>
      </c>
      <c r="O1604" s="264" t="str">
        <f t="shared" si="2072"/>
        <v>-</v>
      </c>
    </row>
    <row r="1605" spans="1:15" ht="23.4" x14ac:dyDescent="0.3">
      <c r="A1605" s="277" t="s">
        <v>111</v>
      </c>
      <c r="B1605" s="923"/>
      <c r="C1605" s="301" t="s">
        <v>265</v>
      </c>
      <c r="D1605" s="278" t="s">
        <v>263</v>
      </c>
      <c r="E1605" s="279">
        <v>0</v>
      </c>
      <c r="F1605" s="280"/>
      <c r="G1605" s="339">
        <f t="shared" si="2089"/>
        <v>0</v>
      </c>
      <c r="H1605" s="281">
        <v>0</v>
      </c>
      <c r="I1605" s="281">
        <v>0</v>
      </c>
      <c r="J1605" s="358" t="str">
        <f>IFERROR(G1605/#REF!,"-")</f>
        <v>-</v>
      </c>
      <c r="K1605" s="339">
        <f t="shared" si="2090"/>
        <v>0</v>
      </c>
      <c r="L1605" s="281">
        <f t="shared" si="2091"/>
        <v>0</v>
      </c>
      <c r="M1605" s="251">
        <f t="shared" si="2092"/>
        <v>0</v>
      </c>
      <c r="N1605" s="343" t="str">
        <f t="shared" si="2086"/>
        <v>-</v>
      </c>
      <c r="O1605" s="264" t="str">
        <f t="shared" si="2072"/>
        <v>-</v>
      </c>
    </row>
    <row r="1606" spans="1:15" ht="23.4" x14ac:dyDescent="0.3">
      <c r="A1606" s="277" t="s">
        <v>111</v>
      </c>
      <c r="B1606" s="923"/>
      <c r="C1606" s="301" t="s">
        <v>266</v>
      </c>
      <c r="D1606" s="278" t="s">
        <v>268</v>
      </c>
      <c r="E1606" s="279">
        <v>0</v>
      </c>
      <c r="F1606" s="280"/>
      <c r="G1606" s="339">
        <f t="shared" si="2089"/>
        <v>0</v>
      </c>
      <c r="H1606" s="281">
        <v>0</v>
      </c>
      <c r="I1606" s="281">
        <v>0</v>
      </c>
      <c r="J1606" s="358" t="str">
        <f>IFERROR(G1606/#REF!,"-")</f>
        <v>-</v>
      </c>
      <c r="K1606" s="339">
        <f t="shared" si="2090"/>
        <v>10464</v>
      </c>
      <c r="L1606" s="281">
        <f t="shared" si="2091"/>
        <v>10417</v>
      </c>
      <c r="M1606" s="251">
        <f t="shared" si="2092"/>
        <v>47</v>
      </c>
      <c r="N1606" s="343" t="str">
        <f t="shared" si="2086"/>
        <v>-</v>
      </c>
      <c r="O1606" s="264">
        <f t="shared" si="2072"/>
        <v>4.491590214067278E-3</v>
      </c>
    </row>
    <row r="1607" spans="1:15" ht="24" thickBot="1" x14ac:dyDescent="0.35">
      <c r="A1607" s="277" t="s">
        <v>111</v>
      </c>
      <c r="B1607" s="924"/>
      <c r="C1607" s="301" t="s">
        <v>267</v>
      </c>
      <c r="D1607" s="278" t="s">
        <v>263</v>
      </c>
      <c r="E1607" s="283">
        <v>0</v>
      </c>
      <c r="F1607" s="284"/>
      <c r="G1607" s="340">
        <f t="shared" si="2089"/>
        <v>0</v>
      </c>
      <c r="H1607" s="285">
        <v>0</v>
      </c>
      <c r="I1607" s="285">
        <v>0</v>
      </c>
      <c r="J1607" s="359" t="str">
        <f>IFERROR(G1607/#REF!,"-")</f>
        <v>-</v>
      </c>
      <c r="K1607" s="340">
        <f t="shared" si="2090"/>
        <v>14088</v>
      </c>
      <c r="L1607" s="285">
        <f t="shared" si="2091"/>
        <v>14000</v>
      </c>
      <c r="M1607" s="286">
        <f t="shared" si="2092"/>
        <v>88</v>
      </c>
      <c r="N1607" s="344" t="str">
        <f t="shared" si="2086"/>
        <v>-</v>
      </c>
      <c r="O1607" s="353">
        <f t="shared" si="2072"/>
        <v>6.2464508801817146E-3</v>
      </c>
    </row>
    <row r="1608" spans="1:15" ht="24" thickBot="1" x14ac:dyDescent="0.35">
      <c r="A1608" s="277" t="s">
        <v>111</v>
      </c>
      <c r="B1608" s="906" t="s">
        <v>52</v>
      </c>
      <c r="C1608" s="907"/>
      <c r="D1608" s="908"/>
      <c r="E1608" s="288">
        <v>157500</v>
      </c>
      <c r="F1608" s="289">
        <v>14000</v>
      </c>
      <c r="G1608" s="326">
        <f>SUM(G1600:G1607)</f>
        <v>11375</v>
      </c>
      <c r="H1608" s="327">
        <f t="shared" ref="H1608:I1608" si="2093">SUM(H1600:H1607)</f>
        <v>11375</v>
      </c>
      <c r="I1608" s="327">
        <f t="shared" si="2093"/>
        <v>0</v>
      </c>
      <c r="J1608" s="351" t="str">
        <f>IFERROR(G1608/#REF!,"-")</f>
        <v>-</v>
      </c>
      <c r="K1608" s="326">
        <f>SUM(K1600:K1607)</f>
        <v>150824</v>
      </c>
      <c r="L1608" s="327">
        <f t="shared" ref="L1608:M1608" si="2094">SUM(L1600:L1607)</f>
        <v>149819</v>
      </c>
      <c r="M1608" s="328">
        <f t="shared" si="2094"/>
        <v>1005</v>
      </c>
      <c r="N1608" s="345">
        <f t="shared" si="2086"/>
        <v>0.95761269841269836</v>
      </c>
      <c r="O1608" s="351">
        <f t="shared" si="2072"/>
        <v>6.6633957460351138E-3</v>
      </c>
    </row>
    <row r="1609" spans="1:15" ht="24" thickBot="1" x14ac:dyDescent="0.35">
      <c r="A1609" s="277" t="s">
        <v>111</v>
      </c>
      <c r="B1609" s="926" t="s">
        <v>25</v>
      </c>
      <c r="C1609" s="927"/>
      <c r="D1609" s="928"/>
      <c r="E1609" s="332">
        <f t="shared" ref="E1609:F1609" si="2095">+E1599+E1608</f>
        <v>1157500</v>
      </c>
      <c r="F1609" s="333">
        <f t="shared" si="2095"/>
        <v>94000</v>
      </c>
      <c r="G1609" s="332">
        <f>+G1599+G1608</f>
        <v>80771</v>
      </c>
      <c r="H1609" s="330">
        <f t="shared" ref="H1609:I1609" si="2096">+H1599+H1608</f>
        <v>80675</v>
      </c>
      <c r="I1609" s="330">
        <f t="shared" si="2096"/>
        <v>96</v>
      </c>
      <c r="J1609" s="355" t="str">
        <f>IFERROR(G1609/#REF!,"-")</f>
        <v>-</v>
      </c>
      <c r="K1609" s="332">
        <f t="shared" ref="K1609" si="2097">+K1599+K1608</f>
        <v>319462</v>
      </c>
      <c r="L1609" s="330">
        <f>+L1599+L1608</f>
        <v>318119</v>
      </c>
      <c r="M1609" s="331">
        <f t="shared" ref="M1609" si="2098">+M1599+M1608</f>
        <v>1343</v>
      </c>
      <c r="N1609" s="347">
        <f t="shared" si="2086"/>
        <v>0.27599308855291577</v>
      </c>
      <c r="O1609" s="355">
        <f t="shared" si="2072"/>
        <v>4.2039428789652604E-3</v>
      </c>
    </row>
    <row r="1610" spans="1:15" ht="24" thickBot="1" x14ac:dyDescent="0.35">
      <c r="A1610" s="277" t="s">
        <v>111</v>
      </c>
      <c r="B1610" s="900" t="s">
        <v>181</v>
      </c>
      <c r="C1610" s="901"/>
      <c r="D1610" s="902"/>
      <c r="E1610" s="336">
        <f>+E1594+E1609</f>
        <v>6932100</v>
      </c>
      <c r="F1610" s="337">
        <f t="shared" ref="F1610:I1610" si="2099">+F1594+F1609</f>
        <v>449000</v>
      </c>
      <c r="G1610" s="336">
        <f t="shared" si="2099"/>
        <v>264680</v>
      </c>
      <c r="H1610" s="334">
        <f t="shared" si="2099"/>
        <v>331859</v>
      </c>
      <c r="I1610" s="334">
        <f t="shared" si="2099"/>
        <v>575</v>
      </c>
      <c r="J1610" s="356" t="str">
        <f>IFERROR(G1610/#REF!,"-")</f>
        <v>-</v>
      </c>
      <c r="K1610" s="336">
        <f>+K1594+K1609</f>
        <v>2311437</v>
      </c>
      <c r="L1610" s="334">
        <f t="shared" ref="L1610:M1610" si="2100">+L1594+L1609</f>
        <v>2300978</v>
      </c>
      <c r="M1610" s="335">
        <f t="shared" si="2100"/>
        <v>10459</v>
      </c>
      <c r="N1610" s="348">
        <f>IFERROR(K1610/E1610,"-")</f>
        <v>0.33343965032241313</v>
      </c>
      <c r="O1610" s="356">
        <f t="shared" si="2072"/>
        <v>4.5248907930434618E-3</v>
      </c>
    </row>
    <row r="1611" spans="1:15" ht="23.4" x14ac:dyDescent="0.3">
      <c r="A1611" s="271" t="s">
        <v>109</v>
      </c>
      <c r="B1611" s="929" t="s">
        <v>26</v>
      </c>
      <c r="C1611" s="303" t="s">
        <v>334</v>
      </c>
      <c r="D1611" s="303" t="s">
        <v>192</v>
      </c>
      <c r="E1611" s="273">
        <v>0</v>
      </c>
      <c r="F1611" s="274"/>
      <c r="G1611" s="338">
        <f t="shared" ref="G1611:G1619" si="2101">+H1611+I1611</f>
        <v>0</v>
      </c>
      <c r="H1611" s="275">
        <v>0</v>
      </c>
      <c r="I1611" s="275">
        <v>0</v>
      </c>
      <c r="J1611" s="357" t="str">
        <f>IFERROR(G1611/#REF!,"-")</f>
        <v>-</v>
      </c>
      <c r="K1611" s="338">
        <f t="shared" ref="K1611:K1619" si="2102">+L1611+M1611</f>
        <v>326708</v>
      </c>
      <c r="L1611" s="275">
        <f t="shared" ref="L1611:L1619" si="2103">+H1611+L1507</f>
        <v>322218</v>
      </c>
      <c r="M1611" s="276">
        <f t="shared" ref="M1611:M1619" si="2104">+I1611+M1507</f>
        <v>4490</v>
      </c>
      <c r="N1611" s="342" t="str">
        <f t="shared" ref="N1611:N1612" si="2105">IFERROR(K1611/E1611,"-")</f>
        <v>-</v>
      </c>
      <c r="O1611" s="352">
        <f t="shared" si="2072"/>
        <v>1.3743159028857574E-2</v>
      </c>
    </row>
    <row r="1612" spans="1:15" ht="23.4" x14ac:dyDescent="0.3">
      <c r="A1612" s="277" t="s">
        <v>109</v>
      </c>
      <c r="B1612" s="929"/>
      <c r="C1612" s="304" t="s">
        <v>199</v>
      </c>
      <c r="D1612" s="304" t="s">
        <v>115</v>
      </c>
      <c r="E1612" s="279">
        <v>0</v>
      </c>
      <c r="F1612" s="280"/>
      <c r="G1612" s="339">
        <f t="shared" si="2101"/>
        <v>0</v>
      </c>
      <c r="H1612" s="281">
        <v>0</v>
      </c>
      <c r="I1612" s="281">
        <v>0</v>
      </c>
      <c r="J1612" s="358" t="str">
        <f>IFERROR(G1612/#REF!,"-")</f>
        <v>-</v>
      </c>
      <c r="K1612" s="339">
        <f t="shared" si="2102"/>
        <v>0</v>
      </c>
      <c r="L1612" s="281">
        <f t="shared" si="2103"/>
        <v>0</v>
      </c>
      <c r="M1612" s="251">
        <f t="shared" si="2104"/>
        <v>0</v>
      </c>
      <c r="N1612" s="343" t="str">
        <f t="shared" si="2105"/>
        <v>-</v>
      </c>
      <c r="O1612" s="264" t="str">
        <f t="shared" si="2072"/>
        <v>-</v>
      </c>
    </row>
    <row r="1613" spans="1:15" ht="23.4" x14ac:dyDescent="0.3">
      <c r="A1613" s="277" t="s">
        <v>109</v>
      </c>
      <c r="B1613" s="929"/>
      <c r="C1613" s="305" t="s">
        <v>27</v>
      </c>
      <c r="D1613" s="305" t="s">
        <v>394</v>
      </c>
      <c r="E1613" s="283">
        <v>0</v>
      </c>
      <c r="F1613" s="284"/>
      <c r="G1613" s="339">
        <f t="shared" si="2101"/>
        <v>16327</v>
      </c>
      <c r="H1613" s="285">
        <v>15912</v>
      </c>
      <c r="I1613" s="285">
        <v>415</v>
      </c>
      <c r="J1613" s="359" t="str">
        <f>IFERROR(G1613/#REF!,"-")</f>
        <v>-</v>
      </c>
      <c r="K1613" s="339">
        <f t="shared" si="2102"/>
        <v>16327</v>
      </c>
      <c r="L1613" s="285">
        <f t="shared" si="2103"/>
        <v>15912</v>
      </c>
      <c r="M1613" s="286">
        <f t="shared" si="2104"/>
        <v>415</v>
      </c>
      <c r="N1613" s="287"/>
      <c r="O1613" s="264">
        <f t="shared" si="2072"/>
        <v>2.5418019231947083E-2</v>
      </c>
    </row>
    <row r="1614" spans="1:15" ht="23.4" x14ac:dyDescent="0.3">
      <c r="A1614" s="277" t="s">
        <v>109</v>
      </c>
      <c r="B1614" s="929"/>
      <c r="C1614" s="305" t="s">
        <v>27</v>
      </c>
      <c r="D1614" s="305" t="s">
        <v>311</v>
      </c>
      <c r="E1614" s="283">
        <v>0</v>
      </c>
      <c r="F1614" s="284"/>
      <c r="G1614" s="339">
        <f t="shared" si="2101"/>
        <v>0</v>
      </c>
      <c r="H1614" s="285">
        <v>0</v>
      </c>
      <c r="I1614" s="285">
        <v>0</v>
      </c>
      <c r="J1614" s="359" t="str">
        <f>IFERROR(G1614/#REF!,"-")</f>
        <v>-</v>
      </c>
      <c r="K1614" s="339">
        <f t="shared" si="2102"/>
        <v>0</v>
      </c>
      <c r="L1614" s="285">
        <f t="shared" si="2103"/>
        <v>0</v>
      </c>
      <c r="M1614" s="286">
        <f t="shared" si="2104"/>
        <v>0</v>
      </c>
      <c r="N1614" s="287"/>
      <c r="O1614" s="264" t="str">
        <f t="shared" si="2072"/>
        <v>-</v>
      </c>
    </row>
    <row r="1615" spans="1:15" ht="23.4" x14ac:dyDescent="0.3">
      <c r="A1615" s="277" t="s">
        <v>109</v>
      </c>
      <c r="B1615" s="929"/>
      <c r="C1615" s="305" t="s">
        <v>325</v>
      </c>
      <c r="D1615" s="305" t="s">
        <v>324</v>
      </c>
      <c r="E1615" s="283">
        <v>0</v>
      </c>
      <c r="F1615" s="284"/>
      <c r="G1615" s="339">
        <f t="shared" si="2101"/>
        <v>0</v>
      </c>
      <c r="H1615" s="285">
        <v>0</v>
      </c>
      <c r="I1615" s="285">
        <v>0</v>
      </c>
      <c r="J1615" s="359" t="str">
        <f>IFERROR(G1615/#REF!,"-")</f>
        <v>-</v>
      </c>
      <c r="K1615" s="339">
        <f t="shared" si="2102"/>
        <v>0</v>
      </c>
      <c r="L1615" s="285">
        <f t="shared" si="2103"/>
        <v>0</v>
      </c>
      <c r="M1615" s="286">
        <f t="shared" si="2104"/>
        <v>0</v>
      </c>
      <c r="N1615" s="287"/>
      <c r="O1615" s="264" t="str">
        <f t="shared" si="2072"/>
        <v>-</v>
      </c>
    </row>
    <row r="1616" spans="1:15" ht="23.4" x14ac:dyDescent="0.3">
      <c r="A1616" s="277"/>
      <c r="B1616" s="929"/>
      <c r="C1616" s="305" t="s">
        <v>393</v>
      </c>
      <c r="D1616" s="305" t="s">
        <v>192</v>
      </c>
      <c r="E1616" s="283">
        <v>0</v>
      </c>
      <c r="F1616" s="284"/>
      <c r="G1616" s="340">
        <f t="shared" si="2101"/>
        <v>0</v>
      </c>
      <c r="H1616" s="285">
        <v>0</v>
      </c>
      <c r="I1616" s="285">
        <v>0</v>
      </c>
      <c r="J1616" s="359" t="str">
        <f>IFERROR(G1616/#REF!,"-")</f>
        <v>-</v>
      </c>
      <c r="K1616" s="340">
        <f t="shared" si="2102"/>
        <v>0</v>
      </c>
      <c r="L1616" s="285">
        <f t="shared" si="2103"/>
        <v>0</v>
      </c>
      <c r="M1616" s="286">
        <f t="shared" si="2104"/>
        <v>0</v>
      </c>
      <c r="N1616" s="287"/>
      <c r="O1616" s="264" t="str">
        <f t="shared" si="2072"/>
        <v>-</v>
      </c>
    </row>
    <row r="1617" spans="1:15" ht="23.4" x14ac:dyDescent="0.3">
      <c r="A1617" s="277"/>
      <c r="B1617" s="929"/>
      <c r="C1617" s="305" t="s">
        <v>325</v>
      </c>
      <c r="D1617" s="305" t="s">
        <v>101</v>
      </c>
      <c r="E1617" s="283">
        <v>0</v>
      </c>
      <c r="F1617" s="284"/>
      <c r="G1617" s="340">
        <f t="shared" si="2101"/>
        <v>0</v>
      </c>
      <c r="H1617" s="285">
        <v>0</v>
      </c>
      <c r="I1617" s="285">
        <v>0</v>
      </c>
      <c r="J1617" s="359" t="str">
        <f>IFERROR(G1617/#REF!,"-")</f>
        <v>-</v>
      </c>
      <c r="K1617" s="340">
        <f t="shared" si="2102"/>
        <v>3978</v>
      </c>
      <c r="L1617" s="285">
        <f t="shared" si="2103"/>
        <v>3978</v>
      </c>
      <c r="M1617" s="286">
        <f t="shared" si="2104"/>
        <v>0</v>
      </c>
      <c r="N1617" s="287"/>
      <c r="O1617" s="264">
        <f t="shared" si="2072"/>
        <v>0</v>
      </c>
    </row>
    <row r="1618" spans="1:15" ht="23.4" x14ac:dyDescent="0.3">
      <c r="A1618" s="277"/>
      <c r="B1618" s="929"/>
      <c r="C1618" s="305" t="s">
        <v>325</v>
      </c>
      <c r="D1618" s="305" t="s">
        <v>394</v>
      </c>
      <c r="E1618" s="283">
        <v>0</v>
      </c>
      <c r="F1618" s="284"/>
      <c r="G1618" s="340">
        <f t="shared" si="2101"/>
        <v>8414</v>
      </c>
      <c r="H1618" s="285">
        <v>7956</v>
      </c>
      <c r="I1618" s="285">
        <v>458</v>
      </c>
      <c r="J1618" s="359" t="str">
        <f>IFERROR(G1618/#REF!,"-")</f>
        <v>-</v>
      </c>
      <c r="K1618" s="340">
        <f t="shared" si="2102"/>
        <v>720648</v>
      </c>
      <c r="L1618" s="285">
        <f t="shared" si="2103"/>
        <v>712062</v>
      </c>
      <c r="M1618" s="286">
        <f t="shared" si="2104"/>
        <v>8586</v>
      </c>
      <c r="N1618" s="287"/>
      <c r="O1618" s="264">
        <f t="shared" si="2072"/>
        <v>1.1914277150564492E-2</v>
      </c>
    </row>
    <row r="1619" spans="1:15" ht="24" thickBot="1" x14ac:dyDescent="0.35">
      <c r="A1619" s="277" t="s">
        <v>109</v>
      </c>
      <c r="B1619" s="929"/>
      <c r="C1619" s="306" t="s">
        <v>326</v>
      </c>
      <c r="D1619" s="305" t="s">
        <v>324</v>
      </c>
      <c r="E1619" s="283">
        <v>0</v>
      </c>
      <c r="F1619" s="284"/>
      <c r="G1619" s="340">
        <f t="shared" si="2101"/>
        <v>0</v>
      </c>
      <c r="H1619" s="285">
        <v>0</v>
      </c>
      <c r="I1619" s="285">
        <v>0</v>
      </c>
      <c r="J1619" s="359" t="str">
        <f>IFERROR(G1619/#REF!,"-")</f>
        <v>-</v>
      </c>
      <c r="K1619" s="340">
        <f t="shared" si="2102"/>
        <v>7956</v>
      </c>
      <c r="L1619" s="285">
        <f t="shared" si="2103"/>
        <v>7956</v>
      </c>
      <c r="M1619" s="286">
        <f t="shared" si="2104"/>
        <v>0</v>
      </c>
      <c r="N1619" s="344" t="str">
        <f t="shared" ref="N1619:N1624" si="2106">IFERROR(K1619/E1619,"-")</f>
        <v>-</v>
      </c>
      <c r="O1619" s="353">
        <f t="shared" si="2072"/>
        <v>0</v>
      </c>
    </row>
    <row r="1620" spans="1:15" ht="24" thickBot="1" x14ac:dyDescent="0.35">
      <c r="A1620" s="277" t="s">
        <v>109</v>
      </c>
      <c r="B1620" s="930"/>
      <c r="C1620" s="307"/>
      <c r="D1620" s="308" t="s">
        <v>55</v>
      </c>
      <c r="E1620" s="288">
        <v>0</v>
      </c>
      <c r="F1620" s="289"/>
      <c r="G1620" s="326">
        <f>SUM(G1611:G1619)</f>
        <v>24741</v>
      </c>
      <c r="H1620" s="327">
        <f>SUM(H1611:H1619)</f>
        <v>23868</v>
      </c>
      <c r="I1620" s="327">
        <f>SUM(I1611:I1619)</f>
        <v>873</v>
      </c>
      <c r="J1620" s="351" t="str">
        <f>IFERROR(G1620/#REF!,"-")</f>
        <v>-</v>
      </c>
      <c r="K1620" s="326">
        <f>SUM(K1611:K1619)</f>
        <v>1075617</v>
      </c>
      <c r="L1620" s="327">
        <f>SUM(L1611:L1619)</f>
        <v>1062126</v>
      </c>
      <c r="M1620" s="328">
        <f>SUM(M1611:M1619)</f>
        <v>13491</v>
      </c>
      <c r="N1620" s="345" t="str">
        <f t="shared" si="2106"/>
        <v>-</v>
      </c>
      <c r="O1620" s="351">
        <f t="shared" si="2072"/>
        <v>1.2542568590864592E-2</v>
      </c>
    </row>
    <row r="1621" spans="1:15" ht="23.4" x14ac:dyDescent="0.3">
      <c r="A1621" s="277" t="s">
        <v>109</v>
      </c>
      <c r="B1621" s="931" t="s">
        <v>28</v>
      </c>
      <c r="C1621" s="303" t="s">
        <v>322</v>
      </c>
      <c r="D1621" s="303" t="s">
        <v>193</v>
      </c>
      <c r="E1621" s="273">
        <v>0</v>
      </c>
      <c r="F1621" s="274"/>
      <c r="G1621" s="338">
        <f t="shared" ref="G1621:G1623" si="2107">+H1621+I1621</f>
        <v>0</v>
      </c>
      <c r="H1621" s="275">
        <v>0</v>
      </c>
      <c r="I1621" s="275">
        <v>0</v>
      </c>
      <c r="J1621" s="357" t="str">
        <f>IFERROR(G1621/#REF!,"-")</f>
        <v>-</v>
      </c>
      <c r="K1621" s="338">
        <f t="shared" ref="K1621:K1623" si="2108">+L1621+M1621</f>
        <v>0</v>
      </c>
      <c r="L1621" s="275">
        <f t="shared" ref="L1621:L1623" si="2109">+H1621+L1517</f>
        <v>0</v>
      </c>
      <c r="M1621" s="276">
        <f t="shared" ref="M1621:M1623" si="2110">+I1621+M1517</f>
        <v>0</v>
      </c>
      <c r="N1621" s="342" t="str">
        <f t="shared" si="2106"/>
        <v>-</v>
      </c>
      <c r="O1621" s="352" t="str">
        <f t="shared" si="2072"/>
        <v>-</v>
      </c>
    </row>
    <row r="1622" spans="1:15" ht="23.4" x14ac:dyDescent="0.3">
      <c r="A1622" s="277" t="s">
        <v>109</v>
      </c>
      <c r="B1622" s="929"/>
      <c r="C1622" s="305" t="s">
        <v>27</v>
      </c>
      <c r="D1622" s="305" t="s">
        <v>394</v>
      </c>
      <c r="E1622" s="279">
        <v>0</v>
      </c>
      <c r="F1622" s="280"/>
      <c r="G1622" s="339">
        <f t="shared" si="2107"/>
        <v>68442</v>
      </c>
      <c r="H1622" s="281">
        <v>67626</v>
      </c>
      <c r="I1622" s="281">
        <v>816</v>
      </c>
      <c r="J1622" s="358" t="str">
        <f>IFERROR(G1622/#REF!,"-")</f>
        <v>-</v>
      </c>
      <c r="K1622" s="339">
        <f t="shared" si="2108"/>
        <v>309240</v>
      </c>
      <c r="L1622" s="281">
        <f t="shared" si="2109"/>
        <v>306306</v>
      </c>
      <c r="M1622" s="251">
        <f t="shared" si="2110"/>
        <v>2934</v>
      </c>
      <c r="N1622" s="343" t="str">
        <f t="shared" si="2106"/>
        <v>-</v>
      </c>
      <c r="O1622" s="264">
        <f t="shared" si="2072"/>
        <v>9.4877764842840519E-3</v>
      </c>
    </row>
    <row r="1623" spans="1:15" ht="24" thickBot="1" x14ac:dyDescent="0.35">
      <c r="A1623" s="277" t="s">
        <v>109</v>
      </c>
      <c r="B1623" s="929"/>
      <c r="C1623" s="305" t="s">
        <v>27</v>
      </c>
      <c r="D1623" s="306" t="s">
        <v>259</v>
      </c>
      <c r="E1623" s="283">
        <v>0</v>
      </c>
      <c r="F1623" s="284"/>
      <c r="G1623" s="340">
        <f t="shared" si="2107"/>
        <v>48144</v>
      </c>
      <c r="H1623" s="285">
        <v>47736</v>
      </c>
      <c r="I1623" s="285">
        <v>408</v>
      </c>
      <c r="J1623" s="359" t="str">
        <f>IFERROR(G1623/#REF!,"-")</f>
        <v>-</v>
      </c>
      <c r="K1623" s="340">
        <f t="shared" si="2108"/>
        <v>269704</v>
      </c>
      <c r="L1623" s="285">
        <f t="shared" si="2109"/>
        <v>266526</v>
      </c>
      <c r="M1623" s="286">
        <f t="shared" si="2110"/>
        <v>3178</v>
      </c>
      <c r="N1623" s="344" t="str">
        <f t="shared" si="2106"/>
        <v>-</v>
      </c>
      <c r="O1623" s="353">
        <f t="shared" si="2072"/>
        <v>1.1783288345741999E-2</v>
      </c>
    </row>
    <row r="1624" spans="1:15" ht="24" thickBot="1" x14ac:dyDescent="0.35">
      <c r="A1624" s="277" t="s">
        <v>109</v>
      </c>
      <c r="B1624" s="929"/>
      <c r="C1624" s="310"/>
      <c r="D1624" s="311" t="s">
        <v>55</v>
      </c>
      <c r="E1624" s="312">
        <v>0</v>
      </c>
      <c r="F1624" s="313"/>
      <c r="G1624" s="372">
        <f>SUM(G1621:G1623)</f>
        <v>116586</v>
      </c>
      <c r="H1624" s="371">
        <f t="shared" ref="H1624:I1624" si="2111">SUM(H1621:H1623)</f>
        <v>115362</v>
      </c>
      <c r="I1624" s="371">
        <f t="shared" si="2111"/>
        <v>1224</v>
      </c>
      <c r="J1624" s="362" t="str">
        <f>IFERROR(G1624/#REF!,"-")</f>
        <v>-</v>
      </c>
      <c r="K1624" s="372">
        <f>SUM(K1621:K1623)</f>
        <v>578944</v>
      </c>
      <c r="L1624" s="371">
        <f>SUM(L1621:L1623)</f>
        <v>572832</v>
      </c>
      <c r="M1624" s="373">
        <f t="shared" ref="M1624" si="2112">SUM(M1621:M1623)</f>
        <v>6112</v>
      </c>
      <c r="N1624" s="361" t="str">
        <f t="shared" si="2106"/>
        <v>-</v>
      </c>
      <c r="O1624" s="362">
        <f t="shared" si="2072"/>
        <v>1.0557152332522662E-2</v>
      </c>
    </row>
    <row r="1625" spans="1:15" ht="24" thickBot="1" x14ac:dyDescent="0.35">
      <c r="A1625" s="837" t="s">
        <v>109</v>
      </c>
      <c r="B1625" s="932" t="s">
        <v>171</v>
      </c>
      <c r="C1625" s="933"/>
      <c r="D1625" s="934"/>
      <c r="E1625" s="314">
        <v>2167000</v>
      </c>
      <c r="F1625" s="315">
        <v>80000</v>
      </c>
      <c r="G1625" s="375">
        <f>+G1620+G1624</f>
        <v>141327</v>
      </c>
      <c r="H1625" s="374">
        <f t="shared" ref="H1625:I1625" si="2113">+H1620+H1624</f>
        <v>139230</v>
      </c>
      <c r="I1625" s="374">
        <f t="shared" si="2113"/>
        <v>2097</v>
      </c>
      <c r="J1625" s="364" t="str">
        <f>IFERROR(G1625/#REF!,"-")</f>
        <v>-</v>
      </c>
      <c r="K1625" s="375">
        <f>+K1620+K1624</f>
        <v>1654561</v>
      </c>
      <c r="L1625" s="374">
        <f>+L1620+L1624</f>
        <v>1634958</v>
      </c>
      <c r="M1625" s="376">
        <f t="shared" ref="M1625" si="2114">+M1620+M1624</f>
        <v>19603</v>
      </c>
      <c r="N1625" s="363">
        <f>IFERROR(K1625/E1625,"-")</f>
        <v>0.7635260729118597</v>
      </c>
      <c r="O1625" s="364">
        <f t="shared" si="2072"/>
        <v>1.1847855715201796E-2</v>
      </c>
    </row>
    <row r="1626" spans="1:15" ht="23.4" x14ac:dyDescent="0.3">
      <c r="A1626" s="277" t="s">
        <v>109</v>
      </c>
      <c r="B1626" s="929" t="s">
        <v>30</v>
      </c>
      <c r="C1626" s="309" t="s">
        <v>396</v>
      </c>
      <c r="D1626" s="303" t="s">
        <v>193</v>
      </c>
      <c r="E1626" s="273">
        <v>0</v>
      </c>
      <c r="F1626" s="274"/>
      <c r="G1626" s="338">
        <f t="shared" ref="G1626:G1628" si="2115">+H1626+I1626</f>
        <v>0</v>
      </c>
      <c r="H1626" s="275">
        <v>0</v>
      </c>
      <c r="I1626" s="275">
        <v>0</v>
      </c>
      <c r="J1626" s="357" t="str">
        <f>IFERROR(G1626/#REF!,"-")</f>
        <v>-</v>
      </c>
      <c r="K1626" s="338">
        <f t="shared" ref="K1626:K1628" si="2116">+L1626+M1626</f>
        <v>0</v>
      </c>
      <c r="L1626" s="275">
        <f t="shared" ref="L1626:L1628" si="2117">+H1626+L1522</f>
        <v>0</v>
      </c>
      <c r="M1626" s="276">
        <f t="shared" ref="M1626:M1628" si="2118">+I1626+M1522</f>
        <v>0</v>
      </c>
      <c r="N1626" s="342" t="str">
        <f t="shared" ref="N1626:N1636" si="2119">IFERROR(K1626/E1626,"-")</f>
        <v>-</v>
      </c>
      <c r="O1626" s="352" t="str">
        <f t="shared" si="2072"/>
        <v>-</v>
      </c>
    </row>
    <row r="1627" spans="1:15" ht="23.4" x14ac:dyDescent="0.3">
      <c r="A1627" s="277" t="s">
        <v>109</v>
      </c>
      <c r="B1627" s="929"/>
      <c r="C1627" s="309" t="s">
        <v>395</v>
      </c>
      <c r="D1627" s="309" t="s">
        <v>324</v>
      </c>
      <c r="E1627" s="279">
        <v>0</v>
      </c>
      <c r="F1627" s="280"/>
      <c r="G1627" s="339">
        <f t="shared" si="2115"/>
        <v>0</v>
      </c>
      <c r="H1627" s="281">
        <v>0</v>
      </c>
      <c r="I1627" s="281">
        <v>0</v>
      </c>
      <c r="J1627" s="358" t="str">
        <f>IFERROR(G1627/#REF!,"-")</f>
        <v>-</v>
      </c>
      <c r="K1627" s="339">
        <f t="shared" si="2116"/>
        <v>0</v>
      </c>
      <c r="L1627" s="281">
        <f t="shared" si="2117"/>
        <v>0</v>
      </c>
      <c r="M1627" s="251">
        <f t="shared" si="2118"/>
        <v>0</v>
      </c>
      <c r="N1627" s="343" t="str">
        <f t="shared" si="2119"/>
        <v>-</v>
      </c>
      <c r="O1627" s="264" t="str">
        <f t="shared" si="2072"/>
        <v>-</v>
      </c>
    </row>
    <row r="1628" spans="1:15" ht="24" thickBot="1" x14ac:dyDescent="0.35">
      <c r="A1628" s="277" t="s">
        <v>109</v>
      </c>
      <c r="B1628" s="929"/>
      <c r="C1628" s="306" t="s">
        <v>327</v>
      </c>
      <c r="D1628" s="306"/>
      <c r="E1628" s="283">
        <v>0</v>
      </c>
      <c r="F1628" s="284"/>
      <c r="G1628" s="340">
        <f t="shared" si="2115"/>
        <v>4374</v>
      </c>
      <c r="H1628" s="285">
        <v>3744</v>
      </c>
      <c r="I1628" s="285">
        <v>630</v>
      </c>
      <c r="J1628" s="359" t="str">
        <f>IFERROR(G1628/#REF!,"-")</f>
        <v>-</v>
      </c>
      <c r="K1628" s="340">
        <f t="shared" si="2116"/>
        <v>53929</v>
      </c>
      <c r="L1628" s="285">
        <f t="shared" si="2117"/>
        <v>52416</v>
      </c>
      <c r="M1628" s="286">
        <f t="shared" si="2118"/>
        <v>1513</v>
      </c>
      <c r="N1628" s="344" t="str">
        <f t="shared" si="2119"/>
        <v>-</v>
      </c>
      <c r="O1628" s="353">
        <f t="shared" si="2072"/>
        <v>2.8055406182202525E-2</v>
      </c>
    </row>
    <row r="1629" spans="1:15" ht="24" thickBot="1" x14ac:dyDescent="0.35">
      <c r="A1629" s="277" t="s">
        <v>109</v>
      </c>
      <c r="B1629" s="929"/>
      <c r="C1629" s="307"/>
      <c r="D1629" s="308" t="s">
        <v>53</v>
      </c>
      <c r="E1629" s="288">
        <v>0</v>
      </c>
      <c r="F1629" s="289"/>
      <c r="G1629" s="326">
        <f>SUM(G1626:G1628)</f>
        <v>4374</v>
      </c>
      <c r="H1629" s="327">
        <f t="shared" ref="H1629:I1629" si="2120">SUM(H1626:H1628)</f>
        <v>3744</v>
      </c>
      <c r="I1629" s="327">
        <f t="shared" si="2120"/>
        <v>630</v>
      </c>
      <c r="J1629" s="351" t="str">
        <f>IFERROR(G1629/#REF!,"-")</f>
        <v>-</v>
      </c>
      <c r="K1629" s="326">
        <f t="shared" ref="K1629" si="2121">SUM(K1626:K1628)</f>
        <v>53929</v>
      </c>
      <c r="L1629" s="327">
        <f>SUM(L1626:L1628)</f>
        <v>52416</v>
      </c>
      <c r="M1629" s="328">
        <f t="shared" ref="M1629" si="2122">SUM(M1626:M1628)</f>
        <v>1513</v>
      </c>
      <c r="N1629" s="345" t="str">
        <f t="shared" si="2119"/>
        <v>-</v>
      </c>
      <c r="O1629" s="351">
        <f t="shared" si="2072"/>
        <v>2.8055406182202525E-2</v>
      </c>
    </row>
    <row r="1630" spans="1:15" ht="23.4" x14ac:dyDescent="0.3">
      <c r="A1630" s="277" t="s">
        <v>109</v>
      </c>
      <c r="B1630" s="929"/>
      <c r="C1630" s="303" t="s">
        <v>352</v>
      </c>
      <c r="D1630" s="303"/>
      <c r="E1630" s="273">
        <v>0</v>
      </c>
      <c r="F1630" s="274"/>
      <c r="G1630" s="338">
        <f t="shared" ref="G1630:G1632" si="2123">+H1630+I1630</f>
        <v>0</v>
      </c>
      <c r="H1630" s="275">
        <v>0</v>
      </c>
      <c r="I1630" s="275">
        <v>0</v>
      </c>
      <c r="J1630" s="357" t="str">
        <f>IFERROR(G1630/#REF!,"-")</f>
        <v>-</v>
      </c>
      <c r="K1630" s="338">
        <f t="shared" ref="K1630:K1632" si="2124">+L1630+M1630</f>
        <v>0</v>
      </c>
      <c r="L1630" s="275">
        <f t="shared" ref="L1630:L1632" si="2125">+H1630+L1526</f>
        <v>0</v>
      </c>
      <c r="M1630" s="276">
        <f t="shared" ref="M1630:M1632" si="2126">+I1630+M1526</f>
        <v>0</v>
      </c>
      <c r="N1630" s="342" t="str">
        <f t="shared" si="2119"/>
        <v>-</v>
      </c>
      <c r="O1630" s="352" t="str">
        <f t="shared" si="2072"/>
        <v>-</v>
      </c>
    </row>
    <row r="1631" spans="1:15" ht="23.4" x14ac:dyDescent="0.3">
      <c r="A1631" s="277" t="s">
        <v>109</v>
      </c>
      <c r="B1631" s="929"/>
      <c r="C1631" s="309" t="s">
        <v>397</v>
      </c>
      <c r="D1631" s="309" t="s">
        <v>259</v>
      </c>
      <c r="E1631" s="279">
        <v>0</v>
      </c>
      <c r="F1631" s="280"/>
      <c r="G1631" s="339">
        <f t="shared" si="2123"/>
        <v>0</v>
      </c>
      <c r="H1631" s="281">
        <v>0</v>
      </c>
      <c r="I1631" s="281">
        <v>0</v>
      </c>
      <c r="J1631" s="358" t="str">
        <f>IFERROR(G1631/#REF!,"-")</f>
        <v>-</v>
      </c>
      <c r="K1631" s="339">
        <f t="shared" si="2124"/>
        <v>493341</v>
      </c>
      <c r="L1631" s="281">
        <f t="shared" si="2125"/>
        <v>481104</v>
      </c>
      <c r="M1631" s="251">
        <f t="shared" si="2126"/>
        <v>12237</v>
      </c>
      <c r="N1631" s="343" t="str">
        <f t="shared" si="2119"/>
        <v>-</v>
      </c>
      <c r="O1631" s="264">
        <f t="shared" si="2072"/>
        <v>2.4804344256812227E-2</v>
      </c>
    </row>
    <row r="1632" spans="1:15" ht="24" thickBot="1" x14ac:dyDescent="0.35">
      <c r="A1632" s="277" t="s">
        <v>109</v>
      </c>
      <c r="B1632" s="929"/>
      <c r="C1632" s="306" t="s">
        <v>146</v>
      </c>
      <c r="D1632" s="306"/>
      <c r="E1632" s="283">
        <v>0</v>
      </c>
      <c r="F1632" s="284"/>
      <c r="G1632" s="340">
        <f t="shared" si="2123"/>
        <v>0</v>
      </c>
      <c r="H1632" s="285">
        <v>0</v>
      </c>
      <c r="I1632" s="285">
        <v>0</v>
      </c>
      <c r="J1632" s="359" t="str">
        <f>IFERROR(G1632/#REF!,"-")</f>
        <v>-</v>
      </c>
      <c r="K1632" s="340">
        <f t="shared" si="2124"/>
        <v>0</v>
      </c>
      <c r="L1632" s="285">
        <f t="shared" si="2125"/>
        <v>0</v>
      </c>
      <c r="M1632" s="286">
        <f t="shared" si="2126"/>
        <v>0</v>
      </c>
      <c r="N1632" s="344" t="str">
        <f t="shared" si="2119"/>
        <v>-</v>
      </c>
      <c r="O1632" s="353" t="str">
        <f t="shared" si="2072"/>
        <v>-</v>
      </c>
    </row>
    <row r="1633" spans="1:15" ht="24" thickBot="1" x14ac:dyDescent="0.35">
      <c r="A1633" s="277" t="s">
        <v>109</v>
      </c>
      <c r="B1633" s="929"/>
      <c r="C1633" s="310"/>
      <c r="D1633" s="311" t="s">
        <v>54</v>
      </c>
      <c r="E1633" s="312">
        <v>0</v>
      </c>
      <c r="F1633" s="313"/>
      <c r="G1633" s="372">
        <f>SUM(G1630:G1632)</f>
        <v>0</v>
      </c>
      <c r="H1633" s="371">
        <f t="shared" ref="H1633:I1633" si="2127">SUM(H1630:H1632)</f>
        <v>0</v>
      </c>
      <c r="I1633" s="371">
        <f t="shared" si="2127"/>
        <v>0</v>
      </c>
      <c r="J1633" s="362" t="str">
        <f>IFERROR(G1633/#REF!,"-")</f>
        <v>-</v>
      </c>
      <c r="K1633" s="372">
        <f t="shared" ref="K1633:M1633" si="2128">SUM(K1630:K1632)</f>
        <v>493341</v>
      </c>
      <c r="L1633" s="371">
        <f t="shared" si="2128"/>
        <v>481104</v>
      </c>
      <c r="M1633" s="373">
        <f t="shared" si="2128"/>
        <v>12237</v>
      </c>
      <c r="N1633" s="361" t="str">
        <f t="shared" si="2119"/>
        <v>-</v>
      </c>
      <c r="O1633" s="362">
        <f t="shared" si="2072"/>
        <v>2.4804344256812227E-2</v>
      </c>
    </row>
    <row r="1634" spans="1:15" ht="24" thickBot="1" x14ac:dyDescent="0.35">
      <c r="A1634" s="277" t="s">
        <v>109</v>
      </c>
      <c r="B1634" s="932" t="s">
        <v>172</v>
      </c>
      <c r="C1634" s="933"/>
      <c r="D1634" s="934"/>
      <c r="E1634" s="314">
        <v>649600</v>
      </c>
      <c r="F1634" s="315">
        <v>50000</v>
      </c>
      <c r="G1634" s="375">
        <f>+G1629+G1633</f>
        <v>4374</v>
      </c>
      <c r="H1634" s="374">
        <f t="shared" ref="H1634:I1634" si="2129">+H1629+H1633</f>
        <v>3744</v>
      </c>
      <c r="I1634" s="374">
        <f t="shared" si="2129"/>
        <v>630</v>
      </c>
      <c r="J1634" s="364" t="str">
        <f>IFERROR(G1634/#REF!,"-")</f>
        <v>-</v>
      </c>
      <c r="K1634" s="375">
        <f t="shared" ref="K1634:M1634" si="2130">+K1629+K1633</f>
        <v>547270</v>
      </c>
      <c r="L1634" s="374">
        <f t="shared" si="2130"/>
        <v>533520</v>
      </c>
      <c r="M1634" s="376">
        <f t="shared" si="2130"/>
        <v>13750</v>
      </c>
      <c r="N1634" s="363">
        <f t="shared" si="2119"/>
        <v>0.84247229064039408</v>
      </c>
      <c r="O1634" s="364">
        <f t="shared" si="2072"/>
        <v>2.5124709923803609E-2</v>
      </c>
    </row>
    <row r="1635" spans="1:15" ht="24" thickBot="1" x14ac:dyDescent="0.35">
      <c r="A1635" s="277" t="s">
        <v>109</v>
      </c>
      <c r="B1635" s="616" t="s">
        <v>32</v>
      </c>
      <c r="C1635" s="833"/>
      <c r="D1635" s="316" t="s">
        <v>32</v>
      </c>
      <c r="E1635" s="293">
        <v>0</v>
      </c>
      <c r="F1635" s="294">
        <v>110000</v>
      </c>
      <c r="G1635" s="341">
        <f t="shared" ref="G1635" si="2131">+H1635+I1635</f>
        <v>0</v>
      </c>
      <c r="H1635" s="295">
        <v>0</v>
      </c>
      <c r="I1635" s="295">
        <v>0</v>
      </c>
      <c r="J1635" s="360" t="str">
        <f>IFERROR(G1635/#REF!,"-")</f>
        <v>-</v>
      </c>
      <c r="K1635" s="341">
        <f>+L1635+M1635</f>
        <v>0</v>
      </c>
      <c r="L1635" s="295">
        <f>+H1635+L1531</f>
        <v>0</v>
      </c>
      <c r="M1635" s="296">
        <f>+I1635+M1531</f>
        <v>0</v>
      </c>
      <c r="N1635" s="346" t="str">
        <f t="shared" si="2119"/>
        <v>-</v>
      </c>
      <c r="O1635" s="354" t="str">
        <f t="shared" si="2072"/>
        <v>-</v>
      </c>
    </row>
    <row r="1636" spans="1:15" ht="24" thickBot="1" x14ac:dyDescent="0.35">
      <c r="A1636" s="277" t="s">
        <v>109</v>
      </c>
      <c r="B1636" s="926" t="s">
        <v>21</v>
      </c>
      <c r="C1636" s="927"/>
      <c r="D1636" s="928"/>
      <c r="E1636" s="332">
        <f>+E1625+E1634+E1635</f>
        <v>2816600</v>
      </c>
      <c r="F1636" s="333">
        <f t="shared" ref="F1636" si="2132">+F1625+F1634+F1635</f>
        <v>240000</v>
      </c>
      <c r="G1636" s="332">
        <f>+G1625+G1634+G1635</f>
        <v>145701</v>
      </c>
      <c r="H1636" s="330">
        <f t="shared" ref="H1636:I1636" si="2133">+H1625+H1634+H1635</f>
        <v>142974</v>
      </c>
      <c r="I1636" s="330">
        <f t="shared" si="2133"/>
        <v>2727</v>
      </c>
      <c r="J1636" s="355" t="str">
        <f>IFERROR(G1636/#REF!,"-")</f>
        <v>-</v>
      </c>
      <c r="K1636" s="332">
        <f>+K1625+K1634+K1635</f>
        <v>2201831</v>
      </c>
      <c r="L1636" s="330">
        <f>+L1625+L1634+L1635</f>
        <v>2168478</v>
      </c>
      <c r="M1636" s="331">
        <f t="shared" ref="M1636" si="2134">+M1625+M1634+M1635</f>
        <v>33353</v>
      </c>
      <c r="N1636" s="347">
        <f t="shared" si="2119"/>
        <v>0.78173365050060362</v>
      </c>
      <c r="O1636" s="355">
        <f t="shared" si="2072"/>
        <v>1.5147847405182322E-2</v>
      </c>
    </row>
    <row r="1637" spans="1:15" ht="24" thickBot="1" x14ac:dyDescent="0.35">
      <c r="A1637" s="277" t="s">
        <v>109</v>
      </c>
      <c r="B1637" s="900" t="s">
        <v>180</v>
      </c>
      <c r="C1637" s="901"/>
      <c r="D1637" s="902"/>
      <c r="E1637" s="336">
        <f>+E1636</f>
        <v>2816600</v>
      </c>
      <c r="F1637" s="337">
        <f t="shared" ref="F1637:I1637" si="2135">+F1636</f>
        <v>240000</v>
      </c>
      <c r="G1637" s="336">
        <f t="shared" si="2135"/>
        <v>145701</v>
      </c>
      <c r="H1637" s="334">
        <f t="shared" si="2135"/>
        <v>142974</v>
      </c>
      <c r="I1637" s="334">
        <f t="shared" si="2135"/>
        <v>2727</v>
      </c>
      <c r="J1637" s="356" t="str">
        <f>+J1636</f>
        <v>-</v>
      </c>
      <c r="K1637" s="336">
        <f>+K1636</f>
        <v>2201831</v>
      </c>
      <c r="L1637" s="334">
        <f t="shared" ref="L1637" si="2136">+L1636</f>
        <v>2168478</v>
      </c>
      <c r="M1637" s="335">
        <f>+M1636</f>
        <v>33353</v>
      </c>
      <c r="N1637" s="348">
        <f t="shared" ref="N1637:O1637" si="2137">+N1636</f>
        <v>0.78173365050060362</v>
      </c>
      <c r="O1637" s="356">
        <f t="shared" si="2137"/>
        <v>1.5147847405182322E-2</v>
      </c>
    </row>
    <row r="1638" spans="1:15" ht="23.4" x14ac:dyDescent="0.3">
      <c r="A1638" s="271" t="s">
        <v>110</v>
      </c>
      <c r="B1638" s="903" t="s">
        <v>33</v>
      </c>
      <c r="C1638" s="317" t="s">
        <v>121</v>
      </c>
      <c r="D1638" s="317"/>
      <c r="E1638" s="273">
        <v>0</v>
      </c>
      <c r="F1638" s="274"/>
      <c r="G1638" s="338">
        <f t="shared" ref="G1638:G1640" si="2138">+H1638+I1638</f>
        <v>0</v>
      </c>
      <c r="H1638" s="275">
        <v>0</v>
      </c>
      <c r="I1638" s="275">
        <v>0</v>
      </c>
      <c r="J1638" s="357" t="str">
        <f>IFERROR(G1638/#REF!,"-")</f>
        <v>-</v>
      </c>
      <c r="K1638" s="338">
        <f t="shared" ref="K1638:K1640" si="2139">+L1638+M1638</f>
        <v>0</v>
      </c>
      <c r="L1638" s="275">
        <f t="shared" ref="L1638:L1640" si="2140">+H1638+L1534</f>
        <v>0</v>
      </c>
      <c r="M1638" s="276">
        <f t="shared" ref="M1638:M1640" si="2141">+I1638+M1534</f>
        <v>0</v>
      </c>
      <c r="N1638" s="342" t="str">
        <f t="shared" ref="N1638:N1645" si="2142">IFERROR(K1638/E1638,"-")</f>
        <v>-</v>
      </c>
      <c r="O1638" s="352" t="str">
        <f t="shared" ref="O1638:O1663" si="2143">IFERROR(M1638/K1638,"-")</f>
        <v>-</v>
      </c>
    </row>
    <row r="1639" spans="1:15" ht="23.4" x14ac:dyDescent="0.3">
      <c r="A1639" s="277" t="s">
        <v>110</v>
      </c>
      <c r="B1639" s="904"/>
      <c r="C1639" s="318" t="s">
        <v>274</v>
      </c>
      <c r="D1639" s="318"/>
      <c r="E1639" s="279">
        <v>0</v>
      </c>
      <c r="F1639" s="280"/>
      <c r="G1639" s="339">
        <f t="shared" si="2138"/>
        <v>0</v>
      </c>
      <c r="H1639" s="281">
        <v>0</v>
      </c>
      <c r="I1639" s="281">
        <v>0</v>
      </c>
      <c r="J1639" s="358" t="str">
        <f>IFERROR(G1639/#REF!,"-")</f>
        <v>-</v>
      </c>
      <c r="K1639" s="339">
        <f t="shared" si="2139"/>
        <v>10252</v>
      </c>
      <c r="L1639" s="281">
        <f t="shared" si="2140"/>
        <v>9280</v>
      </c>
      <c r="M1639" s="251">
        <f t="shared" si="2141"/>
        <v>972</v>
      </c>
      <c r="N1639" s="343" t="str">
        <f t="shared" si="2142"/>
        <v>-</v>
      </c>
      <c r="O1639" s="264">
        <f t="shared" si="2143"/>
        <v>9.4810768630511119E-2</v>
      </c>
    </row>
    <row r="1640" spans="1:15" ht="24" thickBot="1" x14ac:dyDescent="0.35">
      <c r="A1640" s="277" t="s">
        <v>110</v>
      </c>
      <c r="B1640" s="905"/>
      <c r="C1640" s="319" t="s">
        <v>34</v>
      </c>
      <c r="D1640" s="319"/>
      <c r="E1640" s="283">
        <v>0</v>
      </c>
      <c r="F1640" s="284"/>
      <c r="G1640" s="340">
        <f t="shared" si="2138"/>
        <v>0</v>
      </c>
      <c r="H1640" s="285">
        <v>0</v>
      </c>
      <c r="I1640" s="285">
        <v>0</v>
      </c>
      <c r="J1640" s="359" t="str">
        <f>IFERROR(G1640/#REF!,"-")</f>
        <v>-</v>
      </c>
      <c r="K1640" s="340">
        <f t="shared" si="2139"/>
        <v>0</v>
      </c>
      <c r="L1640" s="285">
        <f t="shared" si="2140"/>
        <v>0</v>
      </c>
      <c r="M1640" s="286">
        <f t="shared" si="2141"/>
        <v>0</v>
      </c>
      <c r="N1640" s="344" t="str">
        <f t="shared" si="2142"/>
        <v>-</v>
      </c>
      <c r="O1640" s="353" t="str">
        <f t="shared" si="2143"/>
        <v>-</v>
      </c>
    </row>
    <row r="1641" spans="1:15" ht="24" thickBot="1" x14ac:dyDescent="0.35">
      <c r="A1641" s="277" t="s">
        <v>110</v>
      </c>
      <c r="B1641" s="906" t="s">
        <v>35</v>
      </c>
      <c r="C1641" s="907"/>
      <c r="D1641" s="908"/>
      <c r="E1641" s="288">
        <v>83700</v>
      </c>
      <c r="F1641" s="289"/>
      <c r="G1641" s="326">
        <f>SUM(G1638:G1640)</f>
        <v>0</v>
      </c>
      <c r="H1641" s="327">
        <f t="shared" ref="H1641:I1641" si="2144">SUM(H1638:H1640)</f>
        <v>0</v>
      </c>
      <c r="I1641" s="327">
        <f t="shared" si="2144"/>
        <v>0</v>
      </c>
      <c r="J1641" s="351" t="str">
        <f>IFERROR(G1641/#REF!,"-")</f>
        <v>-</v>
      </c>
      <c r="K1641" s="326">
        <f t="shared" ref="K1641:M1641" si="2145">SUM(K1638:K1640)</f>
        <v>10252</v>
      </c>
      <c r="L1641" s="327">
        <f t="shared" si="2145"/>
        <v>9280</v>
      </c>
      <c r="M1641" s="328">
        <f t="shared" si="2145"/>
        <v>972</v>
      </c>
      <c r="N1641" s="345">
        <f t="shared" si="2142"/>
        <v>0.12248506571087216</v>
      </c>
      <c r="O1641" s="351">
        <f t="shared" si="2143"/>
        <v>9.4810768630511119E-2</v>
      </c>
    </row>
    <row r="1642" spans="1:15" ht="23.4" x14ac:dyDescent="0.3">
      <c r="A1642" s="277" t="s">
        <v>110</v>
      </c>
      <c r="B1642" s="903" t="s">
        <v>36</v>
      </c>
      <c r="C1642" s="317" t="s">
        <v>121</v>
      </c>
      <c r="D1642" s="317"/>
      <c r="E1642" s="273">
        <v>0</v>
      </c>
      <c r="F1642" s="274"/>
      <c r="G1642" s="338">
        <f t="shared" ref="G1642:G1645" si="2146">+H1642+I1642</f>
        <v>0</v>
      </c>
      <c r="H1642" s="275">
        <v>0</v>
      </c>
      <c r="I1642" s="275">
        <v>0</v>
      </c>
      <c r="J1642" s="357" t="str">
        <f>IFERROR(G1642/#REF!,"-")</f>
        <v>-</v>
      </c>
      <c r="K1642" s="338">
        <f t="shared" ref="K1642:K1645" si="2147">+L1642+M1642</f>
        <v>0</v>
      </c>
      <c r="L1642" s="275">
        <f t="shared" ref="L1642:L1645" si="2148">+H1642+L1538</f>
        <v>0</v>
      </c>
      <c r="M1642" s="276">
        <f t="shared" ref="M1642:M1645" si="2149">+I1642+M1538</f>
        <v>0</v>
      </c>
      <c r="N1642" s="342" t="str">
        <f t="shared" si="2142"/>
        <v>-</v>
      </c>
      <c r="O1642" s="352" t="str">
        <f t="shared" si="2143"/>
        <v>-</v>
      </c>
    </row>
    <row r="1643" spans="1:15" ht="23.4" x14ac:dyDescent="0.3">
      <c r="A1643" s="277" t="s">
        <v>110</v>
      </c>
      <c r="B1643" s="904"/>
      <c r="C1643" s="318" t="s">
        <v>274</v>
      </c>
      <c r="D1643" s="318"/>
      <c r="E1643" s="279">
        <v>0</v>
      </c>
      <c r="F1643" s="280"/>
      <c r="G1643" s="339">
        <f t="shared" si="2146"/>
        <v>5667</v>
      </c>
      <c r="H1643" s="281">
        <v>5440</v>
      </c>
      <c r="I1643" s="281">
        <v>227</v>
      </c>
      <c r="J1643" s="358" t="str">
        <f>IFERROR(G1643/#REF!,"-")</f>
        <v>-</v>
      </c>
      <c r="K1643" s="339">
        <f t="shared" si="2147"/>
        <v>64973</v>
      </c>
      <c r="L1643" s="281">
        <f t="shared" si="2148"/>
        <v>63392</v>
      </c>
      <c r="M1643" s="251">
        <f t="shared" si="2149"/>
        <v>1581</v>
      </c>
      <c r="N1643" s="343" t="str">
        <f t="shared" si="2142"/>
        <v>-</v>
      </c>
      <c r="O1643" s="264">
        <f t="shared" si="2143"/>
        <v>2.4333184553583798E-2</v>
      </c>
    </row>
    <row r="1644" spans="1:15" ht="23.4" x14ac:dyDescent="0.3">
      <c r="A1644" s="277" t="s">
        <v>110</v>
      </c>
      <c r="B1644" s="904"/>
      <c r="C1644" s="318" t="s">
        <v>201</v>
      </c>
      <c r="D1644" s="318"/>
      <c r="E1644" s="279">
        <v>0</v>
      </c>
      <c r="F1644" s="280"/>
      <c r="G1644" s="339">
        <f t="shared" si="2146"/>
        <v>0</v>
      </c>
      <c r="H1644" s="281">
        <v>0</v>
      </c>
      <c r="I1644" s="281">
        <v>0</v>
      </c>
      <c r="J1644" s="358" t="str">
        <f>IFERROR(G1644/#REF!,"-")</f>
        <v>-</v>
      </c>
      <c r="K1644" s="339">
        <f t="shared" si="2147"/>
        <v>0</v>
      </c>
      <c r="L1644" s="281">
        <f t="shared" si="2148"/>
        <v>0</v>
      </c>
      <c r="M1644" s="251">
        <f t="shared" si="2149"/>
        <v>0</v>
      </c>
      <c r="N1644" s="343" t="str">
        <f t="shared" si="2142"/>
        <v>-</v>
      </c>
      <c r="O1644" s="264" t="str">
        <f t="shared" si="2143"/>
        <v>-</v>
      </c>
    </row>
    <row r="1645" spans="1:15" ht="24" thickBot="1" x14ac:dyDescent="0.35">
      <c r="A1645" s="277" t="s">
        <v>110</v>
      </c>
      <c r="B1645" s="905"/>
      <c r="C1645" s="319" t="s">
        <v>37</v>
      </c>
      <c r="D1645" s="319"/>
      <c r="E1645" s="283">
        <v>0</v>
      </c>
      <c r="F1645" s="284"/>
      <c r="G1645" s="340">
        <f t="shared" si="2146"/>
        <v>0</v>
      </c>
      <c r="H1645" s="285">
        <v>0</v>
      </c>
      <c r="I1645" s="285">
        <v>0</v>
      </c>
      <c r="J1645" s="359" t="str">
        <f>IFERROR(G1645/#REF!,"-")</f>
        <v>-</v>
      </c>
      <c r="K1645" s="340">
        <f t="shared" si="2147"/>
        <v>0</v>
      </c>
      <c r="L1645" s="285">
        <f t="shared" si="2148"/>
        <v>0</v>
      </c>
      <c r="M1645" s="286">
        <f t="shared" si="2149"/>
        <v>0</v>
      </c>
      <c r="N1645" s="344" t="str">
        <f t="shared" si="2142"/>
        <v>-</v>
      </c>
      <c r="O1645" s="353" t="str">
        <f t="shared" si="2143"/>
        <v>-</v>
      </c>
    </row>
    <row r="1646" spans="1:15" ht="24" thickBot="1" x14ac:dyDescent="0.35">
      <c r="A1646" s="277" t="s">
        <v>110</v>
      </c>
      <c r="B1646" s="906" t="s">
        <v>38</v>
      </c>
      <c r="C1646" s="907"/>
      <c r="D1646" s="908"/>
      <c r="E1646" s="288">
        <v>10300</v>
      </c>
      <c r="F1646" s="289">
        <v>6500</v>
      </c>
      <c r="G1646" s="326">
        <f>SUM(G1642:G1645)</f>
        <v>5667</v>
      </c>
      <c r="H1646" s="327">
        <f t="shared" ref="H1646:I1646" si="2150">SUM(H1642:H1645)</f>
        <v>5440</v>
      </c>
      <c r="I1646" s="327">
        <f t="shared" si="2150"/>
        <v>227</v>
      </c>
      <c r="J1646" s="351" t="str">
        <f>IFERROR(G1646/#REF!,"-")</f>
        <v>-</v>
      </c>
      <c r="K1646" s="326">
        <f t="shared" ref="K1646:M1646" si="2151">SUM(K1642:K1645)</f>
        <v>64973</v>
      </c>
      <c r="L1646" s="327">
        <f t="shared" si="2151"/>
        <v>63392</v>
      </c>
      <c r="M1646" s="328">
        <f t="shared" si="2151"/>
        <v>1581</v>
      </c>
      <c r="N1646" s="345">
        <f>IFERROR(K1646/E1646,"-")</f>
        <v>6.3080582524271849</v>
      </c>
      <c r="O1646" s="351">
        <f t="shared" si="2143"/>
        <v>2.4333184553583798E-2</v>
      </c>
    </row>
    <row r="1647" spans="1:15" ht="23.4" x14ac:dyDescent="0.3">
      <c r="A1647" s="277" t="s">
        <v>110</v>
      </c>
      <c r="B1647" s="903" t="s">
        <v>39</v>
      </c>
      <c r="C1647" s="320" t="s">
        <v>124</v>
      </c>
      <c r="D1647" s="320"/>
      <c r="E1647" s="273">
        <v>0</v>
      </c>
      <c r="F1647" s="274"/>
      <c r="G1647" s="338">
        <f t="shared" ref="G1647:G1648" si="2152">+H1647+I1647</f>
        <v>0</v>
      </c>
      <c r="H1647" s="275">
        <v>0</v>
      </c>
      <c r="I1647" s="275">
        <v>0</v>
      </c>
      <c r="J1647" s="357" t="str">
        <f>IFERROR(G1647/#REF!,"-")</f>
        <v>-</v>
      </c>
      <c r="K1647" s="338">
        <f t="shared" ref="K1647:K1648" si="2153">+L1647+M1647</f>
        <v>0</v>
      </c>
      <c r="L1647" s="275">
        <f t="shared" ref="L1647:L1648" si="2154">+H1647+L1543</f>
        <v>0</v>
      </c>
      <c r="M1647" s="276">
        <f t="shared" ref="M1647:M1648" si="2155">+I1647+M1543</f>
        <v>0</v>
      </c>
      <c r="N1647" s="342" t="str">
        <f t="shared" ref="N1647:N1663" si="2156">IFERROR(K1647/E1647,"-")</f>
        <v>-</v>
      </c>
      <c r="O1647" s="352" t="str">
        <f t="shared" si="2143"/>
        <v>-</v>
      </c>
    </row>
    <row r="1648" spans="1:15" ht="24" thickBot="1" x14ac:dyDescent="0.35">
      <c r="A1648" s="277" t="s">
        <v>110</v>
      </c>
      <c r="B1648" s="905"/>
      <c r="C1648" s="290" t="s">
        <v>140</v>
      </c>
      <c r="D1648" s="290"/>
      <c r="E1648" s="283">
        <v>0</v>
      </c>
      <c r="F1648" s="284"/>
      <c r="G1648" s="340">
        <f t="shared" si="2152"/>
        <v>507</v>
      </c>
      <c r="H1648" s="285">
        <v>400</v>
      </c>
      <c r="I1648" s="285">
        <v>107</v>
      </c>
      <c r="J1648" s="359" t="str">
        <f>IFERROR(G1648/#REF!,"-")</f>
        <v>-</v>
      </c>
      <c r="K1648" s="340">
        <f t="shared" si="2153"/>
        <v>2453</v>
      </c>
      <c r="L1648" s="285">
        <f t="shared" si="2154"/>
        <v>2000</v>
      </c>
      <c r="M1648" s="286">
        <f t="shared" si="2155"/>
        <v>453</v>
      </c>
      <c r="N1648" s="344" t="str">
        <f t="shared" si="2156"/>
        <v>-</v>
      </c>
      <c r="O1648" s="353">
        <f t="shared" si="2143"/>
        <v>0.18467183041174073</v>
      </c>
    </row>
    <row r="1649" spans="1:15" ht="24" thickBot="1" x14ac:dyDescent="0.35">
      <c r="A1649" s="837" t="s">
        <v>110</v>
      </c>
      <c r="B1649" s="906" t="s">
        <v>40</v>
      </c>
      <c r="C1649" s="907"/>
      <c r="D1649" s="908"/>
      <c r="E1649" s="288">
        <v>30000</v>
      </c>
      <c r="F1649" s="289">
        <v>2800</v>
      </c>
      <c r="G1649" s="326">
        <f>SUM(G1647:G1648)</f>
        <v>507</v>
      </c>
      <c r="H1649" s="327">
        <f t="shared" ref="H1649:I1649" si="2157">SUM(H1647:H1648)</f>
        <v>400</v>
      </c>
      <c r="I1649" s="327">
        <f t="shared" si="2157"/>
        <v>107</v>
      </c>
      <c r="J1649" s="351" t="str">
        <f>IFERROR(G1649/#REF!,"-")</f>
        <v>-</v>
      </c>
      <c r="K1649" s="326">
        <f t="shared" ref="K1649:M1649" si="2158">SUM(K1647:K1648)</f>
        <v>2453</v>
      </c>
      <c r="L1649" s="327">
        <f t="shared" si="2158"/>
        <v>2000</v>
      </c>
      <c r="M1649" s="328">
        <f t="shared" si="2158"/>
        <v>453</v>
      </c>
      <c r="N1649" s="345">
        <f t="shared" si="2156"/>
        <v>8.1766666666666668E-2</v>
      </c>
      <c r="O1649" s="351">
        <f t="shared" si="2143"/>
        <v>0.18467183041174073</v>
      </c>
    </row>
    <row r="1650" spans="1:15" ht="23.4" x14ac:dyDescent="0.3">
      <c r="A1650" s="277" t="s">
        <v>110</v>
      </c>
      <c r="B1650" s="903" t="s">
        <v>41</v>
      </c>
      <c r="C1650" s="272" t="s">
        <v>346</v>
      </c>
      <c r="D1650" s="272"/>
      <c r="E1650" s="273">
        <v>0</v>
      </c>
      <c r="F1650" s="321"/>
      <c r="G1650" s="338">
        <f t="shared" ref="G1650:G1654" si="2159">+H1650+I1650</f>
        <v>25113</v>
      </c>
      <c r="H1650" s="275">
        <v>25104</v>
      </c>
      <c r="I1650" s="275">
        <v>9</v>
      </c>
      <c r="J1650" s="377" t="str">
        <f>IFERROR(G1650/#REF!,"-")</f>
        <v>-</v>
      </c>
      <c r="K1650" s="338">
        <f t="shared" ref="K1650:K1654" si="2160">+L1650+M1650</f>
        <v>314421</v>
      </c>
      <c r="L1650" s="275">
        <f t="shared" ref="L1650:L1654" si="2161">+H1650+L1546</f>
        <v>311256</v>
      </c>
      <c r="M1650" s="276">
        <f t="shared" ref="M1650:M1654" si="2162">+I1650+M1546</f>
        <v>3165</v>
      </c>
      <c r="N1650" s="365" t="str">
        <f t="shared" si="2156"/>
        <v>-</v>
      </c>
      <c r="O1650" s="366">
        <f t="shared" si="2143"/>
        <v>1.0066121537683551E-2</v>
      </c>
    </row>
    <row r="1651" spans="1:15" ht="23.4" x14ac:dyDescent="0.3">
      <c r="A1651" s="277" t="s">
        <v>110</v>
      </c>
      <c r="B1651" s="904"/>
      <c r="C1651" s="272" t="s">
        <v>347</v>
      </c>
      <c r="D1651" s="278"/>
      <c r="E1651" s="279">
        <v>0</v>
      </c>
      <c r="F1651" s="322"/>
      <c r="G1651" s="339">
        <f t="shared" si="2159"/>
        <v>0</v>
      </c>
      <c r="H1651" s="281">
        <v>0</v>
      </c>
      <c r="I1651" s="281">
        <v>0</v>
      </c>
      <c r="J1651" s="378" t="str">
        <f>IFERROR(G1651/#REF!,"-")</f>
        <v>-</v>
      </c>
      <c r="K1651" s="339">
        <f t="shared" si="2160"/>
        <v>0</v>
      </c>
      <c r="L1651" s="281">
        <f t="shared" si="2161"/>
        <v>0</v>
      </c>
      <c r="M1651" s="251">
        <f t="shared" si="2162"/>
        <v>0</v>
      </c>
      <c r="N1651" s="367" t="str">
        <f t="shared" si="2156"/>
        <v>-</v>
      </c>
      <c r="O1651" s="368" t="str">
        <f t="shared" si="2143"/>
        <v>-</v>
      </c>
    </row>
    <row r="1652" spans="1:15" ht="23.4" x14ac:dyDescent="0.3">
      <c r="A1652" s="277" t="s">
        <v>110</v>
      </c>
      <c r="B1652" s="904"/>
      <c r="C1652" s="278" t="s">
        <v>423</v>
      </c>
      <c r="D1652" s="278"/>
      <c r="E1652" s="279">
        <v>0</v>
      </c>
      <c r="F1652" s="322"/>
      <c r="G1652" s="339">
        <f t="shared" si="2159"/>
        <v>0</v>
      </c>
      <c r="H1652" s="281">
        <v>0</v>
      </c>
      <c r="I1652" s="281">
        <v>0</v>
      </c>
      <c r="J1652" s="378" t="str">
        <f>IFERROR(G1652/#REF!,"-")</f>
        <v>-</v>
      </c>
      <c r="K1652" s="339">
        <f t="shared" si="2160"/>
        <v>34536</v>
      </c>
      <c r="L1652" s="281">
        <f t="shared" si="2161"/>
        <v>33960</v>
      </c>
      <c r="M1652" s="251">
        <f t="shared" si="2162"/>
        <v>576</v>
      </c>
      <c r="N1652" s="367" t="str">
        <f t="shared" si="2156"/>
        <v>-</v>
      </c>
      <c r="O1652" s="368">
        <f t="shared" si="2143"/>
        <v>1.6678248783877692E-2</v>
      </c>
    </row>
    <row r="1653" spans="1:15" ht="23.4" x14ac:dyDescent="0.3">
      <c r="A1653" s="277" t="s">
        <v>110</v>
      </c>
      <c r="B1653" s="904"/>
      <c r="C1653" s="278" t="s">
        <v>166</v>
      </c>
      <c r="D1653" s="278"/>
      <c r="E1653" s="279">
        <v>0</v>
      </c>
      <c r="F1653" s="322"/>
      <c r="G1653" s="339">
        <f t="shared" si="2159"/>
        <v>0</v>
      </c>
      <c r="H1653" s="281">
        <v>0</v>
      </c>
      <c r="I1653" s="281">
        <v>0</v>
      </c>
      <c r="J1653" s="378" t="str">
        <f>IFERROR(G1653/#REF!,"-")</f>
        <v>-</v>
      </c>
      <c r="K1653" s="339">
        <f t="shared" si="2160"/>
        <v>0</v>
      </c>
      <c r="L1653" s="281">
        <f t="shared" si="2161"/>
        <v>0</v>
      </c>
      <c r="M1653" s="251">
        <f t="shared" si="2162"/>
        <v>0</v>
      </c>
      <c r="N1653" s="367" t="str">
        <f t="shared" si="2156"/>
        <v>-</v>
      </c>
      <c r="O1653" s="368" t="str">
        <f t="shared" si="2143"/>
        <v>-</v>
      </c>
    </row>
    <row r="1654" spans="1:15" ht="24" thickBot="1" x14ac:dyDescent="0.35">
      <c r="A1654" s="277" t="s">
        <v>110</v>
      </c>
      <c r="B1654" s="905"/>
      <c r="C1654" s="282" t="s">
        <v>167</v>
      </c>
      <c r="D1654" s="282"/>
      <c r="E1654" s="283">
        <v>0</v>
      </c>
      <c r="F1654" s="323"/>
      <c r="G1654" s="340">
        <f t="shared" si="2159"/>
        <v>0</v>
      </c>
      <c r="H1654" s="285">
        <v>0</v>
      </c>
      <c r="I1654" s="285">
        <v>0</v>
      </c>
      <c r="J1654" s="379" t="str">
        <f>IFERROR(G1654/#REF!,"-")</f>
        <v>-</v>
      </c>
      <c r="K1654" s="340">
        <f t="shared" si="2160"/>
        <v>0</v>
      </c>
      <c r="L1654" s="285">
        <f t="shared" si="2161"/>
        <v>0</v>
      </c>
      <c r="M1654" s="286">
        <f t="shared" si="2162"/>
        <v>0</v>
      </c>
      <c r="N1654" s="369" t="str">
        <f t="shared" si="2156"/>
        <v>-</v>
      </c>
      <c r="O1654" s="370" t="str">
        <f t="shared" si="2143"/>
        <v>-</v>
      </c>
    </row>
    <row r="1655" spans="1:15" ht="24" thickBot="1" x14ac:dyDescent="0.35">
      <c r="A1655" s="277" t="s">
        <v>110</v>
      </c>
      <c r="B1655" s="906" t="s">
        <v>42</v>
      </c>
      <c r="C1655" s="907"/>
      <c r="D1655" s="908"/>
      <c r="E1655" s="326">
        <v>610600</v>
      </c>
      <c r="F1655" s="289">
        <v>25000</v>
      </c>
      <c r="G1655" s="326">
        <f>SUM(G1651:G1654)</f>
        <v>0</v>
      </c>
      <c r="H1655" s="327">
        <f t="shared" ref="H1655:I1655" si="2163">SUM(H1651:H1654)</f>
        <v>0</v>
      </c>
      <c r="I1655" s="327">
        <f t="shared" si="2163"/>
        <v>0</v>
      </c>
      <c r="J1655" s="351" t="str">
        <f>IFERROR(G1655/#REF!,"-")</f>
        <v>-</v>
      </c>
      <c r="K1655" s="326">
        <f>SUM(K1650:K1654)</f>
        <v>348957</v>
      </c>
      <c r="L1655" s="327">
        <f>SUM(L1650:L1654)</f>
        <v>345216</v>
      </c>
      <c r="M1655" s="328">
        <f>SUM(M1650:M1654)</f>
        <v>3741</v>
      </c>
      <c r="N1655" s="345">
        <f t="shared" si="2156"/>
        <v>0.57149852603996065</v>
      </c>
      <c r="O1655" s="351">
        <f t="shared" si="2143"/>
        <v>1.0720518573921716E-2</v>
      </c>
    </row>
    <row r="1656" spans="1:15" ht="23.4" x14ac:dyDescent="0.3">
      <c r="A1656" s="277" t="s">
        <v>110</v>
      </c>
      <c r="B1656" s="903" t="s">
        <v>43</v>
      </c>
      <c r="C1656" s="272" t="s">
        <v>204</v>
      </c>
      <c r="D1656" s="272"/>
      <c r="E1656" s="273">
        <v>0</v>
      </c>
      <c r="F1656" s="274"/>
      <c r="G1656" s="338">
        <f t="shared" ref="G1656:G1658" si="2164">+H1656+I1656</f>
        <v>0</v>
      </c>
      <c r="H1656" s="275">
        <v>0</v>
      </c>
      <c r="I1656" s="275">
        <v>0</v>
      </c>
      <c r="J1656" s="357" t="str">
        <f>IFERROR(G1656/#REF!,"-")</f>
        <v>-</v>
      </c>
      <c r="K1656" s="338">
        <f t="shared" ref="K1656:K1658" si="2165">+L1656+M1656</f>
        <v>0</v>
      </c>
      <c r="L1656" s="275">
        <f t="shared" ref="L1656:L1658" si="2166">+H1656+L1552</f>
        <v>0</v>
      </c>
      <c r="M1656" s="276">
        <f t="shared" ref="M1656:M1658" si="2167">+I1656+M1552</f>
        <v>0</v>
      </c>
      <c r="N1656" s="342" t="str">
        <f t="shared" si="2156"/>
        <v>-</v>
      </c>
      <c r="O1656" s="352" t="str">
        <f t="shared" si="2143"/>
        <v>-</v>
      </c>
    </row>
    <row r="1657" spans="1:15" ht="23.4" x14ac:dyDescent="0.3">
      <c r="A1657" s="277" t="s">
        <v>110</v>
      </c>
      <c r="B1657" s="904"/>
      <c r="C1657" s="278" t="s">
        <v>168</v>
      </c>
      <c r="D1657" s="278"/>
      <c r="E1657" s="279">
        <v>0</v>
      </c>
      <c r="F1657" s="280"/>
      <c r="G1657" s="339">
        <f t="shared" si="2164"/>
        <v>0</v>
      </c>
      <c r="H1657" s="281">
        <v>0</v>
      </c>
      <c r="I1657" s="281">
        <v>0</v>
      </c>
      <c r="J1657" s="378" t="str">
        <f>IFERROR(G1657/#REF!,"-")</f>
        <v>-</v>
      </c>
      <c r="K1657" s="339">
        <f t="shared" si="2165"/>
        <v>0</v>
      </c>
      <c r="L1657" s="281">
        <f t="shared" si="2166"/>
        <v>0</v>
      </c>
      <c r="M1657" s="251">
        <f t="shared" si="2167"/>
        <v>0</v>
      </c>
      <c r="N1657" s="367" t="str">
        <f t="shared" si="2156"/>
        <v>-</v>
      </c>
      <c r="O1657" s="368" t="str">
        <f t="shared" si="2143"/>
        <v>-</v>
      </c>
    </row>
    <row r="1658" spans="1:15" ht="24" thickBot="1" x14ac:dyDescent="0.35">
      <c r="A1658" s="277" t="s">
        <v>110</v>
      </c>
      <c r="B1658" s="905"/>
      <c r="C1658" s="282" t="s">
        <v>204</v>
      </c>
      <c r="D1658" s="282"/>
      <c r="E1658" s="283">
        <v>0</v>
      </c>
      <c r="F1658" s="284"/>
      <c r="G1658" s="340">
        <f t="shared" si="2164"/>
        <v>0</v>
      </c>
      <c r="H1658" s="285">
        <v>0</v>
      </c>
      <c r="I1658" s="285">
        <v>0</v>
      </c>
      <c r="J1658" s="379" t="str">
        <f>IFERROR(G1658/#REF!,"-")</f>
        <v>-</v>
      </c>
      <c r="K1658" s="340">
        <f t="shared" si="2165"/>
        <v>0</v>
      </c>
      <c r="L1658" s="285">
        <f t="shared" si="2166"/>
        <v>0</v>
      </c>
      <c r="M1658" s="286">
        <f t="shared" si="2167"/>
        <v>0</v>
      </c>
      <c r="N1658" s="369" t="str">
        <f t="shared" si="2156"/>
        <v>-</v>
      </c>
      <c r="O1658" s="370" t="str">
        <f t="shared" si="2143"/>
        <v>-</v>
      </c>
    </row>
    <row r="1659" spans="1:15" ht="24" thickBot="1" x14ac:dyDescent="0.35">
      <c r="A1659" s="277" t="s">
        <v>110</v>
      </c>
      <c r="B1659" s="909" t="s">
        <v>44</v>
      </c>
      <c r="C1659" s="910"/>
      <c r="D1659" s="911"/>
      <c r="E1659" s="326">
        <v>0</v>
      </c>
      <c r="F1659" s="289"/>
      <c r="G1659" s="326">
        <f>SUM(G1656:G1658)</f>
        <v>0</v>
      </c>
      <c r="H1659" s="327">
        <f t="shared" ref="H1659:I1659" si="2168">SUM(H1656:H1658)</f>
        <v>0</v>
      </c>
      <c r="I1659" s="327">
        <f t="shared" si="2168"/>
        <v>0</v>
      </c>
      <c r="J1659" s="351" t="str">
        <f>IFERROR(G1659/#REF!,"-")</f>
        <v>-</v>
      </c>
      <c r="K1659" s="326">
        <f t="shared" ref="K1659:M1659" si="2169">SUM(K1656:K1658)</f>
        <v>0</v>
      </c>
      <c r="L1659" s="327">
        <f t="shared" si="2169"/>
        <v>0</v>
      </c>
      <c r="M1659" s="328">
        <f t="shared" si="2169"/>
        <v>0</v>
      </c>
      <c r="N1659" s="345" t="str">
        <f t="shared" si="2156"/>
        <v>-</v>
      </c>
      <c r="O1659" s="351" t="str">
        <f t="shared" si="2143"/>
        <v>-</v>
      </c>
    </row>
    <row r="1660" spans="1:15" ht="23.4" x14ac:dyDescent="0.3">
      <c r="A1660" s="277" t="s">
        <v>110</v>
      </c>
      <c r="B1660" s="903" t="s">
        <v>45</v>
      </c>
      <c r="C1660" s="272" t="s">
        <v>169</v>
      </c>
      <c r="D1660" s="272"/>
      <c r="E1660" s="273">
        <v>0</v>
      </c>
      <c r="F1660" s="274"/>
      <c r="G1660" s="338">
        <f t="shared" ref="G1660:G1661" si="2170">+H1660+I1660</f>
        <v>0</v>
      </c>
      <c r="H1660" s="275">
        <v>0</v>
      </c>
      <c r="I1660" s="275">
        <v>0</v>
      </c>
      <c r="J1660" s="377" t="str">
        <f>IFERROR(G1660/#REF!,"-")</f>
        <v>-</v>
      </c>
      <c r="K1660" s="338">
        <f t="shared" ref="K1660:K1661" si="2171">+L1660+M1660</f>
        <v>0</v>
      </c>
      <c r="L1660" s="275">
        <f t="shared" ref="L1660:L1661" si="2172">+H1660+L1556</f>
        <v>0</v>
      </c>
      <c r="M1660" s="276">
        <f t="shared" ref="M1660:M1661" si="2173">+I1660+M1556</f>
        <v>0</v>
      </c>
      <c r="N1660" s="365" t="str">
        <f t="shared" si="2156"/>
        <v>-</v>
      </c>
      <c r="O1660" s="366" t="str">
        <f t="shared" si="2143"/>
        <v>-</v>
      </c>
    </row>
    <row r="1661" spans="1:15" ht="24" thickBot="1" x14ac:dyDescent="0.35">
      <c r="A1661" s="277" t="s">
        <v>110</v>
      </c>
      <c r="B1661" s="905"/>
      <c r="C1661" s="282" t="s">
        <v>170</v>
      </c>
      <c r="D1661" s="282"/>
      <c r="E1661" s="283">
        <v>0</v>
      </c>
      <c r="F1661" s="284"/>
      <c r="G1661" s="340">
        <f t="shared" si="2170"/>
        <v>0</v>
      </c>
      <c r="H1661" s="285">
        <v>0</v>
      </c>
      <c r="I1661" s="285">
        <v>0</v>
      </c>
      <c r="J1661" s="379" t="str">
        <f>IFERROR(G1661/#REF!,"-")</f>
        <v>-</v>
      </c>
      <c r="K1661" s="340">
        <f t="shared" si="2171"/>
        <v>0</v>
      </c>
      <c r="L1661" s="285">
        <f t="shared" si="2172"/>
        <v>0</v>
      </c>
      <c r="M1661" s="286">
        <f t="shared" si="2173"/>
        <v>0</v>
      </c>
      <c r="N1661" s="369" t="str">
        <f t="shared" si="2156"/>
        <v>-</v>
      </c>
      <c r="O1661" s="370" t="str">
        <f t="shared" si="2143"/>
        <v>-</v>
      </c>
    </row>
    <row r="1662" spans="1:15" ht="24" thickBot="1" x14ac:dyDescent="0.35">
      <c r="A1662" s="277" t="s">
        <v>110</v>
      </c>
      <c r="B1662" s="909" t="s">
        <v>46</v>
      </c>
      <c r="C1662" s="910"/>
      <c r="D1662" s="911"/>
      <c r="E1662" s="288">
        <v>11100</v>
      </c>
      <c r="F1662" s="289">
        <v>25000</v>
      </c>
      <c r="G1662" s="326">
        <f>SUM(G1660:G1661)</f>
        <v>0</v>
      </c>
      <c r="H1662" s="327">
        <f t="shared" ref="H1662:I1662" si="2174">SUM(H1660:H1661)</f>
        <v>0</v>
      </c>
      <c r="I1662" s="327">
        <f t="shared" si="2174"/>
        <v>0</v>
      </c>
      <c r="J1662" s="351" t="str">
        <f>IFERROR(G1662/#REF!,"-")</f>
        <v>-</v>
      </c>
      <c r="K1662" s="326">
        <f t="shared" ref="K1662:M1662" si="2175">SUM(K1660:K1661)</f>
        <v>0</v>
      </c>
      <c r="L1662" s="327">
        <f t="shared" si="2175"/>
        <v>0</v>
      </c>
      <c r="M1662" s="328">
        <f t="shared" si="2175"/>
        <v>0</v>
      </c>
      <c r="N1662" s="345">
        <f t="shared" si="2156"/>
        <v>0</v>
      </c>
      <c r="O1662" s="351" t="str">
        <f t="shared" si="2143"/>
        <v>-</v>
      </c>
    </row>
    <row r="1663" spans="1:15" ht="24" thickBot="1" x14ac:dyDescent="0.35">
      <c r="A1663" s="277" t="s">
        <v>110</v>
      </c>
      <c r="B1663" s="912" t="s">
        <v>25</v>
      </c>
      <c r="C1663" s="913"/>
      <c r="D1663" s="914"/>
      <c r="E1663" s="332">
        <f t="shared" ref="E1663:F1663" si="2176">+E1641+E1646+E1649+E1655+E1659+E1662</f>
        <v>745700</v>
      </c>
      <c r="F1663" s="333">
        <f t="shared" si="2176"/>
        <v>59300</v>
      </c>
      <c r="G1663" s="332">
        <f>+G1641+G1646+G1649+G1655+G1659+G1662</f>
        <v>6174</v>
      </c>
      <c r="H1663" s="330">
        <f t="shared" ref="H1663:I1663" si="2177">+H1641+H1646+H1649+H1655+H1659+H1662</f>
        <v>5840</v>
      </c>
      <c r="I1663" s="330">
        <f t="shared" si="2177"/>
        <v>334</v>
      </c>
      <c r="J1663" s="355" t="str">
        <f>IFERROR(G1663/#REF!,"-")</f>
        <v>-</v>
      </c>
      <c r="K1663" s="332">
        <f>+K1641+K1646+K1649+K1655+K1659+K1662</f>
        <v>426635</v>
      </c>
      <c r="L1663" s="330">
        <f t="shared" ref="L1663:M1663" si="2178">+L1641+L1646+L1649+L1655+L1659+L1662</f>
        <v>419888</v>
      </c>
      <c r="M1663" s="331">
        <f t="shared" si="2178"/>
        <v>6747</v>
      </c>
      <c r="N1663" s="347">
        <f t="shared" si="2156"/>
        <v>0.57212686066782892</v>
      </c>
      <c r="O1663" s="355">
        <f t="shared" si="2143"/>
        <v>1.5814454979080479E-2</v>
      </c>
    </row>
    <row r="1664" spans="1:15" ht="24" thickBot="1" x14ac:dyDescent="0.35">
      <c r="A1664" s="324" t="s">
        <v>110</v>
      </c>
      <c r="B1664" s="901" t="s">
        <v>182</v>
      </c>
      <c r="C1664" s="901"/>
      <c r="D1664" s="902"/>
      <c r="E1664" s="336">
        <f>+E1663</f>
        <v>745700</v>
      </c>
      <c r="F1664" s="337">
        <f t="shared" ref="F1664:O1664" si="2179">+F1663</f>
        <v>59300</v>
      </c>
      <c r="G1664" s="336">
        <f t="shared" si="2179"/>
        <v>6174</v>
      </c>
      <c r="H1664" s="334">
        <f t="shared" si="2179"/>
        <v>5840</v>
      </c>
      <c r="I1664" s="334">
        <f t="shared" si="2179"/>
        <v>334</v>
      </c>
      <c r="J1664" s="356" t="str">
        <f t="shared" si="2179"/>
        <v>-</v>
      </c>
      <c r="K1664" s="336">
        <f t="shared" si="2179"/>
        <v>426635</v>
      </c>
      <c r="L1664" s="334">
        <f t="shared" si="2179"/>
        <v>419888</v>
      </c>
      <c r="M1664" s="335">
        <f t="shared" si="2179"/>
        <v>6747</v>
      </c>
      <c r="N1664" s="348">
        <f t="shared" si="2179"/>
        <v>0.57212686066782892</v>
      </c>
      <c r="O1664" s="356">
        <f t="shared" si="2179"/>
        <v>1.5814454979080479E-2</v>
      </c>
    </row>
    <row r="1665" spans="1:15" ht="24.6" thickBot="1" x14ac:dyDescent="0.35">
      <c r="A1665" s="325"/>
      <c r="B1665" s="915" t="s">
        <v>183</v>
      </c>
      <c r="C1665" s="916"/>
      <c r="D1665" s="917"/>
      <c r="E1665" s="380">
        <f>+E1610+E1637+E1664</f>
        <v>10494400</v>
      </c>
      <c r="F1665" s="380">
        <f>+F1610+F1637+F1664</f>
        <v>748300</v>
      </c>
      <c r="G1665" s="380">
        <f>+G1610+G1637+G1664</f>
        <v>416555</v>
      </c>
      <c r="H1665" s="380">
        <f>+H1610+H1637+H1664</f>
        <v>480673</v>
      </c>
      <c r="I1665" s="380">
        <f>+I1610+I1637+I1664</f>
        <v>3636</v>
      </c>
      <c r="J1665" s="381" t="str">
        <f>IFERROR(G1665/#REF!,"-")</f>
        <v>-</v>
      </c>
      <c r="K1665" s="380">
        <f>+K1610+K1637+K1664</f>
        <v>4939903</v>
      </c>
      <c r="L1665" s="380">
        <f>+L1610+L1637+L1664</f>
        <v>4889344</v>
      </c>
      <c r="M1665" s="380">
        <f>+M1610+M1637+M1664</f>
        <v>50559</v>
      </c>
      <c r="N1665" s="381">
        <f>IFERROR(K1665/E1665,"-")</f>
        <v>0.47071800198200947</v>
      </c>
      <c r="O1665" s="381">
        <f>IFERROR(M1665/K1665,"-")</f>
        <v>1.0234816351657107E-2</v>
      </c>
    </row>
    <row r="1666" spans="1:15" ht="23.4" x14ac:dyDescent="0.3">
      <c r="A1666" s="935" t="s">
        <v>1</v>
      </c>
      <c r="B1666" s="938" t="s">
        <v>2</v>
      </c>
      <c r="C1666" s="941" t="s">
        <v>3</v>
      </c>
      <c r="D1666" s="941" t="s">
        <v>93</v>
      </c>
      <c r="E1666" s="944" t="s">
        <v>4</v>
      </c>
      <c r="F1666" s="945"/>
      <c r="G1666" s="945"/>
      <c r="H1666" s="945"/>
      <c r="I1666" s="945"/>
      <c r="J1666" s="945"/>
      <c r="K1666" s="945"/>
      <c r="L1666" s="945"/>
      <c r="M1666" s="945"/>
      <c r="N1666" s="945"/>
      <c r="O1666" s="946"/>
    </row>
    <row r="1667" spans="1:15" ht="23.4" x14ac:dyDescent="0.3">
      <c r="A1667" s="936"/>
      <c r="B1667" s="939"/>
      <c r="C1667" s="942"/>
      <c r="D1667" s="942"/>
      <c r="E1667" s="947" t="s">
        <v>7</v>
      </c>
      <c r="F1667" s="949" t="s">
        <v>116</v>
      </c>
      <c r="G1667" s="951">
        <v>44523</v>
      </c>
      <c r="H1667" s="952"/>
      <c r="I1667" s="952"/>
      <c r="J1667" s="953"/>
      <c r="K1667" s="954" t="s">
        <v>8</v>
      </c>
      <c r="L1667" s="955"/>
      <c r="M1667" s="956"/>
      <c r="N1667" s="957" t="s">
        <v>174</v>
      </c>
      <c r="O1667" s="959" t="s">
        <v>173</v>
      </c>
    </row>
    <row r="1668" spans="1:15" ht="41.4" thickBot="1" x14ac:dyDescent="0.35">
      <c r="A1668" s="937"/>
      <c r="B1668" s="940"/>
      <c r="C1668" s="943"/>
      <c r="D1668" s="943"/>
      <c r="E1668" s="948"/>
      <c r="F1668" s="950"/>
      <c r="G1668" s="462" t="s">
        <v>13</v>
      </c>
      <c r="H1668" s="463" t="s">
        <v>14</v>
      </c>
      <c r="I1668" s="463" t="s">
        <v>15</v>
      </c>
      <c r="J1668" s="464" t="s">
        <v>175</v>
      </c>
      <c r="K1668" s="462" t="s">
        <v>13</v>
      </c>
      <c r="L1668" s="463" t="s">
        <v>14</v>
      </c>
      <c r="M1668" s="465" t="s">
        <v>15</v>
      </c>
      <c r="N1668" s="958"/>
      <c r="O1668" s="960"/>
    </row>
    <row r="1669" spans="1:15" ht="23.4" x14ac:dyDescent="0.3">
      <c r="A1669" s="271" t="s">
        <v>111</v>
      </c>
      <c r="B1669" s="922" t="s">
        <v>16</v>
      </c>
      <c r="C1669" s="272" t="s">
        <v>186</v>
      </c>
      <c r="D1669" s="272" t="s">
        <v>184</v>
      </c>
      <c r="E1669" s="273">
        <v>0</v>
      </c>
      <c r="F1669" s="274"/>
      <c r="G1669" s="338">
        <f>+H1669+I1669</f>
        <v>0</v>
      </c>
      <c r="H1669" s="275">
        <v>0</v>
      </c>
      <c r="I1669" s="275">
        <v>0</v>
      </c>
      <c r="J1669" s="357" t="str">
        <f>IFERROR(G1669/#REF!,"-")</f>
        <v>-</v>
      </c>
      <c r="K1669" s="468">
        <f>+L1669+M1669</f>
        <v>0</v>
      </c>
      <c r="L1669" s="469">
        <f>+H1669+L1565</f>
        <v>0</v>
      </c>
      <c r="M1669" s="469">
        <f>+I1669+M1565</f>
        <v>0</v>
      </c>
      <c r="N1669" s="342" t="str">
        <f>IFERROR(K1669/E1669,"-")</f>
        <v>-</v>
      </c>
      <c r="O1669" s="349" t="str">
        <f t="shared" ref="O1669:O1670" si="2180">IFERROR(M1669/K1669,"-")</f>
        <v>-</v>
      </c>
    </row>
    <row r="1670" spans="1:15" ht="23.4" x14ac:dyDescent="0.3">
      <c r="A1670" s="277" t="s">
        <v>111</v>
      </c>
      <c r="B1670" s="923"/>
      <c r="C1670" s="278" t="s">
        <v>190</v>
      </c>
      <c r="D1670" s="278" t="s">
        <v>101</v>
      </c>
      <c r="E1670" s="279">
        <v>0</v>
      </c>
      <c r="F1670" s="280"/>
      <c r="G1670" s="339">
        <f t="shared" ref="G1670:G1672" si="2181">+H1670+I1670</f>
        <v>0</v>
      </c>
      <c r="H1670" s="281">
        <v>0</v>
      </c>
      <c r="I1670" s="281">
        <v>0</v>
      </c>
      <c r="J1670" s="358" t="str">
        <f>IFERROR(G1670/#REF!,"-")</f>
        <v>-</v>
      </c>
      <c r="K1670" s="339">
        <f t="shared" ref="K1670:K1672" si="2182">+L1670+M1670</f>
        <v>0</v>
      </c>
      <c r="L1670" s="281">
        <f t="shared" ref="L1670:L1672" si="2183">+H1670+L1566</f>
        <v>0</v>
      </c>
      <c r="M1670" s="442">
        <f t="shared" ref="M1670:M1672" si="2184">+I1670+M1566</f>
        <v>0</v>
      </c>
      <c r="N1670" s="343" t="str">
        <f t="shared" ref="N1670:N1672" si="2185">IFERROR(K1670/E1670,"-")</f>
        <v>-</v>
      </c>
      <c r="O1670" s="268" t="str">
        <f t="shared" si="2180"/>
        <v>-</v>
      </c>
    </row>
    <row r="1671" spans="1:15" ht="23.4" x14ac:dyDescent="0.3">
      <c r="A1671" s="277" t="s">
        <v>111</v>
      </c>
      <c r="B1671" s="923"/>
      <c r="C1671" s="278" t="s">
        <v>187</v>
      </c>
      <c r="D1671" s="278" t="s">
        <v>185</v>
      </c>
      <c r="E1671" s="279">
        <v>0</v>
      </c>
      <c r="F1671" s="280"/>
      <c r="G1671" s="339">
        <f t="shared" si="2181"/>
        <v>0</v>
      </c>
      <c r="H1671" s="281">
        <v>0</v>
      </c>
      <c r="I1671" s="281">
        <v>0</v>
      </c>
      <c r="J1671" s="358" t="str">
        <f>IFERROR(G1671/#REF!,"-")</f>
        <v>-</v>
      </c>
      <c r="K1671" s="339">
        <f t="shared" si="2182"/>
        <v>0</v>
      </c>
      <c r="L1671" s="281">
        <f t="shared" si="2183"/>
        <v>0</v>
      </c>
      <c r="M1671" s="442">
        <f t="shared" si="2184"/>
        <v>0</v>
      </c>
      <c r="N1671" s="343" t="str">
        <f t="shared" si="2185"/>
        <v>-</v>
      </c>
      <c r="O1671" s="268" t="str">
        <f>IFERROR(M1671/K1671,"-")</f>
        <v>-</v>
      </c>
    </row>
    <row r="1672" spans="1:15" ht="24" thickBot="1" x14ac:dyDescent="0.35">
      <c r="A1672" s="277" t="s">
        <v>111</v>
      </c>
      <c r="B1672" s="924"/>
      <c r="C1672" s="282" t="s">
        <v>255</v>
      </c>
      <c r="D1672" s="282" t="s">
        <v>256</v>
      </c>
      <c r="E1672" s="283">
        <v>0</v>
      </c>
      <c r="F1672" s="284"/>
      <c r="G1672" s="340">
        <f t="shared" si="2181"/>
        <v>0</v>
      </c>
      <c r="H1672" s="285">
        <v>0</v>
      </c>
      <c r="I1672" s="285">
        <v>0</v>
      </c>
      <c r="J1672" s="359" t="str">
        <f>IFERROR(G1672/#REF!,"-")</f>
        <v>-</v>
      </c>
      <c r="K1672" s="471">
        <f t="shared" si="2182"/>
        <v>105704</v>
      </c>
      <c r="L1672" s="472">
        <f t="shared" si="2183"/>
        <v>104016</v>
      </c>
      <c r="M1672" s="473">
        <f t="shared" si="2184"/>
        <v>1688</v>
      </c>
      <c r="N1672" s="344" t="str">
        <f t="shared" si="2185"/>
        <v>-</v>
      </c>
      <c r="O1672" s="350">
        <f t="shared" ref="O1672:O1690" si="2186">IFERROR(M1672/K1672,"-")</f>
        <v>1.5969121319912207E-2</v>
      </c>
    </row>
    <row r="1673" spans="1:15" ht="24" thickBot="1" x14ac:dyDescent="0.35">
      <c r="A1673" s="277" t="s">
        <v>111</v>
      </c>
      <c r="B1673" s="906" t="s">
        <v>47</v>
      </c>
      <c r="C1673" s="907"/>
      <c r="D1673" s="908"/>
      <c r="E1673" s="326">
        <v>144600</v>
      </c>
      <c r="F1673" s="289">
        <v>15000</v>
      </c>
      <c r="G1673" s="326">
        <f>SUM(G1669:G1672)</f>
        <v>0</v>
      </c>
      <c r="H1673" s="327">
        <f t="shared" ref="H1673:I1673" si="2187">SUM(H1669:H1672)</f>
        <v>0</v>
      </c>
      <c r="I1673" s="327">
        <f t="shared" si="2187"/>
        <v>0</v>
      </c>
      <c r="J1673" s="351" t="str">
        <f>IFERROR(G1673/#REF!,"-")</f>
        <v>-</v>
      </c>
      <c r="K1673" s="326">
        <f t="shared" ref="K1673:M1673" si="2188">SUM(K1669:K1672)</f>
        <v>105704</v>
      </c>
      <c r="L1673" s="327">
        <f t="shared" si="2188"/>
        <v>104016</v>
      </c>
      <c r="M1673" s="328">
        <f t="shared" si="2188"/>
        <v>1688</v>
      </c>
      <c r="N1673" s="345">
        <f>IFERROR(K1673/E1673,"-")</f>
        <v>0.7310096818810512</v>
      </c>
      <c r="O1673" s="351">
        <f t="shared" si="2186"/>
        <v>1.5969121319912207E-2</v>
      </c>
    </row>
    <row r="1674" spans="1:15" ht="23.4" x14ac:dyDescent="0.3">
      <c r="A1674" s="277" t="s">
        <v>111</v>
      </c>
      <c r="B1674" s="922" t="s">
        <v>17</v>
      </c>
      <c r="C1674" s="272" t="s">
        <v>331</v>
      </c>
      <c r="D1674" s="272"/>
      <c r="E1674" s="273">
        <v>0</v>
      </c>
      <c r="F1674" s="274"/>
      <c r="G1674" s="338">
        <f t="shared" ref="G1674:G1680" si="2189">+H1674+I1674</f>
        <v>0</v>
      </c>
      <c r="H1674" s="275">
        <v>0</v>
      </c>
      <c r="I1674" s="275">
        <v>0</v>
      </c>
      <c r="J1674" s="357" t="str">
        <f>IFERROR(G1674/#REF!,"-")</f>
        <v>-</v>
      </c>
      <c r="K1674" s="468">
        <f t="shared" ref="K1674:K1680" si="2190">+L1674+M1674</f>
        <v>0</v>
      </c>
      <c r="L1674" s="469">
        <f t="shared" ref="L1674:L1680" si="2191">+H1674+L1570</f>
        <v>0</v>
      </c>
      <c r="M1674" s="470">
        <f t="shared" ref="M1674:M1680" si="2192">+I1674+M1570</f>
        <v>0</v>
      </c>
      <c r="N1674" s="342" t="str">
        <f t="shared" ref="N1674:N1680" si="2193">IFERROR(K1674/E1674,"-")</f>
        <v>-</v>
      </c>
      <c r="O1674" s="352" t="str">
        <f t="shared" si="2186"/>
        <v>-</v>
      </c>
    </row>
    <row r="1675" spans="1:15" ht="23.4" x14ac:dyDescent="0.3">
      <c r="A1675" s="277" t="s">
        <v>111</v>
      </c>
      <c r="B1675" s="923"/>
      <c r="C1675" s="278" t="s">
        <v>421</v>
      </c>
      <c r="D1675" s="278" t="s">
        <v>257</v>
      </c>
      <c r="E1675" s="279">
        <v>0</v>
      </c>
      <c r="F1675" s="280"/>
      <c r="G1675" s="339">
        <f t="shared" si="2189"/>
        <v>183913</v>
      </c>
      <c r="H1675" s="281">
        <f>79560+104040</f>
        <v>183600</v>
      </c>
      <c r="I1675" s="281">
        <f>139+174</f>
        <v>313</v>
      </c>
      <c r="J1675" s="358" t="str">
        <f>IFERROR(G1675/#REF!,"-")</f>
        <v>-</v>
      </c>
      <c r="K1675" s="339">
        <f t="shared" si="2190"/>
        <v>849860</v>
      </c>
      <c r="L1675" s="281">
        <f t="shared" si="2191"/>
        <v>846863</v>
      </c>
      <c r="M1675" s="442">
        <f t="shared" si="2192"/>
        <v>2997</v>
      </c>
      <c r="N1675" s="343" t="str">
        <f t="shared" si="2193"/>
        <v>-</v>
      </c>
      <c r="O1675" s="264">
        <f t="shared" si="2186"/>
        <v>3.526463182171181E-3</v>
      </c>
    </row>
    <row r="1676" spans="1:15" ht="23.4" x14ac:dyDescent="0.3">
      <c r="A1676" s="277" t="s">
        <v>111</v>
      </c>
      <c r="B1676" s="923"/>
      <c r="C1676" s="278" t="s">
        <v>290</v>
      </c>
      <c r="D1676" s="278" t="s">
        <v>205</v>
      </c>
      <c r="E1676" s="279">
        <v>0</v>
      </c>
      <c r="F1676" s="280"/>
      <c r="G1676" s="339">
        <f t="shared" si="2189"/>
        <v>0</v>
      </c>
      <c r="H1676" s="281">
        <v>0</v>
      </c>
      <c r="I1676" s="281">
        <v>0</v>
      </c>
      <c r="J1676" s="358" t="str">
        <f>IFERROR(G1676/#REF!,"-")</f>
        <v>-</v>
      </c>
      <c r="K1676" s="339">
        <f t="shared" si="2190"/>
        <v>0</v>
      </c>
      <c r="L1676" s="281">
        <f t="shared" si="2191"/>
        <v>0</v>
      </c>
      <c r="M1676" s="442">
        <f t="shared" si="2192"/>
        <v>0</v>
      </c>
      <c r="N1676" s="343" t="str">
        <f t="shared" si="2193"/>
        <v>-</v>
      </c>
      <c r="O1676" s="264" t="str">
        <f t="shared" si="2186"/>
        <v>-</v>
      </c>
    </row>
    <row r="1677" spans="1:15" ht="23.4" x14ac:dyDescent="0.3">
      <c r="A1677" s="277" t="s">
        <v>111</v>
      </c>
      <c r="B1677" s="923"/>
      <c r="C1677" s="278" t="s">
        <v>330</v>
      </c>
      <c r="D1677" s="278" t="s">
        <v>206</v>
      </c>
      <c r="E1677" s="279">
        <v>0</v>
      </c>
      <c r="F1677" s="280"/>
      <c r="G1677" s="339">
        <f t="shared" si="2189"/>
        <v>0</v>
      </c>
      <c r="H1677" s="281">
        <v>0</v>
      </c>
      <c r="I1677" s="281">
        <v>0</v>
      </c>
      <c r="J1677" s="358" t="str">
        <f>IFERROR(G1677/#REF!,"-")</f>
        <v>-</v>
      </c>
      <c r="K1677" s="339">
        <f t="shared" si="2190"/>
        <v>1836</v>
      </c>
      <c r="L1677" s="281">
        <f t="shared" si="2191"/>
        <v>1836</v>
      </c>
      <c r="M1677" s="442">
        <f t="shared" si="2192"/>
        <v>0</v>
      </c>
      <c r="N1677" s="343" t="str">
        <f t="shared" si="2193"/>
        <v>-</v>
      </c>
      <c r="O1677" s="264">
        <f t="shared" si="2186"/>
        <v>0</v>
      </c>
    </row>
    <row r="1678" spans="1:15" ht="23.4" x14ac:dyDescent="0.3">
      <c r="A1678" s="277" t="s">
        <v>111</v>
      </c>
      <c r="B1678" s="923"/>
      <c r="C1678" s="278" t="s">
        <v>377</v>
      </c>
      <c r="D1678" s="278" t="s">
        <v>371</v>
      </c>
      <c r="E1678" s="279">
        <v>0</v>
      </c>
      <c r="F1678" s="280"/>
      <c r="G1678" s="339">
        <f t="shared" si="2189"/>
        <v>0</v>
      </c>
      <c r="H1678" s="281">
        <v>0</v>
      </c>
      <c r="I1678" s="281">
        <v>0</v>
      </c>
      <c r="J1678" s="358" t="str">
        <f>IFERROR(G1678/#REF!,"-")</f>
        <v>-</v>
      </c>
      <c r="K1678" s="339">
        <f t="shared" si="2190"/>
        <v>10610</v>
      </c>
      <c r="L1678" s="281">
        <f t="shared" si="2191"/>
        <v>10610</v>
      </c>
      <c r="M1678" s="442">
        <f t="shared" si="2192"/>
        <v>0</v>
      </c>
      <c r="N1678" s="343" t="str">
        <f t="shared" si="2193"/>
        <v>-</v>
      </c>
      <c r="O1678" s="264">
        <f t="shared" si="2186"/>
        <v>0</v>
      </c>
    </row>
    <row r="1679" spans="1:15" ht="23.4" x14ac:dyDescent="0.3">
      <c r="A1679" s="277" t="s">
        <v>111</v>
      </c>
      <c r="B1679" s="923"/>
      <c r="C1679" s="278" t="s">
        <v>443</v>
      </c>
      <c r="D1679" s="278" t="s">
        <v>207</v>
      </c>
      <c r="E1679" s="279">
        <v>0</v>
      </c>
      <c r="F1679" s="280"/>
      <c r="G1679" s="339">
        <f t="shared" si="2189"/>
        <v>36720</v>
      </c>
      <c r="H1679" s="281">
        <v>36720</v>
      </c>
      <c r="I1679" s="281">
        <v>0</v>
      </c>
      <c r="J1679" s="358" t="str">
        <f>IFERROR(G1679/#REF!,"-")</f>
        <v>-</v>
      </c>
      <c r="K1679" s="339">
        <f t="shared" si="2190"/>
        <v>484860</v>
      </c>
      <c r="L1679" s="281">
        <f t="shared" si="2191"/>
        <v>483480</v>
      </c>
      <c r="M1679" s="442">
        <f t="shared" si="2192"/>
        <v>1380</v>
      </c>
      <c r="N1679" s="343" t="str">
        <f t="shared" si="2193"/>
        <v>-</v>
      </c>
      <c r="O1679" s="264">
        <f t="shared" si="2186"/>
        <v>2.8461824031679249E-3</v>
      </c>
    </row>
    <row r="1680" spans="1:15" ht="24" thickBot="1" x14ac:dyDescent="0.35">
      <c r="A1680" s="277" t="s">
        <v>111</v>
      </c>
      <c r="B1680" s="924"/>
      <c r="C1680" s="282" t="s">
        <v>416</v>
      </c>
      <c r="D1680" s="282" t="s">
        <v>257</v>
      </c>
      <c r="E1680" s="283">
        <v>0</v>
      </c>
      <c r="F1680" s="284"/>
      <c r="G1680" s="340">
        <f t="shared" si="2189"/>
        <v>0</v>
      </c>
      <c r="H1680" s="285">
        <v>0</v>
      </c>
      <c r="I1680" s="285">
        <v>0</v>
      </c>
      <c r="J1680" s="359" t="str">
        <f>IFERROR(G1680/#REF!,"-")</f>
        <v>-</v>
      </c>
      <c r="K1680" s="471">
        <f t="shared" si="2190"/>
        <v>73650</v>
      </c>
      <c r="L1680" s="472">
        <f t="shared" si="2191"/>
        <v>73440</v>
      </c>
      <c r="M1680" s="473">
        <f t="shared" si="2192"/>
        <v>210</v>
      </c>
      <c r="N1680" s="344" t="str">
        <f t="shared" si="2193"/>
        <v>-</v>
      </c>
      <c r="O1680" s="353">
        <f t="shared" si="2186"/>
        <v>2.8513238289205704E-3</v>
      </c>
    </row>
    <row r="1681" spans="1:15" ht="24" thickBot="1" x14ac:dyDescent="0.35">
      <c r="A1681" s="277" t="s">
        <v>111</v>
      </c>
      <c r="B1681" s="906" t="s">
        <v>48</v>
      </c>
      <c r="C1681" s="907"/>
      <c r="D1681" s="908"/>
      <c r="E1681" s="326">
        <v>3480000</v>
      </c>
      <c r="F1681" s="289">
        <v>100000</v>
      </c>
      <c r="G1681" s="326">
        <f>SUM(G1674:G1680)</f>
        <v>220633</v>
      </c>
      <c r="H1681" s="327">
        <f t="shared" ref="H1681:I1681" si="2194">SUM(H1674:H1680)</f>
        <v>220320</v>
      </c>
      <c r="I1681" s="327">
        <f t="shared" si="2194"/>
        <v>313</v>
      </c>
      <c r="J1681" s="351" t="str">
        <f>IFERROR(G1681/#REF!,"-")</f>
        <v>-</v>
      </c>
      <c r="K1681" s="326">
        <f>SUM(K1674:K1680)</f>
        <v>1420816</v>
      </c>
      <c r="L1681" s="327">
        <f>SUM(L1674:L1680)</f>
        <v>1416229</v>
      </c>
      <c r="M1681" s="328">
        <f t="shared" ref="M1681" si="2195">SUM(M1674:M1680)</f>
        <v>4587</v>
      </c>
      <c r="N1681" s="345">
        <f>IFERROR(K1681/E1681,"-")</f>
        <v>0.40828045977011496</v>
      </c>
      <c r="O1681" s="351">
        <f t="shared" si="2186"/>
        <v>3.2284264816837649E-3</v>
      </c>
    </row>
    <row r="1682" spans="1:15" ht="23.4" x14ac:dyDescent="0.3">
      <c r="A1682" s="277" t="s">
        <v>111</v>
      </c>
      <c r="B1682" s="922" t="s">
        <v>18</v>
      </c>
      <c r="C1682" s="272" t="s">
        <v>359</v>
      </c>
      <c r="D1682" s="272" t="s">
        <v>99</v>
      </c>
      <c r="E1682" s="273">
        <v>0</v>
      </c>
      <c r="F1682" s="274"/>
      <c r="G1682" s="338">
        <f t="shared" ref="G1682:G1688" si="2196">+H1682+I1682</f>
        <v>0</v>
      </c>
      <c r="H1682" s="275">
        <v>0</v>
      </c>
      <c r="I1682" s="275">
        <v>0</v>
      </c>
      <c r="J1682" s="357" t="str">
        <f>IFERROR(G1682/#REF!,"-")</f>
        <v>-</v>
      </c>
      <c r="K1682" s="338">
        <f t="shared" ref="K1682:K1688" si="2197">+L1682+M1682</f>
        <v>0</v>
      </c>
      <c r="L1682" s="275">
        <f t="shared" ref="L1682:L1688" si="2198">+H1682+L1578</f>
        <v>0</v>
      </c>
      <c r="M1682" s="276">
        <f t="shared" ref="M1682:M1688" si="2199">+I1682+M1578</f>
        <v>0</v>
      </c>
      <c r="N1682" s="342" t="str">
        <f t="shared" ref="N1682:N1689" si="2200">IFERROR(K1682/E1682,"-")</f>
        <v>-</v>
      </c>
      <c r="O1682" s="352" t="str">
        <f t="shared" si="2186"/>
        <v>-</v>
      </c>
    </row>
    <row r="1683" spans="1:15" ht="23.4" x14ac:dyDescent="0.3">
      <c r="A1683" s="277" t="s">
        <v>111</v>
      </c>
      <c r="B1683" s="923"/>
      <c r="C1683" s="278" t="s">
        <v>258</v>
      </c>
      <c r="D1683" s="278" t="s">
        <v>259</v>
      </c>
      <c r="E1683" s="279">
        <v>0</v>
      </c>
      <c r="F1683" s="280"/>
      <c r="G1683" s="339">
        <f t="shared" si="2196"/>
        <v>0</v>
      </c>
      <c r="H1683" s="281">
        <v>0</v>
      </c>
      <c r="I1683" s="281">
        <v>0</v>
      </c>
      <c r="J1683" s="358" t="str">
        <f>IFERROR(G1683/#REF!,"-")</f>
        <v>-</v>
      </c>
      <c r="K1683" s="339">
        <f t="shared" si="2197"/>
        <v>0</v>
      </c>
      <c r="L1683" s="281">
        <f t="shared" si="2198"/>
        <v>0</v>
      </c>
      <c r="M1683" s="251">
        <f t="shared" si="2199"/>
        <v>0</v>
      </c>
      <c r="N1683" s="343" t="str">
        <f t="shared" si="2200"/>
        <v>-</v>
      </c>
      <c r="O1683" s="264" t="str">
        <f t="shared" si="2186"/>
        <v>-</v>
      </c>
    </row>
    <row r="1684" spans="1:15" ht="23.4" x14ac:dyDescent="0.3">
      <c r="A1684" s="277" t="s">
        <v>111</v>
      </c>
      <c r="B1684" s="923"/>
      <c r="C1684" s="278" t="s">
        <v>123</v>
      </c>
      <c r="D1684" s="278"/>
      <c r="E1684" s="279">
        <v>0</v>
      </c>
      <c r="F1684" s="280"/>
      <c r="G1684" s="339">
        <f t="shared" si="2196"/>
        <v>0</v>
      </c>
      <c r="H1684" s="281">
        <v>0</v>
      </c>
      <c r="I1684" s="281">
        <v>0</v>
      </c>
      <c r="J1684" s="358" t="str">
        <f>IFERROR(G1684/#REF!,"-")</f>
        <v>-</v>
      </c>
      <c r="K1684" s="339">
        <f t="shared" si="2197"/>
        <v>0</v>
      </c>
      <c r="L1684" s="281">
        <f t="shared" si="2198"/>
        <v>0</v>
      </c>
      <c r="M1684" s="251">
        <f t="shared" si="2199"/>
        <v>0</v>
      </c>
      <c r="N1684" s="343" t="str">
        <f t="shared" si="2200"/>
        <v>-</v>
      </c>
      <c r="O1684" s="264" t="str">
        <f t="shared" si="2186"/>
        <v>-</v>
      </c>
    </row>
    <row r="1685" spans="1:15" ht="23.4" x14ac:dyDescent="0.3">
      <c r="A1685" s="277" t="s">
        <v>111</v>
      </c>
      <c r="B1685" s="923"/>
      <c r="C1685" s="278" t="s">
        <v>130</v>
      </c>
      <c r="D1685" s="278"/>
      <c r="E1685" s="279">
        <v>0</v>
      </c>
      <c r="F1685" s="280"/>
      <c r="G1685" s="339">
        <f t="shared" si="2196"/>
        <v>0</v>
      </c>
      <c r="H1685" s="281">
        <v>0</v>
      </c>
      <c r="I1685" s="281">
        <v>0</v>
      </c>
      <c r="J1685" s="358" t="str">
        <f>IFERROR(G1685/#REF!,"-")</f>
        <v>-</v>
      </c>
      <c r="K1685" s="339">
        <f t="shared" si="2197"/>
        <v>0</v>
      </c>
      <c r="L1685" s="281">
        <f t="shared" si="2198"/>
        <v>0</v>
      </c>
      <c r="M1685" s="251">
        <f t="shared" si="2199"/>
        <v>0</v>
      </c>
      <c r="N1685" s="343" t="str">
        <f t="shared" si="2200"/>
        <v>-</v>
      </c>
      <c r="O1685" s="264" t="str">
        <f t="shared" si="2186"/>
        <v>-</v>
      </c>
    </row>
    <row r="1686" spans="1:15" ht="23.4" x14ac:dyDescent="0.3">
      <c r="A1686" s="277" t="s">
        <v>111</v>
      </c>
      <c r="B1686" s="923"/>
      <c r="C1686" s="278" t="s">
        <v>191</v>
      </c>
      <c r="D1686" s="278" t="s">
        <v>192</v>
      </c>
      <c r="E1686" s="279">
        <v>0</v>
      </c>
      <c r="F1686" s="280"/>
      <c r="G1686" s="339">
        <f t="shared" si="2196"/>
        <v>0</v>
      </c>
      <c r="H1686" s="281">
        <v>0</v>
      </c>
      <c r="I1686" s="281">
        <v>0</v>
      </c>
      <c r="J1686" s="358" t="str">
        <f>IFERROR(G1686/#REF!,"-")</f>
        <v>-</v>
      </c>
      <c r="K1686" s="339">
        <f t="shared" si="2197"/>
        <v>0</v>
      </c>
      <c r="L1686" s="281">
        <f t="shared" si="2198"/>
        <v>0</v>
      </c>
      <c r="M1686" s="251">
        <f t="shared" si="2199"/>
        <v>0</v>
      </c>
      <c r="N1686" s="343" t="str">
        <f t="shared" si="2200"/>
        <v>-</v>
      </c>
      <c r="O1686" s="264" t="str">
        <f t="shared" si="2186"/>
        <v>-</v>
      </c>
    </row>
    <row r="1687" spans="1:15" ht="23.4" x14ac:dyDescent="0.3">
      <c r="A1687" s="277" t="s">
        <v>111</v>
      </c>
      <c r="B1687" s="923"/>
      <c r="C1687" s="278" t="s">
        <v>194</v>
      </c>
      <c r="D1687" s="278" t="s">
        <v>193</v>
      </c>
      <c r="E1687" s="279">
        <v>0</v>
      </c>
      <c r="F1687" s="280"/>
      <c r="G1687" s="339">
        <f t="shared" si="2196"/>
        <v>0</v>
      </c>
      <c r="H1687" s="281">
        <v>0</v>
      </c>
      <c r="I1687" s="281">
        <v>0</v>
      </c>
      <c r="J1687" s="358" t="str">
        <f>IFERROR(G1687/#REF!,"-")</f>
        <v>-</v>
      </c>
      <c r="K1687" s="339">
        <f t="shared" si="2197"/>
        <v>0</v>
      </c>
      <c r="L1687" s="281">
        <f t="shared" si="2198"/>
        <v>0</v>
      </c>
      <c r="M1687" s="251">
        <f t="shared" si="2199"/>
        <v>0</v>
      </c>
      <c r="N1687" s="343" t="str">
        <f t="shared" si="2200"/>
        <v>-</v>
      </c>
      <c r="O1687" s="264" t="str">
        <f t="shared" si="2186"/>
        <v>-</v>
      </c>
    </row>
    <row r="1688" spans="1:15" ht="24" thickBot="1" x14ac:dyDescent="0.35">
      <c r="A1688" s="277" t="s">
        <v>111</v>
      </c>
      <c r="B1688" s="924"/>
      <c r="C1688" s="290" t="s">
        <v>195</v>
      </c>
      <c r="D1688" s="290" t="s">
        <v>115</v>
      </c>
      <c r="E1688" s="283">
        <v>0</v>
      </c>
      <c r="F1688" s="284"/>
      <c r="G1688" s="340">
        <f t="shared" si="2196"/>
        <v>0</v>
      </c>
      <c r="H1688" s="285">
        <v>0</v>
      </c>
      <c r="I1688" s="285">
        <v>0</v>
      </c>
      <c r="J1688" s="359" t="str">
        <f>IFERROR(G1688/#REF!,"-")</f>
        <v>-</v>
      </c>
      <c r="K1688" s="340">
        <f t="shared" si="2197"/>
        <v>0</v>
      </c>
      <c r="L1688" s="285">
        <f t="shared" si="2198"/>
        <v>0</v>
      </c>
      <c r="M1688" s="286">
        <f t="shared" si="2199"/>
        <v>0</v>
      </c>
      <c r="N1688" s="344" t="str">
        <f t="shared" si="2200"/>
        <v>-</v>
      </c>
      <c r="O1688" s="353" t="str">
        <f t="shared" si="2186"/>
        <v>-</v>
      </c>
    </row>
    <row r="1689" spans="1:15" ht="24" thickBot="1" x14ac:dyDescent="0.35">
      <c r="A1689" s="277" t="s">
        <v>111</v>
      </c>
      <c r="B1689" s="906" t="s">
        <v>29</v>
      </c>
      <c r="C1689" s="907"/>
      <c r="D1689" s="908"/>
      <c r="E1689" s="326">
        <f t="shared" ref="E1689" si="2201">SUM(E1682:E1688)</f>
        <v>0</v>
      </c>
      <c r="F1689" s="289">
        <v>80000</v>
      </c>
      <c r="G1689" s="326">
        <f>SUM(G1682:G1688)</f>
        <v>0</v>
      </c>
      <c r="H1689" s="327">
        <f t="shared" ref="H1689:I1689" si="2202">SUM(H1682:H1688)</f>
        <v>0</v>
      </c>
      <c r="I1689" s="327">
        <f t="shared" si="2202"/>
        <v>0</v>
      </c>
      <c r="J1689" s="351" t="str">
        <f>IFERROR(G1689/#REF!,"-")</f>
        <v>-</v>
      </c>
      <c r="K1689" s="326">
        <f t="shared" ref="K1689:M1689" si="2203">SUM(K1682:K1688)</f>
        <v>0</v>
      </c>
      <c r="L1689" s="327">
        <f t="shared" si="2203"/>
        <v>0</v>
      </c>
      <c r="M1689" s="328">
        <f t="shared" si="2203"/>
        <v>0</v>
      </c>
      <c r="N1689" s="345" t="str">
        <f t="shared" si="2200"/>
        <v>-</v>
      </c>
      <c r="O1689" s="351" t="str">
        <f t="shared" si="2186"/>
        <v>-</v>
      </c>
    </row>
    <row r="1690" spans="1:15" ht="23.4" x14ac:dyDescent="0.3">
      <c r="A1690" s="252" t="s">
        <v>111</v>
      </c>
      <c r="B1690" s="918" t="s">
        <v>19</v>
      </c>
      <c r="C1690" s="757" t="s">
        <v>260</v>
      </c>
      <c r="D1690" s="771" t="s">
        <v>192</v>
      </c>
      <c r="E1690" s="540">
        <v>2000000</v>
      </c>
      <c r="F1690" s="470">
        <v>110000</v>
      </c>
      <c r="G1690" s="770">
        <f t="shared" ref="G1690:G1692" si="2204">+H1690+I1690</f>
        <v>0</v>
      </c>
      <c r="H1690" s="469">
        <v>0</v>
      </c>
      <c r="I1690" s="469">
        <v>0</v>
      </c>
      <c r="J1690" s="544" t="str">
        <f>IFERROR(G1690/#REF!,"-")</f>
        <v>-</v>
      </c>
      <c r="K1690" s="468">
        <f>+L1690+M1690</f>
        <v>329781</v>
      </c>
      <c r="L1690" s="469">
        <f t="shared" ref="L1690:L1691" si="2205">+H1690+L1586</f>
        <v>328118</v>
      </c>
      <c r="M1690" s="470">
        <f t="shared" ref="M1690:M1691" si="2206">+I1690+M1586</f>
        <v>1663</v>
      </c>
      <c r="N1690" s="775">
        <f>IFERROR(K1690/E1690,"-")</f>
        <v>0.1648905</v>
      </c>
      <c r="O1690" s="776">
        <f t="shared" si="2186"/>
        <v>5.0427404853524002E-3</v>
      </c>
    </row>
    <row r="1691" spans="1:15" ht="23.4" x14ac:dyDescent="0.3">
      <c r="A1691" s="252"/>
      <c r="B1691" s="919"/>
      <c r="C1691" s="302" t="s">
        <v>458</v>
      </c>
      <c r="D1691" s="772"/>
      <c r="E1691" s="755">
        <v>0</v>
      </c>
      <c r="F1691" s="441">
        <v>110000</v>
      </c>
      <c r="G1691" s="756">
        <f t="shared" si="2204"/>
        <v>50868</v>
      </c>
      <c r="H1691" s="275">
        <v>50688</v>
      </c>
      <c r="I1691" s="275">
        <v>180</v>
      </c>
      <c r="J1691" s="357" t="str">
        <f>IFERROR(G1691/#REF!,"-")</f>
        <v>-</v>
      </c>
      <c r="K1691" s="341">
        <f>+L1691+M1691</f>
        <v>407175</v>
      </c>
      <c r="L1691" s="295">
        <f t="shared" si="2205"/>
        <v>405504</v>
      </c>
      <c r="M1691" s="774">
        <f t="shared" si="2206"/>
        <v>1671</v>
      </c>
      <c r="N1691" s="346" t="str">
        <f t="shared" ref="N1691:N1692" si="2207">IFERROR(K1691/E1691,"-")</f>
        <v>-</v>
      </c>
      <c r="O1691" s="753">
        <f>IFERROR(M1691/K1691,"-")</f>
        <v>4.1038865352735314E-3</v>
      </c>
    </row>
    <row r="1692" spans="1:15" ht="24" thickBot="1" x14ac:dyDescent="0.35">
      <c r="A1692" s="252"/>
      <c r="B1692" s="920"/>
      <c r="C1692" s="679" t="s">
        <v>417</v>
      </c>
      <c r="D1692" s="773"/>
      <c r="E1692" s="472">
        <v>150000</v>
      </c>
      <c r="F1692" s="473">
        <v>110000</v>
      </c>
      <c r="G1692" s="607">
        <f t="shared" si="2204"/>
        <v>0</v>
      </c>
      <c r="H1692" s="285">
        <v>0</v>
      </c>
      <c r="I1692" s="285">
        <v>0</v>
      </c>
      <c r="J1692" s="359"/>
      <c r="K1692" s="471">
        <f>+L1692+M1692</f>
        <v>0</v>
      </c>
      <c r="L1692" s="472">
        <f>+H1692+L1588</f>
        <v>0</v>
      </c>
      <c r="M1692" s="473">
        <f>+I1692+M1588</f>
        <v>0</v>
      </c>
      <c r="N1692" s="344">
        <f t="shared" si="2207"/>
        <v>0</v>
      </c>
      <c r="O1692" s="680" t="str">
        <f t="shared" ref="O1692:O1740" si="2208">IFERROR(M1692/K1692,"-")</f>
        <v>-</v>
      </c>
    </row>
    <row r="1693" spans="1:15" ht="24" thickBot="1" x14ac:dyDescent="0.35">
      <c r="A1693" s="277" t="s">
        <v>111</v>
      </c>
      <c r="B1693" s="921" t="s">
        <v>49</v>
      </c>
      <c r="C1693" s="907"/>
      <c r="D1693" s="908"/>
      <c r="E1693" s="326">
        <f>SUM(E1690:E1692)</f>
        <v>2150000</v>
      </c>
      <c r="F1693" s="329">
        <f t="shared" ref="F1693" si="2209">SUM(F1690)</f>
        <v>110000</v>
      </c>
      <c r="G1693" s="326">
        <f>SUM(G1690)</f>
        <v>0</v>
      </c>
      <c r="H1693" s="327">
        <f>SUM(H1690:H1692)</f>
        <v>50688</v>
      </c>
      <c r="I1693" s="327">
        <f>SUM(I1690:I1692)</f>
        <v>180</v>
      </c>
      <c r="J1693" s="351" t="str">
        <f>IFERROR(G1693/#REF!,"-")</f>
        <v>-</v>
      </c>
      <c r="K1693" s="681">
        <f>SUM(K1690:K1691)</f>
        <v>736956</v>
      </c>
      <c r="L1693" s="327">
        <f>SUM(L1690:L1691)</f>
        <v>733622</v>
      </c>
      <c r="M1693" s="328">
        <f>SUM(M1690:M1691)</f>
        <v>3334</v>
      </c>
      <c r="N1693" s="345">
        <f>IFERROR(K1693/E1693,"-")</f>
        <v>0.34277023255813954</v>
      </c>
      <c r="O1693" s="351">
        <f t="shared" si="2208"/>
        <v>4.5240150022525091E-3</v>
      </c>
    </row>
    <row r="1694" spans="1:15" ht="23.4" x14ac:dyDescent="0.3">
      <c r="A1694" s="277" t="s">
        <v>111</v>
      </c>
      <c r="B1694" s="922" t="s">
        <v>20</v>
      </c>
      <c r="C1694" s="297" t="s">
        <v>370</v>
      </c>
      <c r="D1694" s="297" t="s">
        <v>324</v>
      </c>
      <c r="E1694" s="273">
        <v>0</v>
      </c>
      <c r="F1694" s="274"/>
      <c r="G1694" s="338">
        <f t="shared" ref="G1694:G1696" si="2210">+H1694+I1694</f>
        <v>0</v>
      </c>
      <c r="H1694" s="275">
        <v>0</v>
      </c>
      <c r="I1694" s="275">
        <v>0</v>
      </c>
      <c r="J1694" s="357" t="str">
        <f>IFERROR(G1694/#REF!,"-")</f>
        <v>-</v>
      </c>
      <c r="K1694" s="338">
        <f t="shared" ref="K1694:K1696" si="2211">+L1694+M1694</f>
        <v>0</v>
      </c>
      <c r="L1694" s="275">
        <f t="shared" ref="L1694:L1696" si="2212">+H1694+L1590</f>
        <v>0</v>
      </c>
      <c r="M1694" s="276">
        <f t="shared" ref="M1694:M1696" si="2213">+I1694+M1590</f>
        <v>0</v>
      </c>
      <c r="N1694" s="342" t="str">
        <f t="shared" ref="N1694:N1697" si="2214">IFERROR(K1694/E1694,"-")</f>
        <v>-</v>
      </c>
      <c r="O1694" s="352" t="str">
        <f t="shared" si="2208"/>
        <v>-</v>
      </c>
    </row>
    <row r="1695" spans="1:15" ht="23.4" x14ac:dyDescent="0.3">
      <c r="A1695" s="277" t="s">
        <v>111</v>
      </c>
      <c r="B1695" s="923"/>
      <c r="C1695" s="298" t="s">
        <v>122</v>
      </c>
      <c r="D1695" s="298"/>
      <c r="E1695" s="279">
        <v>0</v>
      </c>
      <c r="F1695" s="280"/>
      <c r="G1695" s="339">
        <f t="shared" si="2210"/>
        <v>0</v>
      </c>
      <c r="H1695" s="281">
        <v>0</v>
      </c>
      <c r="I1695" s="281">
        <v>0</v>
      </c>
      <c r="J1695" s="358" t="str">
        <f>IFERROR(G1695/#REF!,"-")</f>
        <v>-</v>
      </c>
      <c r="K1695" s="339">
        <f t="shared" si="2211"/>
        <v>0</v>
      </c>
      <c r="L1695" s="281">
        <f t="shared" si="2212"/>
        <v>0</v>
      </c>
      <c r="M1695" s="251">
        <f t="shared" si="2213"/>
        <v>0</v>
      </c>
      <c r="N1695" s="343" t="str">
        <f t="shared" si="2214"/>
        <v>-</v>
      </c>
      <c r="O1695" s="264" t="str">
        <f t="shared" si="2208"/>
        <v>-</v>
      </c>
    </row>
    <row r="1696" spans="1:15" ht="24" thickBot="1" x14ac:dyDescent="0.35">
      <c r="A1696" s="277" t="s">
        <v>111</v>
      </c>
      <c r="B1696" s="924"/>
      <c r="C1696" s="299" t="s">
        <v>128</v>
      </c>
      <c r="D1696" s="299"/>
      <c r="E1696" s="283">
        <v>0</v>
      </c>
      <c r="F1696" s="284"/>
      <c r="G1696" s="340">
        <f t="shared" si="2210"/>
        <v>0</v>
      </c>
      <c r="H1696" s="285">
        <v>0</v>
      </c>
      <c r="I1696" s="285">
        <v>0</v>
      </c>
      <c r="J1696" s="359" t="str">
        <f>IFERROR(G1696/#REF!,"-")</f>
        <v>-</v>
      </c>
      <c r="K1696" s="340">
        <f t="shared" si="2211"/>
        <v>0</v>
      </c>
      <c r="L1696" s="285">
        <f t="shared" si="2212"/>
        <v>0</v>
      </c>
      <c r="M1696" s="286">
        <f t="shared" si="2213"/>
        <v>0</v>
      </c>
      <c r="N1696" s="344" t="str">
        <f t="shared" si="2214"/>
        <v>-</v>
      </c>
      <c r="O1696" s="353" t="str">
        <f t="shared" si="2208"/>
        <v>-</v>
      </c>
    </row>
    <row r="1697" spans="1:15" ht="24" thickBot="1" x14ac:dyDescent="0.35">
      <c r="A1697" s="277" t="s">
        <v>111</v>
      </c>
      <c r="B1697" s="907" t="s">
        <v>50</v>
      </c>
      <c r="C1697" s="907"/>
      <c r="D1697" s="925"/>
      <c r="E1697" s="326">
        <f t="shared" ref="E1697" si="2215">SUM(E1694:E1696)</f>
        <v>0</v>
      </c>
      <c r="F1697" s="289">
        <v>50000</v>
      </c>
      <c r="G1697" s="326">
        <f>SUM(G1694:G1696)</f>
        <v>0</v>
      </c>
      <c r="H1697" s="327">
        <f t="shared" ref="H1697:I1697" si="2216">SUM(H1694:H1696)</f>
        <v>0</v>
      </c>
      <c r="I1697" s="327">
        <f t="shared" si="2216"/>
        <v>0</v>
      </c>
      <c r="J1697" s="351" t="str">
        <f>IFERROR(G1697/#REF!,"-")</f>
        <v>-</v>
      </c>
      <c r="K1697" s="326">
        <f t="shared" ref="K1697:M1697" si="2217">SUM(K1694:K1696)</f>
        <v>0</v>
      </c>
      <c r="L1697" s="327">
        <f t="shared" si="2217"/>
        <v>0</v>
      </c>
      <c r="M1697" s="328">
        <f t="shared" si="2217"/>
        <v>0</v>
      </c>
      <c r="N1697" s="345" t="str">
        <f t="shared" si="2214"/>
        <v>-</v>
      </c>
      <c r="O1697" s="351" t="str">
        <f t="shared" si="2208"/>
        <v>-</v>
      </c>
    </row>
    <row r="1698" spans="1:15" ht="24" thickBot="1" x14ac:dyDescent="0.35">
      <c r="A1698" s="277" t="s">
        <v>111</v>
      </c>
      <c r="B1698" s="926" t="s">
        <v>21</v>
      </c>
      <c r="C1698" s="927"/>
      <c r="D1698" s="928"/>
      <c r="E1698" s="332">
        <f>+E1673+E1681+E1689+E1693+E1697</f>
        <v>5774600</v>
      </c>
      <c r="F1698" s="333">
        <f>+F1673+F1681+F1689+F1693+F1697</f>
        <v>355000</v>
      </c>
      <c r="G1698" s="332">
        <f>+G1673+G1681+G1689+G1693+G1697</f>
        <v>220633</v>
      </c>
      <c r="H1698" s="330">
        <f>+H1673+H1681+H1689+H1693+H1697</f>
        <v>271008</v>
      </c>
      <c r="I1698" s="330">
        <f>+I1673+I1681+I1689+I1693+I1697</f>
        <v>493</v>
      </c>
      <c r="J1698" s="355" t="str">
        <f>IFERROR(G1698/#REF!,"-")</f>
        <v>-</v>
      </c>
      <c r="K1698" s="332">
        <f>+K1673+K1681+K1689+K1693+K1697</f>
        <v>2263476</v>
      </c>
      <c r="L1698" s="330">
        <f>+L1673+L1681+L1689+L1693+L1697</f>
        <v>2253867</v>
      </c>
      <c r="M1698" s="331">
        <f>+M1673+M1681+M1689+M1693+M1697</f>
        <v>9609</v>
      </c>
      <c r="N1698" s="347">
        <f>IFERROR(K1698/E1698,"-")</f>
        <v>0.39197104561354901</v>
      </c>
      <c r="O1698" s="355">
        <f t="shared" si="2208"/>
        <v>4.2452405061948967E-3</v>
      </c>
    </row>
    <row r="1699" spans="1:15" ht="23.4" x14ac:dyDescent="0.3">
      <c r="A1699" s="277" t="s">
        <v>111</v>
      </c>
      <c r="B1699" s="922" t="s">
        <v>22</v>
      </c>
      <c r="C1699" s="272" t="s">
        <v>133</v>
      </c>
      <c r="D1699" s="272"/>
      <c r="E1699" s="273">
        <v>0</v>
      </c>
      <c r="F1699" s="274"/>
      <c r="G1699" s="338">
        <f t="shared" ref="G1699:G1702" si="2218">+H1699+I1699</f>
        <v>0</v>
      </c>
      <c r="H1699" s="275">
        <v>0</v>
      </c>
      <c r="I1699" s="275">
        <v>0</v>
      </c>
      <c r="J1699" s="357" t="str">
        <f>IFERROR(G1699/#REF!,"-")</f>
        <v>-</v>
      </c>
      <c r="K1699" s="338">
        <f t="shared" ref="K1699:K1702" si="2219">+L1699+M1699</f>
        <v>0</v>
      </c>
      <c r="L1699" s="275">
        <f t="shared" ref="L1699:L1702" si="2220">+H1699+L1595</f>
        <v>0</v>
      </c>
      <c r="M1699" s="276">
        <f t="shared" ref="M1699:M1702" si="2221">+I1699+M1595</f>
        <v>0</v>
      </c>
      <c r="N1699" s="342" t="str">
        <f t="shared" ref="N1699:N1713" si="2222">IFERROR(K1699/E1699,"-")</f>
        <v>-</v>
      </c>
      <c r="O1699" s="352" t="str">
        <f t="shared" si="2208"/>
        <v>-</v>
      </c>
    </row>
    <row r="1700" spans="1:15" ht="23.4" x14ac:dyDescent="0.3">
      <c r="A1700" s="277" t="s">
        <v>111</v>
      </c>
      <c r="B1700" s="923"/>
      <c r="C1700" s="301" t="s">
        <v>291</v>
      </c>
      <c r="D1700" s="301" t="s">
        <v>196</v>
      </c>
      <c r="E1700" s="279">
        <v>0</v>
      </c>
      <c r="F1700" s="280"/>
      <c r="G1700" s="339">
        <f t="shared" si="2218"/>
        <v>0</v>
      </c>
      <c r="H1700" s="281">
        <v>0</v>
      </c>
      <c r="I1700" s="281">
        <v>0</v>
      </c>
      <c r="J1700" s="358" t="str">
        <f>IFERROR(G1700/#REF!,"-")</f>
        <v>-</v>
      </c>
      <c r="K1700" s="339">
        <f t="shared" si="2219"/>
        <v>0</v>
      </c>
      <c r="L1700" s="281">
        <f t="shared" si="2220"/>
        <v>0</v>
      </c>
      <c r="M1700" s="251">
        <f t="shared" si="2221"/>
        <v>0</v>
      </c>
      <c r="N1700" s="343" t="str">
        <f t="shared" si="2222"/>
        <v>-</v>
      </c>
      <c r="O1700" s="264" t="str">
        <f t="shared" si="2208"/>
        <v>-</v>
      </c>
    </row>
    <row r="1701" spans="1:15" ht="23.4" x14ac:dyDescent="0.3">
      <c r="A1701" s="277" t="s">
        <v>111</v>
      </c>
      <c r="B1701" s="923"/>
      <c r="C1701" s="301" t="s">
        <v>473</v>
      </c>
      <c r="D1701" s="301" t="s">
        <v>196</v>
      </c>
      <c r="E1701" s="279">
        <v>1000000</v>
      </c>
      <c r="F1701" s="280"/>
      <c r="G1701" s="339">
        <f t="shared" si="2218"/>
        <v>83235</v>
      </c>
      <c r="H1701" s="281">
        <v>83160</v>
      </c>
      <c r="I1701" s="281">
        <v>75</v>
      </c>
      <c r="J1701" s="358" t="str">
        <f>IFERROR(G1701/#REF!,"-")</f>
        <v>-</v>
      </c>
      <c r="K1701" s="339">
        <f t="shared" si="2219"/>
        <v>251873</v>
      </c>
      <c r="L1701" s="281">
        <f t="shared" si="2220"/>
        <v>251460</v>
      </c>
      <c r="M1701" s="251">
        <f t="shared" si="2221"/>
        <v>413</v>
      </c>
      <c r="N1701" s="343">
        <f t="shared" si="2222"/>
        <v>0.25187300000000001</v>
      </c>
      <c r="O1701" s="264">
        <f t="shared" si="2208"/>
        <v>1.6397152533221108E-3</v>
      </c>
    </row>
    <row r="1702" spans="1:15" ht="24" thickBot="1" x14ac:dyDescent="0.35">
      <c r="A1702" s="277" t="s">
        <v>111</v>
      </c>
      <c r="B1702" s="924"/>
      <c r="C1702" s="282" t="s">
        <v>197</v>
      </c>
      <c r="D1702" s="282" t="s">
        <v>100</v>
      </c>
      <c r="E1702" s="283">
        <v>0</v>
      </c>
      <c r="F1702" s="284"/>
      <c r="G1702" s="340">
        <f t="shared" si="2218"/>
        <v>0</v>
      </c>
      <c r="H1702" s="285">
        <v>0</v>
      </c>
      <c r="I1702" s="285">
        <v>0</v>
      </c>
      <c r="J1702" s="359" t="str">
        <f>IFERROR(G1702/#REF!,"-")</f>
        <v>-</v>
      </c>
      <c r="K1702" s="340">
        <f t="shared" si="2219"/>
        <v>0</v>
      </c>
      <c r="L1702" s="285">
        <f t="shared" si="2220"/>
        <v>0</v>
      </c>
      <c r="M1702" s="286">
        <f t="shared" si="2221"/>
        <v>0</v>
      </c>
      <c r="N1702" s="344" t="str">
        <f t="shared" si="2222"/>
        <v>-</v>
      </c>
      <c r="O1702" s="353" t="str">
        <f t="shared" si="2208"/>
        <v>-</v>
      </c>
    </row>
    <row r="1703" spans="1:15" ht="24" thickBot="1" x14ac:dyDescent="0.35">
      <c r="A1703" s="277" t="s">
        <v>111</v>
      </c>
      <c r="B1703" s="906" t="s">
        <v>51</v>
      </c>
      <c r="C1703" s="907"/>
      <c r="D1703" s="908"/>
      <c r="E1703" s="288">
        <f>SUM(E1699:E1702)</f>
        <v>1000000</v>
      </c>
      <c r="F1703" s="289">
        <v>80000</v>
      </c>
      <c r="G1703" s="326">
        <f>SUM(G1699:G1702)</f>
        <v>83235</v>
      </c>
      <c r="H1703" s="327">
        <f t="shared" ref="H1703:I1703" si="2223">SUM(H1699:H1702)</f>
        <v>83160</v>
      </c>
      <c r="I1703" s="327">
        <f t="shared" si="2223"/>
        <v>75</v>
      </c>
      <c r="J1703" s="351" t="str">
        <f>IFERROR(G1703/#REF!,"-")</f>
        <v>-</v>
      </c>
      <c r="K1703" s="326">
        <f t="shared" ref="K1703:M1703" si="2224">SUM(K1699:K1702)</f>
        <v>251873</v>
      </c>
      <c r="L1703" s="327">
        <f t="shared" si="2224"/>
        <v>251460</v>
      </c>
      <c r="M1703" s="328">
        <f t="shared" si="2224"/>
        <v>413</v>
      </c>
      <c r="N1703" s="345">
        <f t="shared" si="2222"/>
        <v>0.25187300000000001</v>
      </c>
      <c r="O1703" s="351">
        <f t="shared" si="2208"/>
        <v>1.6397152533221108E-3</v>
      </c>
    </row>
    <row r="1704" spans="1:15" ht="23.4" x14ac:dyDescent="0.3">
      <c r="A1704" s="277" t="s">
        <v>111</v>
      </c>
      <c r="B1704" s="922" t="s">
        <v>23</v>
      </c>
      <c r="C1704" s="302" t="s">
        <v>348</v>
      </c>
      <c r="D1704" s="302" t="s">
        <v>263</v>
      </c>
      <c r="E1704" s="273">
        <v>0</v>
      </c>
      <c r="F1704" s="274"/>
      <c r="G1704" s="338">
        <f t="shared" ref="G1704:G1711" si="2225">+H1704+I1704</f>
        <v>0</v>
      </c>
      <c r="H1704" s="275">
        <v>0</v>
      </c>
      <c r="I1704" s="275">
        <v>0</v>
      </c>
      <c r="J1704" s="357" t="str">
        <f>IFERROR(G1704/#REF!,"-")</f>
        <v>-</v>
      </c>
      <c r="K1704" s="338">
        <f t="shared" ref="K1704:K1711" si="2226">+L1704+M1704</f>
        <v>0</v>
      </c>
      <c r="L1704" s="275">
        <f t="shared" ref="L1704:L1711" si="2227">+H1704+L1600</f>
        <v>0</v>
      </c>
      <c r="M1704" s="276">
        <f t="shared" ref="M1704:M1711" si="2228">+I1704+M1600</f>
        <v>0</v>
      </c>
      <c r="N1704" s="342" t="str">
        <f t="shared" si="2222"/>
        <v>-</v>
      </c>
      <c r="O1704" s="352" t="str">
        <f t="shared" si="2208"/>
        <v>-</v>
      </c>
    </row>
    <row r="1705" spans="1:15" ht="23.4" x14ac:dyDescent="0.3">
      <c r="A1705" s="277" t="s">
        <v>111</v>
      </c>
      <c r="B1705" s="923"/>
      <c r="C1705" s="278" t="s">
        <v>24</v>
      </c>
      <c r="D1705" s="278" t="s">
        <v>263</v>
      </c>
      <c r="E1705" s="279">
        <v>0</v>
      </c>
      <c r="F1705" s="280"/>
      <c r="G1705" s="339">
        <f t="shared" si="2225"/>
        <v>5931</v>
      </c>
      <c r="H1705" s="281">
        <v>5515</v>
      </c>
      <c r="I1705" s="281">
        <v>416</v>
      </c>
      <c r="J1705" s="358" t="str">
        <f>IFERROR(G1705/#REF!,"-")</f>
        <v>-</v>
      </c>
      <c r="K1705" s="339">
        <f t="shared" si="2226"/>
        <v>113483</v>
      </c>
      <c r="L1705" s="281">
        <f t="shared" si="2227"/>
        <v>112404</v>
      </c>
      <c r="M1705" s="251">
        <f t="shared" si="2228"/>
        <v>1079</v>
      </c>
      <c r="N1705" s="343" t="str">
        <f t="shared" si="2222"/>
        <v>-</v>
      </c>
      <c r="O1705" s="264">
        <f t="shared" si="2208"/>
        <v>9.508032040041239E-3</v>
      </c>
    </row>
    <row r="1706" spans="1:15" ht="23.4" x14ac:dyDescent="0.3">
      <c r="A1706" s="277" t="s">
        <v>111</v>
      </c>
      <c r="B1706" s="923"/>
      <c r="C1706" s="278" t="s">
        <v>261</v>
      </c>
      <c r="D1706" s="278" t="s">
        <v>263</v>
      </c>
      <c r="E1706" s="279">
        <v>0</v>
      </c>
      <c r="F1706" s="280"/>
      <c r="G1706" s="339">
        <f t="shared" si="2225"/>
        <v>0</v>
      </c>
      <c r="H1706" s="281">
        <v>0</v>
      </c>
      <c r="I1706" s="281">
        <v>0</v>
      </c>
      <c r="J1706" s="358" t="str">
        <f>IFERROR(G1706/#REF!,"-")</f>
        <v>-</v>
      </c>
      <c r="K1706" s="339">
        <f t="shared" si="2226"/>
        <v>11048</v>
      </c>
      <c r="L1706" s="281">
        <f t="shared" si="2227"/>
        <v>10901</v>
      </c>
      <c r="M1706" s="251">
        <f t="shared" si="2228"/>
        <v>147</v>
      </c>
      <c r="N1706" s="343" t="str">
        <f t="shared" si="2222"/>
        <v>-</v>
      </c>
      <c r="O1706" s="264">
        <f t="shared" si="2208"/>
        <v>1.330557566980449E-2</v>
      </c>
    </row>
    <row r="1707" spans="1:15" ht="23.4" x14ac:dyDescent="0.3">
      <c r="A1707" s="277" t="s">
        <v>111</v>
      </c>
      <c r="B1707" s="923"/>
      <c r="C1707" s="278" t="s">
        <v>262</v>
      </c>
      <c r="D1707" s="278" t="s">
        <v>263</v>
      </c>
      <c r="E1707" s="279">
        <v>0</v>
      </c>
      <c r="F1707" s="280"/>
      <c r="G1707" s="339">
        <f t="shared" si="2225"/>
        <v>0</v>
      </c>
      <c r="H1707" s="281">
        <v>0</v>
      </c>
      <c r="I1707" s="281">
        <v>0</v>
      </c>
      <c r="J1707" s="358" t="str">
        <f>IFERROR(G1707/#REF!,"-")</f>
        <v>-</v>
      </c>
      <c r="K1707" s="339">
        <f t="shared" si="2226"/>
        <v>7672</v>
      </c>
      <c r="L1707" s="281">
        <f t="shared" si="2227"/>
        <v>7612</v>
      </c>
      <c r="M1707" s="251">
        <f t="shared" si="2228"/>
        <v>60</v>
      </c>
      <c r="N1707" s="343" t="str">
        <f t="shared" si="2222"/>
        <v>-</v>
      </c>
      <c r="O1707" s="264">
        <f t="shared" si="2208"/>
        <v>7.8206465067778945E-3</v>
      </c>
    </row>
    <row r="1708" spans="1:15" ht="23.4" x14ac:dyDescent="0.3">
      <c r="A1708" s="277" t="s">
        <v>111</v>
      </c>
      <c r="B1708" s="923"/>
      <c r="C1708" s="301" t="s">
        <v>264</v>
      </c>
      <c r="D1708" s="278" t="s">
        <v>263</v>
      </c>
      <c r="E1708" s="279">
        <v>0</v>
      </c>
      <c r="F1708" s="280"/>
      <c r="G1708" s="339">
        <f t="shared" si="2225"/>
        <v>0</v>
      </c>
      <c r="H1708" s="281">
        <v>0</v>
      </c>
      <c r="I1708" s="281">
        <v>0</v>
      </c>
      <c r="J1708" s="358" t="str">
        <f>IFERROR(G1708/#REF!,"-")</f>
        <v>-</v>
      </c>
      <c r="K1708" s="339">
        <f t="shared" si="2226"/>
        <v>0</v>
      </c>
      <c r="L1708" s="281">
        <f t="shared" si="2227"/>
        <v>0</v>
      </c>
      <c r="M1708" s="251">
        <f t="shared" si="2228"/>
        <v>0</v>
      </c>
      <c r="N1708" s="343" t="str">
        <f t="shared" si="2222"/>
        <v>-</v>
      </c>
      <c r="O1708" s="264" t="str">
        <f t="shared" si="2208"/>
        <v>-</v>
      </c>
    </row>
    <row r="1709" spans="1:15" ht="23.4" x14ac:dyDescent="0.3">
      <c r="A1709" s="277" t="s">
        <v>111</v>
      </c>
      <c r="B1709" s="923"/>
      <c r="C1709" s="301" t="s">
        <v>265</v>
      </c>
      <c r="D1709" s="278" t="s">
        <v>263</v>
      </c>
      <c r="E1709" s="279">
        <v>0</v>
      </c>
      <c r="F1709" s="280"/>
      <c r="G1709" s="339">
        <f t="shared" si="2225"/>
        <v>0</v>
      </c>
      <c r="H1709" s="281">
        <v>0</v>
      </c>
      <c r="I1709" s="281">
        <v>0</v>
      </c>
      <c r="J1709" s="358" t="str">
        <f>IFERROR(G1709/#REF!,"-")</f>
        <v>-</v>
      </c>
      <c r="K1709" s="339">
        <f t="shared" si="2226"/>
        <v>0</v>
      </c>
      <c r="L1709" s="281">
        <f t="shared" si="2227"/>
        <v>0</v>
      </c>
      <c r="M1709" s="251">
        <f t="shared" si="2228"/>
        <v>0</v>
      </c>
      <c r="N1709" s="343" t="str">
        <f t="shared" si="2222"/>
        <v>-</v>
      </c>
      <c r="O1709" s="264" t="str">
        <f t="shared" si="2208"/>
        <v>-</v>
      </c>
    </row>
    <row r="1710" spans="1:15" ht="23.4" x14ac:dyDescent="0.3">
      <c r="A1710" s="277" t="s">
        <v>111</v>
      </c>
      <c r="B1710" s="923"/>
      <c r="C1710" s="301" t="s">
        <v>266</v>
      </c>
      <c r="D1710" s="278" t="s">
        <v>268</v>
      </c>
      <c r="E1710" s="279">
        <v>0</v>
      </c>
      <c r="F1710" s="280"/>
      <c r="G1710" s="339">
        <f t="shared" si="2225"/>
        <v>0</v>
      </c>
      <c r="H1710" s="281">
        <v>0</v>
      </c>
      <c r="I1710" s="281">
        <v>0</v>
      </c>
      <c r="J1710" s="358" t="str">
        <f>IFERROR(G1710/#REF!,"-")</f>
        <v>-</v>
      </c>
      <c r="K1710" s="339">
        <f t="shared" si="2226"/>
        <v>10464</v>
      </c>
      <c r="L1710" s="281">
        <f t="shared" si="2227"/>
        <v>10417</v>
      </c>
      <c r="M1710" s="251">
        <f t="shared" si="2228"/>
        <v>47</v>
      </c>
      <c r="N1710" s="343" t="str">
        <f t="shared" si="2222"/>
        <v>-</v>
      </c>
      <c r="O1710" s="264">
        <f t="shared" si="2208"/>
        <v>4.491590214067278E-3</v>
      </c>
    </row>
    <row r="1711" spans="1:15" ht="24" thickBot="1" x14ac:dyDescent="0.35">
      <c r="A1711" s="277" t="s">
        <v>111</v>
      </c>
      <c r="B1711" s="924"/>
      <c r="C1711" s="301" t="s">
        <v>267</v>
      </c>
      <c r="D1711" s="278" t="s">
        <v>263</v>
      </c>
      <c r="E1711" s="283">
        <v>0</v>
      </c>
      <c r="F1711" s="284"/>
      <c r="G1711" s="340">
        <f t="shared" si="2225"/>
        <v>0</v>
      </c>
      <c r="H1711" s="285">
        <v>0</v>
      </c>
      <c r="I1711" s="285">
        <v>0</v>
      </c>
      <c r="J1711" s="359" t="str">
        <f>IFERROR(G1711/#REF!,"-")</f>
        <v>-</v>
      </c>
      <c r="K1711" s="340">
        <f t="shared" si="2226"/>
        <v>14088</v>
      </c>
      <c r="L1711" s="285">
        <f t="shared" si="2227"/>
        <v>14000</v>
      </c>
      <c r="M1711" s="286">
        <f t="shared" si="2228"/>
        <v>88</v>
      </c>
      <c r="N1711" s="344" t="str">
        <f t="shared" si="2222"/>
        <v>-</v>
      </c>
      <c r="O1711" s="353">
        <f t="shared" si="2208"/>
        <v>6.2464508801817146E-3</v>
      </c>
    </row>
    <row r="1712" spans="1:15" ht="24" thickBot="1" x14ac:dyDescent="0.35">
      <c r="A1712" s="277" t="s">
        <v>111</v>
      </c>
      <c r="B1712" s="906" t="s">
        <v>52</v>
      </c>
      <c r="C1712" s="907"/>
      <c r="D1712" s="908"/>
      <c r="E1712" s="288">
        <v>157500</v>
      </c>
      <c r="F1712" s="289">
        <v>14000</v>
      </c>
      <c r="G1712" s="326">
        <f>SUM(G1704:G1711)</f>
        <v>5931</v>
      </c>
      <c r="H1712" s="327">
        <f t="shared" ref="H1712:I1712" si="2229">SUM(H1704:H1711)</f>
        <v>5515</v>
      </c>
      <c r="I1712" s="327">
        <f t="shared" si="2229"/>
        <v>416</v>
      </c>
      <c r="J1712" s="351" t="str">
        <f>IFERROR(G1712/#REF!,"-")</f>
        <v>-</v>
      </c>
      <c r="K1712" s="326">
        <f>SUM(K1704:K1711)</f>
        <v>156755</v>
      </c>
      <c r="L1712" s="327">
        <f t="shared" ref="L1712:M1712" si="2230">SUM(L1704:L1711)</f>
        <v>155334</v>
      </c>
      <c r="M1712" s="328">
        <f t="shared" si="2230"/>
        <v>1421</v>
      </c>
      <c r="N1712" s="345">
        <f t="shared" si="2222"/>
        <v>0.9952698412698413</v>
      </c>
      <c r="O1712" s="351">
        <f t="shared" si="2208"/>
        <v>9.0651015916557685E-3</v>
      </c>
    </row>
    <row r="1713" spans="1:15" ht="24" thickBot="1" x14ac:dyDescent="0.35">
      <c r="A1713" s="277" t="s">
        <v>111</v>
      </c>
      <c r="B1713" s="926" t="s">
        <v>25</v>
      </c>
      <c r="C1713" s="927"/>
      <c r="D1713" s="928"/>
      <c r="E1713" s="332">
        <f t="shared" ref="E1713:F1713" si="2231">+E1703+E1712</f>
        <v>1157500</v>
      </c>
      <c r="F1713" s="333">
        <f t="shared" si="2231"/>
        <v>94000</v>
      </c>
      <c r="G1713" s="332">
        <f>+G1703+G1712</f>
        <v>89166</v>
      </c>
      <c r="H1713" s="330">
        <f t="shared" ref="H1713:I1713" si="2232">+H1703+H1712</f>
        <v>88675</v>
      </c>
      <c r="I1713" s="330">
        <f t="shared" si="2232"/>
        <v>491</v>
      </c>
      <c r="J1713" s="355" t="str">
        <f>IFERROR(G1713/#REF!,"-")</f>
        <v>-</v>
      </c>
      <c r="K1713" s="332">
        <f t="shared" ref="K1713" si="2233">+K1703+K1712</f>
        <v>408628</v>
      </c>
      <c r="L1713" s="330">
        <f>+L1703+L1712</f>
        <v>406794</v>
      </c>
      <c r="M1713" s="331">
        <f t="shared" ref="M1713" si="2234">+M1703+M1712</f>
        <v>1834</v>
      </c>
      <c r="N1713" s="347">
        <f t="shared" si="2222"/>
        <v>0.35302634989200865</v>
      </c>
      <c r="O1713" s="355">
        <f t="shared" si="2208"/>
        <v>4.4881897471538909E-3</v>
      </c>
    </row>
    <row r="1714" spans="1:15" ht="24" thickBot="1" x14ac:dyDescent="0.35">
      <c r="A1714" s="277" t="s">
        <v>111</v>
      </c>
      <c r="B1714" s="900" t="s">
        <v>181</v>
      </c>
      <c r="C1714" s="901"/>
      <c r="D1714" s="902"/>
      <c r="E1714" s="336">
        <f>+E1698+E1713</f>
        <v>6932100</v>
      </c>
      <c r="F1714" s="337">
        <f t="shared" ref="F1714:I1714" si="2235">+F1698+F1713</f>
        <v>449000</v>
      </c>
      <c r="G1714" s="336">
        <f t="shared" si="2235"/>
        <v>309799</v>
      </c>
      <c r="H1714" s="334">
        <f t="shared" si="2235"/>
        <v>359683</v>
      </c>
      <c r="I1714" s="334">
        <f t="shared" si="2235"/>
        <v>984</v>
      </c>
      <c r="J1714" s="356" t="str">
        <f>IFERROR(G1714/#REF!,"-")</f>
        <v>-</v>
      </c>
      <c r="K1714" s="336">
        <f>+K1698+K1713</f>
        <v>2672104</v>
      </c>
      <c r="L1714" s="334">
        <f t="shared" ref="L1714:M1714" si="2236">+L1698+L1713</f>
        <v>2660661</v>
      </c>
      <c r="M1714" s="335">
        <f t="shared" si="2236"/>
        <v>11443</v>
      </c>
      <c r="N1714" s="348">
        <f>IFERROR(K1714/E1714,"-")</f>
        <v>0.38546818424431267</v>
      </c>
      <c r="O1714" s="356">
        <f t="shared" si="2208"/>
        <v>4.2823932002646605E-3</v>
      </c>
    </row>
    <row r="1715" spans="1:15" ht="23.4" x14ac:dyDescent="0.3">
      <c r="A1715" s="271" t="s">
        <v>109</v>
      </c>
      <c r="B1715" s="929" t="s">
        <v>26</v>
      </c>
      <c r="C1715" s="303" t="s">
        <v>334</v>
      </c>
      <c r="D1715" s="303" t="s">
        <v>192</v>
      </c>
      <c r="E1715" s="273">
        <v>0</v>
      </c>
      <c r="F1715" s="274"/>
      <c r="G1715" s="338">
        <f t="shared" ref="G1715:G1723" si="2237">+H1715+I1715</f>
        <v>0</v>
      </c>
      <c r="H1715" s="275">
        <v>0</v>
      </c>
      <c r="I1715" s="275">
        <v>0</v>
      </c>
      <c r="J1715" s="357" t="str">
        <f>IFERROR(G1715/#REF!,"-")</f>
        <v>-</v>
      </c>
      <c r="K1715" s="338">
        <f t="shared" ref="K1715:K1723" si="2238">+L1715+M1715</f>
        <v>326708</v>
      </c>
      <c r="L1715" s="275">
        <f t="shared" ref="L1715:L1723" si="2239">+H1715+L1611</f>
        <v>322218</v>
      </c>
      <c r="M1715" s="276">
        <f t="shared" ref="M1715:M1723" si="2240">+I1715+M1611</f>
        <v>4490</v>
      </c>
      <c r="N1715" s="342" t="str">
        <f t="shared" ref="N1715:N1716" si="2241">IFERROR(K1715/E1715,"-")</f>
        <v>-</v>
      </c>
      <c r="O1715" s="352">
        <f t="shared" si="2208"/>
        <v>1.3743159028857574E-2</v>
      </c>
    </row>
    <row r="1716" spans="1:15" ht="23.4" x14ac:dyDescent="0.3">
      <c r="A1716" s="277" t="s">
        <v>109</v>
      </c>
      <c r="B1716" s="929"/>
      <c r="C1716" s="304" t="s">
        <v>199</v>
      </c>
      <c r="D1716" s="304" t="s">
        <v>115</v>
      </c>
      <c r="E1716" s="279">
        <v>0</v>
      </c>
      <c r="F1716" s="280"/>
      <c r="G1716" s="339">
        <f t="shared" si="2237"/>
        <v>0</v>
      </c>
      <c r="H1716" s="281">
        <v>0</v>
      </c>
      <c r="I1716" s="281">
        <v>0</v>
      </c>
      <c r="J1716" s="358" t="str">
        <f>IFERROR(G1716/#REF!,"-")</f>
        <v>-</v>
      </c>
      <c r="K1716" s="339">
        <f t="shared" si="2238"/>
        <v>0</v>
      </c>
      <c r="L1716" s="281">
        <f t="shared" si="2239"/>
        <v>0</v>
      </c>
      <c r="M1716" s="251">
        <f t="shared" si="2240"/>
        <v>0</v>
      </c>
      <c r="N1716" s="343" t="str">
        <f t="shared" si="2241"/>
        <v>-</v>
      </c>
      <c r="O1716" s="264" t="str">
        <f t="shared" si="2208"/>
        <v>-</v>
      </c>
    </row>
    <row r="1717" spans="1:15" ht="23.4" x14ac:dyDescent="0.3">
      <c r="A1717" s="277" t="s">
        <v>109</v>
      </c>
      <c r="B1717" s="929"/>
      <c r="C1717" s="305" t="s">
        <v>27</v>
      </c>
      <c r="D1717" s="305" t="s">
        <v>394</v>
      </c>
      <c r="E1717" s="283">
        <v>0</v>
      </c>
      <c r="F1717" s="284"/>
      <c r="G1717" s="339">
        <f t="shared" si="2237"/>
        <v>0</v>
      </c>
      <c r="H1717" s="285">
        <v>0</v>
      </c>
      <c r="I1717" s="285">
        <v>0</v>
      </c>
      <c r="J1717" s="359" t="str">
        <f>IFERROR(G1717/#REF!,"-")</f>
        <v>-</v>
      </c>
      <c r="K1717" s="339">
        <f t="shared" si="2238"/>
        <v>16327</v>
      </c>
      <c r="L1717" s="285">
        <f t="shared" si="2239"/>
        <v>15912</v>
      </c>
      <c r="M1717" s="286">
        <f t="shared" si="2240"/>
        <v>415</v>
      </c>
      <c r="N1717" s="287"/>
      <c r="O1717" s="264">
        <f t="shared" si="2208"/>
        <v>2.5418019231947083E-2</v>
      </c>
    </row>
    <row r="1718" spans="1:15" ht="23.4" x14ac:dyDescent="0.3">
      <c r="A1718" s="277" t="s">
        <v>109</v>
      </c>
      <c r="B1718" s="929"/>
      <c r="C1718" s="305" t="s">
        <v>27</v>
      </c>
      <c r="D1718" s="305" t="s">
        <v>259</v>
      </c>
      <c r="E1718" s="283">
        <v>0</v>
      </c>
      <c r="F1718" s="284"/>
      <c r="G1718" s="339">
        <f t="shared" si="2237"/>
        <v>28461</v>
      </c>
      <c r="H1718" s="285">
        <v>27846</v>
      </c>
      <c r="I1718" s="285">
        <v>615</v>
      </c>
      <c r="J1718" s="359" t="str">
        <f>IFERROR(G1718/#REF!,"-")</f>
        <v>-</v>
      </c>
      <c r="K1718" s="339">
        <f t="shared" si="2238"/>
        <v>28461</v>
      </c>
      <c r="L1718" s="285">
        <f t="shared" si="2239"/>
        <v>27846</v>
      </c>
      <c r="M1718" s="286">
        <f t="shared" si="2240"/>
        <v>615</v>
      </c>
      <c r="N1718" s="287"/>
      <c r="O1718" s="264">
        <f t="shared" si="2208"/>
        <v>2.1608516917887635E-2</v>
      </c>
    </row>
    <row r="1719" spans="1:15" ht="23.4" x14ac:dyDescent="0.3">
      <c r="A1719" s="277" t="s">
        <v>109</v>
      </c>
      <c r="B1719" s="929"/>
      <c r="C1719" s="305" t="s">
        <v>325</v>
      </c>
      <c r="D1719" s="305" t="s">
        <v>324</v>
      </c>
      <c r="E1719" s="283">
        <v>0</v>
      </c>
      <c r="F1719" s="284"/>
      <c r="G1719" s="339">
        <f t="shared" si="2237"/>
        <v>0</v>
      </c>
      <c r="H1719" s="285">
        <v>0</v>
      </c>
      <c r="I1719" s="285">
        <v>0</v>
      </c>
      <c r="J1719" s="359" t="str">
        <f>IFERROR(G1719/#REF!,"-")</f>
        <v>-</v>
      </c>
      <c r="K1719" s="339">
        <f t="shared" si="2238"/>
        <v>0</v>
      </c>
      <c r="L1719" s="285">
        <f t="shared" si="2239"/>
        <v>0</v>
      </c>
      <c r="M1719" s="286">
        <f t="shared" si="2240"/>
        <v>0</v>
      </c>
      <c r="N1719" s="287"/>
      <c r="O1719" s="264" t="str">
        <f t="shared" si="2208"/>
        <v>-</v>
      </c>
    </row>
    <row r="1720" spans="1:15" ht="23.4" x14ac:dyDescent="0.3">
      <c r="A1720" s="277"/>
      <c r="B1720" s="929"/>
      <c r="C1720" s="305" t="s">
        <v>393</v>
      </c>
      <c r="D1720" s="305" t="s">
        <v>192</v>
      </c>
      <c r="E1720" s="283">
        <v>0</v>
      </c>
      <c r="F1720" s="284"/>
      <c r="G1720" s="340">
        <f t="shared" si="2237"/>
        <v>0</v>
      </c>
      <c r="H1720" s="285">
        <v>0</v>
      </c>
      <c r="I1720" s="285">
        <v>0</v>
      </c>
      <c r="J1720" s="359" t="str">
        <f>IFERROR(G1720/#REF!,"-")</f>
        <v>-</v>
      </c>
      <c r="K1720" s="340">
        <f t="shared" si="2238"/>
        <v>0</v>
      </c>
      <c r="L1720" s="285">
        <f t="shared" si="2239"/>
        <v>0</v>
      </c>
      <c r="M1720" s="286">
        <f t="shared" si="2240"/>
        <v>0</v>
      </c>
      <c r="N1720" s="287"/>
      <c r="O1720" s="264" t="str">
        <f t="shared" si="2208"/>
        <v>-</v>
      </c>
    </row>
    <row r="1721" spans="1:15" ht="23.4" x14ac:dyDescent="0.3">
      <c r="A1721" s="277"/>
      <c r="B1721" s="929"/>
      <c r="C1721" s="305" t="s">
        <v>325</v>
      </c>
      <c r="D1721" s="305" t="s">
        <v>101</v>
      </c>
      <c r="E1721" s="283">
        <v>0</v>
      </c>
      <c r="F1721" s="284"/>
      <c r="G1721" s="340">
        <f t="shared" si="2237"/>
        <v>0</v>
      </c>
      <c r="H1721" s="285">
        <v>0</v>
      </c>
      <c r="I1721" s="285">
        <v>0</v>
      </c>
      <c r="J1721" s="359" t="str">
        <f>IFERROR(G1721/#REF!,"-")</f>
        <v>-</v>
      </c>
      <c r="K1721" s="340">
        <f t="shared" si="2238"/>
        <v>3978</v>
      </c>
      <c r="L1721" s="285">
        <f t="shared" si="2239"/>
        <v>3978</v>
      </c>
      <c r="M1721" s="286">
        <f t="shared" si="2240"/>
        <v>0</v>
      </c>
      <c r="N1721" s="287"/>
      <c r="O1721" s="264">
        <f t="shared" si="2208"/>
        <v>0</v>
      </c>
    </row>
    <row r="1722" spans="1:15" ht="23.4" x14ac:dyDescent="0.3">
      <c r="A1722" s="277"/>
      <c r="B1722" s="929"/>
      <c r="C1722" s="305" t="s">
        <v>325</v>
      </c>
      <c r="D1722" s="305" t="s">
        <v>394</v>
      </c>
      <c r="E1722" s="283">
        <v>0</v>
      </c>
      <c r="F1722" s="284"/>
      <c r="G1722" s="340">
        <f t="shared" si="2237"/>
        <v>0</v>
      </c>
      <c r="H1722" s="285">
        <v>0</v>
      </c>
      <c r="I1722" s="285">
        <v>0</v>
      </c>
      <c r="J1722" s="359" t="str">
        <f>IFERROR(G1722/#REF!,"-")</f>
        <v>-</v>
      </c>
      <c r="K1722" s="340">
        <f t="shared" si="2238"/>
        <v>720648</v>
      </c>
      <c r="L1722" s="285">
        <f t="shared" si="2239"/>
        <v>712062</v>
      </c>
      <c r="M1722" s="286">
        <f t="shared" si="2240"/>
        <v>8586</v>
      </c>
      <c r="N1722" s="287"/>
      <c r="O1722" s="264">
        <f t="shared" si="2208"/>
        <v>1.1914277150564492E-2</v>
      </c>
    </row>
    <row r="1723" spans="1:15" ht="24" thickBot="1" x14ac:dyDescent="0.35">
      <c r="A1723" s="277" t="s">
        <v>109</v>
      </c>
      <c r="B1723" s="929"/>
      <c r="C1723" s="306" t="s">
        <v>326</v>
      </c>
      <c r="D1723" s="305" t="s">
        <v>324</v>
      </c>
      <c r="E1723" s="283">
        <v>0</v>
      </c>
      <c r="F1723" s="284"/>
      <c r="G1723" s="340">
        <f t="shared" si="2237"/>
        <v>0</v>
      </c>
      <c r="H1723" s="285">
        <v>0</v>
      </c>
      <c r="I1723" s="285">
        <v>0</v>
      </c>
      <c r="J1723" s="359" t="str">
        <f>IFERROR(G1723/#REF!,"-")</f>
        <v>-</v>
      </c>
      <c r="K1723" s="340">
        <f t="shared" si="2238"/>
        <v>7956</v>
      </c>
      <c r="L1723" s="285">
        <f t="shared" si="2239"/>
        <v>7956</v>
      </c>
      <c r="M1723" s="286">
        <f t="shared" si="2240"/>
        <v>0</v>
      </c>
      <c r="N1723" s="344" t="str">
        <f t="shared" ref="N1723:N1728" si="2242">IFERROR(K1723/E1723,"-")</f>
        <v>-</v>
      </c>
      <c r="O1723" s="353">
        <f t="shared" si="2208"/>
        <v>0</v>
      </c>
    </row>
    <row r="1724" spans="1:15" ht="24" thickBot="1" x14ac:dyDescent="0.35">
      <c r="A1724" s="277" t="s">
        <v>109</v>
      </c>
      <c r="B1724" s="930"/>
      <c r="C1724" s="307"/>
      <c r="D1724" s="308" t="s">
        <v>55</v>
      </c>
      <c r="E1724" s="288">
        <v>0</v>
      </c>
      <c r="F1724" s="289"/>
      <c r="G1724" s="326">
        <f>SUM(G1715:G1723)</f>
        <v>28461</v>
      </c>
      <c r="H1724" s="327">
        <f>SUM(H1715:H1723)</f>
        <v>27846</v>
      </c>
      <c r="I1724" s="327">
        <f>SUM(I1715:I1723)</f>
        <v>615</v>
      </c>
      <c r="J1724" s="351" t="str">
        <f>IFERROR(G1724/#REF!,"-")</f>
        <v>-</v>
      </c>
      <c r="K1724" s="326">
        <f>SUM(K1715:K1723)</f>
        <v>1104078</v>
      </c>
      <c r="L1724" s="327">
        <f>SUM(L1715:L1723)</f>
        <v>1089972</v>
      </c>
      <c r="M1724" s="328">
        <f>SUM(M1715:M1723)</f>
        <v>14106</v>
      </c>
      <c r="N1724" s="345" t="str">
        <f t="shared" si="2242"/>
        <v>-</v>
      </c>
      <c r="O1724" s="351">
        <f t="shared" si="2208"/>
        <v>1.277627124170575E-2</v>
      </c>
    </row>
    <row r="1725" spans="1:15" ht="23.4" x14ac:dyDescent="0.3">
      <c r="A1725" s="277" t="s">
        <v>109</v>
      </c>
      <c r="B1725" s="931" t="s">
        <v>28</v>
      </c>
      <c r="C1725" s="303" t="s">
        <v>322</v>
      </c>
      <c r="D1725" s="303" t="s">
        <v>193</v>
      </c>
      <c r="E1725" s="273">
        <v>0</v>
      </c>
      <c r="F1725" s="274"/>
      <c r="G1725" s="338">
        <f t="shared" ref="G1725:G1727" si="2243">+H1725+I1725</f>
        <v>0</v>
      </c>
      <c r="H1725" s="275">
        <v>0</v>
      </c>
      <c r="I1725" s="275">
        <v>0</v>
      </c>
      <c r="J1725" s="357" t="str">
        <f>IFERROR(G1725/#REF!,"-")</f>
        <v>-</v>
      </c>
      <c r="K1725" s="338">
        <f t="shared" ref="K1725:K1727" si="2244">+L1725+M1725</f>
        <v>0</v>
      </c>
      <c r="L1725" s="275">
        <f t="shared" ref="L1725:L1727" si="2245">+H1725+L1621</f>
        <v>0</v>
      </c>
      <c r="M1725" s="276">
        <f t="shared" ref="M1725:M1727" si="2246">+I1725+M1621</f>
        <v>0</v>
      </c>
      <c r="N1725" s="342" t="str">
        <f t="shared" si="2242"/>
        <v>-</v>
      </c>
      <c r="O1725" s="352" t="str">
        <f t="shared" si="2208"/>
        <v>-</v>
      </c>
    </row>
    <row r="1726" spans="1:15" ht="23.4" x14ac:dyDescent="0.3">
      <c r="A1726" s="277" t="s">
        <v>109</v>
      </c>
      <c r="B1726" s="929"/>
      <c r="C1726" s="305" t="s">
        <v>27</v>
      </c>
      <c r="D1726" s="305" t="s">
        <v>394</v>
      </c>
      <c r="E1726" s="279">
        <v>0</v>
      </c>
      <c r="F1726" s="280"/>
      <c r="G1726" s="339">
        <f t="shared" si="2243"/>
        <v>0</v>
      </c>
      <c r="H1726" s="281">
        <v>0</v>
      </c>
      <c r="I1726" s="281">
        <v>0</v>
      </c>
      <c r="J1726" s="358" t="str">
        <f>IFERROR(G1726/#REF!,"-")</f>
        <v>-</v>
      </c>
      <c r="K1726" s="339">
        <f t="shared" si="2244"/>
        <v>309240</v>
      </c>
      <c r="L1726" s="281">
        <f t="shared" si="2245"/>
        <v>306306</v>
      </c>
      <c r="M1726" s="251">
        <f t="shared" si="2246"/>
        <v>2934</v>
      </c>
      <c r="N1726" s="343" t="str">
        <f t="shared" si="2242"/>
        <v>-</v>
      </c>
      <c r="O1726" s="264">
        <f t="shared" si="2208"/>
        <v>9.4877764842840519E-3</v>
      </c>
    </row>
    <row r="1727" spans="1:15" ht="24" thickBot="1" x14ac:dyDescent="0.35">
      <c r="A1727" s="277" t="s">
        <v>109</v>
      </c>
      <c r="B1727" s="929"/>
      <c r="C1727" s="305" t="s">
        <v>27</v>
      </c>
      <c r="D1727" s="306" t="s">
        <v>259</v>
      </c>
      <c r="E1727" s="283">
        <v>0</v>
      </c>
      <c r="F1727" s="284"/>
      <c r="G1727" s="340">
        <f t="shared" si="2243"/>
        <v>76947</v>
      </c>
      <c r="H1727" s="285">
        <v>75582</v>
      </c>
      <c r="I1727" s="285">
        <v>1365</v>
      </c>
      <c r="J1727" s="359" t="str">
        <f>IFERROR(G1727/#REF!,"-")</f>
        <v>-</v>
      </c>
      <c r="K1727" s="340">
        <f t="shared" si="2244"/>
        <v>346651</v>
      </c>
      <c r="L1727" s="285">
        <f t="shared" si="2245"/>
        <v>342108</v>
      </c>
      <c r="M1727" s="286">
        <f t="shared" si="2246"/>
        <v>4543</v>
      </c>
      <c r="N1727" s="344" t="str">
        <f t="shared" si="2242"/>
        <v>-</v>
      </c>
      <c r="O1727" s="353">
        <f t="shared" si="2208"/>
        <v>1.3105399955574915E-2</v>
      </c>
    </row>
    <row r="1728" spans="1:15" ht="24" thickBot="1" x14ac:dyDescent="0.35">
      <c r="A1728" s="277" t="s">
        <v>109</v>
      </c>
      <c r="B1728" s="929"/>
      <c r="C1728" s="310"/>
      <c r="D1728" s="311" t="s">
        <v>55</v>
      </c>
      <c r="E1728" s="312">
        <v>0</v>
      </c>
      <c r="F1728" s="313"/>
      <c r="G1728" s="372">
        <f>SUM(G1725:G1727)</f>
        <v>76947</v>
      </c>
      <c r="H1728" s="371">
        <f t="shared" ref="H1728:I1728" si="2247">SUM(H1725:H1727)</f>
        <v>75582</v>
      </c>
      <c r="I1728" s="371">
        <f t="shared" si="2247"/>
        <v>1365</v>
      </c>
      <c r="J1728" s="362" t="str">
        <f>IFERROR(G1728/#REF!,"-")</f>
        <v>-</v>
      </c>
      <c r="K1728" s="372">
        <f>SUM(K1725:K1727)</f>
        <v>655891</v>
      </c>
      <c r="L1728" s="371">
        <f>SUM(L1725:L1727)</f>
        <v>648414</v>
      </c>
      <c r="M1728" s="373">
        <f t="shared" ref="M1728" si="2248">SUM(M1725:M1727)</f>
        <v>7477</v>
      </c>
      <c r="N1728" s="361" t="str">
        <f t="shared" si="2242"/>
        <v>-</v>
      </c>
      <c r="O1728" s="362">
        <f t="shared" si="2208"/>
        <v>1.1399760021101067E-2</v>
      </c>
    </row>
    <row r="1729" spans="1:15" ht="24" thickBot="1" x14ac:dyDescent="0.35">
      <c r="A1729" s="845" t="s">
        <v>109</v>
      </c>
      <c r="B1729" s="932" t="s">
        <v>171</v>
      </c>
      <c r="C1729" s="933"/>
      <c r="D1729" s="934"/>
      <c r="E1729" s="314">
        <v>2167000</v>
      </c>
      <c r="F1729" s="315">
        <v>80000</v>
      </c>
      <c r="G1729" s="375">
        <f>+G1724+G1728</f>
        <v>105408</v>
      </c>
      <c r="H1729" s="374">
        <f t="shared" ref="H1729:I1729" si="2249">+H1724+H1728</f>
        <v>103428</v>
      </c>
      <c r="I1729" s="374">
        <f t="shared" si="2249"/>
        <v>1980</v>
      </c>
      <c r="J1729" s="364" t="str">
        <f>IFERROR(G1729/#REF!,"-")</f>
        <v>-</v>
      </c>
      <c r="K1729" s="375">
        <f>+K1724+K1728</f>
        <v>1759969</v>
      </c>
      <c r="L1729" s="374">
        <f>+L1724+L1728</f>
        <v>1738386</v>
      </c>
      <c r="M1729" s="376">
        <f t="shared" ref="M1729" si="2250">+M1724+M1728</f>
        <v>21583</v>
      </c>
      <c r="N1729" s="363">
        <f>IFERROR(K1729/E1729,"-")</f>
        <v>0.8121684356252884</v>
      </c>
      <c r="O1729" s="364">
        <f t="shared" si="2208"/>
        <v>1.2263284182846402E-2</v>
      </c>
    </row>
    <row r="1730" spans="1:15" ht="23.4" x14ac:dyDescent="0.3">
      <c r="A1730" s="277" t="s">
        <v>109</v>
      </c>
      <c r="B1730" s="929" t="s">
        <v>30</v>
      </c>
      <c r="C1730" s="309" t="s">
        <v>396</v>
      </c>
      <c r="D1730" s="303" t="s">
        <v>193</v>
      </c>
      <c r="E1730" s="273">
        <v>0</v>
      </c>
      <c r="F1730" s="274"/>
      <c r="G1730" s="338">
        <f t="shared" ref="G1730:G1732" si="2251">+H1730+I1730</f>
        <v>0</v>
      </c>
      <c r="H1730" s="275">
        <v>0</v>
      </c>
      <c r="I1730" s="275">
        <v>0</v>
      </c>
      <c r="J1730" s="357" t="str">
        <f>IFERROR(G1730/#REF!,"-")</f>
        <v>-</v>
      </c>
      <c r="K1730" s="338">
        <f t="shared" ref="K1730:K1732" si="2252">+L1730+M1730</f>
        <v>0</v>
      </c>
      <c r="L1730" s="275">
        <f t="shared" ref="L1730:L1732" si="2253">+H1730+L1626</f>
        <v>0</v>
      </c>
      <c r="M1730" s="276">
        <f t="shared" ref="M1730:M1732" si="2254">+I1730+M1626</f>
        <v>0</v>
      </c>
      <c r="N1730" s="342" t="str">
        <f t="shared" ref="N1730:N1740" si="2255">IFERROR(K1730/E1730,"-")</f>
        <v>-</v>
      </c>
      <c r="O1730" s="352" t="str">
        <f t="shared" si="2208"/>
        <v>-</v>
      </c>
    </row>
    <row r="1731" spans="1:15" ht="23.4" x14ac:dyDescent="0.3">
      <c r="A1731" s="277" t="s">
        <v>109</v>
      </c>
      <c r="B1731" s="929"/>
      <c r="C1731" s="309" t="s">
        <v>395</v>
      </c>
      <c r="D1731" s="309" t="s">
        <v>324</v>
      </c>
      <c r="E1731" s="279">
        <v>0</v>
      </c>
      <c r="F1731" s="280"/>
      <c r="G1731" s="339">
        <f t="shared" si="2251"/>
        <v>0</v>
      </c>
      <c r="H1731" s="281">
        <v>0</v>
      </c>
      <c r="I1731" s="281">
        <v>0</v>
      </c>
      <c r="J1731" s="358" t="str">
        <f>IFERROR(G1731/#REF!,"-")</f>
        <v>-</v>
      </c>
      <c r="K1731" s="339">
        <f t="shared" si="2252"/>
        <v>0</v>
      </c>
      <c r="L1731" s="281">
        <f t="shared" si="2253"/>
        <v>0</v>
      </c>
      <c r="M1731" s="251">
        <f t="shared" si="2254"/>
        <v>0</v>
      </c>
      <c r="N1731" s="343" t="str">
        <f t="shared" si="2255"/>
        <v>-</v>
      </c>
      <c r="O1731" s="264" t="str">
        <f t="shared" si="2208"/>
        <v>-</v>
      </c>
    </row>
    <row r="1732" spans="1:15" ht="24" thickBot="1" x14ac:dyDescent="0.35">
      <c r="A1732" s="277" t="s">
        <v>109</v>
      </c>
      <c r="B1732" s="929"/>
      <c r="C1732" s="306" t="s">
        <v>327</v>
      </c>
      <c r="D1732" s="306"/>
      <c r="E1732" s="283">
        <v>0</v>
      </c>
      <c r="F1732" s="284"/>
      <c r="G1732" s="340">
        <f t="shared" si="2251"/>
        <v>0</v>
      </c>
      <c r="H1732" s="285">
        <v>0</v>
      </c>
      <c r="I1732" s="285">
        <v>0</v>
      </c>
      <c r="J1732" s="359" t="str">
        <f>IFERROR(G1732/#REF!,"-")</f>
        <v>-</v>
      </c>
      <c r="K1732" s="340">
        <f t="shared" si="2252"/>
        <v>53929</v>
      </c>
      <c r="L1732" s="285">
        <f t="shared" si="2253"/>
        <v>52416</v>
      </c>
      <c r="M1732" s="286">
        <f t="shared" si="2254"/>
        <v>1513</v>
      </c>
      <c r="N1732" s="344" t="str">
        <f t="shared" si="2255"/>
        <v>-</v>
      </c>
      <c r="O1732" s="353">
        <f t="shared" si="2208"/>
        <v>2.8055406182202525E-2</v>
      </c>
    </row>
    <row r="1733" spans="1:15" ht="24" thickBot="1" x14ac:dyDescent="0.35">
      <c r="A1733" s="277" t="s">
        <v>109</v>
      </c>
      <c r="B1733" s="929"/>
      <c r="C1733" s="307"/>
      <c r="D1733" s="308" t="s">
        <v>53</v>
      </c>
      <c r="E1733" s="288">
        <v>0</v>
      </c>
      <c r="F1733" s="289"/>
      <c r="G1733" s="326">
        <f>SUM(G1730:G1732)</f>
        <v>0</v>
      </c>
      <c r="H1733" s="327">
        <f t="shared" ref="H1733:I1733" si="2256">SUM(H1730:H1732)</f>
        <v>0</v>
      </c>
      <c r="I1733" s="327">
        <f t="shared" si="2256"/>
        <v>0</v>
      </c>
      <c r="J1733" s="351" t="str">
        <f>IFERROR(G1733/#REF!,"-")</f>
        <v>-</v>
      </c>
      <c r="K1733" s="326">
        <f t="shared" ref="K1733" si="2257">SUM(K1730:K1732)</f>
        <v>53929</v>
      </c>
      <c r="L1733" s="327">
        <f>SUM(L1730:L1732)</f>
        <v>52416</v>
      </c>
      <c r="M1733" s="328">
        <f t="shared" ref="M1733" si="2258">SUM(M1730:M1732)</f>
        <v>1513</v>
      </c>
      <c r="N1733" s="345" t="str">
        <f t="shared" si="2255"/>
        <v>-</v>
      </c>
      <c r="O1733" s="351">
        <f t="shared" si="2208"/>
        <v>2.8055406182202525E-2</v>
      </c>
    </row>
    <row r="1734" spans="1:15" ht="23.4" x14ac:dyDescent="0.3">
      <c r="A1734" s="277" t="s">
        <v>109</v>
      </c>
      <c r="B1734" s="929"/>
      <c r="C1734" s="303" t="s">
        <v>352</v>
      </c>
      <c r="D1734" s="303"/>
      <c r="E1734" s="273">
        <v>0</v>
      </c>
      <c r="F1734" s="274"/>
      <c r="G1734" s="338">
        <f t="shared" ref="G1734:G1736" si="2259">+H1734+I1734</f>
        <v>0</v>
      </c>
      <c r="H1734" s="275">
        <v>0</v>
      </c>
      <c r="I1734" s="275">
        <v>0</v>
      </c>
      <c r="J1734" s="357" t="str">
        <f>IFERROR(G1734/#REF!,"-")</f>
        <v>-</v>
      </c>
      <c r="K1734" s="338">
        <f t="shared" ref="K1734:K1736" si="2260">+L1734+M1734</f>
        <v>0</v>
      </c>
      <c r="L1734" s="275">
        <f t="shared" ref="L1734:L1736" si="2261">+H1734+L1630</f>
        <v>0</v>
      </c>
      <c r="M1734" s="276">
        <f t="shared" ref="M1734:M1736" si="2262">+I1734+M1630</f>
        <v>0</v>
      </c>
      <c r="N1734" s="342" t="str">
        <f t="shared" si="2255"/>
        <v>-</v>
      </c>
      <c r="O1734" s="352" t="str">
        <f t="shared" si="2208"/>
        <v>-</v>
      </c>
    </row>
    <row r="1735" spans="1:15" ht="23.4" x14ac:dyDescent="0.3">
      <c r="A1735" s="277" t="s">
        <v>109</v>
      </c>
      <c r="B1735" s="929"/>
      <c r="C1735" s="309" t="s">
        <v>397</v>
      </c>
      <c r="D1735" s="309" t="s">
        <v>259</v>
      </c>
      <c r="E1735" s="279">
        <v>0</v>
      </c>
      <c r="F1735" s="280"/>
      <c r="G1735" s="339">
        <f t="shared" si="2259"/>
        <v>0</v>
      </c>
      <c r="H1735" s="281">
        <v>0</v>
      </c>
      <c r="I1735" s="281">
        <v>0</v>
      </c>
      <c r="J1735" s="358" t="str">
        <f>IFERROR(G1735/#REF!,"-")</f>
        <v>-</v>
      </c>
      <c r="K1735" s="339">
        <f t="shared" si="2260"/>
        <v>493341</v>
      </c>
      <c r="L1735" s="281">
        <f t="shared" si="2261"/>
        <v>481104</v>
      </c>
      <c r="M1735" s="251">
        <f t="shared" si="2262"/>
        <v>12237</v>
      </c>
      <c r="N1735" s="343" t="str">
        <f t="shared" si="2255"/>
        <v>-</v>
      </c>
      <c r="O1735" s="264">
        <f t="shared" si="2208"/>
        <v>2.4804344256812227E-2</v>
      </c>
    </row>
    <row r="1736" spans="1:15" ht="24" thickBot="1" x14ac:dyDescent="0.35">
      <c r="A1736" s="277" t="s">
        <v>109</v>
      </c>
      <c r="B1736" s="929"/>
      <c r="C1736" s="306" t="s">
        <v>146</v>
      </c>
      <c r="D1736" s="306"/>
      <c r="E1736" s="283">
        <v>0</v>
      </c>
      <c r="F1736" s="284"/>
      <c r="G1736" s="340">
        <f t="shared" si="2259"/>
        <v>0</v>
      </c>
      <c r="H1736" s="285">
        <v>0</v>
      </c>
      <c r="I1736" s="285">
        <v>0</v>
      </c>
      <c r="J1736" s="359" t="str">
        <f>IFERROR(G1736/#REF!,"-")</f>
        <v>-</v>
      </c>
      <c r="K1736" s="340">
        <f t="shared" si="2260"/>
        <v>0</v>
      </c>
      <c r="L1736" s="285">
        <f t="shared" si="2261"/>
        <v>0</v>
      </c>
      <c r="M1736" s="286">
        <f t="shared" si="2262"/>
        <v>0</v>
      </c>
      <c r="N1736" s="344" t="str">
        <f t="shared" si="2255"/>
        <v>-</v>
      </c>
      <c r="O1736" s="353" t="str">
        <f t="shared" si="2208"/>
        <v>-</v>
      </c>
    </row>
    <row r="1737" spans="1:15" ht="24" thickBot="1" x14ac:dyDescent="0.35">
      <c r="A1737" s="277" t="s">
        <v>109</v>
      </c>
      <c r="B1737" s="929"/>
      <c r="C1737" s="310"/>
      <c r="D1737" s="311" t="s">
        <v>54</v>
      </c>
      <c r="E1737" s="312">
        <v>0</v>
      </c>
      <c r="F1737" s="313"/>
      <c r="G1737" s="372">
        <f>SUM(G1734:G1736)</f>
        <v>0</v>
      </c>
      <c r="H1737" s="371">
        <f t="shared" ref="H1737:I1737" si="2263">SUM(H1734:H1736)</f>
        <v>0</v>
      </c>
      <c r="I1737" s="371">
        <f t="shared" si="2263"/>
        <v>0</v>
      </c>
      <c r="J1737" s="362" t="str">
        <f>IFERROR(G1737/#REF!,"-")</f>
        <v>-</v>
      </c>
      <c r="K1737" s="372">
        <f t="shared" ref="K1737:M1737" si="2264">SUM(K1734:K1736)</f>
        <v>493341</v>
      </c>
      <c r="L1737" s="371">
        <f t="shared" si="2264"/>
        <v>481104</v>
      </c>
      <c r="M1737" s="373">
        <f t="shared" si="2264"/>
        <v>12237</v>
      </c>
      <c r="N1737" s="361" t="str">
        <f t="shared" si="2255"/>
        <v>-</v>
      </c>
      <c r="O1737" s="362">
        <f t="shared" si="2208"/>
        <v>2.4804344256812227E-2</v>
      </c>
    </row>
    <row r="1738" spans="1:15" ht="24" thickBot="1" x14ac:dyDescent="0.35">
      <c r="A1738" s="277" t="s">
        <v>109</v>
      </c>
      <c r="B1738" s="932" t="s">
        <v>172</v>
      </c>
      <c r="C1738" s="933"/>
      <c r="D1738" s="934"/>
      <c r="E1738" s="314">
        <v>649600</v>
      </c>
      <c r="F1738" s="315">
        <v>50000</v>
      </c>
      <c r="G1738" s="375">
        <f>+G1733+G1737</f>
        <v>0</v>
      </c>
      <c r="H1738" s="374">
        <f t="shared" ref="H1738:I1738" si="2265">+H1733+H1737</f>
        <v>0</v>
      </c>
      <c r="I1738" s="374">
        <f t="shared" si="2265"/>
        <v>0</v>
      </c>
      <c r="J1738" s="364" t="str">
        <f>IFERROR(G1738/#REF!,"-")</f>
        <v>-</v>
      </c>
      <c r="K1738" s="375">
        <f t="shared" ref="K1738:M1738" si="2266">+K1733+K1737</f>
        <v>547270</v>
      </c>
      <c r="L1738" s="374">
        <f t="shared" si="2266"/>
        <v>533520</v>
      </c>
      <c r="M1738" s="376">
        <f t="shared" si="2266"/>
        <v>13750</v>
      </c>
      <c r="N1738" s="363">
        <f t="shared" si="2255"/>
        <v>0.84247229064039408</v>
      </c>
      <c r="O1738" s="364">
        <f t="shared" si="2208"/>
        <v>2.5124709923803609E-2</v>
      </c>
    </row>
    <row r="1739" spans="1:15" ht="24" thickBot="1" x14ac:dyDescent="0.35">
      <c r="A1739" s="277" t="s">
        <v>109</v>
      </c>
      <c r="B1739" s="616" t="s">
        <v>32</v>
      </c>
      <c r="C1739" s="841"/>
      <c r="D1739" s="316" t="s">
        <v>32</v>
      </c>
      <c r="E1739" s="293">
        <v>0</v>
      </c>
      <c r="F1739" s="294">
        <v>110000</v>
      </c>
      <c r="G1739" s="341">
        <f t="shared" ref="G1739" si="2267">+H1739+I1739</f>
        <v>0</v>
      </c>
      <c r="H1739" s="295">
        <v>0</v>
      </c>
      <c r="I1739" s="295">
        <v>0</v>
      </c>
      <c r="J1739" s="360" t="str">
        <f>IFERROR(G1739/#REF!,"-")</f>
        <v>-</v>
      </c>
      <c r="K1739" s="341">
        <f>+L1739+M1739</f>
        <v>0</v>
      </c>
      <c r="L1739" s="295">
        <f>+H1739+L1635</f>
        <v>0</v>
      </c>
      <c r="M1739" s="296">
        <f>+I1739+M1635</f>
        <v>0</v>
      </c>
      <c r="N1739" s="346" t="str">
        <f t="shared" si="2255"/>
        <v>-</v>
      </c>
      <c r="O1739" s="354" t="str">
        <f t="shared" si="2208"/>
        <v>-</v>
      </c>
    </row>
    <row r="1740" spans="1:15" ht="24" thickBot="1" x14ac:dyDescent="0.35">
      <c r="A1740" s="277" t="s">
        <v>109</v>
      </c>
      <c r="B1740" s="926" t="s">
        <v>21</v>
      </c>
      <c r="C1740" s="927"/>
      <c r="D1740" s="928"/>
      <c r="E1740" s="332">
        <f>+E1729+E1738+E1739</f>
        <v>2816600</v>
      </c>
      <c r="F1740" s="333">
        <f t="shared" ref="F1740" si="2268">+F1729+F1738+F1739</f>
        <v>240000</v>
      </c>
      <c r="G1740" s="332">
        <f>+G1729+G1738+G1739</f>
        <v>105408</v>
      </c>
      <c r="H1740" s="330">
        <f t="shared" ref="H1740:I1740" si="2269">+H1729+H1738+H1739</f>
        <v>103428</v>
      </c>
      <c r="I1740" s="330">
        <f t="shared" si="2269"/>
        <v>1980</v>
      </c>
      <c r="J1740" s="355" t="str">
        <f>IFERROR(G1740/#REF!,"-")</f>
        <v>-</v>
      </c>
      <c r="K1740" s="332">
        <f>+K1729+K1738+K1739</f>
        <v>2307239</v>
      </c>
      <c r="L1740" s="330">
        <f>+L1729+L1738+L1739</f>
        <v>2271906</v>
      </c>
      <c r="M1740" s="331">
        <f t="shared" ref="M1740" si="2270">+M1729+M1738+M1739</f>
        <v>35333</v>
      </c>
      <c r="N1740" s="347">
        <f t="shared" si="2255"/>
        <v>0.81915749485194911</v>
      </c>
      <c r="O1740" s="355">
        <f t="shared" si="2208"/>
        <v>1.5313974841791422E-2</v>
      </c>
    </row>
    <row r="1741" spans="1:15" ht="24" thickBot="1" x14ac:dyDescent="0.35">
      <c r="A1741" s="277" t="s">
        <v>109</v>
      </c>
      <c r="B1741" s="900" t="s">
        <v>180</v>
      </c>
      <c r="C1741" s="901"/>
      <c r="D1741" s="902"/>
      <c r="E1741" s="336">
        <f>+E1740</f>
        <v>2816600</v>
      </c>
      <c r="F1741" s="337">
        <f t="shared" ref="F1741:I1741" si="2271">+F1740</f>
        <v>240000</v>
      </c>
      <c r="G1741" s="336">
        <f t="shared" si="2271"/>
        <v>105408</v>
      </c>
      <c r="H1741" s="334">
        <f t="shared" si="2271"/>
        <v>103428</v>
      </c>
      <c r="I1741" s="334">
        <f t="shared" si="2271"/>
        <v>1980</v>
      </c>
      <c r="J1741" s="356" t="str">
        <f>+J1740</f>
        <v>-</v>
      </c>
      <c r="K1741" s="336">
        <f>+K1740</f>
        <v>2307239</v>
      </c>
      <c r="L1741" s="334">
        <f t="shared" ref="L1741" si="2272">+L1740</f>
        <v>2271906</v>
      </c>
      <c r="M1741" s="335">
        <f>+M1740</f>
        <v>35333</v>
      </c>
      <c r="N1741" s="348">
        <f t="shared" ref="N1741:O1741" si="2273">+N1740</f>
        <v>0.81915749485194911</v>
      </c>
      <c r="O1741" s="356">
        <f t="shared" si="2273"/>
        <v>1.5313974841791422E-2</v>
      </c>
    </row>
    <row r="1742" spans="1:15" ht="23.4" x14ac:dyDescent="0.3">
      <c r="A1742" s="271" t="s">
        <v>110</v>
      </c>
      <c r="B1742" s="903" t="s">
        <v>33</v>
      </c>
      <c r="C1742" s="317" t="s">
        <v>121</v>
      </c>
      <c r="D1742" s="317"/>
      <c r="E1742" s="273">
        <v>0</v>
      </c>
      <c r="F1742" s="274"/>
      <c r="G1742" s="338">
        <f t="shared" ref="G1742:G1744" si="2274">+H1742+I1742</f>
        <v>0</v>
      </c>
      <c r="H1742" s="275">
        <v>0</v>
      </c>
      <c r="I1742" s="275">
        <v>0</v>
      </c>
      <c r="J1742" s="357" t="str">
        <f>IFERROR(G1742/#REF!,"-")</f>
        <v>-</v>
      </c>
      <c r="K1742" s="338">
        <f t="shared" ref="K1742:K1744" si="2275">+L1742+M1742</f>
        <v>0</v>
      </c>
      <c r="L1742" s="275">
        <f t="shared" ref="L1742:L1744" si="2276">+H1742+L1638</f>
        <v>0</v>
      </c>
      <c r="M1742" s="276">
        <f t="shared" ref="M1742:M1744" si="2277">+I1742+M1638</f>
        <v>0</v>
      </c>
      <c r="N1742" s="342" t="str">
        <f t="shared" ref="N1742:N1749" si="2278">IFERROR(K1742/E1742,"-")</f>
        <v>-</v>
      </c>
      <c r="O1742" s="352" t="str">
        <f t="shared" ref="O1742:O1767" si="2279">IFERROR(M1742/K1742,"-")</f>
        <v>-</v>
      </c>
    </row>
    <row r="1743" spans="1:15" ht="23.4" x14ac:dyDescent="0.3">
      <c r="A1743" s="277" t="s">
        <v>110</v>
      </c>
      <c r="B1743" s="904"/>
      <c r="C1743" s="318" t="s">
        <v>274</v>
      </c>
      <c r="D1743" s="318"/>
      <c r="E1743" s="279">
        <v>0</v>
      </c>
      <c r="F1743" s="280"/>
      <c r="G1743" s="339">
        <f t="shared" si="2274"/>
        <v>0</v>
      </c>
      <c r="H1743" s="281">
        <v>0</v>
      </c>
      <c r="I1743" s="281">
        <v>0</v>
      </c>
      <c r="J1743" s="358" t="str">
        <f>IFERROR(G1743/#REF!,"-")</f>
        <v>-</v>
      </c>
      <c r="K1743" s="339">
        <f t="shared" si="2275"/>
        <v>10252</v>
      </c>
      <c r="L1743" s="281">
        <f t="shared" si="2276"/>
        <v>9280</v>
      </c>
      <c r="M1743" s="251">
        <f t="shared" si="2277"/>
        <v>972</v>
      </c>
      <c r="N1743" s="343" t="str">
        <f t="shared" si="2278"/>
        <v>-</v>
      </c>
      <c r="O1743" s="264">
        <f t="shared" si="2279"/>
        <v>9.4810768630511119E-2</v>
      </c>
    </row>
    <row r="1744" spans="1:15" ht="24" thickBot="1" x14ac:dyDescent="0.35">
      <c r="A1744" s="277" t="s">
        <v>110</v>
      </c>
      <c r="B1744" s="905"/>
      <c r="C1744" s="319" t="s">
        <v>34</v>
      </c>
      <c r="D1744" s="319"/>
      <c r="E1744" s="283">
        <v>0</v>
      </c>
      <c r="F1744" s="284"/>
      <c r="G1744" s="340">
        <f t="shared" si="2274"/>
        <v>0</v>
      </c>
      <c r="H1744" s="285">
        <v>0</v>
      </c>
      <c r="I1744" s="285">
        <v>0</v>
      </c>
      <c r="J1744" s="359" t="str">
        <f>IFERROR(G1744/#REF!,"-")</f>
        <v>-</v>
      </c>
      <c r="K1744" s="340">
        <f t="shared" si="2275"/>
        <v>0</v>
      </c>
      <c r="L1744" s="285">
        <f t="shared" si="2276"/>
        <v>0</v>
      </c>
      <c r="M1744" s="286">
        <f t="shared" si="2277"/>
        <v>0</v>
      </c>
      <c r="N1744" s="344" t="str">
        <f t="shared" si="2278"/>
        <v>-</v>
      </c>
      <c r="O1744" s="353" t="str">
        <f t="shared" si="2279"/>
        <v>-</v>
      </c>
    </row>
    <row r="1745" spans="1:15" ht="24" thickBot="1" x14ac:dyDescent="0.35">
      <c r="A1745" s="277" t="s">
        <v>110</v>
      </c>
      <c r="B1745" s="906" t="s">
        <v>35</v>
      </c>
      <c r="C1745" s="907"/>
      <c r="D1745" s="908"/>
      <c r="E1745" s="288">
        <v>83700</v>
      </c>
      <c r="F1745" s="289"/>
      <c r="G1745" s="326">
        <f>SUM(G1742:G1744)</f>
        <v>0</v>
      </c>
      <c r="H1745" s="327">
        <f t="shared" ref="H1745:I1745" si="2280">SUM(H1742:H1744)</f>
        <v>0</v>
      </c>
      <c r="I1745" s="327">
        <f t="shared" si="2280"/>
        <v>0</v>
      </c>
      <c r="J1745" s="351" t="str">
        <f>IFERROR(G1745/#REF!,"-")</f>
        <v>-</v>
      </c>
      <c r="K1745" s="326">
        <f t="shared" ref="K1745:M1745" si="2281">SUM(K1742:K1744)</f>
        <v>10252</v>
      </c>
      <c r="L1745" s="327">
        <f t="shared" si="2281"/>
        <v>9280</v>
      </c>
      <c r="M1745" s="328">
        <f t="shared" si="2281"/>
        <v>972</v>
      </c>
      <c r="N1745" s="345">
        <f t="shared" si="2278"/>
        <v>0.12248506571087216</v>
      </c>
      <c r="O1745" s="351">
        <f t="shared" si="2279"/>
        <v>9.4810768630511119E-2</v>
      </c>
    </row>
    <row r="1746" spans="1:15" ht="23.4" x14ac:dyDescent="0.3">
      <c r="A1746" s="277" t="s">
        <v>110</v>
      </c>
      <c r="B1746" s="903" t="s">
        <v>36</v>
      </c>
      <c r="C1746" s="317" t="s">
        <v>121</v>
      </c>
      <c r="D1746" s="317"/>
      <c r="E1746" s="273">
        <v>0</v>
      </c>
      <c r="F1746" s="274"/>
      <c r="G1746" s="338">
        <f t="shared" ref="G1746:G1749" si="2282">+H1746+I1746</f>
        <v>0</v>
      </c>
      <c r="H1746" s="275">
        <v>0</v>
      </c>
      <c r="I1746" s="275">
        <v>0</v>
      </c>
      <c r="J1746" s="357" t="str">
        <f>IFERROR(G1746/#REF!,"-")</f>
        <v>-</v>
      </c>
      <c r="K1746" s="338">
        <f t="shared" ref="K1746:K1749" si="2283">+L1746+M1746</f>
        <v>0</v>
      </c>
      <c r="L1746" s="275">
        <f t="shared" ref="L1746:L1749" si="2284">+H1746+L1642</f>
        <v>0</v>
      </c>
      <c r="M1746" s="276">
        <f t="shared" ref="M1746:M1749" si="2285">+I1746+M1642</f>
        <v>0</v>
      </c>
      <c r="N1746" s="342" t="str">
        <f t="shared" si="2278"/>
        <v>-</v>
      </c>
      <c r="O1746" s="352" t="str">
        <f t="shared" si="2279"/>
        <v>-</v>
      </c>
    </row>
    <row r="1747" spans="1:15" ht="23.4" x14ac:dyDescent="0.3">
      <c r="A1747" s="277" t="s">
        <v>110</v>
      </c>
      <c r="B1747" s="904"/>
      <c r="C1747" s="318" t="s">
        <v>274</v>
      </c>
      <c r="D1747" s="318"/>
      <c r="E1747" s="279">
        <v>0</v>
      </c>
      <c r="F1747" s="280"/>
      <c r="G1747" s="339">
        <f t="shared" si="2282"/>
        <v>3227</v>
      </c>
      <c r="H1747" s="281">
        <v>3070</v>
      </c>
      <c r="I1747" s="281">
        <v>157</v>
      </c>
      <c r="J1747" s="358" t="str">
        <f>IFERROR(G1747/#REF!,"-")</f>
        <v>-</v>
      </c>
      <c r="K1747" s="339">
        <f t="shared" si="2283"/>
        <v>68200</v>
      </c>
      <c r="L1747" s="281">
        <f t="shared" si="2284"/>
        <v>66462</v>
      </c>
      <c r="M1747" s="251">
        <f t="shared" si="2285"/>
        <v>1738</v>
      </c>
      <c r="N1747" s="343" t="str">
        <f t="shared" si="2278"/>
        <v>-</v>
      </c>
      <c r="O1747" s="264">
        <f t="shared" si="2279"/>
        <v>2.5483870967741934E-2</v>
      </c>
    </row>
    <row r="1748" spans="1:15" ht="23.4" x14ac:dyDescent="0.3">
      <c r="A1748" s="277" t="s">
        <v>110</v>
      </c>
      <c r="B1748" s="904"/>
      <c r="C1748" s="318" t="s">
        <v>201</v>
      </c>
      <c r="D1748" s="318"/>
      <c r="E1748" s="279">
        <v>0</v>
      </c>
      <c r="F1748" s="280"/>
      <c r="G1748" s="339">
        <f t="shared" si="2282"/>
        <v>0</v>
      </c>
      <c r="H1748" s="281">
        <v>0</v>
      </c>
      <c r="I1748" s="281">
        <v>0</v>
      </c>
      <c r="J1748" s="358" t="str">
        <f>IFERROR(G1748/#REF!,"-")</f>
        <v>-</v>
      </c>
      <c r="K1748" s="339">
        <f t="shared" si="2283"/>
        <v>0</v>
      </c>
      <c r="L1748" s="281">
        <f t="shared" si="2284"/>
        <v>0</v>
      </c>
      <c r="M1748" s="251">
        <f t="shared" si="2285"/>
        <v>0</v>
      </c>
      <c r="N1748" s="343" t="str">
        <f t="shared" si="2278"/>
        <v>-</v>
      </c>
      <c r="O1748" s="264" t="str">
        <f t="shared" si="2279"/>
        <v>-</v>
      </c>
    </row>
    <row r="1749" spans="1:15" ht="24" thickBot="1" x14ac:dyDescent="0.35">
      <c r="A1749" s="277" t="s">
        <v>110</v>
      </c>
      <c r="B1749" s="905"/>
      <c r="C1749" s="319" t="s">
        <v>37</v>
      </c>
      <c r="D1749" s="319"/>
      <c r="E1749" s="283">
        <v>0</v>
      </c>
      <c r="F1749" s="284"/>
      <c r="G1749" s="340">
        <f t="shared" si="2282"/>
        <v>0</v>
      </c>
      <c r="H1749" s="285">
        <v>0</v>
      </c>
      <c r="I1749" s="285">
        <v>0</v>
      </c>
      <c r="J1749" s="359" t="str">
        <f>IFERROR(G1749/#REF!,"-")</f>
        <v>-</v>
      </c>
      <c r="K1749" s="340">
        <f t="shared" si="2283"/>
        <v>0</v>
      </c>
      <c r="L1749" s="285">
        <f t="shared" si="2284"/>
        <v>0</v>
      </c>
      <c r="M1749" s="286">
        <f t="shared" si="2285"/>
        <v>0</v>
      </c>
      <c r="N1749" s="344" t="str">
        <f t="shared" si="2278"/>
        <v>-</v>
      </c>
      <c r="O1749" s="353" t="str">
        <f t="shared" si="2279"/>
        <v>-</v>
      </c>
    </row>
    <row r="1750" spans="1:15" ht="24" thickBot="1" x14ac:dyDescent="0.35">
      <c r="A1750" s="277" t="s">
        <v>110</v>
      </c>
      <c r="B1750" s="906" t="s">
        <v>38</v>
      </c>
      <c r="C1750" s="907"/>
      <c r="D1750" s="908"/>
      <c r="E1750" s="288">
        <v>10300</v>
      </c>
      <c r="F1750" s="289">
        <v>6500</v>
      </c>
      <c r="G1750" s="326">
        <f>SUM(G1746:G1749)</f>
        <v>3227</v>
      </c>
      <c r="H1750" s="327">
        <f t="shared" ref="H1750:I1750" si="2286">SUM(H1746:H1749)</f>
        <v>3070</v>
      </c>
      <c r="I1750" s="327">
        <f t="shared" si="2286"/>
        <v>157</v>
      </c>
      <c r="J1750" s="351" t="str">
        <f>IFERROR(G1750/#REF!,"-")</f>
        <v>-</v>
      </c>
      <c r="K1750" s="326">
        <f t="shared" ref="K1750:M1750" si="2287">SUM(K1746:K1749)</f>
        <v>68200</v>
      </c>
      <c r="L1750" s="327">
        <f t="shared" si="2287"/>
        <v>66462</v>
      </c>
      <c r="M1750" s="328">
        <f t="shared" si="2287"/>
        <v>1738</v>
      </c>
      <c r="N1750" s="345">
        <f>IFERROR(K1750/E1750,"-")</f>
        <v>6.6213592233009706</v>
      </c>
      <c r="O1750" s="351">
        <f t="shared" si="2279"/>
        <v>2.5483870967741934E-2</v>
      </c>
    </row>
    <row r="1751" spans="1:15" ht="23.4" x14ac:dyDescent="0.3">
      <c r="A1751" s="277" t="s">
        <v>110</v>
      </c>
      <c r="B1751" s="903" t="s">
        <v>39</v>
      </c>
      <c r="C1751" s="320" t="s">
        <v>124</v>
      </c>
      <c r="D1751" s="320"/>
      <c r="E1751" s="273">
        <v>0</v>
      </c>
      <c r="F1751" s="274"/>
      <c r="G1751" s="338">
        <f t="shared" ref="G1751:G1752" si="2288">+H1751+I1751</f>
        <v>0</v>
      </c>
      <c r="H1751" s="275">
        <v>0</v>
      </c>
      <c r="I1751" s="275">
        <v>0</v>
      </c>
      <c r="J1751" s="357" t="str">
        <f>IFERROR(G1751/#REF!,"-")</f>
        <v>-</v>
      </c>
      <c r="K1751" s="338">
        <f t="shared" ref="K1751:K1752" si="2289">+L1751+M1751</f>
        <v>0</v>
      </c>
      <c r="L1751" s="275">
        <f t="shared" ref="L1751:L1752" si="2290">+H1751+L1647</f>
        <v>0</v>
      </c>
      <c r="M1751" s="276">
        <f t="shared" ref="M1751:M1752" si="2291">+I1751+M1647</f>
        <v>0</v>
      </c>
      <c r="N1751" s="342" t="str">
        <f t="shared" ref="N1751:N1767" si="2292">IFERROR(K1751/E1751,"-")</f>
        <v>-</v>
      </c>
      <c r="O1751" s="352" t="str">
        <f t="shared" si="2279"/>
        <v>-</v>
      </c>
    </row>
    <row r="1752" spans="1:15" ht="24" thickBot="1" x14ac:dyDescent="0.35">
      <c r="A1752" s="277" t="s">
        <v>110</v>
      </c>
      <c r="B1752" s="905"/>
      <c r="C1752" s="290" t="s">
        <v>140</v>
      </c>
      <c r="D1752" s="290"/>
      <c r="E1752" s="283">
        <v>0</v>
      </c>
      <c r="F1752" s="284"/>
      <c r="G1752" s="340">
        <f t="shared" si="2288"/>
        <v>1824</v>
      </c>
      <c r="H1752" s="285">
        <v>1600</v>
      </c>
      <c r="I1752" s="285">
        <v>224</v>
      </c>
      <c r="J1752" s="359" t="str">
        <f>IFERROR(G1752/#REF!,"-")</f>
        <v>-</v>
      </c>
      <c r="K1752" s="340">
        <f t="shared" si="2289"/>
        <v>4277</v>
      </c>
      <c r="L1752" s="285">
        <f t="shared" si="2290"/>
        <v>3600</v>
      </c>
      <c r="M1752" s="286">
        <f t="shared" si="2291"/>
        <v>677</v>
      </c>
      <c r="N1752" s="344" t="str">
        <f t="shared" si="2292"/>
        <v>-</v>
      </c>
      <c r="O1752" s="353">
        <f t="shared" si="2279"/>
        <v>0.15828851999064766</v>
      </c>
    </row>
    <row r="1753" spans="1:15" ht="24" thickBot="1" x14ac:dyDescent="0.35">
      <c r="A1753" s="845" t="s">
        <v>110</v>
      </c>
      <c r="B1753" s="906" t="s">
        <v>40</v>
      </c>
      <c r="C1753" s="907"/>
      <c r="D1753" s="908"/>
      <c r="E1753" s="288">
        <v>30000</v>
      </c>
      <c r="F1753" s="289">
        <v>2800</v>
      </c>
      <c r="G1753" s="326">
        <f>SUM(G1751:G1752)</f>
        <v>1824</v>
      </c>
      <c r="H1753" s="327">
        <f t="shared" ref="H1753:I1753" si="2293">SUM(H1751:H1752)</f>
        <v>1600</v>
      </c>
      <c r="I1753" s="327">
        <f t="shared" si="2293"/>
        <v>224</v>
      </c>
      <c r="J1753" s="351" t="str">
        <f>IFERROR(G1753/#REF!,"-")</f>
        <v>-</v>
      </c>
      <c r="K1753" s="326">
        <f t="shared" ref="K1753:M1753" si="2294">SUM(K1751:K1752)</f>
        <v>4277</v>
      </c>
      <c r="L1753" s="327">
        <f t="shared" si="2294"/>
        <v>3600</v>
      </c>
      <c r="M1753" s="328">
        <f t="shared" si="2294"/>
        <v>677</v>
      </c>
      <c r="N1753" s="345">
        <f t="shared" si="2292"/>
        <v>0.14256666666666667</v>
      </c>
      <c r="O1753" s="351">
        <f t="shared" si="2279"/>
        <v>0.15828851999064766</v>
      </c>
    </row>
    <row r="1754" spans="1:15" ht="23.4" x14ac:dyDescent="0.3">
      <c r="A1754" s="277" t="s">
        <v>110</v>
      </c>
      <c r="B1754" s="903" t="s">
        <v>41</v>
      </c>
      <c r="C1754" s="272" t="s">
        <v>346</v>
      </c>
      <c r="D1754" s="272"/>
      <c r="E1754" s="273">
        <v>0</v>
      </c>
      <c r="F1754" s="321"/>
      <c r="G1754" s="338">
        <f t="shared" ref="G1754:G1758" si="2295">+H1754+I1754</f>
        <v>20026</v>
      </c>
      <c r="H1754" s="275">
        <v>19980</v>
      </c>
      <c r="I1754" s="275">
        <v>46</v>
      </c>
      <c r="J1754" s="377" t="str">
        <f>IFERROR(G1754/#REF!,"-")</f>
        <v>-</v>
      </c>
      <c r="K1754" s="338">
        <f t="shared" ref="K1754:K1758" si="2296">+L1754+M1754</f>
        <v>334447</v>
      </c>
      <c r="L1754" s="275">
        <f t="shared" ref="L1754:L1758" si="2297">+H1754+L1650</f>
        <v>331236</v>
      </c>
      <c r="M1754" s="276">
        <f t="shared" ref="M1754:M1758" si="2298">+I1754+M1650</f>
        <v>3211</v>
      </c>
      <c r="N1754" s="365" t="str">
        <f t="shared" si="2292"/>
        <v>-</v>
      </c>
      <c r="O1754" s="366">
        <f t="shared" si="2279"/>
        <v>9.6009233152039037E-3</v>
      </c>
    </row>
    <row r="1755" spans="1:15" ht="23.4" x14ac:dyDescent="0.3">
      <c r="A1755" s="277" t="s">
        <v>110</v>
      </c>
      <c r="B1755" s="904"/>
      <c r="C1755" s="272" t="s">
        <v>347</v>
      </c>
      <c r="D1755" s="278"/>
      <c r="E1755" s="279">
        <v>0</v>
      </c>
      <c r="F1755" s="322"/>
      <c r="G1755" s="339">
        <f t="shared" si="2295"/>
        <v>0</v>
      </c>
      <c r="H1755" s="281">
        <v>0</v>
      </c>
      <c r="I1755" s="281">
        <v>0</v>
      </c>
      <c r="J1755" s="378" t="str">
        <f>IFERROR(G1755/#REF!,"-")</f>
        <v>-</v>
      </c>
      <c r="K1755" s="339">
        <f t="shared" si="2296"/>
        <v>0</v>
      </c>
      <c r="L1755" s="281">
        <f t="shared" si="2297"/>
        <v>0</v>
      </c>
      <c r="M1755" s="251">
        <f t="shared" si="2298"/>
        <v>0</v>
      </c>
      <c r="N1755" s="367" t="str">
        <f t="shared" si="2292"/>
        <v>-</v>
      </c>
      <c r="O1755" s="368" t="str">
        <f t="shared" si="2279"/>
        <v>-</v>
      </c>
    </row>
    <row r="1756" spans="1:15" ht="23.4" x14ac:dyDescent="0.3">
      <c r="A1756" s="277" t="s">
        <v>110</v>
      </c>
      <c r="B1756" s="904"/>
      <c r="C1756" s="278" t="s">
        <v>423</v>
      </c>
      <c r="D1756" s="278"/>
      <c r="E1756" s="279">
        <v>0</v>
      </c>
      <c r="F1756" s="322"/>
      <c r="G1756" s="339">
        <f t="shared" si="2295"/>
        <v>0</v>
      </c>
      <c r="H1756" s="281">
        <v>0</v>
      </c>
      <c r="I1756" s="281">
        <v>0</v>
      </c>
      <c r="J1756" s="378" t="str">
        <f>IFERROR(G1756/#REF!,"-")</f>
        <v>-</v>
      </c>
      <c r="K1756" s="339">
        <f t="shared" si="2296"/>
        <v>34536</v>
      </c>
      <c r="L1756" s="281">
        <f t="shared" si="2297"/>
        <v>33960</v>
      </c>
      <c r="M1756" s="251">
        <f t="shared" si="2298"/>
        <v>576</v>
      </c>
      <c r="N1756" s="367" t="str">
        <f t="shared" si="2292"/>
        <v>-</v>
      </c>
      <c r="O1756" s="368">
        <f t="shared" si="2279"/>
        <v>1.6678248783877692E-2</v>
      </c>
    </row>
    <row r="1757" spans="1:15" ht="23.4" x14ac:dyDescent="0.3">
      <c r="A1757" s="277" t="s">
        <v>110</v>
      </c>
      <c r="B1757" s="904"/>
      <c r="C1757" s="278" t="s">
        <v>166</v>
      </c>
      <c r="D1757" s="278"/>
      <c r="E1757" s="279">
        <v>0</v>
      </c>
      <c r="F1757" s="322"/>
      <c r="G1757" s="339">
        <f t="shared" si="2295"/>
        <v>0</v>
      </c>
      <c r="H1757" s="281">
        <v>0</v>
      </c>
      <c r="I1757" s="281">
        <v>0</v>
      </c>
      <c r="J1757" s="378" t="str">
        <f>IFERROR(G1757/#REF!,"-")</f>
        <v>-</v>
      </c>
      <c r="K1757" s="339">
        <f t="shared" si="2296"/>
        <v>0</v>
      </c>
      <c r="L1757" s="281">
        <f t="shared" si="2297"/>
        <v>0</v>
      </c>
      <c r="M1757" s="251">
        <f t="shared" si="2298"/>
        <v>0</v>
      </c>
      <c r="N1757" s="367" t="str">
        <f t="shared" si="2292"/>
        <v>-</v>
      </c>
      <c r="O1757" s="368" t="str">
        <f t="shared" si="2279"/>
        <v>-</v>
      </c>
    </row>
    <row r="1758" spans="1:15" ht="24" thickBot="1" x14ac:dyDescent="0.35">
      <c r="A1758" s="277" t="s">
        <v>110</v>
      </c>
      <c r="B1758" s="905"/>
      <c r="C1758" s="282" t="s">
        <v>167</v>
      </c>
      <c r="D1758" s="282"/>
      <c r="E1758" s="283">
        <v>0</v>
      </c>
      <c r="F1758" s="323"/>
      <c r="G1758" s="340">
        <f t="shared" si="2295"/>
        <v>0</v>
      </c>
      <c r="H1758" s="285">
        <v>0</v>
      </c>
      <c r="I1758" s="285">
        <v>0</v>
      </c>
      <c r="J1758" s="379" t="str">
        <f>IFERROR(G1758/#REF!,"-")</f>
        <v>-</v>
      </c>
      <c r="K1758" s="340">
        <f t="shared" si="2296"/>
        <v>0</v>
      </c>
      <c r="L1758" s="285">
        <f t="shared" si="2297"/>
        <v>0</v>
      </c>
      <c r="M1758" s="286">
        <f t="shared" si="2298"/>
        <v>0</v>
      </c>
      <c r="N1758" s="369" t="str">
        <f t="shared" si="2292"/>
        <v>-</v>
      </c>
      <c r="O1758" s="370" t="str">
        <f t="shared" si="2279"/>
        <v>-</v>
      </c>
    </row>
    <row r="1759" spans="1:15" ht="24" thickBot="1" x14ac:dyDescent="0.35">
      <c r="A1759" s="277" t="s">
        <v>110</v>
      </c>
      <c r="B1759" s="906" t="s">
        <v>42</v>
      </c>
      <c r="C1759" s="907"/>
      <c r="D1759" s="908"/>
      <c r="E1759" s="326">
        <v>610600</v>
      </c>
      <c r="F1759" s="289">
        <v>25000</v>
      </c>
      <c r="G1759" s="326">
        <f>SUM(G1755:G1758)</f>
        <v>0</v>
      </c>
      <c r="H1759" s="327">
        <f t="shared" ref="H1759:I1759" si="2299">SUM(H1755:H1758)</f>
        <v>0</v>
      </c>
      <c r="I1759" s="327">
        <f t="shared" si="2299"/>
        <v>0</v>
      </c>
      <c r="J1759" s="351" t="str">
        <f>IFERROR(G1759/#REF!,"-")</f>
        <v>-</v>
      </c>
      <c r="K1759" s="326">
        <f>SUM(K1754:K1758)</f>
        <v>368983</v>
      </c>
      <c r="L1759" s="327">
        <f>SUM(L1754:L1758)</f>
        <v>365196</v>
      </c>
      <c r="M1759" s="328">
        <f>SUM(M1754:M1758)</f>
        <v>3787</v>
      </c>
      <c r="N1759" s="345">
        <f t="shared" si="2292"/>
        <v>0.60429577464788731</v>
      </c>
      <c r="O1759" s="351">
        <f t="shared" si="2279"/>
        <v>1.0263345465780267E-2</v>
      </c>
    </row>
    <row r="1760" spans="1:15" ht="23.4" x14ac:dyDescent="0.3">
      <c r="A1760" s="277" t="s">
        <v>110</v>
      </c>
      <c r="B1760" s="903" t="s">
        <v>43</v>
      </c>
      <c r="C1760" s="272" t="s">
        <v>204</v>
      </c>
      <c r="D1760" s="272"/>
      <c r="E1760" s="273">
        <v>0</v>
      </c>
      <c r="F1760" s="274"/>
      <c r="G1760" s="338">
        <f t="shared" ref="G1760:G1762" si="2300">+H1760+I1760</f>
        <v>0</v>
      </c>
      <c r="H1760" s="275">
        <v>0</v>
      </c>
      <c r="I1760" s="275">
        <v>0</v>
      </c>
      <c r="J1760" s="357" t="str">
        <f>IFERROR(G1760/#REF!,"-")</f>
        <v>-</v>
      </c>
      <c r="K1760" s="338">
        <f t="shared" ref="K1760:K1762" si="2301">+L1760+M1760</f>
        <v>0</v>
      </c>
      <c r="L1760" s="275">
        <f t="shared" ref="L1760:L1762" si="2302">+H1760+L1656</f>
        <v>0</v>
      </c>
      <c r="M1760" s="276">
        <f t="shared" ref="M1760:M1762" si="2303">+I1760+M1656</f>
        <v>0</v>
      </c>
      <c r="N1760" s="342" t="str">
        <f t="shared" si="2292"/>
        <v>-</v>
      </c>
      <c r="O1760" s="352" t="str">
        <f t="shared" si="2279"/>
        <v>-</v>
      </c>
    </row>
    <row r="1761" spans="1:15" ht="23.4" x14ac:dyDescent="0.3">
      <c r="A1761" s="277" t="s">
        <v>110</v>
      </c>
      <c r="B1761" s="904"/>
      <c r="C1761" s="278" t="s">
        <v>168</v>
      </c>
      <c r="D1761" s="278"/>
      <c r="E1761" s="279">
        <v>0</v>
      </c>
      <c r="F1761" s="280"/>
      <c r="G1761" s="339">
        <f t="shared" si="2300"/>
        <v>0</v>
      </c>
      <c r="H1761" s="281">
        <v>0</v>
      </c>
      <c r="I1761" s="281">
        <v>0</v>
      </c>
      <c r="J1761" s="378" t="str">
        <f>IFERROR(G1761/#REF!,"-")</f>
        <v>-</v>
      </c>
      <c r="K1761" s="339">
        <f t="shared" si="2301"/>
        <v>0</v>
      </c>
      <c r="L1761" s="281">
        <f t="shared" si="2302"/>
        <v>0</v>
      </c>
      <c r="M1761" s="251">
        <f t="shared" si="2303"/>
        <v>0</v>
      </c>
      <c r="N1761" s="367" t="str">
        <f t="shared" si="2292"/>
        <v>-</v>
      </c>
      <c r="O1761" s="368" t="str">
        <f t="shared" si="2279"/>
        <v>-</v>
      </c>
    </row>
    <row r="1762" spans="1:15" ht="24" thickBot="1" x14ac:dyDescent="0.35">
      <c r="A1762" s="277" t="s">
        <v>110</v>
      </c>
      <c r="B1762" s="905"/>
      <c r="C1762" s="282" t="s">
        <v>204</v>
      </c>
      <c r="D1762" s="282"/>
      <c r="E1762" s="283">
        <v>0</v>
      </c>
      <c r="F1762" s="284"/>
      <c r="G1762" s="340">
        <f t="shared" si="2300"/>
        <v>0</v>
      </c>
      <c r="H1762" s="285">
        <v>0</v>
      </c>
      <c r="I1762" s="285">
        <v>0</v>
      </c>
      <c r="J1762" s="379" t="str">
        <f>IFERROR(G1762/#REF!,"-")</f>
        <v>-</v>
      </c>
      <c r="K1762" s="340">
        <f t="shared" si="2301"/>
        <v>0</v>
      </c>
      <c r="L1762" s="285">
        <f t="shared" si="2302"/>
        <v>0</v>
      </c>
      <c r="M1762" s="286">
        <f t="shared" si="2303"/>
        <v>0</v>
      </c>
      <c r="N1762" s="369" t="str">
        <f t="shared" si="2292"/>
        <v>-</v>
      </c>
      <c r="O1762" s="370" t="str">
        <f t="shared" si="2279"/>
        <v>-</v>
      </c>
    </row>
    <row r="1763" spans="1:15" ht="24" thickBot="1" x14ac:dyDescent="0.35">
      <c r="A1763" s="277" t="s">
        <v>110</v>
      </c>
      <c r="B1763" s="909" t="s">
        <v>44</v>
      </c>
      <c r="C1763" s="910"/>
      <c r="D1763" s="911"/>
      <c r="E1763" s="326">
        <v>0</v>
      </c>
      <c r="F1763" s="289"/>
      <c r="G1763" s="326">
        <f>SUM(G1760:G1762)</f>
        <v>0</v>
      </c>
      <c r="H1763" s="327">
        <f t="shared" ref="H1763:I1763" si="2304">SUM(H1760:H1762)</f>
        <v>0</v>
      </c>
      <c r="I1763" s="327">
        <f t="shared" si="2304"/>
        <v>0</v>
      </c>
      <c r="J1763" s="351" t="str">
        <f>IFERROR(G1763/#REF!,"-")</f>
        <v>-</v>
      </c>
      <c r="K1763" s="326">
        <f t="shared" ref="K1763:M1763" si="2305">SUM(K1760:K1762)</f>
        <v>0</v>
      </c>
      <c r="L1763" s="327">
        <f t="shared" si="2305"/>
        <v>0</v>
      </c>
      <c r="M1763" s="328">
        <f t="shared" si="2305"/>
        <v>0</v>
      </c>
      <c r="N1763" s="345" t="str">
        <f t="shared" si="2292"/>
        <v>-</v>
      </c>
      <c r="O1763" s="351" t="str">
        <f t="shared" si="2279"/>
        <v>-</v>
      </c>
    </row>
    <row r="1764" spans="1:15" ht="23.4" x14ac:dyDescent="0.3">
      <c r="A1764" s="277" t="s">
        <v>110</v>
      </c>
      <c r="B1764" s="903" t="s">
        <v>45</v>
      </c>
      <c r="C1764" s="272" t="s">
        <v>169</v>
      </c>
      <c r="D1764" s="272"/>
      <c r="E1764" s="273">
        <v>0</v>
      </c>
      <c r="F1764" s="274"/>
      <c r="G1764" s="338">
        <f t="shared" ref="G1764:G1765" si="2306">+H1764+I1764</f>
        <v>0</v>
      </c>
      <c r="H1764" s="275">
        <v>0</v>
      </c>
      <c r="I1764" s="275">
        <v>0</v>
      </c>
      <c r="J1764" s="377" t="str">
        <f>IFERROR(G1764/#REF!,"-")</f>
        <v>-</v>
      </c>
      <c r="K1764" s="338">
        <f t="shared" ref="K1764:K1765" si="2307">+L1764+M1764</f>
        <v>0</v>
      </c>
      <c r="L1764" s="275">
        <f t="shared" ref="L1764:L1765" si="2308">+H1764+L1660</f>
        <v>0</v>
      </c>
      <c r="M1764" s="276">
        <f t="shared" ref="M1764:M1765" si="2309">+I1764+M1660</f>
        <v>0</v>
      </c>
      <c r="N1764" s="365" t="str">
        <f t="shared" si="2292"/>
        <v>-</v>
      </c>
      <c r="O1764" s="366" t="str">
        <f t="shared" si="2279"/>
        <v>-</v>
      </c>
    </row>
    <row r="1765" spans="1:15" ht="24" thickBot="1" x14ac:dyDescent="0.35">
      <c r="A1765" s="277" t="s">
        <v>110</v>
      </c>
      <c r="B1765" s="905"/>
      <c r="C1765" s="282" t="s">
        <v>170</v>
      </c>
      <c r="D1765" s="282"/>
      <c r="E1765" s="283">
        <v>0</v>
      </c>
      <c r="F1765" s="284"/>
      <c r="G1765" s="340">
        <f t="shared" si="2306"/>
        <v>0</v>
      </c>
      <c r="H1765" s="285">
        <v>0</v>
      </c>
      <c r="I1765" s="285">
        <v>0</v>
      </c>
      <c r="J1765" s="379" t="str">
        <f>IFERROR(G1765/#REF!,"-")</f>
        <v>-</v>
      </c>
      <c r="K1765" s="340">
        <f t="shared" si="2307"/>
        <v>0</v>
      </c>
      <c r="L1765" s="285">
        <f t="shared" si="2308"/>
        <v>0</v>
      </c>
      <c r="M1765" s="286">
        <f t="shared" si="2309"/>
        <v>0</v>
      </c>
      <c r="N1765" s="369" t="str">
        <f t="shared" si="2292"/>
        <v>-</v>
      </c>
      <c r="O1765" s="370" t="str">
        <f t="shared" si="2279"/>
        <v>-</v>
      </c>
    </row>
    <row r="1766" spans="1:15" ht="24" thickBot="1" x14ac:dyDescent="0.35">
      <c r="A1766" s="277" t="s">
        <v>110</v>
      </c>
      <c r="B1766" s="909" t="s">
        <v>46</v>
      </c>
      <c r="C1766" s="910"/>
      <c r="D1766" s="911"/>
      <c r="E1766" s="288">
        <v>11100</v>
      </c>
      <c r="F1766" s="289">
        <v>25000</v>
      </c>
      <c r="G1766" s="326">
        <f>SUM(G1764:G1765)</f>
        <v>0</v>
      </c>
      <c r="H1766" s="327">
        <f t="shared" ref="H1766:I1766" si="2310">SUM(H1764:H1765)</f>
        <v>0</v>
      </c>
      <c r="I1766" s="327">
        <f t="shared" si="2310"/>
        <v>0</v>
      </c>
      <c r="J1766" s="351" t="str">
        <f>IFERROR(G1766/#REF!,"-")</f>
        <v>-</v>
      </c>
      <c r="K1766" s="326">
        <f t="shared" ref="K1766:M1766" si="2311">SUM(K1764:K1765)</f>
        <v>0</v>
      </c>
      <c r="L1766" s="327">
        <f t="shared" si="2311"/>
        <v>0</v>
      </c>
      <c r="M1766" s="328">
        <f t="shared" si="2311"/>
        <v>0</v>
      </c>
      <c r="N1766" s="345">
        <f t="shared" si="2292"/>
        <v>0</v>
      </c>
      <c r="O1766" s="351" t="str">
        <f t="shared" si="2279"/>
        <v>-</v>
      </c>
    </row>
    <row r="1767" spans="1:15" ht="24" thickBot="1" x14ac:dyDescent="0.35">
      <c r="A1767" s="277" t="s">
        <v>110</v>
      </c>
      <c r="B1767" s="912" t="s">
        <v>25</v>
      </c>
      <c r="C1767" s="913"/>
      <c r="D1767" s="914"/>
      <c r="E1767" s="332">
        <f t="shared" ref="E1767:F1767" si="2312">+E1745+E1750+E1753+E1759+E1763+E1766</f>
        <v>745700</v>
      </c>
      <c r="F1767" s="333">
        <f t="shared" si="2312"/>
        <v>59300</v>
      </c>
      <c r="G1767" s="332">
        <f>+G1745+G1750+G1753+G1759+G1763+G1766</f>
        <v>5051</v>
      </c>
      <c r="H1767" s="330">
        <f t="shared" ref="H1767:I1767" si="2313">+H1745+H1750+H1753+H1759+H1763+H1766</f>
        <v>4670</v>
      </c>
      <c r="I1767" s="330">
        <f t="shared" si="2313"/>
        <v>381</v>
      </c>
      <c r="J1767" s="355" t="str">
        <f>IFERROR(G1767/#REF!,"-")</f>
        <v>-</v>
      </c>
      <c r="K1767" s="332">
        <f>+K1745+K1750+K1753+K1759+K1763+K1766</f>
        <v>451712</v>
      </c>
      <c r="L1767" s="330">
        <f t="shared" ref="L1767:M1767" si="2314">+L1745+L1750+L1753+L1759+L1763+L1766</f>
        <v>444538</v>
      </c>
      <c r="M1767" s="331">
        <f t="shared" si="2314"/>
        <v>7174</v>
      </c>
      <c r="N1767" s="347">
        <f t="shared" si="2292"/>
        <v>0.60575566581735285</v>
      </c>
      <c r="O1767" s="355">
        <f t="shared" si="2279"/>
        <v>1.5881800793425899E-2</v>
      </c>
    </row>
    <row r="1768" spans="1:15" ht="24" thickBot="1" x14ac:dyDescent="0.35">
      <c r="A1768" s="324" t="s">
        <v>110</v>
      </c>
      <c r="B1768" s="901" t="s">
        <v>182</v>
      </c>
      <c r="C1768" s="901"/>
      <c r="D1768" s="902"/>
      <c r="E1768" s="336">
        <f>+E1767</f>
        <v>745700</v>
      </c>
      <c r="F1768" s="337">
        <f t="shared" ref="F1768:O1768" si="2315">+F1767</f>
        <v>59300</v>
      </c>
      <c r="G1768" s="336">
        <f t="shared" si="2315"/>
        <v>5051</v>
      </c>
      <c r="H1768" s="334">
        <f t="shared" si="2315"/>
        <v>4670</v>
      </c>
      <c r="I1768" s="334">
        <f t="shared" si="2315"/>
        <v>381</v>
      </c>
      <c r="J1768" s="356" t="str">
        <f t="shared" si="2315"/>
        <v>-</v>
      </c>
      <c r="K1768" s="336">
        <f t="shared" si="2315"/>
        <v>451712</v>
      </c>
      <c r="L1768" s="334">
        <f t="shared" si="2315"/>
        <v>444538</v>
      </c>
      <c r="M1768" s="335">
        <f t="shared" si="2315"/>
        <v>7174</v>
      </c>
      <c r="N1768" s="348">
        <f t="shared" si="2315"/>
        <v>0.60575566581735285</v>
      </c>
      <c r="O1768" s="356">
        <f t="shared" si="2315"/>
        <v>1.5881800793425899E-2</v>
      </c>
    </row>
    <row r="1769" spans="1:15" ht="24.6" thickBot="1" x14ac:dyDescent="0.35">
      <c r="A1769" s="325"/>
      <c r="B1769" s="915" t="s">
        <v>183</v>
      </c>
      <c r="C1769" s="916"/>
      <c r="D1769" s="917"/>
      <c r="E1769" s="380">
        <f>+E1714+E1741+E1768</f>
        <v>10494400</v>
      </c>
      <c r="F1769" s="380">
        <f>+F1714+F1741+F1768</f>
        <v>748300</v>
      </c>
      <c r="G1769" s="380">
        <f>+G1714+G1741+G1768</f>
        <v>420258</v>
      </c>
      <c r="H1769" s="380">
        <f>+H1714+H1741+H1768</f>
        <v>467781</v>
      </c>
      <c r="I1769" s="380">
        <f>+I1714+I1741+I1768</f>
        <v>3345</v>
      </c>
      <c r="J1769" s="381" t="str">
        <f>IFERROR(G1769/#REF!,"-")</f>
        <v>-</v>
      </c>
      <c r="K1769" s="380">
        <f>+K1714+K1741+K1768</f>
        <v>5431055</v>
      </c>
      <c r="L1769" s="380">
        <f>+L1714+L1741+L1768</f>
        <v>5377105</v>
      </c>
      <c r="M1769" s="380">
        <f>+M1714+M1741+M1768</f>
        <v>53950</v>
      </c>
      <c r="N1769" s="381">
        <f>IFERROR(K1769/E1769,"-")</f>
        <v>0.51751934364994667</v>
      </c>
      <c r="O1769" s="381">
        <f>IFERROR(M1769/K1769,"-")</f>
        <v>9.9336132666673418E-3</v>
      </c>
    </row>
    <row r="1770" spans="1:15" ht="23.4" x14ac:dyDescent="0.3">
      <c r="A1770" s="935" t="s">
        <v>1</v>
      </c>
      <c r="B1770" s="938" t="s">
        <v>2</v>
      </c>
      <c r="C1770" s="941" t="s">
        <v>3</v>
      </c>
      <c r="D1770" s="941" t="s">
        <v>93</v>
      </c>
      <c r="E1770" s="944" t="s">
        <v>4</v>
      </c>
      <c r="F1770" s="945"/>
      <c r="G1770" s="945"/>
      <c r="H1770" s="945"/>
      <c r="I1770" s="945"/>
      <c r="J1770" s="945"/>
      <c r="K1770" s="945"/>
      <c r="L1770" s="945"/>
      <c r="M1770" s="945"/>
      <c r="N1770" s="945"/>
      <c r="O1770" s="946"/>
    </row>
    <row r="1771" spans="1:15" ht="23.4" x14ac:dyDescent="0.3">
      <c r="A1771" s="936"/>
      <c r="B1771" s="939"/>
      <c r="C1771" s="942"/>
      <c r="D1771" s="942"/>
      <c r="E1771" s="947" t="s">
        <v>7</v>
      </c>
      <c r="F1771" s="949" t="s">
        <v>116</v>
      </c>
      <c r="G1771" s="951">
        <v>44524</v>
      </c>
      <c r="H1771" s="952"/>
      <c r="I1771" s="952"/>
      <c r="J1771" s="953"/>
      <c r="K1771" s="954" t="s">
        <v>8</v>
      </c>
      <c r="L1771" s="955"/>
      <c r="M1771" s="956"/>
      <c r="N1771" s="957" t="s">
        <v>174</v>
      </c>
      <c r="O1771" s="959" t="s">
        <v>173</v>
      </c>
    </row>
    <row r="1772" spans="1:15" ht="41.4" thickBot="1" x14ac:dyDescent="0.35">
      <c r="A1772" s="937"/>
      <c r="B1772" s="940"/>
      <c r="C1772" s="943"/>
      <c r="D1772" s="943"/>
      <c r="E1772" s="948"/>
      <c r="F1772" s="950"/>
      <c r="G1772" s="462" t="s">
        <v>13</v>
      </c>
      <c r="H1772" s="463" t="s">
        <v>14</v>
      </c>
      <c r="I1772" s="463" t="s">
        <v>15</v>
      </c>
      <c r="J1772" s="464" t="s">
        <v>175</v>
      </c>
      <c r="K1772" s="462" t="s">
        <v>13</v>
      </c>
      <c r="L1772" s="463" t="s">
        <v>14</v>
      </c>
      <c r="M1772" s="465" t="s">
        <v>15</v>
      </c>
      <c r="N1772" s="958"/>
      <c r="O1772" s="960"/>
    </row>
    <row r="1773" spans="1:15" ht="23.4" x14ac:dyDescent="0.3">
      <c r="A1773" s="271" t="s">
        <v>111</v>
      </c>
      <c r="B1773" s="922" t="s">
        <v>16</v>
      </c>
      <c r="C1773" s="272" t="s">
        <v>186</v>
      </c>
      <c r="D1773" s="272" t="s">
        <v>184</v>
      </c>
      <c r="E1773" s="273">
        <v>0</v>
      </c>
      <c r="F1773" s="274"/>
      <c r="G1773" s="338">
        <f>+H1773+I1773</f>
        <v>0</v>
      </c>
      <c r="H1773" s="275">
        <v>0</v>
      </c>
      <c r="I1773" s="275">
        <v>0</v>
      </c>
      <c r="J1773" s="357" t="str">
        <f>IFERROR(G1773/#REF!,"-")</f>
        <v>-</v>
      </c>
      <c r="K1773" s="468">
        <f>+L1773+M1773</f>
        <v>0</v>
      </c>
      <c r="L1773" s="469">
        <f>+H1773+L1669</f>
        <v>0</v>
      </c>
      <c r="M1773" s="469">
        <f>+I1773+M1669</f>
        <v>0</v>
      </c>
      <c r="N1773" s="342" t="str">
        <f>IFERROR(K1773/E1773,"-")</f>
        <v>-</v>
      </c>
      <c r="O1773" s="349" t="str">
        <f t="shared" ref="O1773:O1774" si="2316">IFERROR(M1773/K1773,"-")</f>
        <v>-</v>
      </c>
    </row>
    <row r="1774" spans="1:15" ht="23.4" x14ac:dyDescent="0.3">
      <c r="A1774" s="277" t="s">
        <v>111</v>
      </c>
      <c r="B1774" s="923"/>
      <c r="C1774" s="278" t="s">
        <v>190</v>
      </c>
      <c r="D1774" s="278" t="s">
        <v>101</v>
      </c>
      <c r="E1774" s="279">
        <v>0</v>
      </c>
      <c r="F1774" s="280"/>
      <c r="G1774" s="339">
        <f t="shared" ref="G1774:G1776" si="2317">+H1774+I1774</f>
        <v>0</v>
      </c>
      <c r="H1774" s="281">
        <v>0</v>
      </c>
      <c r="I1774" s="281">
        <v>0</v>
      </c>
      <c r="J1774" s="358" t="str">
        <f>IFERROR(G1774/#REF!,"-")</f>
        <v>-</v>
      </c>
      <c r="K1774" s="339">
        <f t="shared" ref="K1774:K1776" si="2318">+L1774+M1774</f>
        <v>0</v>
      </c>
      <c r="L1774" s="281">
        <f t="shared" ref="L1774:L1776" si="2319">+H1774+L1670</f>
        <v>0</v>
      </c>
      <c r="M1774" s="442">
        <f t="shared" ref="M1774:M1776" si="2320">+I1774+M1670</f>
        <v>0</v>
      </c>
      <c r="N1774" s="343" t="str">
        <f t="shared" ref="N1774:N1776" si="2321">IFERROR(K1774/E1774,"-")</f>
        <v>-</v>
      </c>
      <c r="O1774" s="268" t="str">
        <f t="shared" si="2316"/>
        <v>-</v>
      </c>
    </row>
    <row r="1775" spans="1:15" ht="23.4" x14ac:dyDescent="0.3">
      <c r="A1775" s="277" t="s">
        <v>111</v>
      </c>
      <c r="B1775" s="923"/>
      <c r="C1775" s="278" t="s">
        <v>187</v>
      </c>
      <c r="D1775" s="278" t="s">
        <v>185</v>
      </c>
      <c r="E1775" s="279">
        <v>0</v>
      </c>
      <c r="F1775" s="280"/>
      <c r="G1775" s="339">
        <f t="shared" si="2317"/>
        <v>0</v>
      </c>
      <c r="H1775" s="281">
        <v>0</v>
      </c>
      <c r="I1775" s="281">
        <v>0</v>
      </c>
      <c r="J1775" s="358" t="str">
        <f>IFERROR(G1775/#REF!,"-")</f>
        <v>-</v>
      </c>
      <c r="K1775" s="339">
        <f t="shared" si="2318"/>
        <v>0</v>
      </c>
      <c r="L1775" s="281">
        <f t="shared" si="2319"/>
        <v>0</v>
      </c>
      <c r="M1775" s="442">
        <f t="shared" si="2320"/>
        <v>0</v>
      </c>
      <c r="N1775" s="343" t="str">
        <f t="shared" si="2321"/>
        <v>-</v>
      </c>
      <c r="O1775" s="268" t="str">
        <f>IFERROR(M1775/K1775,"-")</f>
        <v>-</v>
      </c>
    </row>
    <row r="1776" spans="1:15" ht="24" thickBot="1" x14ac:dyDescent="0.35">
      <c r="A1776" s="277" t="s">
        <v>111</v>
      </c>
      <c r="B1776" s="924"/>
      <c r="C1776" s="282" t="s">
        <v>255</v>
      </c>
      <c r="D1776" s="282" t="s">
        <v>256</v>
      </c>
      <c r="E1776" s="283">
        <v>0</v>
      </c>
      <c r="F1776" s="284"/>
      <c r="G1776" s="340">
        <f t="shared" si="2317"/>
        <v>0</v>
      </c>
      <c r="H1776" s="285">
        <v>0</v>
      </c>
      <c r="I1776" s="285">
        <v>0</v>
      </c>
      <c r="J1776" s="359" t="str">
        <f>IFERROR(G1776/#REF!,"-")</f>
        <v>-</v>
      </c>
      <c r="K1776" s="471">
        <f t="shared" si="2318"/>
        <v>105704</v>
      </c>
      <c r="L1776" s="472">
        <f t="shared" si="2319"/>
        <v>104016</v>
      </c>
      <c r="M1776" s="473">
        <f t="shared" si="2320"/>
        <v>1688</v>
      </c>
      <c r="N1776" s="344" t="str">
        <f t="shared" si="2321"/>
        <v>-</v>
      </c>
      <c r="O1776" s="350">
        <f t="shared" ref="O1776:O1794" si="2322">IFERROR(M1776/K1776,"-")</f>
        <v>1.5969121319912207E-2</v>
      </c>
    </row>
    <row r="1777" spans="1:15" ht="24" thickBot="1" x14ac:dyDescent="0.35">
      <c r="A1777" s="277" t="s">
        <v>111</v>
      </c>
      <c r="B1777" s="906" t="s">
        <v>47</v>
      </c>
      <c r="C1777" s="907"/>
      <c r="D1777" s="908"/>
      <c r="E1777" s="326">
        <v>144600</v>
      </c>
      <c r="F1777" s="289">
        <v>15000</v>
      </c>
      <c r="G1777" s="326">
        <f>SUM(G1773:G1776)</f>
        <v>0</v>
      </c>
      <c r="H1777" s="327">
        <f t="shared" ref="H1777:I1777" si="2323">SUM(H1773:H1776)</f>
        <v>0</v>
      </c>
      <c r="I1777" s="327">
        <f t="shared" si="2323"/>
        <v>0</v>
      </c>
      <c r="J1777" s="351" t="str">
        <f>IFERROR(G1777/#REF!,"-")</f>
        <v>-</v>
      </c>
      <c r="K1777" s="326">
        <f t="shared" ref="K1777:M1777" si="2324">SUM(K1773:K1776)</f>
        <v>105704</v>
      </c>
      <c r="L1777" s="327">
        <f t="shared" si="2324"/>
        <v>104016</v>
      </c>
      <c r="M1777" s="328">
        <f t="shared" si="2324"/>
        <v>1688</v>
      </c>
      <c r="N1777" s="345">
        <f>IFERROR(K1777/E1777,"-")</f>
        <v>0.7310096818810512</v>
      </c>
      <c r="O1777" s="351">
        <f t="shared" si="2322"/>
        <v>1.5969121319912207E-2</v>
      </c>
    </row>
    <row r="1778" spans="1:15" ht="23.4" x14ac:dyDescent="0.3">
      <c r="A1778" s="277" t="s">
        <v>111</v>
      </c>
      <c r="B1778" s="922" t="s">
        <v>17</v>
      </c>
      <c r="C1778" s="272" t="s">
        <v>331</v>
      </c>
      <c r="D1778" s="272"/>
      <c r="E1778" s="273">
        <v>0</v>
      </c>
      <c r="F1778" s="274"/>
      <c r="G1778" s="338">
        <f t="shared" ref="G1778:G1784" si="2325">+H1778+I1778</f>
        <v>0</v>
      </c>
      <c r="H1778" s="275">
        <v>0</v>
      </c>
      <c r="I1778" s="275">
        <v>0</v>
      </c>
      <c r="J1778" s="357" t="str">
        <f>IFERROR(G1778/#REF!,"-")</f>
        <v>-</v>
      </c>
      <c r="K1778" s="468">
        <f t="shared" ref="K1778:K1784" si="2326">+L1778+M1778</f>
        <v>0</v>
      </c>
      <c r="L1778" s="469">
        <f t="shared" ref="L1778:L1784" si="2327">+H1778+L1674</f>
        <v>0</v>
      </c>
      <c r="M1778" s="470">
        <f t="shared" ref="M1778:M1784" si="2328">+I1778+M1674</f>
        <v>0</v>
      </c>
      <c r="N1778" s="342" t="str">
        <f t="shared" ref="N1778:N1784" si="2329">IFERROR(K1778/E1778,"-")</f>
        <v>-</v>
      </c>
      <c r="O1778" s="352" t="str">
        <f t="shared" si="2322"/>
        <v>-</v>
      </c>
    </row>
    <row r="1779" spans="1:15" ht="23.4" x14ac:dyDescent="0.3">
      <c r="A1779" s="277" t="s">
        <v>111</v>
      </c>
      <c r="B1779" s="923"/>
      <c r="C1779" s="278" t="s">
        <v>421</v>
      </c>
      <c r="D1779" s="278" t="s">
        <v>257</v>
      </c>
      <c r="E1779" s="279">
        <v>0</v>
      </c>
      <c r="F1779" s="280"/>
      <c r="G1779" s="339">
        <f t="shared" si="2325"/>
        <v>208414</v>
      </c>
      <c r="H1779" s="281">
        <f>97920+110160</f>
        <v>208080</v>
      </c>
      <c r="I1779" s="281">
        <f>130+204</f>
        <v>334</v>
      </c>
      <c r="J1779" s="358" t="str">
        <f>IFERROR(G1779/#REF!,"-")</f>
        <v>-</v>
      </c>
      <c r="K1779" s="339">
        <f t="shared" si="2326"/>
        <v>1058274</v>
      </c>
      <c r="L1779" s="281">
        <f t="shared" si="2327"/>
        <v>1054943</v>
      </c>
      <c r="M1779" s="442">
        <f t="shared" si="2328"/>
        <v>3331</v>
      </c>
      <c r="N1779" s="343" t="str">
        <f t="shared" si="2329"/>
        <v>-</v>
      </c>
      <c r="O1779" s="264">
        <f t="shared" si="2322"/>
        <v>3.1475780374458787E-3</v>
      </c>
    </row>
    <row r="1780" spans="1:15" ht="23.4" x14ac:dyDescent="0.3">
      <c r="A1780" s="277" t="s">
        <v>111</v>
      </c>
      <c r="B1780" s="923"/>
      <c r="C1780" s="278" t="s">
        <v>290</v>
      </c>
      <c r="D1780" s="278" t="s">
        <v>205</v>
      </c>
      <c r="E1780" s="279">
        <v>0</v>
      </c>
      <c r="F1780" s="280"/>
      <c r="G1780" s="339">
        <f t="shared" si="2325"/>
        <v>0</v>
      </c>
      <c r="H1780" s="281">
        <v>0</v>
      </c>
      <c r="I1780" s="281">
        <v>0</v>
      </c>
      <c r="J1780" s="358" t="str">
        <f>IFERROR(G1780/#REF!,"-")</f>
        <v>-</v>
      </c>
      <c r="K1780" s="339">
        <f t="shared" si="2326"/>
        <v>0</v>
      </c>
      <c r="L1780" s="281">
        <f t="shared" si="2327"/>
        <v>0</v>
      </c>
      <c r="M1780" s="442">
        <f t="shared" si="2328"/>
        <v>0</v>
      </c>
      <c r="N1780" s="343" t="str">
        <f t="shared" si="2329"/>
        <v>-</v>
      </c>
      <c r="O1780" s="264" t="str">
        <f t="shared" si="2322"/>
        <v>-</v>
      </c>
    </row>
    <row r="1781" spans="1:15" ht="23.4" x14ac:dyDescent="0.3">
      <c r="A1781" s="277" t="s">
        <v>111</v>
      </c>
      <c r="B1781" s="923"/>
      <c r="C1781" s="278" t="s">
        <v>330</v>
      </c>
      <c r="D1781" s="278" t="s">
        <v>206</v>
      </c>
      <c r="E1781" s="279">
        <v>0</v>
      </c>
      <c r="F1781" s="280"/>
      <c r="G1781" s="339">
        <f t="shared" si="2325"/>
        <v>0</v>
      </c>
      <c r="H1781" s="281">
        <v>0</v>
      </c>
      <c r="I1781" s="281">
        <v>0</v>
      </c>
      <c r="J1781" s="358" t="str">
        <f>IFERROR(G1781/#REF!,"-")</f>
        <v>-</v>
      </c>
      <c r="K1781" s="339">
        <f t="shared" si="2326"/>
        <v>1836</v>
      </c>
      <c r="L1781" s="281">
        <f t="shared" si="2327"/>
        <v>1836</v>
      </c>
      <c r="M1781" s="442">
        <f t="shared" si="2328"/>
        <v>0</v>
      </c>
      <c r="N1781" s="343" t="str">
        <f t="shared" si="2329"/>
        <v>-</v>
      </c>
      <c r="O1781" s="264">
        <f t="shared" si="2322"/>
        <v>0</v>
      </c>
    </row>
    <row r="1782" spans="1:15" ht="23.4" x14ac:dyDescent="0.3">
      <c r="A1782" s="277" t="s">
        <v>111</v>
      </c>
      <c r="B1782" s="923"/>
      <c r="C1782" s="278" t="s">
        <v>377</v>
      </c>
      <c r="D1782" s="278" t="s">
        <v>371</v>
      </c>
      <c r="E1782" s="279">
        <v>0</v>
      </c>
      <c r="F1782" s="280"/>
      <c r="G1782" s="339">
        <f t="shared" si="2325"/>
        <v>0</v>
      </c>
      <c r="H1782" s="281">
        <v>0</v>
      </c>
      <c r="I1782" s="281">
        <v>0</v>
      </c>
      <c r="J1782" s="358" t="str">
        <f>IFERROR(G1782/#REF!,"-")</f>
        <v>-</v>
      </c>
      <c r="K1782" s="339">
        <f t="shared" si="2326"/>
        <v>10610</v>
      </c>
      <c r="L1782" s="281">
        <f t="shared" si="2327"/>
        <v>10610</v>
      </c>
      <c r="M1782" s="442">
        <f t="shared" si="2328"/>
        <v>0</v>
      </c>
      <c r="N1782" s="343" t="str">
        <f t="shared" si="2329"/>
        <v>-</v>
      </c>
      <c r="O1782" s="264">
        <f t="shared" si="2322"/>
        <v>0</v>
      </c>
    </row>
    <row r="1783" spans="1:15" ht="23.4" x14ac:dyDescent="0.3">
      <c r="A1783" s="277" t="s">
        <v>111</v>
      </c>
      <c r="B1783" s="923"/>
      <c r="C1783" s="278" t="s">
        <v>443</v>
      </c>
      <c r="D1783" s="278" t="s">
        <v>207</v>
      </c>
      <c r="E1783" s="279">
        <v>0</v>
      </c>
      <c r="F1783" s="280"/>
      <c r="G1783" s="339">
        <f t="shared" si="2325"/>
        <v>12240</v>
      </c>
      <c r="H1783" s="281">
        <v>12240</v>
      </c>
      <c r="I1783" s="281">
        <v>0</v>
      </c>
      <c r="J1783" s="358" t="str">
        <f>IFERROR(G1783/#REF!,"-")</f>
        <v>-</v>
      </c>
      <c r="K1783" s="339">
        <f t="shared" si="2326"/>
        <v>497100</v>
      </c>
      <c r="L1783" s="281">
        <f t="shared" si="2327"/>
        <v>495720</v>
      </c>
      <c r="M1783" s="442">
        <f t="shared" si="2328"/>
        <v>1380</v>
      </c>
      <c r="N1783" s="343" t="str">
        <f t="shared" si="2329"/>
        <v>-</v>
      </c>
      <c r="O1783" s="264">
        <f t="shared" si="2322"/>
        <v>2.776101388050694E-3</v>
      </c>
    </row>
    <row r="1784" spans="1:15" ht="24" thickBot="1" x14ac:dyDescent="0.35">
      <c r="A1784" s="277" t="s">
        <v>111</v>
      </c>
      <c r="B1784" s="924"/>
      <c r="C1784" s="282" t="s">
        <v>416</v>
      </c>
      <c r="D1784" s="282" t="s">
        <v>257</v>
      </c>
      <c r="E1784" s="283">
        <v>0</v>
      </c>
      <c r="F1784" s="284"/>
      <c r="G1784" s="340">
        <f t="shared" si="2325"/>
        <v>0</v>
      </c>
      <c r="H1784" s="285">
        <v>0</v>
      </c>
      <c r="I1784" s="285">
        <v>0</v>
      </c>
      <c r="J1784" s="359" t="str">
        <f>IFERROR(G1784/#REF!,"-")</f>
        <v>-</v>
      </c>
      <c r="K1784" s="471">
        <f t="shared" si="2326"/>
        <v>73650</v>
      </c>
      <c r="L1784" s="472">
        <f t="shared" si="2327"/>
        <v>73440</v>
      </c>
      <c r="M1784" s="473">
        <f t="shared" si="2328"/>
        <v>210</v>
      </c>
      <c r="N1784" s="344" t="str">
        <f t="shared" si="2329"/>
        <v>-</v>
      </c>
      <c r="O1784" s="353">
        <f t="shared" si="2322"/>
        <v>2.8513238289205704E-3</v>
      </c>
    </row>
    <row r="1785" spans="1:15" ht="24" thickBot="1" x14ac:dyDescent="0.35">
      <c r="A1785" s="277" t="s">
        <v>111</v>
      </c>
      <c r="B1785" s="906" t="s">
        <v>48</v>
      </c>
      <c r="C1785" s="907"/>
      <c r="D1785" s="908"/>
      <c r="E1785" s="326">
        <v>3480000</v>
      </c>
      <c r="F1785" s="289">
        <v>100000</v>
      </c>
      <c r="G1785" s="326">
        <f>SUM(G1778:G1784)</f>
        <v>220654</v>
      </c>
      <c r="H1785" s="327">
        <f t="shared" ref="H1785:I1785" si="2330">SUM(H1778:H1784)</f>
        <v>220320</v>
      </c>
      <c r="I1785" s="327">
        <f t="shared" si="2330"/>
        <v>334</v>
      </c>
      <c r="J1785" s="351" t="str">
        <f>IFERROR(G1785/#REF!,"-")</f>
        <v>-</v>
      </c>
      <c r="K1785" s="326">
        <f>SUM(K1778:K1784)</f>
        <v>1641470</v>
      </c>
      <c r="L1785" s="327">
        <f>SUM(L1778:L1784)</f>
        <v>1636549</v>
      </c>
      <c r="M1785" s="328">
        <f t="shared" ref="M1785" si="2331">SUM(M1778:M1784)</f>
        <v>4921</v>
      </c>
      <c r="N1785" s="345">
        <f>IFERROR(K1785/E1785,"-")</f>
        <v>0.47168678160919542</v>
      </c>
      <c r="O1785" s="351">
        <f t="shared" si="2322"/>
        <v>2.9979225937726548E-3</v>
      </c>
    </row>
    <row r="1786" spans="1:15" ht="23.4" x14ac:dyDescent="0.3">
      <c r="A1786" s="277" t="s">
        <v>111</v>
      </c>
      <c r="B1786" s="922" t="s">
        <v>18</v>
      </c>
      <c r="C1786" s="272" t="s">
        <v>359</v>
      </c>
      <c r="D1786" s="272" t="s">
        <v>99</v>
      </c>
      <c r="E1786" s="273">
        <v>0</v>
      </c>
      <c r="F1786" s="274"/>
      <c r="G1786" s="338">
        <f t="shared" ref="G1786:G1792" si="2332">+H1786+I1786</f>
        <v>0</v>
      </c>
      <c r="H1786" s="275">
        <v>0</v>
      </c>
      <c r="I1786" s="275">
        <v>0</v>
      </c>
      <c r="J1786" s="357" t="str">
        <f>IFERROR(G1786/#REF!,"-")</f>
        <v>-</v>
      </c>
      <c r="K1786" s="338">
        <f t="shared" ref="K1786:K1792" si="2333">+L1786+M1786</f>
        <v>0</v>
      </c>
      <c r="L1786" s="275">
        <f t="shared" ref="L1786:L1792" si="2334">+H1786+L1682</f>
        <v>0</v>
      </c>
      <c r="M1786" s="276">
        <f t="shared" ref="M1786:M1792" si="2335">+I1786+M1682</f>
        <v>0</v>
      </c>
      <c r="N1786" s="342" t="str">
        <f t="shared" ref="N1786:N1793" si="2336">IFERROR(K1786/E1786,"-")</f>
        <v>-</v>
      </c>
      <c r="O1786" s="352" t="str">
        <f t="shared" si="2322"/>
        <v>-</v>
      </c>
    </row>
    <row r="1787" spans="1:15" ht="23.4" x14ac:dyDescent="0.3">
      <c r="A1787" s="277" t="s">
        <v>111</v>
      </c>
      <c r="B1787" s="923"/>
      <c r="C1787" s="278" t="s">
        <v>258</v>
      </c>
      <c r="D1787" s="278" t="s">
        <v>259</v>
      </c>
      <c r="E1787" s="279">
        <v>0</v>
      </c>
      <c r="F1787" s="280"/>
      <c r="G1787" s="339">
        <f t="shared" si="2332"/>
        <v>0</v>
      </c>
      <c r="H1787" s="281">
        <v>0</v>
      </c>
      <c r="I1787" s="281">
        <v>0</v>
      </c>
      <c r="J1787" s="358" t="str">
        <f>IFERROR(G1787/#REF!,"-")</f>
        <v>-</v>
      </c>
      <c r="K1787" s="339">
        <f t="shared" si="2333"/>
        <v>0</v>
      </c>
      <c r="L1787" s="281">
        <f t="shared" si="2334"/>
        <v>0</v>
      </c>
      <c r="M1787" s="251">
        <f t="shared" si="2335"/>
        <v>0</v>
      </c>
      <c r="N1787" s="343" t="str">
        <f t="shared" si="2336"/>
        <v>-</v>
      </c>
      <c r="O1787" s="264" t="str">
        <f t="shared" si="2322"/>
        <v>-</v>
      </c>
    </row>
    <row r="1788" spans="1:15" ht="23.4" x14ac:dyDescent="0.3">
      <c r="A1788" s="277" t="s">
        <v>111</v>
      </c>
      <c r="B1788" s="923"/>
      <c r="C1788" s="278" t="s">
        <v>123</v>
      </c>
      <c r="D1788" s="278"/>
      <c r="E1788" s="279">
        <v>0</v>
      </c>
      <c r="F1788" s="280"/>
      <c r="G1788" s="339">
        <f t="shared" si="2332"/>
        <v>0</v>
      </c>
      <c r="H1788" s="281">
        <v>0</v>
      </c>
      <c r="I1788" s="281">
        <v>0</v>
      </c>
      <c r="J1788" s="358" t="str">
        <f>IFERROR(G1788/#REF!,"-")</f>
        <v>-</v>
      </c>
      <c r="K1788" s="339">
        <f t="shared" si="2333"/>
        <v>0</v>
      </c>
      <c r="L1788" s="281">
        <f t="shared" si="2334"/>
        <v>0</v>
      </c>
      <c r="M1788" s="251">
        <f t="shared" si="2335"/>
        <v>0</v>
      </c>
      <c r="N1788" s="343" t="str">
        <f t="shared" si="2336"/>
        <v>-</v>
      </c>
      <c r="O1788" s="264" t="str">
        <f t="shared" si="2322"/>
        <v>-</v>
      </c>
    </row>
    <row r="1789" spans="1:15" ht="23.4" x14ac:dyDescent="0.3">
      <c r="A1789" s="277" t="s">
        <v>111</v>
      </c>
      <c r="B1789" s="923"/>
      <c r="C1789" s="278" t="s">
        <v>130</v>
      </c>
      <c r="D1789" s="278"/>
      <c r="E1789" s="279">
        <v>0</v>
      </c>
      <c r="F1789" s="280"/>
      <c r="G1789" s="339">
        <f t="shared" si="2332"/>
        <v>0</v>
      </c>
      <c r="H1789" s="281">
        <v>0</v>
      </c>
      <c r="I1789" s="281">
        <v>0</v>
      </c>
      <c r="J1789" s="358" t="str">
        <f>IFERROR(G1789/#REF!,"-")</f>
        <v>-</v>
      </c>
      <c r="K1789" s="339">
        <f t="shared" si="2333"/>
        <v>0</v>
      </c>
      <c r="L1789" s="281">
        <f t="shared" si="2334"/>
        <v>0</v>
      </c>
      <c r="M1789" s="251">
        <f t="shared" si="2335"/>
        <v>0</v>
      </c>
      <c r="N1789" s="343" t="str">
        <f t="shared" si="2336"/>
        <v>-</v>
      </c>
      <c r="O1789" s="264" t="str">
        <f t="shared" si="2322"/>
        <v>-</v>
      </c>
    </row>
    <row r="1790" spans="1:15" ht="23.4" x14ac:dyDescent="0.3">
      <c r="A1790" s="277" t="s">
        <v>111</v>
      </c>
      <c r="B1790" s="923"/>
      <c r="C1790" s="278" t="s">
        <v>191</v>
      </c>
      <c r="D1790" s="278" t="s">
        <v>192</v>
      </c>
      <c r="E1790" s="279">
        <v>0</v>
      </c>
      <c r="F1790" s="280"/>
      <c r="G1790" s="339">
        <f t="shared" si="2332"/>
        <v>0</v>
      </c>
      <c r="H1790" s="281">
        <v>0</v>
      </c>
      <c r="I1790" s="281">
        <v>0</v>
      </c>
      <c r="J1790" s="358" t="str">
        <f>IFERROR(G1790/#REF!,"-")</f>
        <v>-</v>
      </c>
      <c r="K1790" s="339">
        <f t="shared" si="2333"/>
        <v>0</v>
      </c>
      <c r="L1790" s="281">
        <f t="shared" si="2334"/>
        <v>0</v>
      </c>
      <c r="M1790" s="251">
        <f t="shared" si="2335"/>
        <v>0</v>
      </c>
      <c r="N1790" s="343" t="str">
        <f t="shared" si="2336"/>
        <v>-</v>
      </c>
      <c r="O1790" s="264" t="str">
        <f t="shared" si="2322"/>
        <v>-</v>
      </c>
    </row>
    <row r="1791" spans="1:15" ht="23.4" x14ac:dyDescent="0.3">
      <c r="A1791" s="277" t="s">
        <v>111</v>
      </c>
      <c r="B1791" s="923"/>
      <c r="C1791" s="278" t="s">
        <v>194</v>
      </c>
      <c r="D1791" s="278" t="s">
        <v>193</v>
      </c>
      <c r="E1791" s="279">
        <v>0</v>
      </c>
      <c r="F1791" s="280"/>
      <c r="G1791" s="339">
        <f t="shared" si="2332"/>
        <v>0</v>
      </c>
      <c r="H1791" s="281">
        <v>0</v>
      </c>
      <c r="I1791" s="281">
        <v>0</v>
      </c>
      <c r="J1791" s="358" t="str">
        <f>IFERROR(G1791/#REF!,"-")</f>
        <v>-</v>
      </c>
      <c r="K1791" s="339">
        <f t="shared" si="2333"/>
        <v>0</v>
      </c>
      <c r="L1791" s="281">
        <f t="shared" si="2334"/>
        <v>0</v>
      </c>
      <c r="M1791" s="251">
        <f t="shared" si="2335"/>
        <v>0</v>
      </c>
      <c r="N1791" s="343" t="str">
        <f t="shared" si="2336"/>
        <v>-</v>
      </c>
      <c r="O1791" s="264" t="str">
        <f t="shared" si="2322"/>
        <v>-</v>
      </c>
    </row>
    <row r="1792" spans="1:15" ht="24" thickBot="1" x14ac:dyDescent="0.35">
      <c r="A1792" s="277" t="s">
        <v>111</v>
      </c>
      <c r="B1792" s="924"/>
      <c r="C1792" s="290" t="s">
        <v>195</v>
      </c>
      <c r="D1792" s="290" t="s">
        <v>115</v>
      </c>
      <c r="E1792" s="283">
        <v>0</v>
      </c>
      <c r="F1792" s="284"/>
      <c r="G1792" s="340">
        <f t="shared" si="2332"/>
        <v>0</v>
      </c>
      <c r="H1792" s="285">
        <v>0</v>
      </c>
      <c r="I1792" s="285">
        <v>0</v>
      </c>
      <c r="J1792" s="359" t="str">
        <f>IFERROR(G1792/#REF!,"-")</f>
        <v>-</v>
      </c>
      <c r="K1792" s="340">
        <f t="shared" si="2333"/>
        <v>0</v>
      </c>
      <c r="L1792" s="285">
        <f t="shared" si="2334"/>
        <v>0</v>
      </c>
      <c r="M1792" s="286">
        <f t="shared" si="2335"/>
        <v>0</v>
      </c>
      <c r="N1792" s="344" t="str">
        <f t="shared" si="2336"/>
        <v>-</v>
      </c>
      <c r="O1792" s="353" t="str">
        <f t="shared" si="2322"/>
        <v>-</v>
      </c>
    </row>
    <row r="1793" spans="1:15" ht="24" thickBot="1" x14ac:dyDescent="0.35">
      <c r="A1793" s="277" t="s">
        <v>111</v>
      </c>
      <c r="B1793" s="906" t="s">
        <v>29</v>
      </c>
      <c r="C1793" s="907"/>
      <c r="D1793" s="908"/>
      <c r="E1793" s="326">
        <f t="shared" ref="E1793" si="2337">SUM(E1786:E1792)</f>
        <v>0</v>
      </c>
      <c r="F1793" s="289">
        <v>80000</v>
      </c>
      <c r="G1793" s="326">
        <f>SUM(G1786:G1792)</f>
        <v>0</v>
      </c>
      <c r="H1793" s="327">
        <f t="shared" ref="H1793:I1793" si="2338">SUM(H1786:H1792)</f>
        <v>0</v>
      </c>
      <c r="I1793" s="327">
        <f t="shared" si="2338"/>
        <v>0</v>
      </c>
      <c r="J1793" s="351" t="str">
        <f>IFERROR(G1793/#REF!,"-")</f>
        <v>-</v>
      </c>
      <c r="K1793" s="326">
        <f t="shared" ref="K1793:M1793" si="2339">SUM(K1786:K1792)</f>
        <v>0</v>
      </c>
      <c r="L1793" s="327">
        <f t="shared" si="2339"/>
        <v>0</v>
      </c>
      <c r="M1793" s="328">
        <f t="shared" si="2339"/>
        <v>0</v>
      </c>
      <c r="N1793" s="345" t="str">
        <f t="shared" si="2336"/>
        <v>-</v>
      </c>
      <c r="O1793" s="351" t="str">
        <f t="shared" si="2322"/>
        <v>-</v>
      </c>
    </row>
    <row r="1794" spans="1:15" ht="23.4" x14ac:dyDescent="0.3">
      <c r="A1794" s="252" t="s">
        <v>111</v>
      </c>
      <c r="B1794" s="918" t="s">
        <v>19</v>
      </c>
      <c r="C1794" s="757" t="s">
        <v>260</v>
      </c>
      <c r="D1794" s="771" t="s">
        <v>192</v>
      </c>
      <c r="E1794" s="540">
        <v>2000000</v>
      </c>
      <c r="F1794" s="470">
        <v>110000</v>
      </c>
      <c r="G1794" s="770">
        <f t="shared" ref="G1794:G1796" si="2340">+H1794+I1794</f>
        <v>0</v>
      </c>
      <c r="H1794" s="469">
        <v>0</v>
      </c>
      <c r="I1794" s="469">
        <v>0</v>
      </c>
      <c r="J1794" s="544" t="str">
        <f>IFERROR(G1794/#REF!,"-")</f>
        <v>-</v>
      </c>
      <c r="K1794" s="468">
        <f>+L1794+M1794</f>
        <v>329781</v>
      </c>
      <c r="L1794" s="469">
        <f t="shared" ref="L1794:L1795" si="2341">+H1794+L1690</f>
        <v>328118</v>
      </c>
      <c r="M1794" s="470">
        <f t="shared" ref="M1794:M1795" si="2342">+I1794+M1690</f>
        <v>1663</v>
      </c>
      <c r="N1794" s="775">
        <f>IFERROR(K1794/E1794,"-")</f>
        <v>0.1648905</v>
      </c>
      <c r="O1794" s="776">
        <f t="shared" si="2322"/>
        <v>5.0427404853524002E-3</v>
      </c>
    </row>
    <row r="1795" spans="1:15" ht="23.4" x14ac:dyDescent="0.3">
      <c r="A1795" s="252"/>
      <c r="B1795" s="919"/>
      <c r="C1795" s="302" t="s">
        <v>458</v>
      </c>
      <c r="D1795" s="772"/>
      <c r="E1795" s="755">
        <v>0</v>
      </c>
      <c r="F1795" s="441">
        <v>110000</v>
      </c>
      <c r="G1795" s="756">
        <f t="shared" si="2340"/>
        <v>67822</v>
      </c>
      <c r="H1795" s="275">
        <v>67584</v>
      </c>
      <c r="I1795" s="275">
        <v>238</v>
      </c>
      <c r="J1795" s="357" t="str">
        <f>IFERROR(G1795/#REF!,"-")</f>
        <v>-</v>
      </c>
      <c r="K1795" s="341">
        <f>+L1795+M1795</f>
        <v>474997</v>
      </c>
      <c r="L1795" s="295">
        <f t="shared" si="2341"/>
        <v>473088</v>
      </c>
      <c r="M1795" s="774">
        <f t="shared" si="2342"/>
        <v>1909</v>
      </c>
      <c r="N1795" s="346" t="str">
        <f t="shared" ref="N1795:N1796" si="2343">IFERROR(K1795/E1795,"-")</f>
        <v>-</v>
      </c>
      <c r="O1795" s="753">
        <f>IFERROR(M1795/K1795,"-")</f>
        <v>4.0189727514068508E-3</v>
      </c>
    </row>
    <row r="1796" spans="1:15" ht="24" thickBot="1" x14ac:dyDescent="0.35">
      <c r="A1796" s="252"/>
      <c r="B1796" s="920"/>
      <c r="C1796" s="679" t="s">
        <v>417</v>
      </c>
      <c r="D1796" s="773"/>
      <c r="E1796" s="472">
        <v>150000</v>
      </c>
      <c r="F1796" s="473">
        <v>110000</v>
      </c>
      <c r="G1796" s="607">
        <f t="shared" si="2340"/>
        <v>0</v>
      </c>
      <c r="H1796" s="285">
        <v>0</v>
      </c>
      <c r="I1796" s="285">
        <v>0</v>
      </c>
      <c r="J1796" s="359"/>
      <c r="K1796" s="471">
        <f>+L1796+M1796</f>
        <v>0</v>
      </c>
      <c r="L1796" s="472">
        <f>+H1796+L1692</f>
        <v>0</v>
      </c>
      <c r="M1796" s="473">
        <f>+I1796+M1692</f>
        <v>0</v>
      </c>
      <c r="N1796" s="344">
        <f t="shared" si="2343"/>
        <v>0</v>
      </c>
      <c r="O1796" s="680" t="str">
        <f t="shared" ref="O1796:O1844" si="2344">IFERROR(M1796/K1796,"-")</f>
        <v>-</v>
      </c>
    </row>
    <row r="1797" spans="1:15" ht="24" thickBot="1" x14ac:dyDescent="0.35">
      <c r="A1797" s="277" t="s">
        <v>111</v>
      </c>
      <c r="B1797" s="921" t="s">
        <v>49</v>
      </c>
      <c r="C1797" s="907"/>
      <c r="D1797" s="908"/>
      <c r="E1797" s="326">
        <f>SUM(E1794:E1796)</f>
        <v>2150000</v>
      </c>
      <c r="F1797" s="329">
        <f t="shared" ref="F1797" si="2345">SUM(F1794)</f>
        <v>110000</v>
      </c>
      <c r="G1797" s="326">
        <f>SUM(G1794)</f>
        <v>0</v>
      </c>
      <c r="H1797" s="327">
        <f>SUM(H1794:H1796)</f>
        <v>67584</v>
      </c>
      <c r="I1797" s="327">
        <f>SUM(I1794:I1796)</f>
        <v>238</v>
      </c>
      <c r="J1797" s="351" t="str">
        <f>IFERROR(G1797/#REF!,"-")</f>
        <v>-</v>
      </c>
      <c r="K1797" s="681">
        <f>SUM(K1794:K1795)</f>
        <v>804778</v>
      </c>
      <c r="L1797" s="327">
        <f>SUM(L1794:L1795)</f>
        <v>801206</v>
      </c>
      <c r="M1797" s="328">
        <f>SUM(M1794:M1795)</f>
        <v>3572</v>
      </c>
      <c r="N1797" s="345">
        <f>IFERROR(K1797/E1797,"-")</f>
        <v>0.37431534883720929</v>
      </c>
      <c r="O1797" s="351">
        <f t="shared" si="2344"/>
        <v>4.4384911118345678E-3</v>
      </c>
    </row>
    <row r="1798" spans="1:15" ht="23.4" x14ac:dyDescent="0.3">
      <c r="A1798" s="277" t="s">
        <v>111</v>
      </c>
      <c r="B1798" s="922" t="s">
        <v>20</v>
      </c>
      <c r="C1798" s="297" t="s">
        <v>370</v>
      </c>
      <c r="D1798" s="297" t="s">
        <v>324</v>
      </c>
      <c r="E1798" s="273">
        <v>0</v>
      </c>
      <c r="F1798" s="274"/>
      <c r="G1798" s="338">
        <f t="shared" ref="G1798:G1800" si="2346">+H1798+I1798</f>
        <v>0</v>
      </c>
      <c r="H1798" s="275">
        <v>0</v>
      </c>
      <c r="I1798" s="275">
        <v>0</v>
      </c>
      <c r="J1798" s="357" t="str">
        <f>IFERROR(G1798/#REF!,"-")</f>
        <v>-</v>
      </c>
      <c r="K1798" s="338">
        <f t="shared" ref="K1798:K1800" si="2347">+L1798+M1798</f>
        <v>0</v>
      </c>
      <c r="L1798" s="275">
        <f t="shared" ref="L1798:L1800" si="2348">+H1798+L1694</f>
        <v>0</v>
      </c>
      <c r="M1798" s="276">
        <f t="shared" ref="M1798:M1800" si="2349">+I1798+M1694</f>
        <v>0</v>
      </c>
      <c r="N1798" s="342" t="str">
        <f t="shared" ref="N1798:N1801" si="2350">IFERROR(K1798/E1798,"-")</f>
        <v>-</v>
      </c>
      <c r="O1798" s="352" t="str">
        <f t="shared" si="2344"/>
        <v>-</v>
      </c>
    </row>
    <row r="1799" spans="1:15" ht="23.4" x14ac:dyDescent="0.3">
      <c r="A1799" s="277" t="s">
        <v>111</v>
      </c>
      <c r="B1799" s="923"/>
      <c r="C1799" s="298" t="s">
        <v>122</v>
      </c>
      <c r="D1799" s="298"/>
      <c r="E1799" s="279">
        <v>0</v>
      </c>
      <c r="F1799" s="280"/>
      <c r="G1799" s="339">
        <f t="shared" si="2346"/>
        <v>0</v>
      </c>
      <c r="H1799" s="281">
        <v>0</v>
      </c>
      <c r="I1799" s="281">
        <v>0</v>
      </c>
      <c r="J1799" s="358" t="str">
        <f>IFERROR(G1799/#REF!,"-")</f>
        <v>-</v>
      </c>
      <c r="K1799" s="339">
        <f t="shared" si="2347"/>
        <v>0</v>
      </c>
      <c r="L1799" s="281">
        <f t="shared" si="2348"/>
        <v>0</v>
      </c>
      <c r="M1799" s="251">
        <f t="shared" si="2349"/>
        <v>0</v>
      </c>
      <c r="N1799" s="343" t="str">
        <f t="shared" si="2350"/>
        <v>-</v>
      </c>
      <c r="O1799" s="264" t="str">
        <f t="shared" si="2344"/>
        <v>-</v>
      </c>
    </row>
    <row r="1800" spans="1:15" ht="24" thickBot="1" x14ac:dyDescent="0.35">
      <c r="A1800" s="277" t="s">
        <v>111</v>
      </c>
      <c r="B1800" s="924"/>
      <c r="C1800" s="299" t="s">
        <v>128</v>
      </c>
      <c r="D1800" s="299"/>
      <c r="E1800" s="283">
        <v>0</v>
      </c>
      <c r="F1800" s="284"/>
      <c r="G1800" s="340">
        <f t="shared" si="2346"/>
        <v>0</v>
      </c>
      <c r="H1800" s="285">
        <v>0</v>
      </c>
      <c r="I1800" s="285">
        <v>0</v>
      </c>
      <c r="J1800" s="359" t="str">
        <f>IFERROR(G1800/#REF!,"-")</f>
        <v>-</v>
      </c>
      <c r="K1800" s="340">
        <f t="shared" si="2347"/>
        <v>0</v>
      </c>
      <c r="L1800" s="285">
        <f t="shared" si="2348"/>
        <v>0</v>
      </c>
      <c r="M1800" s="286">
        <f t="shared" si="2349"/>
        <v>0</v>
      </c>
      <c r="N1800" s="344" t="str">
        <f t="shared" si="2350"/>
        <v>-</v>
      </c>
      <c r="O1800" s="353" t="str">
        <f t="shared" si="2344"/>
        <v>-</v>
      </c>
    </row>
    <row r="1801" spans="1:15" ht="24" thickBot="1" x14ac:dyDescent="0.35">
      <c r="A1801" s="277" t="s">
        <v>111</v>
      </c>
      <c r="B1801" s="907" t="s">
        <v>50</v>
      </c>
      <c r="C1801" s="907"/>
      <c r="D1801" s="925"/>
      <c r="E1801" s="326">
        <f t="shared" ref="E1801" si="2351">SUM(E1798:E1800)</f>
        <v>0</v>
      </c>
      <c r="F1801" s="289">
        <v>50000</v>
      </c>
      <c r="G1801" s="326">
        <f>SUM(G1798:G1800)</f>
        <v>0</v>
      </c>
      <c r="H1801" s="327">
        <f t="shared" ref="H1801:I1801" si="2352">SUM(H1798:H1800)</f>
        <v>0</v>
      </c>
      <c r="I1801" s="327">
        <f t="shared" si="2352"/>
        <v>0</v>
      </c>
      <c r="J1801" s="351" t="str">
        <f>IFERROR(G1801/#REF!,"-")</f>
        <v>-</v>
      </c>
      <c r="K1801" s="326">
        <f t="shared" ref="K1801:M1801" si="2353">SUM(K1798:K1800)</f>
        <v>0</v>
      </c>
      <c r="L1801" s="327">
        <f t="shared" si="2353"/>
        <v>0</v>
      </c>
      <c r="M1801" s="328">
        <f t="shared" si="2353"/>
        <v>0</v>
      </c>
      <c r="N1801" s="345" t="str">
        <f t="shared" si="2350"/>
        <v>-</v>
      </c>
      <c r="O1801" s="351" t="str">
        <f t="shared" si="2344"/>
        <v>-</v>
      </c>
    </row>
    <row r="1802" spans="1:15" ht="24" thickBot="1" x14ac:dyDescent="0.35">
      <c r="A1802" s="277" t="s">
        <v>111</v>
      </c>
      <c r="B1802" s="926" t="s">
        <v>21</v>
      </c>
      <c r="C1802" s="927"/>
      <c r="D1802" s="928"/>
      <c r="E1802" s="332">
        <f>+E1777+E1785+E1793+E1797+E1801</f>
        <v>5774600</v>
      </c>
      <c r="F1802" s="333">
        <f>+F1777+F1785+F1793+F1797+F1801</f>
        <v>355000</v>
      </c>
      <c r="G1802" s="332">
        <f>+G1777+G1785+G1793+G1797+G1801</f>
        <v>220654</v>
      </c>
      <c r="H1802" s="330">
        <f>+H1777+H1785+H1793+H1797+H1801</f>
        <v>287904</v>
      </c>
      <c r="I1802" s="330">
        <f>+I1777+I1785+I1793+I1797+I1801</f>
        <v>572</v>
      </c>
      <c r="J1802" s="355" t="str">
        <f>IFERROR(G1802/#REF!,"-")</f>
        <v>-</v>
      </c>
      <c r="K1802" s="332">
        <f>+K1777+K1785+K1793+K1797+K1801</f>
        <v>2551952</v>
      </c>
      <c r="L1802" s="330">
        <f>+L1777+L1785+L1793+L1797+L1801</f>
        <v>2541771</v>
      </c>
      <c r="M1802" s="331">
        <f>+M1777+M1785+M1793+M1797+M1801</f>
        <v>10181</v>
      </c>
      <c r="N1802" s="347">
        <f>IFERROR(K1802/E1802,"-")</f>
        <v>0.44192705988293562</v>
      </c>
      <c r="O1802" s="355">
        <f t="shared" si="2344"/>
        <v>3.9894951002213208E-3</v>
      </c>
    </row>
    <row r="1803" spans="1:15" ht="23.4" x14ac:dyDescent="0.3">
      <c r="A1803" s="277" t="s">
        <v>111</v>
      </c>
      <c r="B1803" s="922" t="s">
        <v>22</v>
      </c>
      <c r="C1803" s="272" t="s">
        <v>133</v>
      </c>
      <c r="D1803" s="272"/>
      <c r="E1803" s="273">
        <v>0</v>
      </c>
      <c r="F1803" s="274"/>
      <c r="G1803" s="338">
        <f t="shared" ref="G1803:G1806" si="2354">+H1803+I1803</f>
        <v>0</v>
      </c>
      <c r="H1803" s="275">
        <v>0</v>
      </c>
      <c r="I1803" s="275">
        <v>0</v>
      </c>
      <c r="J1803" s="357" t="str">
        <f>IFERROR(G1803/#REF!,"-")</f>
        <v>-</v>
      </c>
      <c r="K1803" s="338">
        <f t="shared" ref="K1803:K1806" si="2355">+L1803+M1803</f>
        <v>0</v>
      </c>
      <c r="L1803" s="275">
        <f t="shared" ref="L1803:L1806" si="2356">+H1803+L1699</f>
        <v>0</v>
      </c>
      <c r="M1803" s="276">
        <f t="shared" ref="M1803:M1806" si="2357">+I1803+M1699</f>
        <v>0</v>
      </c>
      <c r="N1803" s="342" t="str">
        <f t="shared" ref="N1803:N1817" si="2358">IFERROR(K1803/E1803,"-")</f>
        <v>-</v>
      </c>
      <c r="O1803" s="352" t="str">
        <f t="shared" si="2344"/>
        <v>-</v>
      </c>
    </row>
    <row r="1804" spans="1:15" ht="23.4" x14ac:dyDescent="0.3">
      <c r="A1804" s="277" t="s">
        <v>111</v>
      </c>
      <c r="B1804" s="923"/>
      <c r="C1804" s="301" t="s">
        <v>291</v>
      </c>
      <c r="D1804" s="301" t="s">
        <v>196</v>
      </c>
      <c r="E1804" s="279">
        <v>0</v>
      </c>
      <c r="F1804" s="280"/>
      <c r="G1804" s="339">
        <f t="shared" si="2354"/>
        <v>0</v>
      </c>
      <c r="H1804" s="281">
        <v>0</v>
      </c>
      <c r="I1804" s="281">
        <v>0</v>
      </c>
      <c r="J1804" s="358" t="str">
        <f>IFERROR(G1804/#REF!,"-")</f>
        <v>-</v>
      </c>
      <c r="K1804" s="339">
        <f t="shared" si="2355"/>
        <v>0</v>
      </c>
      <c r="L1804" s="281">
        <f t="shared" si="2356"/>
        <v>0</v>
      </c>
      <c r="M1804" s="251">
        <f t="shared" si="2357"/>
        <v>0</v>
      </c>
      <c r="N1804" s="343" t="str">
        <f t="shared" si="2358"/>
        <v>-</v>
      </c>
      <c r="O1804" s="264" t="str">
        <f t="shared" si="2344"/>
        <v>-</v>
      </c>
    </row>
    <row r="1805" spans="1:15" ht="23.4" x14ac:dyDescent="0.3">
      <c r="A1805" s="277" t="s">
        <v>111</v>
      </c>
      <c r="B1805" s="923"/>
      <c r="C1805" s="301" t="s">
        <v>473</v>
      </c>
      <c r="D1805" s="301" t="s">
        <v>196</v>
      </c>
      <c r="E1805" s="279">
        <v>1000000</v>
      </c>
      <c r="F1805" s="280"/>
      <c r="G1805" s="339">
        <f t="shared" si="2354"/>
        <v>51592</v>
      </c>
      <c r="H1805" s="281">
        <v>51480</v>
      </c>
      <c r="I1805" s="281">
        <v>112</v>
      </c>
      <c r="J1805" s="358" t="str">
        <f>IFERROR(G1805/#REF!,"-")</f>
        <v>-</v>
      </c>
      <c r="K1805" s="339">
        <f t="shared" si="2355"/>
        <v>303465</v>
      </c>
      <c r="L1805" s="281">
        <f t="shared" si="2356"/>
        <v>302940</v>
      </c>
      <c r="M1805" s="251">
        <f t="shared" si="2357"/>
        <v>525</v>
      </c>
      <c r="N1805" s="343">
        <f t="shared" si="2358"/>
        <v>0.30346499999999998</v>
      </c>
      <c r="O1805" s="264">
        <f t="shared" si="2344"/>
        <v>1.7300182887647669E-3</v>
      </c>
    </row>
    <row r="1806" spans="1:15" ht="24" thickBot="1" x14ac:dyDescent="0.35">
      <c r="A1806" s="277" t="s">
        <v>111</v>
      </c>
      <c r="B1806" s="924"/>
      <c r="C1806" s="282" t="s">
        <v>197</v>
      </c>
      <c r="D1806" s="282" t="s">
        <v>100</v>
      </c>
      <c r="E1806" s="283">
        <v>0</v>
      </c>
      <c r="F1806" s="284"/>
      <c r="G1806" s="340">
        <f t="shared" si="2354"/>
        <v>0</v>
      </c>
      <c r="H1806" s="285">
        <v>0</v>
      </c>
      <c r="I1806" s="285">
        <v>0</v>
      </c>
      <c r="J1806" s="359" t="str">
        <f>IFERROR(G1806/#REF!,"-")</f>
        <v>-</v>
      </c>
      <c r="K1806" s="340">
        <f t="shared" si="2355"/>
        <v>0</v>
      </c>
      <c r="L1806" s="285">
        <f t="shared" si="2356"/>
        <v>0</v>
      </c>
      <c r="M1806" s="286">
        <f t="shared" si="2357"/>
        <v>0</v>
      </c>
      <c r="N1806" s="344" t="str">
        <f t="shared" si="2358"/>
        <v>-</v>
      </c>
      <c r="O1806" s="353" t="str">
        <f t="shared" si="2344"/>
        <v>-</v>
      </c>
    </row>
    <row r="1807" spans="1:15" ht="24" thickBot="1" x14ac:dyDescent="0.35">
      <c r="A1807" s="277" t="s">
        <v>111</v>
      </c>
      <c r="B1807" s="906" t="s">
        <v>51</v>
      </c>
      <c r="C1807" s="907"/>
      <c r="D1807" s="908"/>
      <c r="E1807" s="288">
        <f>SUM(E1803:E1806)</f>
        <v>1000000</v>
      </c>
      <c r="F1807" s="289">
        <v>80000</v>
      </c>
      <c r="G1807" s="326">
        <f>SUM(G1803:G1806)</f>
        <v>51592</v>
      </c>
      <c r="H1807" s="327">
        <f t="shared" ref="H1807:I1807" si="2359">SUM(H1803:H1806)</f>
        <v>51480</v>
      </c>
      <c r="I1807" s="327">
        <f t="shared" si="2359"/>
        <v>112</v>
      </c>
      <c r="J1807" s="351" t="str">
        <f>IFERROR(G1807/#REF!,"-")</f>
        <v>-</v>
      </c>
      <c r="K1807" s="326">
        <f t="shared" ref="K1807:M1807" si="2360">SUM(K1803:K1806)</f>
        <v>303465</v>
      </c>
      <c r="L1807" s="327">
        <f t="shared" si="2360"/>
        <v>302940</v>
      </c>
      <c r="M1807" s="328">
        <f t="shared" si="2360"/>
        <v>525</v>
      </c>
      <c r="N1807" s="345">
        <f t="shared" si="2358"/>
        <v>0.30346499999999998</v>
      </c>
      <c r="O1807" s="351">
        <f t="shared" si="2344"/>
        <v>1.7300182887647669E-3</v>
      </c>
    </row>
    <row r="1808" spans="1:15" ht="23.4" x14ac:dyDescent="0.3">
      <c r="A1808" s="277" t="s">
        <v>111</v>
      </c>
      <c r="B1808" s="922" t="s">
        <v>23</v>
      </c>
      <c r="C1808" s="302" t="s">
        <v>348</v>
      </c>
      <c r="D1808" s="302" t="s">
        <v>263</v>
      </c>
      <c r="E1808" s="273">
        <v>0</v>
      </c>
      <c r="F1808" s="274"/>
      <c r="G1808" s="338">
        <f t="shared" ref="G1808:G1815" si="2361">+H1808+I1808</f>
        <v>0</v>
      </c>
      <c r="H1808" s="275">
        <v>0</v>
      </c>
      <c r="I1808" s="275">
        <v>0</v>
      </c>
      <c r="J1808" s="357" t="str">
        <f>IFERROR(G1808/#REF!,"-")</f>
        <v>-</v>
      </c>
      <c r="K1808" s="338">
        <f t="shared" ref="K1808:K1815" si="2362">+L1808+M1808</f>
        <v>0</v>
      </c>
      <c r="L1808" s="275">
        <f t="shared" ref="L1808:L1815" si="2363">+H1808+L1704</f>
        <v>0</v>
      </c>
      <c r="M1808" s="276">
        <f t="shared" ref="M1808:M1815" si="2364">+I1808+M1704</f>
        <v>0</v>
      </c>
      <c r="N1808" s="342" t="str">
        <f t="shared" si="2358"/>
        <v>-</v>
      </c>
      <c r="O1808" s="352" t="str">
        <f t="shared" si="2344"/>
        <v>-</v>
      </c>
    </row>
    <row r="1809" spans="1:15" ht="23.4" x14ac:dyDescent="0.3">
      <c r="A1809" s="277" t="s">
        <v>111</v>
      </c>
      <c r="B1809" s="923"/>
      <c r="C1809" s="278" t="s">
        <v>24</v>
      </c>
      <c r="D1809" s="278" t="s">
        <v>263</v>
      </c>
      <c r="E1809" s="279">
        <v>0</v>
      </c>
      <c r="F1809" s="280"/>
      <c r="G1809" s="339">
        <f t="shared" si="2361"/>
        <v>0</v>
      </c>
      <c r="H1809" s="281">
        <v>0</v>
      </c>
      <c r="I1809" s="281">
        <v>0</v>
      </c>
      <c r="J1809" s="358" t="str">
        <f>IFERROR(G1809/#REF!,"-")</f>
        <v>-</v>
      </c>
      <c r="K1809" s="339">
        <f t="shared" si="2362"/>
        <v>113483</v>
      </c>
      <c r="L1809" s="281">
        <f t="shared" si="2363"/>
        <v>112404</v>
      </c>
      <c r="M1809" s="251">
        <f t="shared" si="2364"/>
        <v>1079</v>
      </c>
      <c r="N1809" s="343" t="str">
        <f t="shared" si="2358"/>
        <v>-</v>
      </c>
      <c r="O1809" s="264">
        <f t="shared" si="2344"/>
        <v>9.508032040041239E-3</v>
      </c>
    </row>
    <row r="1810" spans="1:15" ht="23.4" x14ac:dyDescent="0.3">
      <c r="A1810" s="277" t="s">
        <v>111</v>
      </c>
      <c r="B1810" s="923"/>
      <c r="C1810" s="278" t="s">
        <v>261</v>
      </c>
      <c r="D1810" s="278" t="s">
        <v>263</v>
      </c>
      <c r="E1810" s="279">
        <v>0</v>
      </c>
      <c r="F1810" s="280"/>
      <c r="G1810" s="339">
        <f t="shared" si="2361"/>
        <v>0</v>
      </c>
      <c r="H1810" s="281">
        <v>0</v>
      </c>
      <c r="I1810" s="281">
        <v>0</v>
      </c>
      <c r="J1810" s="358" t="str">
        <f>IFERROR(G1810/#REF!,"-")</f>
        <v>-</v>
      </c>
      <c r="K1810" s="339">
        <f t="shared" si="2362"/>
        <v>11048</v>
      </c>
      <c r="L1810" s="281">
        <f t="shared" si="2363"/>
        <v>10901</v>
      </c>
      <c r="M1810" s="251">
        <f t="shared" si="2364"/>
        <v>147</v>
      </c>
      <c r="N1810" s="343" t="str">
        <f t="shared" si="2358"/>
        <v>-</v>
      </c>
      <c r="O1810" s="264">
        <f t="shared" si="2344"/>
        <v>1.330557566980449E-2</v>
      </c>
    </row>
    <row r="1811" spans="1:15" ht="23.4" x14ac:dyDescent="0.3">
      <c r="A1811" s="277" t="s">
        <v>111</v>
      </c>
      <c r="B1811" s="923"/>
      <c r="C1811" s="278" t="s">
        <v>262</v>
      </c>
      <c r="D1811" s="278" t="s">
        <v>263</v>
      </c>
      <c r="E1811" s="279">
        <v>0</v>
      </c>
      <c r="F1811" s="280"/>
      <c r="G1811" s="339">
        <f t="shared" si="2361"/>
        <v>0</v>
      </c>
      <c r="H1811" s="281">
        <v>0</v>
      </c>
      <c r="I1811" s="281">
        <v>0</v>
      </c>
      <c r="J1811" s="358" t="str">
        <f>IFERROR(G1811/#REF!,"-")</f>
        <v>-</v>
      </c>
      <c r="K1811" s="339">
        <f t="shared" si="2362"/>
        <v>7672</v>
      </c>
      <c r="L1811" s="281">
        <f t="shared" si="2363"/>
        <v>7612</v>
      </c>
      <c r="M1811" s="251">
        <f t="shared" si="2364"/>
        <v>60</v>
      </c>
      <c r="N1811" s="343" t="str">
        <f t="shared" si="2358"/>
        <v>-</v>
      </c>
      <c r="O1811" s="264">
        <f t="shared" si="2344"/>
        <v>7.8206465067778945E-3</v>
      </c>
    </row>
    <row r="1812" spans="1:15" ht="23.4" x14ac:dyDescent="0.3">
      <c r="A1812" s="277" t="s">
        <v>111</v>
      </c>
      <c r="B1812" s="923"/>
      <c r="C1812" s="301" t="s">
        <v>264</v>
      </c>
      <c r="D1812" s="278" t="s">
        <v>263</v>
      </c>
      <c r="E1812" s="279">
        <v>0</v>
      </c>
      <c r="F1812" s="280"/>
      <c r="G1812" s="339">
        <f t="shared" si="2361"/>
        <v>0</v>
      </c>
      <c r="H1812" s="281">
        <v>0</v>
      </c>
      <c r="I1812" s="281">
        <v>0</v>
      </c>
      <c r="J1812" s="358" t="str">
        <f>IFERROR(G1812/#REF!,"-")</f>
        <v>-</v>
      </c>
      <c r="K1812" s="339">
        <f t="shared" si="2362"/>
        <v>0</v>
      </c>
      <c r="L1812" s="281">
        <f t="shared" si="2363"/>
        <v>0</v>
      </c>
      <c r="M1812" s="251">
        <f t="shared" si="2364"/>
        <v>0</v>
      </c>
      <c r="N1812" s="343" t="str">
        <f t="shared" si="2358"/>
        <v>-</v>
      </c>
      <c r="O1812" s="264" t="str">
        <f t="shared" si="2344"/>
        <v>-</v>
      </c>
    </row>
    <row r="1813" spans="1:15" ht="23.4" x14ac:dyDescent="0.3">
      <c r="A1813" s="277" t="s">
        <v>111</v>
      </c>
      <c r="B1813" s="923"/>
      <c r="C1813" s="301" t="s">
        <v>265</v>
      </c>
      <c r="D1813" s="278" t="s">
        <v>263</v>
      </c>
      <c r="E1813" s="279">
        <v>0</v>
      </c>
      <c r="F1813" s="280"/>
      <c r="G1813" s="339">
        <f t="shared" si="2361"/>
        <v>0</v>
      </c>
      <c r="H1813" s="281">
        <v>0</v>
      </c>
      <c r="I1813" s="281">
        <v>0</v>
      </c>
      <c r="J1813" s="358" t="str">
        <f>IFERROR(G1813/#REF!,"-")</f>
        <v>-</v>
      </c>
      <c r="K1813" s="339">
        <f t="shared" si="2362"/>
        <v>0</v>
      </c>
      <c r="L1813" s="281">
        <f t="shared" si="2363"/>
        <v>0</v>
      </c>
      <c r="M1813" s="251">
        <f t="shared" si="2364"/>
        <v>0</v>
      </c>
      <c r="N1813" s="343" t="str">
        <f t="shared" si="2358"/>
        <v>-</v>
      </c>
      <c r="O1813" s="264" t="str">
        <f t="shared" si="2344"/>
        <v>-</v>
      </c>
    </row>
    <row r="1814" spans="1:15" ht="23.4" x14ac:dyDescent="0.3">
      <c r="A1814" s="277" t="s">
        <v>111</v>
      </c>
      <c r="B1814" s="923"/>
      <c r="C1814" s="301" t="s">
        <v>266</v>
      </c>
      <c r="D1814" s="278" t="s">
        <v>268</v>
      </c>
      <c r="E1814" s="279">
        <v>0</v>
      </c>
      <c r="F1814" s="280"/>
      <c r="G1814" s="339">
        <f t="shared" si="2361"/>
        <v>0</v>
      </c>
      <c r="H1814" s="281">
        <v>0</v>
      </c>
      <c r="I1814" s="281">
        <v>0</v>
      </c>
      <c r="J1814" s="358" t="str">
        <f>IFERROR(G1814/#REF!,"-")</f>
        <v>-</v>
      </c>
      <c r="K1814" s="339">
        <f t="shared" si="2362"/>
        <v>10464</v>
      </c>
      <c r="L1814" s="281">
        <f t="shared" si="2363"/>
        <v>10417</v>
      </c>
      <c r="M1814" s="251">
        <f t="shared" si="2364"/>
        <v>47</v>
      </c>
      <c r="N1814" s="343" t="str">
        <f t="shared" si="2358"/>
        <v>-</v>
      </c>
      <c r="O1814" s="264">
        <f t="shared" si="2344"/>
        <v>4.491590214067278E-3</v>
      </c>
    </row>
    <row r="1815" spans="1:15" ht="24" thickBot="1" x14ac:dyDescent="0.35">
      <c r="A1815" s="277" t="s">
        <v>111</v>
      </c>
      <c r="B1815" s="924"/>
      <c r="C1815" s="301" t="s">
        <v>267</v>
      </c>
      <c r="D1815" s="278" t="s">
        <v>263</v>
      </c>
      <c r="E1815" s="283">
        <v>0</v>
      </c>
      <c r="F1815" s="284"/>
      <c r="G1815" s="340">
        <f t="shared" si="2361"/>
        <v>0</v>
      </c>
      <c r="H1815" s="285">
        <v>0</v>
      </c>
      <c r="I1815" s="285">
        <v>0</v>
      </c>
      <c r="J1815" s="359" t="str">
        <f>IFERROR(G1815/#REF!,"-")</f>
        <v>-</v>
      </c>
      <c r="K1815" s="340">
        <f t="shared" si="2362"/>
        <v>14088</v>
      </c>
      <c r="L1815" s="285">
        <f t="shared" si="2363"/>
        <v>14000</v>
      </c>
      <c r="M1815" s="286">
        <f t="shared" si="2364"/>
        <v>88</v>
      </c>
      <c r="N1815" s="344" t="str">
        <f t="shared" si="2358"/>
        <v>-</v>
      </c>
      <c r="O1815" s="353">
        <f t="shared" si="2344"/>
        <v>6.2464508801817146E-3</v>
      </c>
    </row>
    <row r="1816" spans="1:15" ht="24" thickBot="1" x14ac:dyDescent="0.35">
      <c r="A1816" s="277" t="s">
        <v>111</v>
      </c>
      <c r="B1816" s="906" t="s">
        <v>52</v>
      </c>
      <c r="C1816" s="907"/>
      <c r="D1816" s="908"/>
      <c r="E1816" s="288">
        <v>157500</v>
      </c>
      <c r="F1816" s="289">
        <v>14000</v>
      </c>
      <c r="G1816" s="326">
        <f>SUM(G1808:G1815)</f>
        <v>0</v>
      </c>
      <c r="H1816" s="327">
        <f t="shared" ref="H1816:I1816" si="2365">SUM(H1808:H1815)</f>
        <v>0</v>
      </c>
      <c r="I1816" s="327">
        <f t="shared" si="2365"/>
        <v>0</v>
      </c>
      <c r="J1816" s="351" t="str">
        <f>IFERROR(G1816/#REF!,"-")</f>
        <v>-</v>
      </c>
      <c r="K1816" s="326">
        <f>SUM(K1808:K1815)</f>
        <v>156755</v>
      </c>
      <c r="L1816" s="327">
        <f t="shared" ref="L1816:M1816" si="2366">SUM(L1808:L1815)</f>
        <v>155334</v>
      </c>
      <c r="M1816" s="328">
        <f t="shared" si="2366"/>
        <v>1421</v>
      </c>
      <c r="N1816" s="345">
        <f t="shared" si="2358"/>
        <v>0.9952698412698413</v>
      </c>
      <c r="O1816" s="351">
        <f t="shared" si="2344"/>
        <v>9.0651015916557685E-3</v>
      </c>
    </row>
    <row r="1817" spans="1:15" ht="24" thickBot="1" x14ac:dyDescent="0.35">
      <c r="A1817" s="277" t="s">
        <v>111</v>
      </c>
      <c r="B1817" s="926" t="s">
        <v>25</v>
      </c>
      <c r="C1817" s="927"/>
      <c r="D1817" s="928"/>
      <c r="E1817" s="332">
        <f t="shared" ref="E1817:F1817" si="2367">+E1807+E1816</f>
        <v>1157500</v>
      </c>
      <c r="F1817" s="333">
        <f t="shared" si="2367"/>
        <v>94000</v>
      </c>
      <c r="G1817" s="332">
        <f>+G1807+G1816</f>
        <v>51592</v>
      </c>
      <c r="H1817" s="330">
        <f t="shared" ref="H1817:I1817" si="2368">+H1807+H1816</f>
        <v>51480</v>
      </c>
      <c r="I1817" s="330">
        <f t="shared" si="2368"/>
        <v>112</v>
      </c>
      <c r="J1817" s="355" t="str">
        <f>IFERROR(G1817/#REF!,"-")</f>
        <v>-</v>
      </c>
      <c r="K1817" s="332">
        <f t="shared" ref="K1817" si="2369">+K1807+K1816</f>
        <v>460220</v>
      </c>
      <c r="L1817" s="330">
        <f>+L1807+L1816</f>
        <v>458274</v>
      </c>
      <c r="M1817" s="331">
        <f t="shared" ref="M1817" si="2370">+M1807+M1816</f>
        <v>1946</v>
      </c>
      <c r="N1817" s="347">
        <f t="shared" si="2358"/>
        <v>0.39759827213822896</v>
      </c>
      <c r="O1817" s="355">
        <f t="shared" si="2344"/>
        <v>4.228412498370345E-3</v>
      </c>
    </row>
    <row r="1818" spans="1:15" ht="24" thickBot="1" x14ac:dyDescent="0.35">
      <c r="A1818" s="277" t="s">
        <v>111</v>
      </c>
      <c r="B1818" s="900" t="s">
        <v>181</v>
      </c>
      <c r="C1818" s="901"/>
      <c r="D1818" s="902"/>
      <c r="E1818" s="336">
        <f>+E1802+E1817</f>
        <v>6932100</v>
      </c>
      <c r="F1818" s="337">
        <f t="shared" ref="F1818:I1818" si="2371">+F1802+F1817</f>
        <v>449000</v>
      </c>
      <c r="G1818" s="336">
        <f t="shared" si="2371"/>
        <v>272246</v>
      </c>
      <c r="H1818" s="334">
        <f t="shared" si="2371"/>
        <v>339384</v>
      </c>
      <c r="I1818" s="334">
        <f t="shared" si="2371"/>
        <v>684</v>
      </c>
      <c r="J1818" s="356" t="str">
        <f>IFERROR(G1818/#REF!,"-")</f>
        <v>-</v>
      </c>
      <c r="K1818" s="336">
        <f>+K1802+K1817</f>
        <v>3012172</v>
      </c>
      <c r="L1818" s="334">
        <f t="shared" ref="L1818:M1818" si="2372">+L1802+L1817</f>
        <v>3000045</v>
      </c>
      <c r="M1818" s="335">
        <f t="shared" si="2372"/>
        <v>12127</v>
      </c>
      <c r="N1818" s="348">
        <f>IFERROR(K1818/E1818,"-")</f>
        <v>0.4345251799598967</v>
      </c>
      <c r="O1818" s="356">
        <f t="shared" si="2344"/>
        <v>4.0259985153570247E-3</v>
      </c>
    </row>
    <row r="1819" spans="1:15" ht="23.4" x14ac:dyDescent="0.3">
      <c r="A1819" s="271" t="s">
        <v>109</v>
      </c>
      <c r="B1819" s="929" t="s">
        <v>26</v>
      </c>
      <c r="C1819" s="303" t="s">
        <v>334</v>
      </c>
      <c r="D1819" s="303" t="s">
        <v>192</v>
      </c>
      <c r="E1819" s="273">
        <v>0</v>
      </c>
      <c r="F1819" s="274"/>
      <c r="G1819" s="338">
        <f t="shared" ref="G1819:G1827" si="2373">+H1819+I1819</f>
        <v>0</v>
      </c>
      <c r="H1819" s="275">
        <v>0</v>
      </c>
      <c r="I1819" s="275">
        <v>0</v>
      </c>
      <c r="J1819" s="357" t="str">
        <f>IFERROR(G1819/#REF!,"-")</f>
        <v>-</v>
      </c>
      <c r="K1819" s="338">
        <f t="shared" ref="K1819:K1827" si="2374">+L1819+M1819</f>
        <v>326708</v>
      </c>
      <c r="L1819" s="275">
        <f t="shared" ref="L1819:L1827" si="2375">+H1819+L1715</f>
        <v>322218</v>
      </c>
      <c r="M1819" s="276">
        <f t="shared" ref="M1819:M1827" si="2376">+I1819+M1715</f>
        <v>4490</v>
      </c>
      <c r="N1819" s="342" t="str">
        <f t="shared" ref="N1819:N1820" si="2377">IFERROR(K1819/E1819,"-")</f>
        <v>-</v>
      </c>
      <c r="O1819" s="352">
        <f t="shared" si="2344"/>
        <v>1.3743159028857574E-2</v>
      </c>
    </row>
    <row r="1820" spans="1:15" ht="23.4" x14ac:dyDescent="0.3">
      <c r="A1820" s="277" t="s">
        <v>109</v>
      </c>
      <c r="B1820" s="929"/>
      <c r="C1820" s="304" t="s">
        <v>199</v>
      </c>
      <c r="D1820" s="304" t="s">
        <v>115</v>
      </c>
      <c r="E1820" s="279">
        <v>0</v>
      </c>
      <c r="F1820" s="280"/>
      <c r="G1820" s="339">
        <f t="shared" si="2373"/>
        <v>0</v>
      </c>
      <c r="H1820" s="281">
        <v>0</v>
      </c>
      <c r="I1820" s="281">
        <v>0</v>
      </c>
      <c r="J1820" s="358" t="str">
        <f>IFERROR(G1820/#REF!,"-")</f>
        <v>-</v>
      </c>
      <c r="K1820" s="339">
        <f t="shared" si="2374"/>
        <v>0</v>
      </c>
      <c r="L1820" s="281">
        <f t="shared" si="2375"/>
        <v>0</v>
      </c>
      <c r="M1820" s="251">
        <f t="shared" si="2376"/>
        <v>0</v>
      </c>
      <c r="N1820" s="343" t="str">
        <f t="shared" si="2377"/>
        <v>-</v>
      </c>
      <c r="O1820" s="264" t="str">
        <f t="shared" si="2344"/>
        <v>-</v>
      </c>
    </row>
    <row r="1821" spans="1:15" ht="23.4" x14ac:dyDescent="0.3">
      <c r="A1821" s="277" t="s">
        <v>109</v>
      </c>
      <c r="B1821" s="929"/>
      <c r="C1821" s="305" t="s">
        <v>27</v>
      </c>
      <c r="D1821" s="305" t="s">
        <v>394</v>
      </c>
      <c r="E1821" s="283">
        <v>0</v>
      </c>
      <c r="F1821" s="284"/>
      <c r="G1821" s="339">
        <f t="shared" si="2373"/>
        <v>3978</v>
      </c>
      <c r="H1821" s="285">
        <v>3978</v>
      </c>
      <c r="I1821" s="285">
        <v>0</v>
      </c>
      <c r="J1821" s="359" t="str">
        <f>IFERROR(G1821/#REF!,"-")</f>
        <v>-</v>
      </c>
      <c r="K1821" s="339">
        <f t="shared" si="2374"/>
        <v>20305</v>
      </c>
      <c r="L1821" s="285">
        <f t="shared" si="2375"/>
        <v>19890</v>
      </c>
      <c r="M1821" s="286">
        <f t="shared" si="2376"/>
        <v>415</v>
      </c>
      <c r="N1821" s="287"/>
      <c r="O1821" s="264">
        <f t="shared" si="2344"/>
        <v>2.0438315685791675E-2</v>
      </c>
    </row>
    <row r="1822" spans="1:15" ht="23.4" x14ac:dyDescent="0.3">
      <c r="A1822" s="277" t="s">
        <v>109</v>
      </c>
      <c r="B1822" s="929"/>
      <c r="C1822" s="305" t="s">
        <v>27</v>
      </c>
      <c r="D1822" s="305" t="s">
        <v>259</v>
      </c>
      <c r="E1822" s="283">
        <v>0</v>
      </c>
      <c r="F1822" s="284"/>
      <c r="G1822" s="339">
        <f t="shared" si="2373"/>
        <v>20340</v>
      </c>
      <c r="H1822" s="285">
        <v>19890</v>
      </c>
      <c r="I1822" s="285">
        <v>450</v>
      </c>
      <c r="J1822" s="359" t="str">
        <f>IFERROR(G1822/#REF!,"-")</f>
        <v>-</v>
      </c>
      <c r="K1822" s="339">
        <f t="shared" si="2374"/>
        <v>48801</v>
      </c>
      <c r="L1822" s="285">
        <f t="shared" si="2375"/>
        <v>47736</v>
      </c>
      <c r="M1822" s="286">
        <f t="shared" si="2376"/>
        <v>1065</v>
      </c>
      <c r="N1822" s="287"/>
      <c r="O1822" s="264">
        <f t="shared" si="2344"/>
        <v>2.1823323292555482E-2</v>
      </c>
    </row>
    <row r="1823" spans="1:15" ht="23.4" x14ac:dyDescent="0.3">
      <c r="A1823" s="277" t="s">
        <v>109</v>
      </c>
      <c r="B1823" s="929"/>
      <c r="C1823" s="305" t="s">
        <v>27</v>
      </c>
      <c r="D1823" s="305" t="s">
        <v>310</v>
      </c>
      <c r="E1823" s="283">
        <v>0</v>
      </c>
      <c r="F1823" s="284"/>
      <c r="G1823" s="339">
        <f t="shared" si="2373"/>
        <v>8433</v>
      </c>
      <c r="H1823" s="285">
        <v>7956</v>
      </c>
      <c r="I1823" s="285">
        <v>477</v>
      </c>
      <c r="J1823" s="359" t="str">
        <f>IFERROR(G1823/#REF!,"-")</f>
        <v>-</v>
      </c>
      <c r="K1823" s="339">
        <f t="shared" si="2374"/>
        <v>8433</v>
      </c>
      <c r="L1823" s="285">
        <f t="shared" si="2375"/>
        <v>7956</v>
      </c>
      <c r="M1823" s="286">
        <f t="shared" si="2376"/>
        <v>477</v>
      </c>
      <c r="N1823" s="287"/>
      <c r="O1823" s="264">
        <f t="shared" si="2344"/>
        <v>5.656350053361793E-2</v>
      </c>
    </row>
    <row r="1824" spans="1:15" ht="23.4" x14ac:dyDescent="0.3">
      <c r="A1824" s="277"/>
      <c r="B1824" s="929"/>
      <c r="C1824" s="305" t="s">
        <v>393</v>
      </c>
      <c r="D1824" s="305" t="s">
        <v>192</v>
      </c>
      <c r="E1824" s="283">
        <v>0</v>
      </c>
      <c r="F1824" s="284"/>
      <c r="G1824" s="340">
        <f t="shared" si="2373"/>
        <v>0</v>
      </c>
      <c r="H1824" s="285">
        <v>0</v>
      </c>
      <c r="I1824" s="285">
        <v>0</v>
      </c>
      <c r="J1824" s="359" t="str">
        <f>IFERROR(G1824/#REF!,"-")</f>
        <v>-</v>
      </c>
      <c r="K1824" s="340">
        <f t="shared" si="2374"/>
        <v>0</v>
      </c>
      <c r="L1824" s="285">
        <f t="shared" si="2375"/>
        <v>0</v>
      </c>
      <c r="M1824" s="286">
        <f t="shared" si="2376"/>
        <v>0</v>
      </c>
      <c r="N1824" s="287"/>
      <c r="O1824" s="264" t="str">
        <f t="shared" si="2344"/>
        <v>-</v>
      </c>
    </row>
    <row r="1825" spans="1:15" ht="23.4" x14ac:dyDescent="0.3">
      <c r="A1825" s="277"/>
      <c r="B1825" s="929"/>
      <c r="C1825" s="305" t="s">
        <v>325</v>
      </c>
      <c r="D1825" s="305" t="s">
        <v>101</v>
      </c>
      <c r="E1825" s="283">
        <v>0</v>
      </c>
      <c r="F1825" s="284"/>
      <c r="G1825" s="340">
        <f t="shared" si="2373"/>
        <v>3978</v>
      </c>
      <c r="H1825" s="285">
        <v>3978</v>
      </c>
      <c r="I1825" s="285">
        <v>0</v>
      </c>
      <c r="J1825" s="359" t="str">
        <f>IFERROR(G1825/#REF!,"-")</f>
        <v>-</v>
      </c>
      <c r="K1825" s="340">
        <f t="shared" si="2374"/>
        <v>7956</v>
      </c>
      <c r="L1825" s="285">
        <f t="shared" si="2375"/>
        <v>7956</v>
      </c>
      <c r="M1825" s="286">
        <f t="shared" si="2376"/>
        <v>0</v>
      </c>
      <c r="N1825" s="287"/>
      <c r="O1825" s="264">
        <f t="shared" si="2344"/>
        <v>0</v>
      </c>
    </row>
    <row r="1826" spans="1:15" ht="23.4" x14ac:dyDescent="0.3">
      <c r="A1826" s="277"/>
      <c r="B1826" s="929"/>
      <c r="C1826" s="305" t="s">
        <v>325</v>
      </c>
      <c r="D1826" s="305" t="s">
        <v>394</v>
      </c>
      <c r="E1826" s="283">
        <v>0</v>
      </c>
      <c r="F1826" s="284"/>
      <c r="G1826" s="340">
        <f t="shared" si="2373"/>
        <v>0</v>
      </c>
      <c r="H1826" s="285">
        <v>0</v>
      </c>
      <c r="I1826" s="285">
        <v>0</v>
      </c>
      <c r="J1826" s="359" t="str">
        <f>IFERROR(G1826/#REF!,"-")</f>
        <v>-</v>
      </c>
      <c r="K1826" s="340">
        <f t="shared" si="2374"/>
        <v>720648</v>
      </c>
      <c r="L1826" s="285">
        <f t="shared" si="2375"/>
        <v>712062</v>
      </c>
      <c r="M1826" s="286">
        <f t="shared" si="2376"/>
        <v>8586</v>
      </c>
      <c r="N1826" s="287"/>
      <c r="O1826" s="264">
        <f t="shared" si="2344"/>
        <v>1.1914277150564492E-2</v>
      </c>
    </row>
    <row r="1827" spans="1:15" ht="24" thickBot="1" x14ac:dyDescent="0.35">
      <c r="A1827" s="277" t="s">
        <v>109</v>
      </c>
      <c r="B1827" s="929"/>
      <c r="C1827" s="306" t="s">
        <v>326</v>
      </c>
      <c r="D1827" s="305" t="s">
        <v>324</v>
      </c>
      <c r="E1827" s="283">
        <v>0</v>
      </c>
      <c r="F1827" s="284"/>
      <c r="G1827" s="340">
        <f t="shared" si="2373"/>
        <v>0</v>
      </c>
      <c r="H1827" s="285">
        <v>0</v>
      </c>
      <c r="I1827" s="285">
        <v>0</v>
      </c>
      <c r="J1827" s="359" t="str">
        <f>IFERROR(G1827/#REF!,"-")</f>
        <v>-</v>
      </c>
      <c r="K1827" s="340">
        <f t="shared" si="2374"/>
        <v>7956</v>
      </c>
      <c r="L1827" s="285">
        <f t="shared" si="2375"/>
        <v>7956</v>
      </c>
      <c r="M1827" s="286">
        <f t="shared" si="2376"/>
        <v>0</v>
      </c>
      <c r="N1827" s="344" t="str">
        <f t="shared" ref="N1827:N1832" si="2378">IFERROR(K1827/E1827,"-")</f>
        <v>-</v>
      </c>
      <c r="O1827" s="353">
        <f t="shared" si="2344"/>
        <v>0</v>
      </c>
    </row>
    <row r="1828" spans="1:15" ht="24" thickBot="1" x14ac:dyDescent="0.35">
      <c r="A1828" s="277" t="s">
        <v>109</v>
      </c>
      <c r="B1828" s="930"/>
      <c r="C1828" s="307"/>
      <c r="D1828" s="308" t="s">
        <v>55</v>
      </c>
      <c r="E1828" s="288">
        <v>0</v>
      </c>
      <c r="F1828" s="289"/>
      <c r="G1828" s="326">
        <f>SUM(G1819:G1827)</f>
        <v>36729</v>
      </c>
      <c r="H1828" s="327">
        <f>SUM(H1819:H1827)</f>
        <v>35802</v>
      </c>
      <c r="I1828" s="327">
        <f>SUM(I1819:I1827)</f>
        <v>927</v>
      </c>
      <c r="J1828" s="351" t="str">
        <f>IFERROR(G1828/#REF!,"-")</f>
        <v>-</v>
      </c>
      <c r="K1828" s="326">
        <f>SUM(K1819:K1827)</f>
        <v>1140807</v>
      </c>
      <c r="L1828" s="327">
        <f>SUM(L1819:L1827)</f>
        <v>1125774</v>
      </c>
      <c r="M1828" s="328">
        <f>SUM(M1819:M1827)</f>
        <v>15033</v>
      </c>
      <c r="N1828" s="345" t="str">
        <f t="shared" si="2378"/>
        <v>-</v>
      </c>
      <c r="O1828" s="351">
        <f t="shared" si="2344"/>
        <v>1.3177513812590561E-2</v>
      </c>
    </row>
    <row r="1829" spans="1:15" ht="23.4" x14ac:dyDescent="0.3">
      <c r="A1829" s="277" t="s">
        <v>109</v>
      </c>
      <c r="B1829" s="931" t="s">
        <v>28</v>
      </c>
      <c r="C1829" s="305" t="s">
        <v>27</v>
      </c>
      <c r="D1829" s="303" t="s">
        <v>310</v>
      </c>
      <c r="E1829" s="273">
        <v>0</v>
      </c>
      <c r="F1829" s="274"/>
      <c r="G1829" s="338">
        <f t="shared" ref="G1829:G1831" si="2379">+H1829+I1829</f>
        <v>108450</v>
      </c>
      <c r="H1829" s="275">
        <v>107406</v>
      </c>
      <c r="I1829" s="275">
        <v>1044</v>
      </c>
      <c r="J1829" s="357" t="str">
        <f>IFERROR(G1829/#REF!,"-")</f>
        <v>-</v>
      </c>
      <c r="K1829" s="338">
        <f t="shared" ref="K1829:K1831" si="2380">+L1829+M1829</f>
        <v>108450</v>
      </c>
      <c r="L1829" s="275">
        <f t="shared" ref="L1829:L1831" si="2381">+H1829+L1725</f>
        <v>107406</v>
      </c>
      <c r="M1829" s="276">
        <f t="shared" ref="M1829:M1831" si="2382">+I1829+M1725</f>
        <v>1044</v>
      </c>
      <c r="N1829" s="342" t="str">
        <f t="shared" si="2378"/>
        <v>-</v>
      </c>
      <c r="O1829" s="352">
        <f t="shared" si="2344"/>
        <v>9.6265560165975112E-3</v>
      </c>
    </row>
    <row r="1830" spans="1:15" ht="23.4" x14ac:dyDescent="0.3">
      <c r="A1830" s="277" t="s">
        <v>109</v>
      </c>
      <c r="B1830" s="929"/>
      <c r="C1830" s="305" t="s">
        <v>27</v>
      </c>
      <c r="D1830" s="305" t="s">
        <v>394</v>
      </c>
      <c r="E1830" s="279">
        <v>0</v>
      </c>
      <c r="F1830" s="280"/>
      <c r="G1830" s="339">
        <f t="shared" si="2379"/>
        <v>0</v>
      </c>
      <c r="H1830" s="281">
        <v>0</v>
      </c>
      <c r="I1830" s="281">
        <v>0</v>
      </c>
      <c r="J1830" s="358" t="str">
        <f>IFERROR(G1830/#REF!,"-")</f>
        <v>-</v>
      </c>
      <c r="K1830" s="339">
        <f t="shared" si="2380"/>
        <v>309240</v>
      </c>
      <c r="L1830" s="281">
        <f t="shared" si="2381"/>
        <v>306306</v>
      </c>
      <c r="M1830" s="251">
        <f t="shared" si="2382"/>
        <v>2934</v>
      </c>
      <c r="N1830" s="343" t="str">
        <f t="shared" si="2378"/>
        <v>-</v>
      </c>
      <c r="O1830" s="264">
        <f t="shared" si="2344"/>
        <v>9.4877764842840519E-3</v>
      </c>
    </row>
    <row r="1831" spans="1:15" ht="24" thickBot="1" x14ac:dyDescent="0.35">
      <c r="A1831" s="277" t="s">
        <v>109</v>
      </c>
      <c r="B1831" s="929"/>
      <c r="C1831" s="305" t="s">
        <v>27</v>
      </c>
      <c r="D1831" s="306" t="s">
        <v>259</v>
      </c>
      <c r="E1831" s="283">
        <v>0</v>
      </c>
      <c r="F1831" s="284"/>
      <c r="G1831" s="340">
        <f t="shared" si="2379"/>
        <v>16134</v>
      </c>
      <c r="H1831" s="285">
        <v>15912</v>
      </c>
      <c r="I1831" s="285">
        <v>222</v>
      </c>
      <c r="J1831" s="359" t="str">
        <f>IFERROR(G1831/#REF!,"-")</f>
        <v>-</v>
      </c>
      <c r="K1831" s="340">
        <f t="shared" si="2380"/>
        <v>362785</v>
      </c>
      <c r="L1831" s="285">
        <f t="shared" si="2381"/>
        <v>358020</v>
      </c>
      <c r="M1831" s="286">
        <f t="shared" si="2382"/>
        <v>4765</v>
      </c>
      <c r="N1831" s="344" t="str">
        <f t="shared" si="2378"/>
        <v>-</v>
      </c>
      <c r="O1831" s="353">
        <f t="shared" si="2344"/>
        <v>1.3134501150819355E-2</v>
      </c>
    </row>
    <row r="1832" spans="1:15" ht="24" thickBot="1" x14ac:dyDescent="0.35">
      <c r="A1832" s="277" t="s">
        <v>109</v>
      </c>
      <c r="B1832" s="929"/>
      <c r="C1832" s="310"/>
      <c r="D1832" s="311" t="s">
        <v>55</v>
      </c>
      <c r="E1832" s="312">
        <v>0</v>
      </c>
      <c r="F1832" s="313"/>
      <c r="G1832" s="372">
        <f>SUM(G1829:G1831)</f>
        <v>124584</v>
      </c>
      <c r="H1832" s="371">
        <f t="shared" ref="H1832:I1832" si="2383">SUM(H1829:H1831)</f>
        <v>123318</v>
      </c>
      <c r="I1832" s="371">
        <f t="shared" si="2383"/>
        <v>1266</v>
      </c>
      <c r="J1832" s="362" t="str">
        <f>IFERROR(G1832/#REF!,"-")</f>
        <v>-</v>
      </c>
      <c r="K1832" s="372">
        <f>SUM(K1829:K1831)</f>
        <v>780475</v>
      </c>
      <c r="L1832" s="371">
        <f>SUM(L1829:L1831)</f>
        <v>771732</v>
      </c>
      <c r="M1832" s="373">
        <f t="shared" ref="M1832" si="2384">SUM(M1829:M1831)</f>
        <v>8743</v>
      </c>
      <c r="N1832" s="361" t="str">
        <f t="shared" si="2378"/>
        <v>-</v>
      </c>
      <c r="O1832" s="362">
        <f t="shared" si="2344"/>
        <v>1.1202152535315032E-2</v>
      </c>
    </row>
    <row r="1833" spans="1:15" ht="24" thickBot="1" x14ac:dyDescent="0.35">
      <c r="A1833" s="853" t="s">
        <v>109</v>
      </c>
      <c r="B1833" s="932" t="s">
        <v>171</v>
      </c>
      <c r="C1833" s="933"/>
      <c r="D1833" s="934"/>
      <c r="E1833" s="314">
        <v>2167000</v>
      </c>
      <c r="F1833" s="315">
        <v>80000</v>
      </c>
      <c r="G1833" s="375">
        <f>+G1828+G1832</f>
        <v>161313</v>
      </c>
      <c r="H1833" s="374">
        <f t="shared" ref="H1833:I1833" si="2385">+H1828+H1832</f>
        <v>159120</v>
      </c>
      <c r="I1833" s="374">
        <f t="shared" si="2385"/>
        <v>2193</v>
      </c>
      <c r="J1833" s="364" t="str">
        <f>IFERROR(G1833/#REF!,"-")</f>
        <v>-</v>
      </c>
      <c r="K1833" s="375">
        <f>+K1828+K1832</f>
        <v>1921282</v>
      </c>
      <c r="L1833" s="374">
        <f>+L1828+L1832</f>
        <v>1897506</v>
      </c>
      <c r="M1833" s="376">
        <f t="shared" ref="M1833" si="2386">+M1828+M1832</f>
        <v>23776</v>
      </c>
      <c r="N1833" s="363">
        <f>IFERROR(K1833/E1833,"-")</f>
        <v>0.88660913705583755</v>
      </c>
      <c r="O1833" s="364">
        <f t="shared" si="2344"/>
        <v>1.2375070395704535E-2</v>
      </c>
    </row>
    <row r="1834" spans="1:15" ht="23.4" x14ac:dyDescent="0.3">
      <c r="A1834" s="277" t="s">
        <v>109</v>
      </c>
      <c r="B1834" s="929" t="s">
        <v>30</v>
      </c>
      <c r="C1834" s="309" t="s">
        <v>396</v>
      </c>
      <c r="D1834" s="303" t="s">
        <v>193</v>
      </c>
      <c r="E1834" s="273">
        <v>0</v>
      </c>
      <c r="F1834" s="274"/>
      <c r="G1834" s="338">
        <f t="shared" ref="G1834:G1836" si="2387">+H1834+I1834</f>
        <v>0</v>
      </c>
      <c r="H1834" s="275">
        <v>0</v>
      </c>
      <c r="I1834" s="275">
        <v>0</v>
      </c>
      <c r="J1834" s="357" t="str">
        <f>IFERROR(G1834/#REF!,"-")</f>
        <v>-</v>
      </c>
      <c r="K1834" s="338">
        <f t="shared" ref="K1834:K1836" si="2388">+L1834+M1834</f>
        <v>0</v>
      </c>
      <c r="L1834" s="275">
        <f t="shared" ref="L1834:L1836" si="2389">+H1834+L1730</f>
        <v>0</v>
      </c>
      <c r="M1834" s="276">
        <f t="shared" ref="M1834:M1836" si="2390">+I1834+M1730</f>
        <v>0</v>
      </c>
      <c r="N1834" s="342" t="str">
        <f t="shared" ref="N1834:N1844" si="2391">IFERROR(K1834/E1834,"-")</f>
        <v>-</v>
      </c>
      <c r="O1834" s="352" t="str">
        <f t="shared" si="2344"/>
        <v>-</v>
      </c>
    </row>
    <row r="1835" spans="1:15" ht="23.4" x14ac:dyDescent="0.3">
      <c r="A1835" s="277" t="s">
        <v>109</v>
      </c>
      <c r="B1835" s="929"/>
      <c r="C1835" s="309" t="s">
        <v>395</v>
      </c>
      <c r="D1835" s="309" t="s">
        <v>324</v>
      </c>
      <c r="E1835" s="279">
        <v>0</v>
      </c>
      <c r="F1835" s="280"/>
      <c r="G1835" s="339">
        <f t="shared" si="2387"/>
        <v>0</v>
      </c>
      <c r="H1835" s="281">
        <v>0</v>
      </c>
      <c r="I1835" s="281">
        <v>0</v>
      </c>
      <c r="J1835" s="358" t="str">
        <f>IFERROR(G1835/#REF!,"-")</f>
        <v>-</v>
      </c>
      <c r="K1835" s="339">
        <f t="shared" si="2388"/>
        <v>0</v>
      </c>
      <c r="L1835" s="281">
        <f t="shared" si="2389"/>
        <v>0</v>
      </c>
      <c r="M1835" s="251">
        <f t="shared" si="2390"/>
        <v>0</v>
      </c>
      <c r="N1835" s="343" t="str">
        <f t="shared" si="2391"/>
        <v>-</v>
      </c>
      <c r="O1835" s="264" t="str">
        <f t="shared" si="2344"/>
        <v>-</v>
      </c>
    </row>
    <row r="1836" spans="1:15" ht="24" thickBot="1" x14ac:dyDescent="0.35">
      <c r="A1836" s="277" t="s">
        <v>109</v>
      </c>
      <c r="B1836" s="929"/>
      <c r="C1836" s="306" t="s">
        <v>327</v>
      </c>
      <c r="D1836" s="306"/>
      <c r="E1836" s="283">
        <v>0</v>
      </c>
      <c r="F1836" s="284"/>
      <c r="G1836" s="340">
        <f t="shared" si="2387"/>
        <v>0</v>
      </c>
      <c r="H1836" s="285">
        <v>0</v>
      </c>
      <c r="I1836" s="285">
        <v>0</v>
      </c>
      <c r="J1836" s="359" t="str">
        <f>IFERROR(G1836/#REF!,"-")</f>
        <v>-</v>
      </c>
      <c r="K1836" s="340">
        <f t="shared" si="2388"/>
        <v>53929</v>
      </c>
      <c r="L1836" s="285">
        <f t="shared" si="2389"/>
        <v>52416</v>
      </c>
      <c r="M1836" s="286">
        <f t="shared" si="2390"/>
        <v>1513</v>
      </c>
      <c r="N1836" s="344" t="str">
        <f t="shared" si="2391"/>
        <v>-</v>
      </c>
      <c r="O1836" s="353">
        <f t="shared" si="2344"/>
        <v>2.8055406182202525E-2</v>
      </c>
    </row>
    <row r="1837" spans="1:15" ht="24" thickBot="1" x14ac:dyDescent="0.35">
      <c r="A1837" s="277" t="s">
        <v>109</v>
      </c>
      <c r="B1837" s="929"/>
      <c r="C1837" s="307"/>
      <c r="D1837" s="308" t="s">
        <v>53</v>
      </c>
      <c r="E1837" s="288">
        <v>0</v>
      </c>
      <c r="F1837" s="289"/>
      <c r="G1837" s="326">
        <f>SUM(G1834:G1836)</f>
        <v>0</v>
      </c>
      <c r="H1837" s="327">
        <f t="shared" ref="H1837:I1837" si="2392">SUM(H1834:H1836)</f>
        <v>0</v>
      </c>
      <c r="I1837" s="327">
        <f t="shared" si="2392"/>
        <v>0</v>
      </c>
      <c r="J1837" s="351" t="str">
        <f>IFERROR(G1837/#REF!,"-")</f>
        <v>-</v>
      </c>
      <c r="K1837" s="326">
        <f t="shared" ref="K1837" si="2393">SUM(K1834:K1836)</f>
        <v>53929</v>
      </c>
      <c r="L1837" s="327">
        <f>SUM(L1834:L1836)</f>
        <v>52416</v>
      </c>
      <c r="M1837" s="328">
        <f t="shared" ref="M1837" si="2394">SUM(M1834:M1836)</f>
        <v>1513</v>
      </c>
      <c r="N1837" s="345" t="str">
        <f t="shared" si="2391"/>
        <v>-</v>
      </c>
      <c r="O1837" s="351">
        <f t="shared" si="2344"/>
        <v>2.8055406182202525E-2</v>
      </c>
    </row>
    <row r="1838" spans="1:15" ht="23.4" x14ac:dyDescent="0.3">
      <c r="A1838" s="277" t="s">
        <v>109</v>
      </c>
      <c r="B1838" s="929"/>
      <c r="C1838" s="303" t="s">
        <v>352</v>
      </c>
      <c r="D1838" s="303"/>
      <c r="E1838" s="273">
        <v>0</v>
      </c>
      <c r="F1838" s="274"/>
      <c r="G1838" s="338">
        <f t="shared" ref="G1838:G1840" si="2395">+H1838+I1838</f>
        <v>0</v>
      </c>
      <c r="H1838" s="275">
        <v>0</v>
      </c>
      <c r="I1838" s="275">
        <v>0</v>
      </c>
      <c r="J1838" s="357" t="str">
        <f>IFERROR(G1838/#REF!,"-")</f>
        <v>-</v>
      </c>
      <c r="K1838" s="338">
        <f t="shared" ref="K1838:K1840" si="2396">+L1838+M1838</f>
        <v>0</v>
      </c>
      <c r="L1838" s="275">
        <f t="shared" ref="L1838:L1840" si="2397">+H1838+L1734</f>
        <v>0</v>
      </c>
      <c r="M1838" s="276">
        <f t="shared" ref="M1838:M1840" si="2398">+I1838+M1734</f>
        <v>0</v>
      </c>
      <c r="N1838" s="342" t="str">
        <f t="shared" si="2391"/>
        <v>-</v>
      </c>
      <c r="O1838" s="352" t="str">
        <f t="shared" si="2344"/>
        <v>-</v>
      </c>
    </row>
    <row r="1839" spans="1:15" ht="23.4" x14ac:dyDescent="0.3">
      <c r="A1839" s="277" t="s">
        <v>109</v>
      </c>
      <c r="B1839" s="929"/>
      <c r="C1839" s="309" t="s">
        <v>397</v>
      </c>
      <c r="D1839" s="309" t="s">
        <v>259</v>
      </c>
      <c r="E1839" s="279">
        <v>0</v>
      </c>
      <c r="F1839" s="280"/>
      <c r="G1839" s="339">
        <f t="shared" si="2395"/>
        <v>0</v>
      </c>
      <c r="H1839" s="281">
        <v>0</v>
      </c>
      <c r="I1839" s="281">
        <v>0</v>
      </c>
      <c r="J1839" s="358" t="str">
        <f>IFERROR(G1839/#REF!,"-")</f>
        <v>-</v>
      </c>
      <c r="K1839" s="339">
        <f t="shared" si="2396"/>
        <v>493341</v>
      </c>
      <c r="L1839" s="281">
        <f t="shared" si="2397"/>
        <v>481104</v>
      </c>
      <c r="M1839" s="251">
        <f t="shared" si="2398"/>
        <v>12237</v>
      </c>
      <c r="N1839" s="343" t="str">
        <f t="shared" si="2391"/>
        <v>-</v>
      </c>
      <c r="O1839" s="264">
        <f t="shared" si="2344"/>
        <v>2.4804344256812227E-2</v>
      </c>
    </row>
    <row r="1840" spans="1:15" ht="24" thickBot="1" x14ac:dyDescent="0.35">
      <c r="A1840" s="277" t="s">
        <v>109</v>
      </c>
      <c r="B1840" s="929"/>
      <c r="C1840" s="306" t="s">
        <v>146</v>
      </c>
      <c r="D1840" s="306"/>
      <c r="E1840" s="283">
        <v>0</v>
      </c>
      <c r="F1840" s="284"/>
      <c r="G1840" s="340">
        <f t="shared" si="2395"/>
        <v>0</v>
      </c>
      <c r="H1840" s="285">
        <v>0</v>
      </c>
      <c r="I1840" s="285">
        <v>0</v>
      </c>
      <c r="J1840" s="359" t="str">
        <f>IFERROR(G1840/#REF!,"-")</f>
        <v>-</v>
      </c>
      <c r="K1840" s="340">
        <f t="shared" si="2396"/>
        <v>0</v>
      </c>
      <c r="L1840" s="285">
        <f t="shared" si="2397"/>
        <v>0</v>
      </c>
      <c r="M1840" s="286">
        <f t="shared" si="2398"/>
        <v>0</v>
      </c>
      <c r="N1840" s="344" t="str">
        <f t="shared" si="2391"/>
        <v>-</v>
      </c>
      <c r="O1840" s="353" t="str">
        <f t="shared" si="2344"/>
        <v>-</v>
      </c>
    </row>
    <row r="1841" spans="1:15" ht="24" thickBot="1" x14ac:dyDescent="0.35">
      <c r="A1841" s="277" t="s">
        <v>109</v>
      </c>
      <c r="B1841" s="929"/>
      <c r="C1841" s="310"/>
      <c r="D1841" s="311" t="s">
        <v>54</v>
      </c>
      <c r="E1841" s="312">
        <v>0</v>
      </c>
      <c r="F1841" s="313"/>
      <c r="G1841" s="372">
        <f>SUM(G1838:G1840)</f>
        <v>0</v>
      </c>
      <c r="H1841" s="371">
        <f t="shared" ref="H1841:I1841" si="2399">SUM(H1838:H1840)</f>
        <v>0</v>
      </c>
      <c r="I1841" s="371">
        <f t="shared" si="2399"/>
        <v>0</v>
      </c>
      <c r="J1841" s="362" t="str">
        <f>IFERROR(G1841/#REF!,"-")</f>
        <v>-</v>
      </c>
      <c r="K1841" s="372">
        <f t="shared" ref="K1841:M1841" si="2400">SUM(K1838:K1840)</f>
        <v>493341</v>
      </c>
      <c r="L1841" s="371">
        <f t="shared" si="2400"/>
        <v>481104</v>
      </c>
      <c r="M1841" s="373">
        <f t="shared" si="2400"/>
        <v>12237</v>
      </c>
      <c r="N1841" s="361" t="str">
        <f t="shared" si="2391"/>
        <v>-</v>
      </c>
      <c r="O1841" s="362">
        <f t="shared" si="2344"/>
        <v>2.4804344256812227E-2</v>
      </c>
    </row>
    <row r="1842" spans="1:15" ht="24" thickBot="1" x14ac:dyDescent="0.35">
      <c r="A1842" s="277" t="s">
        <v>109</v>
      </c>
      <c r="B1842" s="932" t="s">
        <v>172</v>
      </c>
      <c r="C1842" s="933"/>
      <c r="D1842" s="934"/>
      <c r="E1842" s="314">
        <v>649600</v>
      </c>
      <c r="F1842" s="315">
        <v>50000</v>
      </c>
      <c r="G1842" s="375">
        <f>+G1837+G1841</f>
        <v>0</v>
      </c>
      <c r="H1842" s="374">
        <f t="shared" ref="H1842:I1842" si="2401">+H1837+H1841</f>
        <v>0</v>
      </c>
      <c r="I1842" s="374">
        <f t="shared" si="2401"/>
        <v>0</v>
      </c>
      <c r="J1842" s="364" t="str">
        <f>IFERROR(G1842/#REF!,"-")</f>
        <v>-</v>
      </c>
      <c r="K1842" s="375">
        <f t="shared" ref="K1842:M1842" si="2402">+K1837+K1841</f>
        <v>547270</v>
      </c>
      <c r="L1842" s="374">
        <f t="shared" si="2402"/>
        <v>533520</v>
      </c>
      <c r="M1842" s="376">
        <f t="shared" si="2402"/>
        <v>13750</v>
      </c>
      <c r="N1842" s="363">
        <f t="shared" si="2391"/>
        <v>0.84247229064039408</v>
      </c>
      <c r="O1842" s="364">
        <f t="shared" si="2344"/>
        <v>2.5124709923803609E-2</v>
      </c>
    </row>
    <row r="1843" spans="1:15" ht="24" thickBot="1" x14ac:dyDescent="0.35">
      <c r="A1843" s="277" t="s">
        <v>109</v>
      </c>
      <c r="B1843" s="616" t="s">
        <v>32</v>
      </c>
      <c r="C1843" s="849"/>
      <c r="D1843" s="316" t="s">
        <v>32</v>
      </c>
      <c r="E1843" s="293">
        <v>0</v>
      </c>
      <c r="F1843" s="294">
        <v>110000</v>
      </c>
      <c r="G1843" s="341">
        <f t="shared" ref="G1843" si="2403">+H1843+I1843</f>
        <v>0</v>
      </c>
      <c r="H1843" s="295">
        <v>0</v>
      </c>
      <c r="I1843" s="295">
        <v>0</v>
      </c>
      <c r="J1843" s="360" t="str">
        <f>IFERROR(G1843/#REF!,"-")</f>
        <v>-</v>
      </c>
      <c r="K1843" s="341">
        <f>+L1843+M1843</f>
        <v>0</v>
      </c>
      <c r="L1843" s="295">
        <f>+H1843+L1739</f>
        <v>0</v>
      </c>
      <c r="M1843" s="296">
        <f>+I1843+M1739</f>
        <v>0</v>
      </c>
      <c r="N1843" s="346" t="str">
        <f t="shared" si="2391"/>
        <v>-</v>
      </c>
      <c r="O1843" s="354" t="str">
        <f t="shared" si="2344"/>
        <v>-</v>
      </c>
    </row>
    <row r="1844" spans="1:15" ht="24" thickBot="1" x14ac:dyDescent="0.35">
      <c r="A1844" s="277" t="s">
        <v>109</v>
      </c>
      <c r="B1844" s="926" t="s">
        <v>21</v>
      </c>
      <c r="C1844" s="927"/>
      <c r="D1844" s="928"/>
      <c r="E1844" s="332">
        <f>+E1833+E1842+E1843</f>
        <v>2816600</v>
      </c>
      <c r="F1844" s="333">
        <f t="shared" ref="F1844" si="2404">+F1833+F1842+F1843</f>
        <v>240000</v>
      </c>
      <c r="G1844" s="332">
        <f>+G1833+G1842+G1843</f>
        <v>161313</v>
      </c>
      <c r="H1844" s="330">
        <f t="shared" ref="H1844:I1844" si="2405">+H1833+H1842+H1843</f>
        <v>159120</v>
      </c>
      <c r="I1844" s="330">
        <f t="shared" si="2405"/>
        <v>2193</v>
      </c>
      <c r="J1844" s="355" t="str">
        <f>IFERROR(G1844/#REF!,"-")</f>
        <v>-</v>
      </c>
      <c r="K1844" s="332">
        <f>+K1833+K1842+K1843</f>
        <v>2468552</v>
      </c>
      <c r="L1844" s="330">
        <f>+L1833+L1842+L1843</f>
        <v>2431026</v>
      </c>
      <c r="M1844" s="331">
        <f t="shared" ref="M1844" si="2406">+M1833+M1842+M1843</f>
        <v>37526</v>
      </c>
      <c r="N1844" s="347">
        <f t="shared" si="2391"/>
        <v>0.87642973798196411</v>
      </c>
      <c r="O1844" s="355">
        <f t="shared" si="2344"/>
        <v>1.5201624272042882E-2</v>
      </c>
    </row>
    <row r="1845" spans="1:15" ht="24" thickBot="1" x14ac:dyDescent="0.35">
      <c r="A1845" s="277" t="s">
        <v>109</v>
      </c>
      <c r="B1845" s="900" t="s">
        <v>180</v>
      </c>
      <c r="C1845" s="901"/>
      <c r="D1845" s="902"/>
      <c r="E1845" s="336">
        <f>+E1844</f>
        <v>2816600</v>
      </c>
      <c r="F1845" s="337">
        <f t="shared" ref="F1845:I1845" si="2407">+F1844</f>
        <v>240000</v>
      </c>
      <c r="G1845" s="336">
        <f t="shared" si="2407"/>
        <v>161313</v>
      </c>
      <c r="H1845" s="334">
        <f t="shared" si="2407"/>
        <v>159120</v>
      </c>
      <c r="I1845" s="334">
        <f t="shared" si="2407"/>
        <v>2193</v>
      </c>
      <c r="J1845" s="356" t="str">
        <f>+J1844</f>
        <v>-</v>
      </c>
      <c r="K1845" s="336">
        <f>+K1844</f>
        <v>2468552</v>
      </c>
      <c r="L1845" s="334">
        <f t="shared" ref="L1845" si="2408">+L1844</f>
        <v>2431026</v>
      </c>
      <c r="M1845" s="335">
        <f>+M1844</f>
        <v>37526</v>
      </c>
      <c r="N1845" s="348">
        <f t="shared" ref="N1845:O1845" si="2409">+N1844</f>
        <v>0.87642973798196411</v>
      </c>
      <c r="O1845" s="356">
        <f t="shared" si="2409"/>
        <v>1.5201624272042882E-2</v>
      </c>
    </row>
    <row r="1846" spans="1:15" ht="23.4" x14ac:dyDescent="0.3">
      <c r="A1846" s="271" t="s">
        <v>110</v>
      </c>
      <c r="B1846" s="903" t="s">
        <v>33</v>
      </c>
      <c r="C1846" s="317" t="s">
        <v>121</v>
      </c>
      <c r="D1846" s="317"/>
      <c r="E1846" s="273">
        <v>0</v>
      </c>
      <c r="F1846" s="274"/>
      <c r="G1846" s="338">
        <f t="shared" ref="G1846:G1848" si="2410">+H1846+I1846</f>
        <v>0</v>
      </c>
      <c r="H1846" s="275">
        <v>0</v>
      </c>
      <c r="I1846" s="275">
        <v>0</v>
      </c>
      <c r="J1846" s="357" t="str">
        <f>IFERROR(G1846/#REF!,"-")</f>
        <v>-</v>
      </c>
      <c r="K1846" s="338">
        <f t="shared" ref="K1846:K1848" si="2411">+L1846+M1846</f>
        <v>0</v>
      </c>
      <c r="L1846" s="275">
        <f t="shared" ref="L1846:L1848" si="2412">+H1846+L1742</f>
        <v>0</v>
      </c>
      <c r="M1846" s="276">
        <f t="shared" ref="M1846:M1848" si="2413">+I1846+M1742</f>
        <v>0</v>
      </c>
      <c r="N1846" s="342" t="str">
        <f t="shared" ref="N1846:N1853" si="2414">IFERROR(K1846/E1846,"-")</f>
        <v>-</v>
      </c>
      <c r="O1846" s="352" t="str">
        <f t="shared" ref="O1846:O1871" si="2415">IFERROR(M1846/K1846,"-")</f>
        <v>-</v>
      </c>
    </row>
    <row r="1847" spans="1:15" ht="23.4" x14ac:dyDescent="0.3">
      <c r="A1847" s="277" t="s">
        <v>110</v>
      </c>
      <c r="B1847" s="904"/>
      <c r="C1847" s="318" t="s">
        <v>274</v>
      </c>
      <c r="D1847" s="318"/>
      <c r="E1847" s="279">
        <v>0</v>
      </c>
      <c r="F1847" s="280"/>
      <c r="G1847" s="339">
        <f t="shared" si="2410"/>
        <v>0</v>
      </c>
      <c r="H1847" s="281">
        <v>0</v>
      </c>
      <c r="I1847" s="281">
        <v>0</v>
      </c>
      <c r="J1847" s="358" t="str">
        <f>IFERROR(G1847/#REF!,"-")</f>
        <v>-</v>
      </c>
      <c r="K1847" s="339">
        <f t="shared" si="2411"/>
        <v>10252</v>
      </c>
      <c r="L1847" s="281">
        <f t="shared" si="2412"/>
        <v>9280</v>
      </c>
      <c r="M1847" s="251">
        <f t="shared" si="2413"/>
        <v>972</v>
      </c>
      <c r="N1847" s="343" t="str">
        <f t="shared" si="2414"/>
        <v>-</v>
      </c>
      <c r="O1847" s="264">
        <f t="shared" si="2415"/>
        <v>9.4810768630511119E-2</v>
      </c>
    </row>
    <row r="1848" spans="1:15" ht="24" thickBot="1" x14ac:dyDescent="0.35">
      <c r="A1848" s="277" t="s">
        <v>110</v>
      </c>
      <c r="B1848" s="905"/>
      <c r="C1848" s="319" t="s">
        <v>34</v>
      </c>
      <c r="D1848" s="319"/>
      <c r="E1848" s="283">
        <v>0</v>
      </c>
      <c r="F1848" s="284"/>
      <c r="G1848" s="340">
        <f t="shared" si="2410"/>
        <v>0</v>
      </c>
      <c r="H1848" s="285">
        <v>0</v>
      </c>
      <c r="I1848" s="285">
        <v>0</v>
      </c>
      <c r="J1848" s="359" t="str">
        <f>IFERROR(G1848/#REF!,"-")</f>
        <v>-</v>
      </c>
      <c r="K1848" s="340">
        <f t="shared" si="2411"/>
        <v>0</v>
      </c>
      <c r="L1848" s="285">
        <f t="shared" si="2412"/>
        <v>0</v>
      </c>
      <c r="M1848" s="286">
        <f t="shared" si="2413"/>
        <v>0</v>
      </c>
      <c r="N1848" s="344" t="str">
        <f t="shared" si="2414"/>
        <v>-</v>
      </c>
      <c r="O1848" s="353" t="str">
        <f t="shared" si="2415"/>
        <v>-</v>
      </c>
    </row>
    <row r="1849" spans="1:15" ht="24" thickBot="1" x14ac:dyDescent="0.35">
      <c r="A1849" s="277" t="s">
        <v>110</v>
      </c>
      <c r="B1849" s="906" t="s">
        <v>35</v>
      </c>
      <c r="C1849" s="907"/>
      <c r="D1849" s="908"/>
      <c r="E1849" s="288">
        <v>83700</v>
      </c>
      <c r="F1849" s="289"/>
      <c r="G1849" s="326">
        <f>SUM(G1846:G1848)</f>
        <v>0</v>
      </c>
      <c r="H1849" s="327">
        <f t="shared" ref="H1849:I1849" si="2416">SUM(H1846:H1848)</f>
        <v>0</v>
      </c>
      <c r="I1849" s="327">
        <f t="shared" si="2416"/>
        <v>0</v>
      </c>
      <c r="J1849" s="351" t="str">
        <f>IFERROR(G1849/#REF!,"-")</f>
        <v>-</v>
      </c>
      <c r="K1849" s="326">
        <f t="shared" ref="K1849:M1849" si="2417">SUM(K1846:K1848)</f>
        <v>10252</v>
      </c>
      <c r="L1849" s="327">
        <f t="shared" si="2417"/>
        <v>9280</v>
      </c>
      <c r="M1849" s="328">
        <f t="shared" si="2417"/>
        <v>972</v>
      </c>
      <c r="N1849" s="345">
        <f t="shared" si="2414"/>
        <v>0.12248506571087216</v>
      </c>
      <c r="O1849" s="351">
        <f t="shared" si="2415"/>
        <v>9.4810768630511119E-2</v>
      </c>
    </row>
    <row r="1850" spans="1:15" ht="23.4" x14ac:dyDescent="0.3">
      <c r="A1850" s="277" t="s">
        <v>110</v>
      </c>
      <c r="B1850" s="903" t="s">
        <v>36</v>
      </c>
      <c r="C1850" s="317" t="s">
        <v>121</v>
      </c>
      <c r="D1850" s="317"/>
      <c r="E1850" s="273">
        <v>0</v>
      </c>
      <c r="F1850" s="274"/>
      <c r="G1850" s="338">
        <f t="shared" ref="G1850:G1853" si="2418">+H1850+I1850</f>
        <v>0</v>
      </c>
      <c r="H1850" s="275">
        <v>0</v>
      </c>
      <c r="I1850" s="275">
        <v>0</v>
      </c>
      <c r="J1850" s="357" t="str">
        <f>IFERROR(G1850/#REF!,"-")</f>
        <v>-</v>
      </c>
      <c r="K1850" s="338">
        <f t="shared" ref="K1850:K1853" si="2419">+L1850+M1850</f>
        <v>0</v>
      </c>
      <c r="L1850" s="275">
        <f t="shared" ref="L1850:L1853" si="2420">+H1850+L1746</f>
        <v>0</v>
      </c>
      <c r="M1850" s="276">
        <f t="shared" ref="M1850:M1853" si="2421">+I1850+M1746</f>
        <v>0</v>
      </c>
      <c r="N1850" s="342" t="str">
        <f t="shared" si="2414"/>
        <v>-</v>
      </c>
      <c r="O1850" s="352" t="str">
        <f t="shared" si="2415"/>
        <v>-</v>
      </c>
    </row>
    <row r="1851" spans="1:15" ht="23.4" x14ac:dyDescent="0.3">
      <c r="A1851" s="277" t="s">
        <v>110</v>
      </c>
      <c r="B1851" s="904"/>
      <c r="C1851" s="318" t="s">
        <v>274</v>
      </c>
      <c r="D1851" s="318"/>
      <c r="E1851" s="279">
        <v>0</v>
      </c>
      <c r="F1851" s="280"/>
      <c r="G1851" s="339">
        <f t="shared" si="2418"/>
        <v>0</v>
      </c>
      <c r="H1851" s="281">
        <v>0</v>
      </c>
      <c r="I1851" s="281">
        <v>0</v>
      </c>
      <c r="J1851" s="358" t="str">
        <f>IFERROR(G1851/#REF!,"-")</f>
        <v>-</v>
      </c>
      <c r="K1851" s="339">
        <f t="shared" si="2419"/>
        <v>68200</v>
      </c>
      <c r="L1851" s="281">
        <f t="shared" si="2420"/>
        <v>66462</v>
      </c>
      <c r="M1851" s="251">
        <f t="shared" si="2421"/>
        <v>1738</v>
      </c>
      <c r="N1851" s="343" t="str">
        <f t="shared" si="2414"/>
        <v>-</v>
      </c>
      <c r="O1851" s="264">
        <f t="shared" si="2415"/>
        <v>2.5483870967741934E-2</v>
      </c>
    </row>
    <row r="1852" spans="1:15" ht="23.4" x14ac:dyDescent="0.3">
      <c r="A1852" s="277" t="s">
        <v>110</v>
      </c>
      <c r="B1852" s="904"/>
      <c r="C1852" s="318" t="s">
        <v>201</v>
      </c>
      <c r="D1852" s="318"/>
      <c r="E1852" s="279">
        <v>0</v>
      </c>
      <c r="F1852" s="280"/>
      <c r="G1852" s="339">
        <f t="shared" si="2418"/>
        <v>0</v>
      </c>
      <c r="H1852" s="281">
        <v>0</v>
      </c>
      <c r="I1852" s="281">
        <v>0</v>
      </c>
      <c r="J1852" s="358" t="str">
        <f>IFERROR(G1852/#REF!,"-")</f>
        <v>-</v>
      </c>
      <c r="K1852" s="339">
        <f t="shared" si="2419"/>
        <v>0</v>
      </c>
      <c r="L1852" s="281">
        <f t="shared" si="2420"/>
        <v>0</v>
      </c>
      <c r="M1852" s="251">
        <f t="shared" si="2421"/>
        <v>0</v>
      </c>
      <c r="N1852" s="343" t="str">
        <f t="shared" si="2414"/>
        <v>-</v>
      </c>
      <c r="O1852" s="264" t="str">
        <f t="shared" si="2415"/>
        <v>-</v>
      </c>
    </row>
    <row r="1853" spans="1:15" ht="24" thickBot="1" x14ac:dyDescent="0.35">
      <c r="A1853" s="277" t="s">
        <v>110</v>
      </c>
      <c r="B1853" s="905"/>
      <c r="C1853" s="319" t="s">
        <v>37</v>
      </c>
      <c r="D1853" s="319"/>
      <c r="E1853" s="283">
        <v>0</v>
      </c>
      <c r="F1853" s="284"/>
      <c r="G1853" s="340">
        <f t="shared" si="2418"/>
        <v>0</v>
      </c>
      <c r="H1853" s="285">
        <v>0</v>
      </c>
      <c r="I1853" s="285">
        <v>0</v>
      </c>
      <c r="J1853" s="359" t="str">
        <f>IFERROR(G1853/#REF!,"-")</f>
        <v>-</v>
      </c>
      <c r="K1853" s="340">
        <f t="shared" si="2419"/>
        <v>0</v>
      </c>
      <c r="L1853" s="285">
        <f t="shared" si="2420"/>
        <v>0</v>
      </c>
      <c r="M1853" s="286">
        <f t="shared" si="2421"/>
        <v>0</v>
      </c>
      <c r="N1853" s="344" t="str">
        <f t="shared" si="2414"/>
        <v>-</v>
      </c>
      <c r="O1853" s="353" t="str">
        <f t="shared" si="2415"/>
        <v>-</v>
      </c>
    </row>
    <row r="1854" spans="1:15" ht="24" thickBot="1" x14ac:dyDescent="0.35">
      <c r="A1854" s="277" t="s">
        <v>110</v>
      </c>
      <c r="B1854" s="906" t="s">
        <v>38</v>
      </c>
      <c r="C1854" s="907"/>
      <c r="D1854" s="908"/>
      <c r="E1854" s="288">
        <v>10300</v>
      </c>
      <c r="F1854" s="289">
        <v>6500</v>
      </c>
      <c r="G1854" s="326">
        <f>SUM(G1850:G1853)</f>
        <v>0</v>
      </c>
      <c r="H1854" s="327">
        <f t="shared" ref="H1854:I1854" si="2422">SUM(H1850:H1853)</f>
        <v>0</v>
      </c>
      <c r="I1854" s="327">
        <f t="shared" si="2422"/>
        <v>0</v>
      </c>
      <c r="J1854" s="351" t="str">
        <f>IFERROR(G1854/#REF!,"-")</f>
        <v>-</v>
      </c>
      <c r="K1854" s="326">
        <f t="shared" ref="K1854:M1854" si="2423">SUM(K1850:K1853)</f>
        <v>68200</v>
      </c>
      <c r="L1854" s="327">
        <f t="shared" si="2423"/>
        <v>66462</v>
      </c>
      <c r="M1854" s="328">
        <f t="shared" si="2423"/>
        <v>1738</v>
      </c>
      <c r="N1854" s="345">
        <f>IFERROR(K1854/E1854,"-")</f>
        <v>6.6213592233009706</v>
      </c>
      <c r="O1854" s="351">
        <f t="shared" si="2415"/>
        <v>2.5483870967741934E-2</v>
      </c>
    </row>
    <row r="1855" spans="1:15" ht="23.4" x14ac:dyDescent="0.3">
      <c r="A1855" s="277" t="s">
        <v>110</v>
      </c>
      <c r="B1855" s="903" t="s">
        <v>39</v>
      </c>
      <c r="C1855" s="320" t="s">
        <v>124</v>
      </c>
      <c r="D1855" s="320"/>
      <c r="E1855" s="273">
        <v>0</v>
      </c>
      <c r="F1855" s="274"/>
      <c r="G1855" s="338">
        <f t="shared" ref="G1855:G1856" si="2424">+H1855+I1855</f>
        <v>0</v>
      </c>
      <c r="H1855" s="275">
        <v>0</v>
      </c>
      <c r="I1855" s="275">
        <v>0</v>
      </c>
      <c r="J1855" s="357" t="str">
        <f>IFERROR(G1855/#REF!,"-")</f>
        <v>-</v>
      </c>
      <c r="K1855" s="338">
        <f t="shared" ref="K1855:K1856" si="2425">+L1855+M1855</f>
        <v>0</v>
      </c>
      <c r="L1855" s="275">
        <f t="shared" ref="L1855:L1856" si="2426">+H1855+L1751</f>
        <v>0</v>
      </c>
      <c r="M1855" s="276">
        <f t="shared" ref="M1855:M1856" si="2427">+I1855+M1751</f>
        <v>0</v>
      </c>
      <c r="N1855" s="342" t="str">
        <f t="shared" ref="N1855:N1871" si="2428">IFERROR(K1855/E1855,"-")</f>
        <v>-</v>
      </c>
      <c r="O1855" s="352" t="str">
        <f t="shared" si="2415"/>
        <v>-</v>
      </c>
    </row>
    <row r="1856" spans="1:15" ht="24" thickBot="1" x14ac:dyDescent="0.35">
      <c r="A1856" s="277" t="s">
        <v>110</v>
      </c>
      <c r="B1856" s="905"/>
      <c r="C1856" s="290" t="s">
        <v>140</v>
      </c>
      <c r="D1856" s="290"/>
      <c r="E1856" s="283">
        <v>0</v>
      </c>
      <c r="F1856" s="284"/>
      <c r="G1856" s="340">
        <f t="shared" si="2424"/>
        <v>3607</v>
      </c>
      <c r="H1856" s="285">
        <v>3314</v>
      </c>
      <c r="I1856" s="285">
        <v>293</v>
      </c>
      <c r="J1856" s="359" t="str">
        <f>IFERROR(G1856/#REF!,"-")</f>
        <v>-</v>
      </c>
      <c r="K1856" s="340">
        <f t="shared" si="2425"/>
        <v>7884</v>
      </c>
      <c r="L1856" s="285">
        <f t="shared" si="2426"/>
        <v>6914</v>
      </c>
      <c r="M1856" s="286">
        <f t="shared" si="2427"/>
        <v>970</v>
      </c>
      <c r="N1856" s="344" t="str">
        <f t="shared" si="2428"/>
        <v>-</v>
      </c>
      <c r="O1856" s="353">
        <f t="shared" si="2415"/>
        <v>0.12303399289700659</v>
      </c>
    </row>
    <row r="1857" spans="1:15" ht="24" thickBot="1" x14ac:dyDescent="0.35">
      <c r="A1857" s="853" t="s">
        <v>110</v>
      </c>
      <c r="B1857" s="906" t="s">
        <v>40</v>
      </c>
      <c r="C1857" s="907"/>
      <c r="D1857" s="908"/>
      <c r="E1857" s="288">
        <v>30000</v>
      </c>
      <c r="F1857" s="289">
        <v>2800</v>
      </c>
      <c r="G1857" s="326">
        <f>SUM(G1855:G1856)</f>
        <v>3607</v>
      </c>
      <c r="H1857" s="327">
        <f t="shared" ref="H1857:I1857" si="2429">SUM(H1855:H1856)</f>
        <v>3314</v>
      </c>
      <c r="I1857" s="327">
        <f t="shared" si="2429"/>
        <v>293</v>
      </c>
      <c r="J1857" s="351" t="str">
        <f>IFERROR(G1857/#REF!,"-")</f>
        <v>-</v>
      </c>
      <c r="K1857" s="326">
        <f t="shared" ref="K1857:M1857" si="2430">SUM(K1855:K1856)</f>
        <v>7884</v>
      </c>
      <c r="L1857" s="327">
        <f t="shared" si="2430"/>
        <v>6914</v>
      </c>
      <c r="M1857" s="328">
        <f t="shared" si="2430"/>
        <v>970</v>
      </c>
      <c r="N1857" s="345">
        <f t="shared" si="2428"/>
        <v>0.26279999999999998</v>
      </c>
      <c r="O1857" s="351">
        <f t="shared" si="2415"/>
        <v>0.12303399289700659</v>
      </c>
    </row>
    <row r="1858" spans="1:15" ht="23.4" x14ac:dyDescent="0.3">
      <c r="A1858" s="277" t="s">
        <v>110</v>
      </c>
      <c r="B1858" s="903" t="s">
        <v>41</v>
      </c>
      <c r="C1858" s="272" t="s">
        <v>346</v>
      </c>
      <c r="D1858" s="272"/>
      <c r="E1858" s="273">
        <v>0</v>
      </c>
      <c r="F1858" s="321"/>
      <c r="G1858" s="338">
        <f t="shared" ref="G1858:G1862" si="2431">+H1858+I1858</f>
        <v>25369</v>
      </c>
      <c r="H1858" s="275">
        <v>25200</v>
      </c>
      <c r="I1858" s="275">
        <v>169</v>
      </c>
      <c r="J1858" s="377" t="str">
        <f>IFERROR(G1858/#REF!,"-")</f>
        <v>-</v>
      </c>
      <c r="K1858" s="338">
        <f t="shared" ref="K1858:K1862" si="2432">+L1858+M1858</f>
        <v>359816</v>
      </c>
      <c r="L1858" s="275">
        <f t="shared" ref="L1858:L1862" si="2433">+H1858+L1754</f>
        <v>356436</v>
      </c>
      <c r="M1858" s="276">
        <f t="shared" ref="M1858:M1862" si="2434">+I1858+M1754</f>
        <v>3380</v>
      </c>
      <c r="N1858" s="365" t="str">
        <f t="shared" si="2428"/>
        <v>-</v>
      </c>
      <c r="O1858" s="366">
        <f t="shared" si="2415"/>
        <v>9.3936901082775637E-3</v>
      </c>
    </row>
    <row r="1859" spans="1:15" ht="23.4" x14ac:dyDescent="0.3">
      <c r="A1859" s="277" t="s">
        <v>110</v>
      </c>
      <c r="B1859" s="904"/>
      <c r="C1859" s="272" t="s">
        <v>347</v>
      </c>
      <c r="D1859" s="278"/>
      <c r="E1859" s="279">
        <v>0</v>
      </c>
      <c r="F1859" s="322"/>
      <c r="G1859" s="339">
        <f t="shared" si="2431"/>
        <v>0</v>
      </c>
      <c r="H1859" s="281">
        <v>0</v>
      </c>
      <c r="I1859" s="281">
        <v>0</v>
      </c>
      <c r="J1859" s="378" t="str">
        <f>IFERROR(G1859/#REF!,"-")</f>
        <v>-</v>
      </c>
      <c r="K1859" s="339">
        <f t="shared" si="2432"/>
        <v>0</v>
      </c>
      <c r="L1859" s="281">
        <f t="shared" si="2433"/>
        <v>0</v>
      </c>
      <c r="M1859" s="251">
        <f t="shared" si="2434"/>
        <v>0</v>
      </c>
      <c r="N1859" s="367" t="str">
        <f t="shared" si="2428"/>
        <v>-</v>
      </c>
      <c r="O1859" s="368" t="str">
        <f t="shared" si="2415"/>
        <v>-</v>
      </c>
    </row>
    <row r="1860" spans="1:15" ht="23.4" x14ac:dyDescent="0.3">
      <c r="A1860" s="277" t="s">
        <v>110</v>
      </c>
      <c r="B1860" s="904"/>
      <c r="C1860" s="278" t="s">
        <v>423</v>
      </c>
      <c r="D1860" s="278"/>
      <c r="E1860" s="279">
        <v>0</v>
      </c>
      <c r="F1860" s="322"/>
      <c r="G1860" s="339">
        <f t="shared" si="2431"/>
        <v>0</v>
      </c>
      <c r="H1860" s="281">
        <v>0</v>
      </c>
      <c r="I1860" s="281">
        <v>0</v>
      </c>
      <c r="J1860" s="378" t="str">
        <f>IFERROR(G1860/#REF!,"-")</f>
        <v>-</v>
      </c>
      <c r="K1860" s="339">
        <f t="shared" si="2432"/>
        <v>34536</v>
      </c>
      <c r="L1860" s="281">
        <f t="shared" si="2433"/>
        <v>33960</v>
      </c>
      <c r="M1860" s="251">
        <f t="shared" si="2434"/>
        <v>576</v>
      </c>
      <c r="N1860" s="367" t="str">
        <f t="shared" si="2428"/>
        <v>-</v>
      </c>
      <c r="O1860" s="368">
        <f t="shared" si="2415"/>
        <v>1.6678248783877692E-2</v>
      </c>
    </row>
    <row r="1861" spans="1:15" ht="23.4" x14ac:dyDescent="0.3">
      <c r="A1861" s="277" t="s">
        <v>110</v>
      </c>
      <c r="B1861" s="904"/>
      <c r="C1861" s="278" t="s">
        <v>166</v>
      </c>
      <c r="D1861" s="278"/>
      <c r="E1861" s="279">
        <v>0</v>
      </c>
      <c r="F1861" s="322"/>
      <c r="G1861" s="339">
        <f t="shared" si="2431"/>
        <v>0</v>
      </c>
      <c r="H1861" s="281">
        <v>0</v>
      </c>
      <c r="I1861" s="281">
        <v>0</v>
      </c>
      <c r="J1861" s="378" t="str">
        <f>IFERROR(G1861/#REF!,"-")</f>
        <v>-</v>
      </c>
      <c r="K1861" s="339">
        <f t="shared" si="2432"/>
        <v>0</v>
      </c>
      <c r="L1861" s="281">
        <f t="shared" si="2433"/>
        <v>0</v>
      </c>
      <c r="M1861" s="251">
        <f t="shared" si="2434"/>
        <v>0</v>
      </c>
      <c r="N1861" s="367" t="str">
        <f t="shared" si="2428"/>
        <v>-</v>
      </c>
      <c r="O1861" s="368" t="str">
        <f t="shared" si="2415"/>
        <v>-</v>
      </c>
    </row>
    <row r="1862" spans="1:15" ht="24" thickBot="1" x14ac:dyDescent="0.35">
      <c r="A1862" s="277" t="s">
        <v>110</v>
      </c>
      <c r="B1862" s="905"/>
      <c r="C1862" s="282" t="s">
        <v>167</v>
      </c>
      <c r="D1862" s="282"/>
      <c r="E1862" s="283">
        <v>0</v>
      </c>
      <c r="F1862" s="323"/>
      <c r="G1862" s="340">
        <f t="shared" si="2431"/>
        <v>0</v>
      </c>
      <c r="H1862" s="285">
        <v>0</v>
      </c>
      <c r="I1862" s="285">
        <v>0</v>
      </c>
      <c r="J1862" s="379" t="str">
        <f>IFERROR(G1862/#REF!,"-")</f>
        <v>-</v>
      </c>
      <c r="K1862" s="340">
        <f t="shared" si="2432"/>
        <v>0</v>
      </c>
      <c r="L1862" s="285">
        <f t="shared" si="2433"/>
        <v>0</v>
      </c>
      <c r="M1862" s="286">
        <f t="shared" si="2434"/>
        <v>0</v>
      </c>
      <c r="N1862" s="369" t="str">
        <f t="shared" si="2428"/>
        <v>-</v>
      </c>
      <c r="O1862" s="370" t="str">
        <f t="shared" si="2415"/>
        <v>-</v>
      </c>
    </row>
    <row r="1863" spans="1:15" ht="24" thickBot="1" x14ac:dyDescent="0.35">
      <c r="A1863" s="277" t="s">
        <v>110</v>
      </c>
      <c r="B1863" s="906" t="s">
        <v>42</v>
      </c>
      <c r="C1863" s="907"/>
      <c r="D1863" s="908"/>
      <c r="E1863" s="326">
        <v>610600</v>
      </c>
      <c r="F1863" s="289">
        <v>25000</v>
      </c>
      <c r="G1863" s="326">
        <f>SUM(G1859:G1862)</f>
        <v>0</v>
      </c>
      <c r="H1863" s="327">
        <f t="shared" ref="H1863:I1863" si="2435">SUM(H1859:H1862)</f>
        <v>0</v>
      </c>
      <c r="I1863" s="327">
        <f t="shared" si="2435"/>
        <v>0</v>
      </c>
      <c r="J1863" s="351" t="str">
        <f>IFERROR(G1863/#REF!,"-")</f>
        <v>-</v>
      </c>
      <c r="K1863" s="326">
        <f>SUM(K1858:K1862)</f>
        <v>394352</v>
      </c>
      <c r="L1863" s="327">
        <f>SUM(L1858:L1862)</f>
        <v>390396</v>
      </c>
      <c r="M1863" s="328">
        <f>SUM(M1858:M1862)</f>
        <v>3956</v>
      </c>
      <c r="N1863" s="345">
        <f t="shared" si="2428"/>
        <v>0.64584343268915823</v>
      </c>
      <c r="O1863" s="351">
        <f t="shared" si="2415"/>
        <v>1.0031646853572444E-2</v>
      </c>
    </row>
    <row r="1864" spans="1:15" ht="23.4" x14ac:dyDescent="0.3">
      <c r="A1864" s="277" t="s">
        <v>110</v>
      </c>
      <c r="B1864" s="903" t="s">
        <v>43</v>
      </c>
      <c r="C1864" s="272" t="s">
        <v>204</v>
      </c>
      <c r="D1864" s="272"/>
      <c r="E1864" s="273">
        <v>0</v>
      </c>
      <c r="F1864" s="274"/>
      <c r="G1864" s="338">
        <f t="shared" ref="G1864:G1866" si="2436">+H1864+I1864</f>
        <v>0</v>
      </c>
      <c r="H1864" s="275">
        <v>0</v>
      </c>
      <c r="I1864" s="275">
        <v>0</v>
      </c>
      <c r="J1864" s="357" t="str">
        <f>IFERROR(G1864/#REF!,"-")</f>
        <v>-</v>
      </c>
      <c r="K1864" s="338">
        <f t="shared" ref="K1864:K1866" si="2437">+L1864+M1864</f>
        <v>0</v>
      </c>
      <c r="L1864" s="275">
        <f t="shared" ref="L1864:L1866" si="2438">+H1864+L1760</f>
        <v>0</v>
      </c>
      <c r="M1864" s="276">
        <f t="shared" ref="M1864:M1866" si="2439">+I1864+M1760</f>
        <v>0</v>
      </c>
      <c r="N1864" s="342" t="str">
        <f t="shared" si="2428"/>
        <v>-</v>
      </c>
      <c r="O1864" s="352" t="str">
        <f t="shared" si="2415"/>
        <v>-</v>
      </c>
    </row>
    <row r="1865" spans="1:15" ht="23.4" x14ac:dyDescent="0.3">
      <c r="A1865" s="277" t="s">
        <v>110</v>
      </c>
      <c r="B1865" s="904"/>
      <c r="C1865" s="278" t="s">
        <v>168</v>
      </c>
      <c r="D1865" s="278"/>
      <c r="E1865" s="279">
        <v>0</v>
      </c>
      <c r="F1865" s="280"/>
      <c r="G1865" s="339">
        <f t="shared" si="2436"/>
        <v>0</v>
      </c>
      <c r="H1865" s="281">
        <v>0</v>
      </c>
      <c r="I1865" s="281">
        <v>0</v>
      </c>
      <c r="J1865" s="378" t="str">
        <f>IFERROR(G1865/#REF!,"-")</f>
        <v>-</v>
      </c>
      <c r="K1865" s="339">
        <f t="shared" si="2437"/>
        <v>0</v>
      </c>
      <c r="L1865" s="281">
        <f t="shared" si="2438"/>
        <v>0</v>
      </c>
      <c r="M1865" s="251">
        <f t="shared" si="2439"/>
        <v>0</v>
      </c>
      <c r="N1865" s="367" t="str">
        <f t="shared" si="2428"/>
        <v>-</v>
      </c>
      <c r="O1865" s="368" t="str">
        <f t="shared" si="2415"/>
        <v>-</v>
      </c>
    </row>
    <row r="1866" spans="1:15" ht="24" thickBot="1" x14ac:dyDescent="0.35">
      <c r="A1866" s="277" t="s">
        <v>110</v>
      </c>
      <c r="B1866" s="905"/>
      <c r="C1866" s="282" t="s">
        <v>204</v>
      </c>
      <c r="D1866" s="282"/>
      <c r="E1866" s="283">
        <v>0</v>
      </c>
      <c r="F1866" s="284"/>
      <c r="G1866" s="340">
        <f t="shared" si="2436"/>
        <v>0</v>
      </c>
      <c r="H1866" s="285">
        <v>0</v>
      </c>
      <c r="I1866" s="285">
        <v>0</v>
      </c>
      <c r="J1866" s="379" t="str">
        <f>IFERROR(G1866/#REF!,"-")</f>
        <v>-</v>
      </c>
      <c r="K1866" s="340">
        <f t="shared" si="2437"/>
        <v>0</v>
      </c>
      <c r="L1866" s="285">
        <f t="shared" si="2438"/>
        <v>0</v>
      </c>
      <c r="M1866" s="286">
        <f t="shared" si="2439"/>
        <v>0</v>
      </c>
      <c r="N1866" s="369" t="str">
        <f t="shared" si="2428"/>
        <v>-</v>
      </c>
      <c r="O1866" s="370" t="str">
        <f t="shared" si="2415"/>
        <v>-</v>
      </c>
    </row>
    <row r="1867" spans="1:15" ht="24" thickBot="1" x14ac:dyDescent="0.35">
      <c r="A1867" s="277" t="s">
        <v>110</v>
      </c>
      <c r="B1867" s="909" t="s">
        <v>44</v>
      </c>
      <c r="C1867" s="910"/>
      <c r="D1867" s="911"/>
      <c r="E1867" s="326">
        <v>0</v>
      </c>
      <c r="F1867" s="289"/>
      <c r="G1867" s="326">
        <f>SUM(G1864:G1866)</f>
        <v>0</v>
      </c>
      <c r="H1867" s="327">
        <f t="shared" ref="H1867:I1867" si="2440">SUM(H1864:H1866)</f>
        <v>0</v>
      </c>
      <c r="I1867" s="327">
        <f t="shared" si="2440"/>
        <v>0</v>
      </c>
      <c r="J1867" s="351" t="str">
        <f>IFERROR(G1867/#REF!,"-")</f>
        <v>-</v>
      </c>
      <c r="K1867" s="326">
        <f t="shared" ref="K1867:M1867" si="2441">SUM(K1864:K1866)</f>
        <v>0</v>
      </c>
      <c r="L1867" s="327">
        <f t="shared" si="2441"/>
        <v>0</v>
      </c>
      <c r="M1867" s="328">
        <f t="shared" si="2441"/>
        <v>0</v>
      </c>
      <c r="N1867" s="345" t="str">
        <f t="shared" si="2428"/>
        <v>-</v>
      </c>
      <c r="O1867" s="351" t="str">
        <f t="shared" si="2415"/>
        <v>-</v>
      </c>
    </row>
    <row r="1868" spans="1:15" ht="23.4" x14ac:dyDescent="0.3">
      <c r="A1868" s="277" t="s">
        <v>110</v>
      </c>
      <c r="B1868" s="903" t="s">
        <v>45</v>
      </c>
      <c r="C1868" s="272" t="s">
        <v>169</v>
      </c>
      <c r="D1868" s="272"/>
      <c r="E1868" s="273">
        <v>0</v>
      </c>
      <c r="F1868" s="274"/>
      <c r="G1868" s="338">
        <f t="shared" ref="G1868:G1869" si="2442">+H1868+I1868</f>
        <v>0</v>
      </c>
      <c r="H1868" s="275">
        <v>0</v>
      </c>
      <c r="I1868" s="275">
        <v>0</v>
      </c>
      <c r="J1868" s="377" t="str">
        <f>IFERROR(G1868/#REF!,"-")</f>
        <v>-</v>
      </c>
      <c r="K1868" s="338">
        <f t="shared" ref="K1868:K1869" si="2443">+L1868+M1868</f>
        <v>0</v>
      </c>
      <c r="L1868" s="275">
        <f t="shared" ref="L1868:L1869" si="2444">+H1868+L1764</f>
        <v>0</v>
      </c>
      <c r="M1868" s="276">
        <f t="shared" ref="M1868:M1869" si="2445">+I1868+M1764</f>
        <v>0</v>
      </c>
      <c r="N1868" s="365" t="str">
        <f t="shared" si="2428"/>
        <v>-</v>
      </c>
      <c r="O1868" s="366" t="str">
        <f t="shared" si="2415"/>
        <v>-</v>
      </c>
    </row>
    <row r="1869" spans="1:15" ht="24" thickBot="1" x14ac:dyDescent="0.35">
      <c r="A1869" s="277" t="s">
        <v>110</v>
      </c>
      <c r="B1869" s="905"/>
      <c r="C1869" s="282" t="s">
        <v>170</v>
      </c>
      <c r="D1869" s="282"/>
      <c r="E1869" s="283">
        <v>0</v>
      </c>
      <c r="F1869" s="284"/>
      <c r="G1869" s="340">
        <f t="shared" si="2442"/>
        <v>0</v>
      </c>
      <c r="H1869" s="285">
        <v>0</v>
      </c>
      <c r="I1869" s="285">
        <v>0</v>
      </c>
      <c r="J1869" s="379" t="str">
        <f>IFERROR(G1869/#REF!,"-")</f>
        <v>-</v>
      </c>
      <c r="K1869" s="340">
        <f t="shared" si="2443"/>
        <v>0</v>
      </c>
      <c r="L1869" s="285">
        <f t="shared" si="2444"/>
        <v>0</v>
      </c>
      <c r="M1869" s="286">
        <f t="shared" si="2445"/>
        <v>0</v>
      </c>
      <c r="N1869" s="369" t="str">
        <f t="shared" si="2428"/>
        <v>-</v>
      </c>
      <c r="O1869" s="370" t="str">
        <f t="shared" si="2415"/>
        <v>-</v>
      </c>
    </row>
    <row r="1870" spans="1:15" ht="24" thickBot="1" x14ac:dyDescent="0.35">
      <c r="A1870" s="277" t="s">
        <v>110</v>
      </c>
      <c r="B1870" s="909" t="s">
        <v>46</v>
      </c>
      <c r="C1870" s="910"/>
      <c r="D1870" s="911"/>
      <c r="E1870" s="288">
        <v>11100</v>
      </c>
      <c r="F1870" s="289">
        <v>25000</v>
      </c>
      <c r="G1870" s="326">
        <f>SUM(G1868:G1869)</f>
        <v>0</v>
      </c>
      <c r="H1870" s="327">
        <f t="shared" ref="H1870:I1870" si="2446">SUM(H1868:H1869)</f>
        <v>0</v>
      </c>
      <c r="I1870" s="327">
        <f t="shared" si="2446"/>
        <v>0</v>
      </c>
      <c r="J1870" s="351" t="str">
        <f>IFERROR(G1870/#REF!,"-")</f>
        <v>-</v>
      </c>
      <c r="K1870" s="326">
        <f t="shared" ref="K1870:M1870" si="2447">SUM(K1868:K1869)</f>
        <v>0</v>
      </c>
      <c r="L1870" s="327">
        <f t="shared" si="2447"/>
        <v>0</v>
      </c>
      <c r="M1870" s="328">
        <f t="shared" si="2447"/>
        <v>0</v>
      </c>
      <c r="N1870" s="345">
        <f t="shared" si="2428"/>
        <v>0</v>
      </c>
      <c r="O1870" s="351" t="str">
        <f t="shared" si="2415"/>
        <v>-</v>
      </c>
    </row>
    <row r="1871" spans="1:15" ht="24" thickBot="1" x14ac:dyDescent="0.35">
      <c r="A1871" s="277" t="s">
        <v>110</v>
      </c>
      <c r="B1871" s="912" t="s">
        <v>25</v>
      </c>
      <c r="C1871" s="913"/>
      <c r="D1871" s="914"/>
      <c r="E1871" s="332">
        <f t="shared" ref="E1871:F1871" si="2448">+E1849+E1854+E1857+E1863+E1867+E1870</f>
        <v>745700</v>
      </c>
      <c r="F1871" s="333">
        <f t="shared" si="2448"/>
        <v>59300</v>
      </c>
      <c r="G1871" s="332">
        <f>+G1849+G1854+G1857+G1863+G1867+G1870</f>
        <v>3607</v>
      </c>
      <c r="H1871" s="330">
        <f t="shared" ref="H1871:I1871" si="2449">+H1849+H1854+H1857+H1863+H1867+H1870</f>
        <v>3314</v>
      </c>
      <c r="I1871" s="330">
        <f t="shared" si="2449"/>
        <v>293</v>
      </c>
      <c r="J1871" s="355" t="str">
        <f>IFERROR(G1871/#REF!,"-")</f>
        <v>-</v>
      </c>
      <c r="K1871" s="332">
        <f>+K1849+K1854+K1857+K1863+K1867+K1870</f>
        <v>480688</v>
      </c>
      <c r="L1871" s="330">
        <f t="shared" ref="L1871:M1871" si="2450">+L1849+L1854+L1857+L1863+L1867+L1870</f>
        <v>473052</v>
      </c>
      <c r="M1871" s="331">
        <f t="shared" si="2450"/>
        <v>7636</v>
      </c>
      <c r="N1871" s="347">
        <f t="shared" si="2428"/>
        <v>0.64461311519377762</v>
      </c>
      <c r="O1871" s="355">
        <f t="shared" si="2415"/>
        <v>1.5885564024897648E-2</v>
      </c>
    </row>
    <row r="1872" spans="1:15" ht="24" thickBot="1" x14ac:dyDescent="0.35">
      <c r="A1872" s="324" t="s">
        <v>110</v>
      </c>
      <c r="B1872" s="901" t="s">
        <v>182</v>
      </c>
      <c r="C1872" s="901"/>
      <c r="D1872" s="902"/>
      <c r="E1872" s="336">
        <f>+E1871</f>
        <v>745700</v>
      </c>
      <c r="F1872" s="337">
        <f t="shared" ref="F1872:O1872" si="2451">+F1871</f>
        <v>59300</v>
      </c>
      <c r="G1872" s="336">
        <f t="shared" si="2451"/>
        <v>3607</v>
      </c>
      <c r="H1872" s="334">
        <f t="shared" si="2451"/>
        <v>3314</v>
      </c>
      <c r="I1872" s="334">
        <f t="shared" si="2451"/>
        <v>293</v>
      </c>
      <c r="J1872" s="356" t="str">
        <f t="shared" si="2451"/>
        <v>-</v>
      </c>
      <c r="K1872" s="336">
        <f t="shared" si="2451"/>
        <v>480688</v>
      </c>
      <c r="L1872" s="334">
        <f t="shared" si="2451"/>
        <v>473052</v>
      </c>
      <c r="M1872" s="335">
        <f t="shared" si="2451"/>
        <v>7636</v>
      </c>
      <c r="N1872" s="348">
        <f t="shared" si="2451"/>
        <v>0.64461311519377762</v>
      </c>
      <c r="O1872" s="356">
        <f t="shared" si="2451"/>
        <v>1.5885564024897648E-2</v>
      </c>
    </row>
    <row r="1873" spans="1:15" ht="24.6" thickBot="1" x14ac:dyDescent="0.35">
      <c r="A1873" s="325"/>
      <c r="B1873" s="915" t="s">
        <v>183</v>
      </c>
      <c r="C1873" s="916"/>
      <c r="D1873" s="917"/>
      <c r="E1873" s="380">
        <f>+E1818+E1845+E1872</f>
        <v>10494400</v>
      </c>
      <c r="F1873" s="380">
        <f>+F1818+F1845+F1872</f>
        <v>748300</v>
      </c>
      <c r="G1873" s="380">
        <f>+G1818+G1845+G1872</f>
        <v>437166</v>
      </c>
      <c r="H1873" s="380">
        <f>+H1818+H1845+H1872</f>
        <v>501818</v>
      </c>
      <c r="I1873" s="380">
        <f>+I1818+I1845+I1872</f>
        <v>3170</v>
      </c>
      <c r="J1873" s="381" t="str">
        <f>IFERROR(G1873/#REF!,"-")</f>
        <v>-</v>
      </c>
      <c r="K1873" s="380">
        <f>+K1818+K1845+K1872</f>
        <v>5961412</v>
      </c>
      <c r="L1873" s="380">
        <f>+L1818+L1845+L1872</f>
        <v>5904123</v>
      </c>
      <c r="M1873" s="380">
        <f>+M1818+M1845+M1872</f>
        <v>57289</v>
      </c>
      <c r="N1873" s="381">
        <f>IFERROR(K1873/E1873,"-")</f>
        <v>0.56805648726940083</v>
      </c>
      <c r="O1873" s="381">
        <f>IFERROR(M1873/K1873,"-")</f>
        <v>9.6099715973329801E-3</v>
      </c>
    </row>
    <row r="1874" spans="1:15" ht="23.4" x14ac:dyDescent="0.3">
      <c r="A1874" s="935" t="s">
        <v>1</v>
      </c>
      <c r="B1874" s="938" t="s">
        <v>2</v>
      </c>
      <c r="C1874" s="941" t="s">
        <v>3</v>
      </c>
      <c r="D1874" s="941" t="s">
        <v>93</v>
      </c>
      <c r="E1874" s="944" t="s">
        <v>4</v>
      </c>
      <c r="F1874" s="945"/>
      <c r="G1874" s="945"/>
      <c r="H1874" s="945"/>
      <c r="I1874" s="945"/>
      <c r="J1874" s="945"/>
      <c r="K1874" s="945"/>
      <c r="L1874" s="945"/>
      <c r="M1874" s="945"/>
      <c r="N1874" s="945"/>
      <c r="O1874" s="946"/>
    </row>
    <row r="1875" spans="1:15" ht="23.4" x14ac:dyDescent="0.3">
      <c r="A1875" s="936"/>
      <c r="B1875" s="939"/>
      <c r="C1875" s="942"/>
      <c r="D1875" s="942"/>
      <c r="E1875" s="947" t="s">
        <v>7</v>
      </c>
      <c r="F1875" s="949" t="s">
        <v>116</v>
      </c>
      <c r="G1875" s="951">
        <v>44525</v>
      </c>
      <c r="H1875" s="952"/>
      <c r="I1875" s="952"/>
      <c r="J1875" s="953"/>
      <c r="K1875" s="954" t="s">
        <v>8</v>
      </c>
      <c r="L1875" s="955"/>
      <c r="M1875" s="956"/>
      <c r="N1875" s="957" t="s">
        <v>174</v>
      </c>
      <c r="O1875" s="959" t="s">
        <v>173</v>
      </c>
    </row>
    <row r="1876" spans="1:15" ht="41.4" thickBot="1" x14ac:dyDescent="0.35">
      <c r="A1876" s="937"/>
      <c r="B1876" s="940"/>
      <c r="C1876" s="943"/>
      <c r="D1876" s="943"/>
      <c r="E1876" s="948"/>
      <c r="F1876" s="950"/>
      <c r="G1876" s="462" t="s">
        <v>13</v>
      </c>
      <c r="H1876" s="463" t="s">
        <v>14</v>
      </c>
      <c r="I1876" s="463" t="s">
        <v>15</v>
      </c>
      <c r="J1876" s="464" t="s">
        <v>175</v>
      </c>
      <c r="K1876" s="462" t="s">
        <v>13</v>
      </c>
      <c r="L1876" s="463" t="s">
        <v>14</v>
      </c>
      <c r="M1876" s="465" t="s">
        <v>15</v>
      </c>
      <c r="N1876" s="958"/>
      <c r="O1876" s="960"/>
    </row>
    <row r="1877" spans="1:15" ht="23.4" x14ac:dyDescent="0.3">
      <c r="A1877" s="271" t="s">
        <v>111</v>
      </c>
      <c r="B1877" s="922" t="s">
        <v>16</v>
      </c>
      <c r="C1877" s="272" t="s">
        <v>186</v>
      </c>
      <c r="D1877" s="272" t="s">
        <v>184</v>
      </c>
      <c r="E1877" s="273">
        <v>0</v>
      </c>
      <c r="F1877" s="274"/>
      <c r="G1877" s="338">
        <f>+H1877+I1877</f>
        <v>0</v>
      </c>
      <c r="H1877" s="275">
        <v>0</v>
      </c>
      <c r="I1877" s="275">
        <v>0</v>
      </c>
      <c r="J1877" s="357" t="str">
        <f>IFERROR(G1877/#REF!,"-")</f>
        <v>-</v>
      </c>
      <c r="K1877" s="468">
        <f>+L1877+M1877</f>
        <v>0</v>
      </c>
      <c r="L1877" s="469">
        <f>+H1877+L1773</f>
        <v>0</v>
      </c>
      <c r="M1877" s="469">
        <f>+I1877+M1773</f>
        <v>0</v>
      </c>
      <c r="N1877" s="342" t="str">
        <f>IFERROR(K1877/E1877,"-")</f>
        <v>-</v>
      </c>
      <c r="O1877" s="349" t="str">
        <f t="shared" ref="O1877:O1878" si="2452">IFERROR(M1877/K1877,"-")</f>
        <v>-</v>
      </c>
    </row>
    <row r="1878" spans="1:15" ht="23.4" x14ac:dyDescent="0.3">
      <c r="A1878" s="277" t="s">
        <v>111</v>
      </c>
      <c r="B1878" s="923"/>
      <c r="C1878" s="278" t="s">
        <v>190</v>
      </c>
      <c r="D1878" s="278" t="s">
        <v>101</v>
      </c>
      <c r="E1878" s="279">
        <v>0</v>
      </c>
      <c r="F1878" s="280"/>
      <c r="G1878" s="339">
        <f t="shared" ref="G1878:G1880" si="2453">+H1878+I1878</f>
        <v>0</v>
      </c>
      <c r="H1878" s="281">
        <v>0</v>
      </c>
      <c r="I1878" s="281">
        <v>0</v>
      </c>
      <c r="J1878" s="358" t="str">
        <f>IFERROR(G1878/#REF!,"-")</f>
        <v>-</v>
      </c>
      <c r="K1878" s="339">
        <f t="shared" ref="K1878:K1880" si="2454">+L1878+M1878</f>
        <v>0</v>
      </c>
      <c r="L1878" s="281">
        <f t="shared" ref="L1878:L1880" si="2455">+H1878+L1774</f>
        <v>0</v>
      </c>
      <c r="M1878" s="442">
        <f t="shared" ref="M1878:M1880" si="2456">+I1878+M1774</f>
        <v>0</v>
      </c>
      <c r="N1878" s="343" t="str">
        <f t="shared" ref="N1878:N1880" si="2457">IFERROR(K1878/E1878,"-")</f>
        <v>-</v>
      </c>
      <c r="O1878" s="268" t="str">
        <f t="shared" si="2452"/>
        <v>-</v>
      </c>
    </row>
    <row r="1879" spans="1:15" ht="23.4" x14ac:dyDescent="0.3">
      <c r="A1879" s="277" t="s">
        <v>111</v>
      </c>
      <c r="B1879" s="923"/>
      <c r="C1879" s="278" t="s">
        <v>187</v>
      </c>
      <c r="D1879" s="278" t="s">
        <v>185</v>
      </c>
      <c r="E1879" s="279">
        <v>0</v>
      </c>
      <c r="F1879" s="280"/>
      <c r="G1879" s="339">
        <f t="shared" si="2453"/>
        <v>0</v>
      </c>
      <c r="H1879" s="281">
        <v>0</v>
      </c>
      <c r="I1879" s="281">
        <v>0</v>
      </c>
      <c r="J1879" s="358" t="str">
        <f>IFERROR(G1879/#REF!,"-")</f>
        <v>-</v>
      </c>
      <c r="K1879" s="339">
        <f t="shared" si="2454"/>
        <v>0</v>
      </c>
      <c r="L1879" s="281">
        <f t="shared" si="2455"/>
        <v>0</v>
      </c>
      <c r="M1879" s="442">
        <f t="shared" si="2456"/>
        <v>0</v>
      </c>
      <c r="N1879" s="343" t="str">
        <f t="shared" si="2457"/>
        <v>-</v>
      </c>
      <c r="O1879" s="268" t="str">
        <f>IFERROR(M1879/K1879,"-")</f>
        <v>-</v>
      </c>
    </row>
    <row r="1880" spans="1:15" ht="24" thickBot="1" x14ac:dyDescent="0.35">
      <c r="A1880" s="277" t="s">
        <v>111</v>
      </c>
      <c r="B1880" s="924"/>
      <c r="C1880" s="282" t="s">
        <v>255</v>
      </c>
      <c r="D1880" s="282" t="s">
        <v>256</v>
      </c>
      <c r="E1880" s="283">
        <v>0</v>
      </c>
      <c r="F1880" s="284"/>
      <c r="G1880" s="340">
        <f t="shared" si="2453"/>
        <v>0</v>
      </c>
      <c r="H1880" s="285">
        <v>0</v>
      </c>
      <c r="I1880" s="285">
        <v>0</v>
      </c>
      <c r="J1880" s="359" t="str">
        <f>IFERROR(G1880/#REF!,"-")</f>
        <v>-</v>
      </c>
      <c r="K1880" s="471">
        <f t="shared" si="2454"/>
        <v>105704</v>
      </c>
      <c r="L1880" s="472">
        <f t="shared" si="2455"/>
        <v>104016</v>
      </c>
      <c r="M1880" s="473">
        <f t="shared" si="2456"/>
        <v>1688</v>
      </c>
      <c r="N1880" s="344" t="str">
        <f t="shared" si="2457"/>
        <v>-</v>
      </c>
      <c r="O1880" s="350">
        <f t="shared" ref="O1880:O1898" si="2458">IFERROR(M1880/K1880,"-")</f>
        <v>1.5969121319912207E-2</v>
      </c>
    </row>
    <row r="1881" spans="1:15" ht="24" thickBot="1" x14ac:dyDescent="0.35">
      <c r="A1881" s="277" t="s">
        <v>111</v>
      </c>
      <c r="B1881" s="906" t="s">
        <v>47</v>
      </c>
      <c r="C1881" s="907"/>
      <c r="D1881" s="908"/>
      <c r="E1881" s="326">
        <v>144600</v>
      </c>
      <c r="F1881" s="289">
        <v>15000</v>
      </c>
      <c r="G1881" s="326">
        <f>SUM(G1877:G1880)</f>
        <v>0</v>
      </c>
      <c r="H1881" s="327">
        <f t="shared" ref="H1881:I1881" si="2459">SUM(H1877:H1880)</f>
        <v>0</v>
      </c>
      <c r="I1881" s="327">
        <f t="shared" si="2459"/>
        <v>0</v>
      </c>
      <c r="J1881" s="351" t="str">
        <f>IFERROR(G1881/#REF!,"-")</f>
        <v>-</v>
      </c>
      <c r="K1881" s="326">
        <f t="shared" ref="K1881:M1881" si="2460">SUM(K1877:K1880)</f>
        <v>105704</v>
      </c>
      <c r="L1881" s="327">
        <f t="shared" si="2460"/>
        <v>104016</v>
      </c>
      <c r="M1881" s="328">
        <f t="shared" si="2460"/>
        <v>1688</v>
      </c>
      <c r="N1881" s="345">
        <f>IFERROR(K1881/E1881,"-")</f>
        <v>0.7310096818810512</v>
      </c>
      <c r="O1881" s="351">
        <f t="shared" si="2458"/>
        <v>1.5969121319912207E-2</v>
      </c>
    </row>
    <row r="1882" spans="1:15" ht="23.4" x14ac:dyDescent="0.3">
      <c r="A1882" s="277" t="s">
        <v>111</v>
      </c>
      <c r="B1882" s="922" t="s">
        <v>17</v>
      </c>
      <c r="C1882" s="272" t="s">
        <v>331</v>
      </c>
      <c r="D1882" s="272"/>
      <c r="E1882" s="273">
        <v>0</v>
      </c>
      <c r="F1882" s="274"/>
      <c r="G1882" s="338">
        <f t="shared" ref="G1882:G1888" si="2461">+H1882+I1882</f>
        <v>0</v>
      </c>
      <c r="H1882" s="275">
        <v>0</v>
      </c>
      <c r="I1882" s="275">
        <v>0</v>
      </c>
      <c r="J1882" s="357" t="str">
        <f>IFERROR(G1882/#REF!,"-")</f>
        <v>-</v>
      </c>
      <c r="K1882" s="468">
        <f t="shared" ref="K1882:K1888" si="2462">+L1882+M1882</f>
        <v>0</v>
      </c>
      <c r="L1882" s="469">
        <f t="shared" ref="L1882:L1888" si="2463">+H1882+L1778</f>
        <v>0</v>
      </c>
      <c r="M1882" s="470">
        <f t="shared" ref="M1882:M1888" si="2464">+I1882+M1778</f>
        <v>0</v>
      </c>
      <c r="N1882" s="342" t="str">
        <f t="shared" ref="N1882:N1888" si="2465">IFERROR(K1882/E1882,"-")</f>
        <v>-</v>
      </c>
      <c r="O1882" s="352" t="str">
        <f t="shared" si="2458"/>
        <v>-</v>
      </c>
    </row>
    <row r="1883" spans="1:15" ht="23.4" x14ac:dyDescent="0.3">
      <c r="A1883" s="277" t="s">
        <v>111</v>
      </c>
      <c r="B1883" s="923"/>
      <c r="C1883" s="278" t="s">
        <v>421</v>
      </c>
      <c r="D1883" s="278" t="s">
        <v>257</v>
      </c>
      <c r="E1883" s="279">
        <v>0</v>
      </c>
      <c r="F1883" s="280"/>
      <c r="G1883" s="339">
        <f t="shared" si="2461"/>
        <v>159495</v>
      </c>
      <c r="H1883" s="281">
        <f>73440+85680</f>
        <v>159120</v>
      </c>
      <c r="I1883" s="281">
        <f>171+204</f>
        <v>375</v>
      </c>
      <c r="J1883" s="358" t="str">
        <f>IFERROR(G1883/#REF!,"-")</f>
        <v>-</v>
      </c>
      <c r="K1883" s="339">
        <f t="shared" si="2462"/>
        <v>1217769</v>
      </c>
      <c r="L1883" s="281">
        <f t="shared" si="2463"/>
        <v>1214063</v>
      </c>
      <c r="M1883" s="442">
        <f t="shared" si="2464"/>
        <v>3706</v>
      </c>
      <c r="N1883" s="343" t="str">
        <f t="shared" si="2465"/>
        <v>-</v>
      </c>
      <c r="O1883" s="264">
        <f t="shared" si="2458"/>
        <v>3.0432701111622975E-3</v>
      </c>
    </row>
    <row r="1884" spans="1:15" ht="23.4" x14ac:dyDescent="0.3">
      <c r="A1884" s="277" t="s">
        <v>111</v>
      </c>
      <c r="B1884" s="923"/>
      <c r="C1884" s="278" t="s">
        <v>290</v>
      </c>
      <c r="D1884" s="278" t="s">
        <v>205</v>
      </c>
      <c r="E1884" s="279">
        <v>0</v>
      </c>
      <c r="F1884" s="280"/>
      <c r="G1884" s="339">
        <f t="shared" si="2461"/>
        <v>0</v>
      </c>
      <c r="H1884" s="281">
        <v>0</v>
      </c>
      <c r="I1884" s="281">
        <v>0</v>
      </c>
      <c r="J1884" s="358" t="str">
        <f>IFERROR(G1884/#REF!,"-")</f>
        <v>-</v>
      </c>
      <c r="K1884" s="339">
        <f t="shared" si="2462"/>
        <v>0</v>
      </c>
      <c r="L1884" s="281">
        <f t="shared" si="2463"/>
        <v>0</v>
      </c>
      <c r="M1884" s="442">
        <f t="shared" si="2464"/>
        <v>0</v>
      </c>
      <c r="N1884" s="343" t="str">
        <f t="shared" si="2465"/>
        <v>-</v>
      </c>
      <c r="O1884" s="264" t="str">
        <f t="shared" si="2458"/>
        <v>-</v>
      </c>
    </row>
    <row r="1885" spans="1:15" ht="23.4" x14ac:dyDescent="0.3">
      <c r="A1885" s="277" t="s">
        <v>111</v>
      </c>
      <c r="B1885" s="923"/>
      <c r="C1885" s="278" t="s">
        <v>330</v>
      </c>
      <c r="D1885" s="278" t="s">
        <v>206</v>
      </c>
      <c r="E1885" s="279">
        <v>0</v>
      </c>
      <c r="F1885" s="280"/>
      <c r="G1885" s="339">
        <f t="shared" si="2461"/>
        <v>0</v>
      </c>
      <c r="H1885" s="281">
        <v>0</v>
      </c>
      <c r="I1885" s="281">
        <v>0</v>
      </c>
      <c r="J1885" s="358" t="str">
        <f>IFERROR(G1885/#REF!,"-")</f>
        <v>-</v>
      </c>
      <c r="K1885" s="339">
        <f t="shared" si="2462"/>
        <v>1836</v>
      </c>
      <c r="L1885" s="281">
        <f t="shared" si="2463"/>
        <v>1836</v>
      </c>
      <c r="M1885" s="442">
        <f t="shared" si="2464"/>
        <v>0</v>
      </c>
      <c r="N1885" s="343" t="str">
        <f t="shared" si="2465"/>
        <v>-</v>
      </c>
      <c r="O1885" s="264">
        <f t="shared" si="2458"/>
        <v>0</v>
      </c>
    </row>
    <row r="1886" spans="1:15" ht="23.4" x14ac:dyDescent="0.3">
      <c r="A1886" s="277" t="s">
        <v>111</v>
      </c>
      <c r="B1886" s="923"/>
      <c r="C1886" s="278" t="s">
        <v>377</v>
      </c>
      <c r="D1886" s="278" t="s">
        <v>371</v>
      </c>
      <c r="E1886" s="279">
        <v>0</v>
      </c>
      <c r="F1886" s="280"/>
      <c r="G1886" s="339">
        <f t="shared" si="2461"/>
        <v>0</v>
      </c>
      <c r="H1886" s="281">
        <v>0</v>
      </c>
      <c r="I1886" s="281">
        <v>0</v>
      </c>
      <c r="J1886" s="358" t="str">
        <f>IFERROR(G1886/#REF!,"-")</f>
        <v>-</v>
      </c>
      <c r="K1886" s="339">
        <f t="shared" si="2462"/>
        <v>10610</v>
      </c>
      <c r="L1886" s="281">
        <f t="shared" si="2463"/>
        <v>10610</v>
      </c>
      <c r="M1886" s="442">
        <f t="shared" si="2464"/>
        <v>0</v>
      </c>
      <c r="N1886" s="343" t="str">
        <f t="shared" si="2465"/>
        <v>-</v>
      </c>
      <c r="O1886" s="264">
        <f t="shared" si="2458"/>
        <v>0</v>
      </c>
    </row>
    <row r="1887" spans="1:15" ht="23.4" x14ac:dyDescent="0.3">
      <c r="A1887" s="277" t="s">
        <v>111</v>
      </c>
      <c r="B1887" s="923"/>
      <c r="C1887" s="278" t="s">
        <v>443</v>
      </c>
      <c r="D1887" s="278" t="s">
        <v>207</v>
      </c>
      <c r="E1887" s="279">
        <v>0</v>
      </c>
      <c r="F1887" s="280"/>
      <c r="G1887" s="339">
        <f t="shared" si="2461"/>
        <v>0</v>
      </c>
      <c r="H1887" s="281">
        <v>0</v>
      </c>
      <c r="I1887" s="281">
        <v>0</v>
      </c>
      <c r="J1887" s="358" t="str">
        <f>IFERROR(G1887/#REF!,"-")</f>
        <v>-</v>
      </c>
      <c r="K1887" s="339">
        <f t="shared" si="2462"/>
        <v>497100</v>
      </c>
      <c r="L1887" s="281">
        <f t="shared" si="2463"/>
        <v>495720</v>
      </c>
      <c r="M1887" s="442">
        <f t="shared" si="2464"/>
        <v>1380</v>
      </c>
      <c r="N1887" s="343" t="str">
        <f t="shared" si="2465"/>
        <v>-</v>
      </c>
      <c r="O1887" s="264">
        <f t="shared" si="2458"/>
        <v>2.776101388050694E-3</v>
      </c>
    </row>
    <row r="1888" spans="1:15" ht="24" thickBot="1" x14ac:dyDescent="0.35">
      <c r="A1888" s="277" t="s">
        <v>111</v>
      </c>
      <c r="B1888" s="924"/>
      <c r="C1888" s="282" t="s">
        <v>416</v>
      </c>
      <c r="D1888" s="282" t="s">
        <v>257</v>
      </c>
      <c r="E1888" s="283">
        <v>0</v>
      </c>
      <c r="F1888" s="284"/>
      <c r="G1888" s="340">
        <f t="shared" si="2461"/>
        <v>0</v>
      </c>
      <c r="H1888" s="285">
        <v>0</v>
      </c>
      <c r="I1888" s="285">
        <v>0</v>
      </c>
      <c r="J1888" s="359" t="str">
        <f>IFERROR(G1888/#REF!,"-")</f>
        <v>-</v>
      </c>
      <c r="K1888" s="471">
        <f t="shared" si="2462"/>
        <v>73650</v>
      </c>
      <c r="L1888" s="472">
        <f t="shared" si="2463"/>
        <v>73440</v>
      </c>
      <c r="M1888" s="473">
        <f t="shared" si="2464"/>
        <v>210</v>
      </c>
      <c r="N1888" s="344" t="str">
        <f t="shared" si="2465"/>
        <v>-</v>
      </c>
      <c r="O1888" s="353">
        <f t="shared" si="2458"/>
        <v>2.8513238289205704E-3</v>
      </c>
    </row>
    <row r="1889" spans="1:15" ht="24" thickBot="1" x14ac:dyDescent="0.35">
      <c r="A1889" s="277" t="s">
        <v>111</v>
      </c>
      <c r="B1889" s="906" t="s">
        <v>48</v>
      </c>
      <c r="C1889" s="907"/>
      <c r="D1889" s="908"/>
      <c r="E1889" s="326">
        <v>3480000</v>
      </c>
      <c r="F1889" s="289">
        <v>100000</v>
      </c>
      <c r="G1889" s="326">
        <f>SUM(G1882:G1888)</f>
        <v>159495</v>
      </c>
      <c r="H1889" s="327">
        <f t="shared" ref="H1889:I1889" si="2466">SUM(H1882:H1888)</f>
        <v>159120</v>
      </c>
      <c r="I1889" s="327">
        <f t="shared" si="2466"/>
        <v>375</v>
      </c>
      <c r="J1889" s="351" t="str">
        <f>IFERROR(G1889/#REF!,"-")</f>
        <v>-</v>
      </c>
      <c r="K1889" s="326">
        <f>SUM(K1882:K1888)</f>
        <v>1800965</v>
      </c>
      <c r="L1889" s="327">
        <f>SUM(L1882:L1888)</f>
        <v>1795669</v>
      </c>
      <c r="M1889" s="328">
        <f t="shared" ref="M1889" si="2467">SUM(M1882:M1888)</f>
        <v>5296</v>
      </c>
      <c r="N1889" s="345">
        <f>IFERROR(K1889/E1889,"-")</f>
        <v>0.51751867816091957</v>
      </c>
      <c r="O1889" s="351">
        <f t="shared" si="2458"/>
        <v>2.9406457093835805E-3</v>
      </c>
    </row>
    <row r="1890" spans="1:15" ht="23.4" x14ac:dyDescent="0.3">
      <c r="A1890" s="277" t="s">
        <v>111</v>
      </c>
      <c r="B1890" s="922" t="s">
        <v>18</v>
      </c>
      <c r="C1890" s="272" t="s">
        <v>359</v>
      </c>
      <c r="D1890" s="272" t="s">
        <v>99</v>
      </c>
      <c r="E1890" s="273">
        <v>0</v>
      </c>
      <c r="F1890" s="274"/>
      <c r="G1890" s="338">
        <f t="shared" ref="G1890:G1896" si="2468">+H1890+I1890</f>
        <v>0</v>
      </c>
      <c r="H1890" s="275">
        <v>0</v>
      </c>
      <c r="I1890" s="275">
        <v>0</v>
      </c>
      <c r="J1890" s="357" t="str">
        <f>IFERROR(G1890/#REF!,"-")</f>
        <v>-</v>
      </c>
      <c r="K1890" s="338">
        <f t="shared" ref="K1890:K1896" si="2469">+L1890+M1890</f>
        <v>0</v>
      </c>
      <c r="L1890" s="275">
        <f t="shared" ref="L1890:L1896" si="2470">+H1890+L1786</f>
        <v>0</v>
      </c>
      <c r="M1890" s="276">
        <f t="shared" ref="M1890:M1896" si="2471">+I1890+M1786</f>
        <v>0</v>
      </c>
      <c r="N1890" s="342" t="str">
        <f t="shared" ref="N1890:N1897" si="2472">IFERROR(K1890/E1890,"-")</f>
        <v>-</v>
      </c>
      <c r="O1890" s="352" t="str">
        <f t="shared" si="2458"/>
        <v>-</v>
      </c>
    </row>
    <row r="1891" spans="1:15" ht="23.4" x14ac:dyDescent="0.3">
      <c r="A1891" s="277" t="s">
        <v>111</v>
      </c>
      <c r="B1891" s="923"/>
      <c r="C1891" s="278" t="s">
        <v>258</v>
      </c>
      <c r="D1891" s="278" t="s">
        <v>259</v>
      </c>
      <c r="E1891" s="279">
        <v>0</v>
      </c>
      <c r="F1891" s="280"/>
      <c r="G1891" s="339">
        <f t="shared" si="2468"/>
        <v>0</v>
      </c>
      <c r="H1891" s="281">
        <v>0</v>
      </c>
      <c r="I1891" s="281">
        <v>0</v>
      </c>
      <c r="J1891" s="358" t="str">
        <f>IFERROR(G1891/#REF!,"-")</f>
        <v>-</v>
      </c>
      <c r="K1891" s="339">
        <f t="shared" si="2469"/>
        <v>0</v>
      </c>
      <c r="L1891" s="281">
        <f t="shared" si="2470"/>
        <v>0</v>
      </c>
      <c r="M1891" s="251">
        <f t="shared" si="2471"/>
        <v>0</v>
      </c>
      <c r="N1891" s="343" t="str">
        <f t="shared" si="2472"/>
        <v>-</v>
      </c>
      <c r="O1891" s="264" t="str">
        <f t="shared" si="2458"/>
        <v>-</v>
      </c>
    </row>
    <row r="1892" spans="1:15" ht="23.4" x14ac:dyDescent="0.3">
      <c r="A1892" s="277" t="s">
        <v>111</v>
      </c>
      <c r="B1892" s="923"/>
      <c r="C1892" s="278" t="s">
        <v>123</v>
      </c>
      <c r="D1892" s="278"/>
      <c r="E1892" s="279">
        <v>0</v>
      </c>
      <c r="F1892" s="280"/>
      <c r="G1892" s="339">
        <f t="shared" si="2468"/>
        <v>0</v>
      </c>
      <c r="H1892" s="281">
        <v>0</v>
      </c>
      <c r="I1892" s="281">
        <v>0</v>
      </c>
      <c r="J1892" s="358" t="str">
        <f>IFERROR(G1892/#REF!,"-")</f>
        <v>-</v>
      </c>
      <c r="K1892" s="339">
        <f t="shared" si="2469"/>
        <v>0</v>
      </c>
      <c r="L1892" s="281">
        <f t="shared" si="2470"/>
        <v>0</v>
      </c>
      <c r="M1892" s="251">
        <f t="shared" si="2471"/>
        <v>0</v>
      </c>
      <c r="N1892" s="343" t="str">
        <f t="shared" si="2472"/>
        <v>-</v>
      </c>
      <c r="O1892" s="264" t="str">
        <f t="shared" si="2458"/>
        <v>-</v>
      </c>
    </row>
    <row r="1893" spans="1:15" ht="23.4" x14ac:dyDescent="0.3">
      <c r="A1893" s="277" t="s">
        <v>111</v>
      </c>
      <c r="B1893" s="923"/>
      <c r="C1893" s="278" t="s">
        <v>130</v>
      </c>
      <c r="D1893" s="278"/>
      <c r="E1893" s="279">
        <v>0</v>
      </c>
      <c r="F1893" s="280"/>
      <c r="G1893" s="339">
        <f t="shared" si="2468"/>
        <v>0</v>
      </c>
      <c r="H1893" s="281">
        <v>0</v>
      </c>
      <c r="I1893" s="281">
        <v>0</v>
      </c>
      <c r="J1893" s="358" t="str">
        <f>IFERROR(G1893/#REF!,"-")</f>
        <v>-</v>
      </c>
      <c r="K1893" s="339">
        <f t="shared" si="2469"/>
        <v>0</v>
      </c>
      <c r="L1893" s="281">
        <f t="shared" si="2470"/>
        <v>0</v>
      </c>
      <c r="M1893" s="251">
        <f t="shared" si="2471"/>
        <v>0</v>
      </c>
      <c r="N1893" s="343" t="str">
        <f t="shared" si="2472"/>
        <v>-</v>
      </c>
      <c r="O1893" s="264" t="str">
        <f t="shared" si="2458"/>
        <v>-</v>
      </c>
    </row>
    <row r="1894" spans="1:15" ht="23.4" x14ac:dyDescent="0.3">
      <c r="A1894" s="277" t="s">
        <v>111</v>
      </c>
      <c r="B1894" s="923"/>
      <c r="C1894" s="278" t="s">
        <v>191</v>
      </c>
      <c r="D1894" s="278" t="s">
        <v>192</v>
      </c>
      <c r="E1894" s="279">
        <v>0</v>
      </c>
      <c r="F1894" s="280"/>
      <c r="G1894" s="339">
        <f t="shared" si="2468"/>
        <v>0</v>
      </c>
      <c r="H1894" s="281">
        <v>0</v>
      </c>
      <c r="I1894" s="281">
        <v>0</v>
      </c>
      <c r="J1894" s="358" t="str">
        <f>IFERROR(G1894/#REF!,"-")</f>
        <v>-</v>
      </c>
      <c r="K1894" s="339">
        <f t="shared" si="2469"/>
        <v>0</v>
      </c>
      <c r="L1894" s="281">
        <f t="shared" si="2470"/>
        <v>0</v>
      </c>
      <c r="M1894" s="251">
        <f t="shared" si="2471"/>
        <v>0</v>
      </c>
      <c r="N1894" s="343" t="str">
        <f t="shared" si="2472"/>
        <v>-</v>
      </c>
      <c r="O1894" s="264" t="str">
        <f t="shared" si="2458"/>
        <v>-</v>
      </c>
    </row>
    <row r="1895" spans="1:15" ht="23.4" x14ac:dyDescent="0.3">
      <c r="A1895" s="277" t="s">
        <v>111</v>
      </c>
      <c r="B1895" s="923"/>
      <c r="C1895" s="278" t="s">
        <v>194</v>
      </c>
      <c r="D1895" s="278" t="s">
        <v>193</v>
      </c>
      <c r="E1895" s="279">
        <v>0</v>
      </c>
      <c r="F1895" s="280"/>
      <c r="G1895" s="339">
        <f t="shared" si="2468"/>
        <v>0</v>
      </c>
      <c r="H1895" s="281">
        <v>0</v>
      </c>
      <c r="I1895" s="281">
        <v>0</v>
      </c>
      <c r="J1895" s="358" t="str">
        <f>IFERROR(G1895/#REF!,"-")</f>
        <v>-</v>
      </c>
      <c r="K1895" s="339">
        <f t="shared" si="2469"/>
        <v>0</v>
      </c>
      <c r="L1895" s="281">
        <f t="shared" si="2470"/>
        <v>0</v>
      </c>
      <c r="M1895" s="251">
        <f t="shared" si="2471"/>
        <v>0</v>
      </c>
      <c r="N1895" s="343" t="str">
        <f t="shared" si="2472"/>
        <v>-</v>
      </c>
      <c r="O1895" s="264" t="str">
        <f t="shared" si="2458"/>
        <v>-</v>
      </c>
    </row>
    <row r="1896" spans="1:15" ht="24" thickBot="1" x14ac:dyDescent="0.35">
      <c r="A1896" s="277" t="s">
        <v>111</v>
      </c>
      <c r="B1896" s="924"/>
      <c r="C1896" s="290" t="s">
        <v>195</v>
      </c>
      <c r="D1896" s="290" t="s">
        <v>115</v>
      </c>
      <c r="E1896" s="283">
        <v>0</v>
      </c>
      <c r="F1896" s="284"/>
      <c r="G1896" s="340">
        <f t="shared" si="2468"/>
        <v>0</v>
      </c>
      <c r="H1896" s="285">
        <v>0</v>
      </c>
      <c r="I1896" s="285">
        <v>0</v>
      </c>
      <c r="J1896" s="359" t="str">
        <f>IFERROR(G1896/#REF!,"-")</f>
        <v>-</v>
      </c>
      <c r="K1896" s="340">
        <f t="shared" si="2469"/>
        <v>0</v>
      </c>
      <c r="L1896" s="285">
        <f t="shared" si="2470"/>
        <v>0</v>
      </c>
      <c r="M1896" s="286">
        <f t="shared" si="2471"/>
        <v>0</v>
      </c>
      <c r="N1896" s="344" t="str">
        <f t="shared" si="2472"/>
        <v>-</v>
      </c>
      <c r="O1896" s="353" t="str">
        <f t="shared" si="2458"/>
        <v>-</v>
      </c>
    </row>
    <row r="1897" spans="1:15" ht="24" thickBot="1" x14ac:dyDescent="0.35">
      <c r="A1897" s="277" t="s">
        <v>111</v>
      </c>
      <c r="B1897" s="906" t="s">
        <v>29</v>
      </c>
      <c r="C1897" s="907"/>
      <c r="D1897" s="908"/>
      <c r="E1897" s="326">
        <f t="shared" ref="E1897" si="2473">SUM(E1890:E1896)</f>
        <v>0</v>
      </c>
      <c r="F1897" s="289">
        <v>80000</v>
      </c>
      <c r="G1897" s="326">
        <f>SUM(G1890:G1896)</f>
        <v>0</v>
      </c>
      <c r="H1897" s="327">
        <f t="shared" ref="H1897:I1897" si="2474">SUM(H1890:H1896)</f>
        <v>0</v>
      </c>
      <c r="I1897" s="327">
        <f t="shared" si="2474"/>
        <v>0</v>
      </c>
      <c r="J1897" s="351" t="str">
        <f>IFERROR(G1897/#REF!,"-")</f>
        <v>-</v>
      </c>
      <c r="K1897" s="326">
        <f t="shared" ref="K1897:M1897" si="2475">SUM(K1890:K1896)</f>
        <v>0</v>
      </c>
      <c r="L1897" s="327">
        <f t="shared" si="2475"/>
        <v>0</v>
      </c>
      <c r="M1897" s="328">
        <f t="shared" si="2475"/>
        <v>0</v>
      </c>
      <c r="N1897" s="345" t="str">
        <f t="shared" si="2472"/>
        <v>-</v>
      </c>
      <c r="O1897" s="351" t="str">
        <f t="shared" si="2458"/>
        <v>-</v>
      </c>
    </row>
    <row r="1898" spans="1:15" ht="23.4" x14ac:dyDescent="0.3">
      <c r="A1898" s="252" t="s">
        <v>111</v>
      </c>
      <c r="B1898" s="918" t="s">
        <v>19</v>
      </c>
      <c r="C1898" s="757" t="s">
        <v>260</v>
      </c>
      <c r="D1898" s="771" t="s">
        <v>192</v>
      </c>
      <c r="E1898" s="540">
        <v>2000000</v>
      </c>
      <c r="F1898" s="470">
        <v>110000</v>
      </c>
      <c r="G1898" s="770">
        <f t="shared" ref="G1898:G1900" si="2476">+H1898+I1898</f>
        <v>0</v>
      </c>
      <c r="H1898" s="469">
        <v>0</v>
      </c>
      <c r="I1898" s="469">
        <v>0</v>
      </c>
      <c r="J1898" s="544" t="str">
        <f>IFERROR(G1898/#REF!,"-")</f>
        <v>-</v>
      </c>
      <c r="K1898" s="468">
        <f>+L1898+M1898</f>
        <v>329781</v>
      </c>
      <c r="L1898" s="469">
        <f t="shared" ref="L1898:L1899" si="2477">+H1898+L1794</f>
        <v>328118</v>
      </c>
      <c r="M1898" s="470">
        <f t="shared" ref="M1898:M1899" si="2478">+I1898+M1794</f>
        <v>1663</v>
      </c>
      <c r="N1898" s="775">
        <f>IFERROR(K1898/E1898,"-")</f>
        <v>0.1648905</v>
      </c>
      <c r="O1898" s="776">
        <f t="shared" si="2458"/>
        <v>5.0427404853524002E-3</v>
      </c>
    </row>
    <row r="1899" spans="1:15" ht="23.4" x14ac:dyDescent="0.3">
      <c r="A1899" s="252"/>
      <c r="B1899" s="919"/>
      <c r="C1899" s="302" t="s">
        <v>458</v>
      </c>
      <c r="D1899" s="772"/>
      <c r="E1899" s="755">
        <v>0</v>
      </c>
      <c r="F1899" s="441">
        <v>110000</v>
      </c>
      <c r="G1899" s="756">
        <f t="shared" si="2476"/>
        <v>50904</v>
      </c>
      <c r="H1899" s="275">
        <v>50688</v>
      </c>
      <c r="I1899" s="275">
        <v>216</v>
      </c>
      <c r="J1899" s="357" t="str">
        <f>IFERROR(G1899/#REF!,"-")</f>
        <v>-</v>
      </c>
      <c r="K1899" s="341">
        <f>+L1899+M1899</f>
        <v>525901</v>
      </c>
      <c r="L1899" s="295">
        <f t="shared" si="2477"/>
        <v>523776</v>
      </c>
      <c r="M1899" s="774">
        <f t="shared" si="2478"/>
        <v>2125</v>
      </c>
      <c r="N1899" s="346" t="str">
        <f t="shared" ref="N1899:N1900" si="2479">IFERROR(K1899/E1899,"-")</f>
        <v>-</v>
      </c>
      <c r="O1899" s="753">
        <f>IFERROR(M1899/K1899,"-")</f>
        <v>4.0406844634256261E-3</v>
      </c>
    </row>
    <row r="1900" spans="1:15" ht="24" thickBot="1" x14ac:dyDescent="0.35">
      <c r="A1900" s="252"/>
      <c r="B1900" s="920"/>
      <c r="C1900" s="679" t="s">
        <v>417</v>
      </c>
      <c r="D1900" s="773"/>
      <c r="E1900" s="472">
        <v>150000</v>
      </c>
      <c r="F1900" s="473">
        <v>110000</v>
      </c>
      <c r="G1900" s="607">
        <f t="shared" si="2476"/>
        <v>0</v>
      </c>
      <c r="H1900" s="285">
        <v>0</v>
      </c>
      <c r="I1900" s="285">
        <v>0</v>
      </c>
      <c r="J1900" s="359"/>
      <c r="K1900" s="471">
        <f>+L1900+M1900</f>
        <v>0</v>
      </c>
      <c r="L1900" s="472">
        <f>+H1900+L1796</f>
        <v>0</v>
      </c>
      <c r="M1900" s="473">
        <f>+I1900+M1796</f>
        <v>0</v>
      </c>
      <c r="N1900" s="344">
        <f t="shared" si="2479"/>
        <v>0</v>
      </c>
      <c r="O1900" s="680" t="str">
        <f t="shared" ref="O1900:O1948" si="2480">IFERROR(M1900/K1900,"-")</f>
        <v>-</v>
      </c>
    </row>
    <row r="1901" spans="1:15" ht="24" thickBot="1" x14ac:dyDescent="0.35">
      <c r="A1901" s="277" t="s">
        <v>111</v>
      </c>
      <c r="B1901" s="921" t="s">
        <v>49</v>
      </c>
      <c r="C1901" s="907"/>
      <c r="D1901" s="908"/>
      <c r="E1901" s="326">
        <f>SUM(E1898:E1900)</f>
        <v>2150000</v>
      </c>
      <c r="F1901" s="329">
        <f t="shared" ref="F1901" si="2481">SUM(F1898)</f>
        <v>110000</v>
      </c>
      <c r="G1901" s="326">
        <f>SUM(G1898)</f>
        <v>0</v>
      </c>
      <c r="H1901" s="327">
        <f>SUM(H1898:H1900)</f>
        <v>50688</v>
      </c>
      <c r="I1901" s="327">
        <f>SUM(I1898:I1900)</f>
        <v>216</v>
      </c>
      <c r="J1901" s="351" t="str">
        <f>IFERROR(G1901/#REF!,"-")</f>
        <v>-</v>
      </c>
      <c r="K1901" s="681">
        <f>SUM(K1898:K1899)</f>
        <v>855682</v>
      </c>
      <c r="L1901" s="327">
        <f>SUM(L1898:L1899)</f>
        <v>851894</v>
      </c>
      <c r="M1901" s="328">
        <f>SUM(M1898:M1899)</f>
        <v>3788</v>
      </c>
      <c r="N1901" s="345">
        <f>IFERROR(K1901/E1901,"-")</f>
        <v>0.39799162790697673</v>
      </c>
      <c r="O1901" s="351">
        <f t="shared" si="2480"/>
        <v>4.4268782094282685E-3</v>
      </c>
    </row>
    <row r="1902" spans="1:15" ht="23.4" x14ac:dyDescent="0.3">
      <c r="A1902" s="277" t="s">
        <v>111</v>
      </c>
      <c r="B1902" s="922" t="s">
        <v>20</v>
      </c>
      <c r="C1902" s="297" t="s">
        <v>370</v>
      </c>
      <c r="D1902" s="297" t="s">
        <v>324</v>
      </c>
      <c r="E1902" s="273">
        <v>0</v>
      </c>
      <c r="F1902" s="274"/>
      <c r="G1902" s="338">
        <f t="shared" ref="G1902:G1904" si="2482">+H1902+I1902</f>
        <v>0</v>
      </c>
      <c r="H1902" s="275">
        <v>0</v>
      </c>
      <c r="I1902" s="275">
        <v>0</v>
      </c>
      <c r="J1902" s="357" t="str">
        <f>IFERROR(G1902/#REF!,"-")</f>
        <v>-</v>
      </c>
      <c r="K1902" s="338">
        <f t="shared" ref="K1902:K1904" si="2483">+L1902+M1902</f>
        <v>0</v>
      </c>
      <c r="L1902" s="275">
        <f t="shared" ref="L1902:L1904" si="2484">+H1902+L1798</f>
        <v>0</v>
      </c>
      <c r="M1902" s="276">
        <f t="shared" ref="M1902:M1904" si="2485">+I1902+M1798</f>
        <v>0</v>
      </c>
      <c r="N1902" s="342" t="str">
        <f t="shared" ref="N1902:N1905" si="2486">IFERROR(K1902/E1902,"-")</f>
        <v>-</v>
      </c>
      <c r="O1902" s="352" t="str">
        <f t="shared" si="2480"/>
        <v>-</v>
      </c>
    </row>
    <row r="1903" spans="1:15" ht="23.4" x14ac:dyDescent="0.3">
      <c r="A1903" s="277" t="s">
        <v>111</v>
      </c>
      <c r="B1903" s="923"/>
      <c r="C1903" s="298" t="s">
        <v>122</v>
      </c>
      <c r="D1903" s="298"/>
      <c r="E1903" s="279">
        <v>0</v>
      </c>
      <c r="F1903" s="280"/>
      <c r="G1903" s="339">
        <f t="shared" si="2482"/>
        <v>0</v>
      </c>
      <c r="H1903" s="281">
        <v>0</v>
      </c>
      <c r="I1903" s="281">
        <v>0</v>
      </c>
      <c r="J1903" s="358" t="str">
        <f>IFERROR(G1903/#REF!,"-")</f>
        <v>-</v>
      </c>
      <c r="K1903" s="339">
        <f t="shared" si="2483"/>
        <v>0</v>
      </c>
      <c r="L1903" s="281">
        <f t="shared" si="2484"/>
        <v>0</v>
      </c>
      <c r="M1903" s="251">
        <f t="shared" si="2485"/>
        <v>0</v>
      </c>
      <c r="N1903" s="343" t="str">
        <f t="shared" si="2486"/>
        <v>-</v>
      </c>
      <c r="O1903" s="264" t="str">
        <f t="shared" si="2480"/>
        <v>-</v>
      </c>
    </row>
    <row r="1904" spans="1:15" ht="24" thickBot="1" x14ac:dyDescent="0.35">
      <c r="A1904" s="277" t="s">
        <v>111</v>
      </c>
      <c r="B1904" s="924"/>
      <c r="C1904" s="299" t="s">
        <v>128</v>
      </c>
      <c r="D1904" s="299"/>
      <c r="E1904" s="283">
        <v>0</v>
      </c>
      <c r="F1904" s="284"/>
      <c r="G1904" s="340">
        <f t="shared" si="2482"/>
        <v>0</v>
      </c>
      <c r="H1904" s="285">
        <v>0</v>
      </c>
      <c r="I1904" s="285">
        <v>0</v>
      </c>
      <c r="J1904" s="359" t="str">
        <f>IFERROR(G1904/#REF!,"-")</f>
        <v>-</v>
      </c>
      <c r="K1904" s="340">
        <f t="shared" si="2483"/>
        <v>0</v>
      </c>
      <c r="L1904" s="285">
        <f t="shared" si="2484"/>
        <v>0</v>
      </c>
      <c r="M1904" s="286">
        <f t="shared" si="2485"/>
        <v>0</v>
      </c>
      <c r="N1904" s="344" t="str">
        <f t="shared" si="2486"/>
        <v>-</v>
      </c>
      <c r="O1904" s="353" t="str">
        <f t="shared" si="2480"/>
        <v>-</v>
      </c>
    </row>
    <row r="1905" spans="1:15" ht="24" thickBot="1" x14ac:dyDescent="0.35">
      <c r="A1905" s="277" t="s">
        <v>111</v>
      </c>
      <c r="B1905" s="907" t="s">
        <v>50</v>
      </c>
      <c r="C1905" s="907"/>
      <c r="D1905" s="925"/>
      <c r="E1905" s="326">
        <f t="shared" ref="E1905" si="2487">SUM(E1902:E1904)</f>
        <v>0</v>
      </c>
      <c r="F1905" s="289">
        <v>50000</v>
      </c>
      <c r="G1905" s="326">
        <f>SUM(G1902:G1904)</f>
        <v>0</v>
      </c>
      <c r="H1905" s="327">
        <f t="shared" ref="H1905:I1905" si="2488">SUM(H1902:H1904)</f>
        <v>0</v>
      </c>
      <c r="I1905" s="327">
        <f t="shared" si="2488"/>
        <v>0</v>
      </c>
      <c r="J1905" s="351" t="str">
        <f>IFERROR(G1905/#REF!,"-")</f>
        <v>-</v>
      </c>
      <c r="K1905" s="326">
        <f t="shared" ref="K1905:M1905" si="2489">SUM(K1902:K1904)</f>
        <v>0</v>
      </c>
      <c r="L1905" s="327">
        <f t="shared" si="2489"/>
        <v>0</v>
      </c>
      <c r="M1905" s="328">
        <f t="shared" si="2489"/>
        <v>0</v>
      </c>
      <c r="N1905" s="345" t="str">
        <f t="shared" si="2486"/>
        <v>-</v>
      </c>
      <c r="O1905" s="351" t="str">
        <f t="shared" si="2480"/>
        <v>-</v>
      </c>
    </row>
    <row r="1906" spans="1:15" ht="24" thickBot="1" x14ac:dyDescent="0.35">
      <c r="A1906" s="277" t="s">
        <v>111</v>
      </c>
      <c r="B1906" s="926" t="s">
        <v>21</v>
      </c>
      <c r="C1906" s="927"/>
      <c r="D1906" s="928"/>
      <c r="E1906" s="332">
        <f>+E1881+E1889+E1897+E1901+E1905</f>
        <v>5774600</v>
      </c>
      <c r="F1906" s="333">
        <f>+F1881+F1889+F1897+F1901+F1905</f>
        <v>355000</v>
      </c>
      <c r="G1906" s="332">
        <f>+G1881+G1889+G1897+G1901+G1905</f>
        <v>159495</v>
      </c>
      <c r="H1906" s="330">
        <f>+H1881+H1889+H1897+H1901+H1905</f>
        <v>209808</v>
      </c>
      <c r="I1906" s="330">
        <f>+I1881+I1889+I1897+I1901+I1905</f>
        <v>591</v>
      </c>
      <c r="J1906" s="355" t="str">
        <f>IFERROR(G1906/#REF!,"-")</f>
        <v>-</v>
      </c>
      <c r="K1906" s="332">
        <f>+K1881+K1889+K1897+K1901+K1905</f>
        <v>2762351</v>
      </c>
      <c r="L1906" s="330">
        <f>+L1881+L1889+L1897+L1901+L1905</f>
        <v>2751579</v>
      </c>
      <c r="M1906" s="331">
        <f>+M1881+M1889+M1897+M1901+M1905</f>
        <v>10772</v>
      </c>
      <c r="N1906" s="347">
        <f>IFERROR(K1906/E1906,"-")</f>
        <v>0.47836231080940672</v>
      </c>
      <c r="O1906" s="355">
        <f t="shared" si="2480"/>
        <v>3.8995768459547681E-3</v>
      </c>
    </row>
    <row r="1907" spans="1:15" ht="23.4" x14ac:dyDescent="0.3">
      <c r="A1907" s="277" t="s">
        <v>111</v>
      </c>
      <c r="B1907" s="922" t="s">
        <v>22</v>
      </c>
      <c r="C1907" s="272" t="s">
        <v>133</v>
      </c>
      <c r="D1907" s="272"/>
      <c r="E1907" s="273">
        <v>0</v>
      </c>
      <c r="F1907" s="274"/>
      <c r="G1907" s="338">
        <f t="shared" ref="G1907:G1910" si="2490">+H1907+I1907</f>
        <v>0</v>
      </c>
      <c r="H1907" s="275">
        <v>0</v>
      </c>
      <c r="I1907" s="275">
        <v>0</v>
      </c>
      <c r="J1907" s="357" t="str">
        <f>IFERROR(G1907/#REF!,"-")</f>
        <v>-</v>
      </c>
      <c r="K1907" s="338">
        <f t="shared" ref="K1907:K1910" si="2491">+L1907+M1907</f>
        <v>0</v>
      </c>
      <c r="L1907" s="275">
        <f t="shared" ref="L1907:L1910" si="2492">+H1907+L1803</f>
        <v>0</v>
      </c>
      <c r="M1907" s="276">
        <f t="shared" ref="M1907:M1910" si="2493">+I1907+M1803</f>
        <v>0</v>
      </c>
      <c r="N1907" s="342" t="str">
        <f t="shared" ref="N1907:N1921" si="2494">IFERROR(K1907/E1907,"-")</f>
        <v>-</v>
      </c>
      <c r="O1907" s="352" t="str">
        <f t="shared" si="2480"/>
        <v>-</v>
      </c>
    </row>
    <row r="1908" spans="1:15" ht="23.4" x14ac:dyDescent="0.3">
      <c r="A1908" s="277" t="s">
        <v>111</v>
      </c>
      <c r="B1908" s="923"/>
      <c r="C1908" s="301" t="s">
        <v>291</v>
      </c>
      <c r="D1908" s="301" t="s">
        <v>196</v>
      </c>
      <c r="E1908" s="279">
        <v>0</v>
      </c>
      <c r="F1908" s="280"/>
      <c r="G1908" s="339">
        <f t="shared" si="2490"/>
        <v>0</v>
      </c>
      <c r="H1908" s="281">
        <v>0</v>
      </c>
      <c r="I1908" s="281">
        <v>0</v>
      </c>
      <c r="J1908" s="358" t="str">
        <f>IFERROR(G1908/#REF!,"-")</f>
        <v>-</v>
      </c>
      <c r="K1908" s="339">
        <f t="shared" si="2491"/>
        <v>0</v>
      </c>
      <c r="L1908" s="281">
        <f t="shared" si="2492"/>
        <v>0</v>
      </c>
      <c r="M1908" s="251">
        <f t="shared" si="2493"/>
        <v>0</v>
      </c>
      <c r="N1908" s="343" t="str">
        <f t="shared" si="2494"/>
        <v>-</v>
      </c>
      <c r="O1908" s="264" t="str">
        <f t="shared" si="2480"/>
        <v>-</v>
      </c>
    </row>
    <row r="1909" spans="1:15" ht="23.4" x14ac:dyDescent="0.3">
      <c r="A1909" s="277" t="s">
        <v>111</v>
      </c>
      <c r="B1909" s="923"/>
      <c r="C1909" s="301" t="s">
        <v>473</v>
      </c>
      <c r="D1909" s="301" t="s">
        <v>196</v>
      </c>
      <c r="E1909" s="279">
        <v>1000000</v>
      </c>
      <c r="F1909" s="280"/>
      <c r="G1909" s="339">
        <f t="shared" si="2490"/>
        <v>39687</v>
      </c>
      <c r="H1909" s="281">
        <v>39600</v>
      </c>
      <c r="I1909" s="281">
        <v>87</v>
      </c>
      <c r="J1909" s="358" t="str">
        <f>IFERROR(G1909/#REF!,"-")</f>
        <v>-</v>
      </c>
      <c r="K1909" s="339">
        <f t="shared" si="2491"/>
        <v>343152</v>
      </c>
      <c r="L1909" s="281">
        <f t="shared" si="2492"/>
        <v>342540</v>
      </c>
      <c r="M1909" s="251">
        <f t="shared" si="2493"/>
        <v>612</v>
      </c>
      <c r="N1909" s="343">
        <f t="shared" si="2494"/>
        <v>0.34315200000000001</v>
      </c>
      <c r="O1909" s="264">
        <f t="shared" si="2480"/>
        <v>1.7834662190516156E-3</v>
      </c>
    </row>
    <row r="1910" spans="1:15" ht="24" thickBot="1" x14ac:dyDescent="0.35">
      <c r="A1910" s="277" t="s">
        <v>111</v>
      </c>
      <c r="B1910" s="924"/>
      <c r="C1910" s="282" t="s">
        <v>197</v>
      </c>
      <c r="D1910" s="282" t="s">
        <v>100</v>
      </c>
      <c r="E1910" s="283">
        <v>0</v>
      </c>
      <c r="F1910" s="284"/>
      <c r="G1910" s="340">
        <f t="shared" si="2490"/>
        <v>0</v>
      </c>
      <c r="H1910" s="285">
        <v>0</v>
      </c>
      <c r="I1910" s="285">
        <v>0</v>
      </c>
      <c r="J1910" s="359" t="str">
        <f>IFERROR(G1910/#REF!,"-")</f>
        <v>-</v>
      </c>
      <c r="K1910" s="340">
        <f t="shared" si="2491"/>
        <v>0</v>
      </c>
      <c r="L1910" s="285">
        <f t="shared" si="2492"/>
        <v>0</v>
      </c>
      <c r="M1910" s="286">
        <f t="shared" si="2493"/>
        <v>0</v>
      </c>
      <c r="N1910" s="344" t="str">
        <f t="shared" si="2494"/>
        <v>-</v>
      </c>
      <c r="O1910" s="353" t="str">
        <f t="shared" si="2480"/>
        <v>-</v>
      </c>
    </row>
    <row r="1911" spans="1:15" ht="24" thickBot="1" x14ac:dyDescent="0.35">
      <c r="A1911" s="277" t="s">
        <v>111</v>
      </c>
      <c r="B1911" s="906" t="s">
        <v>51</v>
      </c>
      <c r="C1911" s="907"/>
      <c r="D1911" s="908"/>
      <c r="E1911" s="288">
        <f>SUM(E1907:E1910)</f>
        <v>1000000</v>
      </c>
      <c r="F1911" s="289">
        <v>80000</v>
      </c>
      <c r="G1911" s="326">
        <f>SUM(G1907:G1910)</f>
        <v>39687</v>
      </c>
      <c r="H1911" s="327">
        <f t="shared" ref="H1911:I1911" si="2495">SUM(H1907:H1910)</f>
        <v>39600</v>
      </c>
      <c r="I1911" s="327">
        <f t="shared" si="2495"/>
        <v>87</v>
      </c>
      <c r="J1911" s="351" t="str">
        <f>IFERROR(G1911/#REF!,"-")</f>
        <v>-</v>
      </c>
      <c r="K1911" s="326">
        <f t="shared" ref="K1911:M1911" si="2496">SUM(K1907:K1910)</f>
        <v>343152</v>
      </c>
      <c r="L1911" s="327">
        <f t="shared" si="2496"/>
        <v>342540</v>
      </c>
      <c r="M1911" s="328">
        <f t="shared" si="2496"/>
        <v>612</v>
      </c>
      <c r="N1911" s="345">
        <f t="shared" si="2494"/>
        <v>0.34315200000000001</v>
      </c>
      <c r="O1911" s="351">
        <f t="shared" si="2480"/>
        <v>1.7834662190516156E-3</v>
      </c>
    </row>
    <row r="1912" spans="1:15" ht="23.4" x14ac:dyDescent="0.3">
      <c r="A1912" s="277" t="s">
        <v>111</v>
      </c>
      <c r="B1912" s="922" t="s">
        <v>23</v>
      </c>
      <c r="C1912" s="302" t="s">
        <v>348</v>
      </c>
      <c r="D1912" s="302" t="s">
        <v>263</v>
      </c>
      <c r="E1912" s="273">
        <v>0</v>
      </c>
      <c r="F1912" s="274"/>
      <c r="G1912" s="338">
        <f t="shared" ref="G1912:G1919" si="2497">+H1912+I1912</f>
        <v>0</v>
      </c>
      <c r="H1912" s="275">
        <v>0</v>
      </c>
      <c r="I1912" s="275">
        <v>0</v>
      </c>
      <c r="J1912" s="357" t="str">
        <f>IFERROR(G1912/#REF!,"-")</f>
        <v>-</v>
      </c>
      <c r="K1912" s="338">
        <f t="shared" ref="K1912:K1919" si="2498">+L1912+M1912</f>
        <v>0</v>
      </c>
      <c r="L1912" s="275">
        <f t="shared" ref="L1912:L1919" si="2499">+H1912+L1808</f>
        <v>0</v>
      </c>
      <c r="M1912" s="276">
        <f t="shared" ref="M1912:M1919" si="2500">+I1912+M1808</f>
        <v>0</v>
      </c>
      <c r="N1912" s="342" t="str">
        <f t="shared" si="2494"/>
        <v>-</v>
      </c>
      <c r="O1912" s="352" t="str">
        <f t="shared" si="2480"/>
        <v>-</v>
      </c>
    </row>
    <row r="1913" spans="1:15" ht="23.4" x14ac:dyDescent="0.3">
      <c r="A1913" s="277" t="s">
        <v>111</v>
      </c>
      <c r="B1913" s="923"/>
      <c r="C1913" s="278" t="s">
        <v>24</v>
      </c>
      <c r="D1913" s="278" t="s">
        <v>263</v>
      </c>
      <c r="E1913" s="279">
        <v>0</v>
      </c>
      <c r="F1913" s="280"/>
      <c r="G1913" s="339">
        <f t="shared" si="2497"/>
        <v>0</v>
      </c>
      <c r="H1913" s="281">
        <v>0</v>
      </c>
      <c r="I1913" s="281">
        <v>0</v>
      </c>
      <c r="J1913" s="358" t="str">
        <f>IFERROR(G1913/#REF!,"-")</f>
        <v>-</v>
      </c>
      <c r="K1913" s="339">
        <f t="shared" si="2498"/>
        <v>113483</v>
      </c>
      <c r="L1913" s="281">
        <f t="shared" si="2499"/>
        <v>112404</v>
      </c>
      <c r="M1913" s="251">
        <f t="shared" si="2500"/>
        <v>1079</v>
      </c>
      <c r="N1913" s="343" t="str">
        <f t="shared" si="2494"/>
        <v>-</v>
      </c>
      <c r="O1913" s="264">
        <f t="shared" si="2480"/>
        <v>9.508032040041239E-3</v>
      </c>
    </row>
    <row r="1914" spans="1:15" ht="23.4" x14ac:dyDescent="0.3">
      <c r="A1914" s="277" t="s">
        <v>111</v>
      </c>
      <c r="B1914" s="923"/>
      <c r="C1914" s="278" t="s">
        <v>261</v>
      </c>
      <c r="D1914" s="278" t="s">
        <v>263</v>
      </c>
      <c r="E1914" s="279">
        <v>0</v>
      </c>
      <c r="F1914" s="280"/>
      <c r="G1914" s="339">
        <f t="shared" si="2497"/>
        <v>0</v>
      </c>
      <c r="H1914" s="281">
        <v>0</v>
      </c>
      <c r="I1914" s="281">
        <v>0</v>
      </c>
      <c r="J1914" s="358" t="str">
        <f>IFERROR(G1914/#REF!,"-")</f>
        <v>-</v>
      </c>
      <c r="K1914" s="339">
        <f t="shared" si="2498"/>
        <v>11048</v>
      </c>
      <c r="L1914" s="281">
        <f t="shared" si="2499"/>
        <v>10901</v>
      </c>
      <c r="M1914" s="251">
        <f t="shared" si="2500"/>
        <v>147</v>
      </c>
      <c r="N1914" s="343" t="str">
        <f t="shared" si="2494"/>
        <v>-</v>
      </c>
      <c r="O1914" s="264">
        <f t="shared" si="2480"/>
        <v>1.330557566980449E-2</v>
      </c>
    </row>
    <row r="1915" spans="1:15" ht="23.4" x14ac:dyDescent="0.3">
      <c r="A1915" s="277" t="s">
        <v>111</v>
      </c>
      <c r="B1915" s="923"/>
      <c r="C1915" s="278" t="s">
        <v>262</v>
      </c>
      <c r="D1915" s="278" t="s">
        <v>263</v>
      </c>
      <c r="E1915" s="279">
        <v>0</v>
      </c>
      <c r="F1915" s="280"/>
      <c r="G1915" s="339">
        <f t="shared" si="2497"/>
        <v>0</v>
      </c>
      <c r="H1915" s="281">
        <v>0</v>
      </c>
      <c r="I1915" s="281">
        <v>0</v>
      </c>
      <c r="J1915" s="358" t="str">
        <f>IFERROR(G1915/#REF!,"-")</f>
        <v>-</v>
      </c>
      <c r="K1915" s="339">
        <f t="shared" si="2498"/>
        <v>7672</v>
      </c>
      <c r="L1915" s="281">
        <f t="shared" si="2499"/>
        <v>7612</v>
      </c>
      <c r="M1915" s="251">
        <f t="shared" si="2500"/>
        <v>60</v>
      </c>
      <c r="N1915" s="343" t="str">
        <f t="shared" si="2494"/>
        <v>-</v>
      </c>
      <c r="O1915" s="264">
        <f t="shared" si="2480"/>
        <v>7.8206465067778945E-3</v>
      </c>
    </row>
    <row r="1916" spans="1:15" ht="23.4" x14ac:dyDescent="0.3">
      <c r="A1916" s="277" t="s">
        <v>111</v>
      </c>
      <c r="B1916" s="923"/>
      <c r="C1916" s="301" t="s">
        <v>264</v>
      </c>
      <c r="D1916" s="278" t="s">
        <v>263</v>
      </c>
      <c r="E1916" s="279">
        <v>0</v>
      </c>
      <c r="F1916" s="280"/>
      <c r="G1916" s="339">
        <f t="shared" si="2497"/>
        <v>0</v>
      </c>
      <c r="H1916" s="281">
        <v>0</v>
      </c>
      <c r="I1916" s="281">
        <v>0</v>
      </c>
      <c r="J1916" s="358" t="str">
        <f>IFERROR(G1916/#REF!,"-")</f>
        <v>-</v>
      </c>
      <c r="K1916" s="339">
        <f t="shared" si="2498"/>
        <v>0</v>
      </c>
      <c r="L1916" s="281">
        <f t="shared" si="2499"/>
        <v>0</v>
      </c>
      <c r="M1916" s="251">
        <f t="shared" si="2500"/>
        <v>0</v>
      </c>
      <c r="N1916" s="343" t="str">
        <f t="shared" si="2494"/>
        <v>-</v>
      </c>
      <c r="O1916" s="264" t="str">
        <f t="shared" si="2480"/>
        <v>-</v>
      </c>
    </row>
    <row r="1917" spans="1:15" ht="23.4" x14ac:dyDescent="0.3">
      <c r="A1917" s="277" t="s">
        <v>111</v>
      </c>
      <c r="B1917" s="923"/>
      <c r="C1917" s="301" t="s">
        <v>265</v>
      </c>
      <c r="D1917" s="278" t="s">
        <v>263</v>
      </c>
      <c r="E1917" s="279">
        <v>0</v>
      </c>
      <c r="F1917" s="280"/>
      <c r="G1917" s="339">
        <f t="shared" si="2497"/>
        <v>0</v>
      </c>
      <c r="H1917" s="281">
        <v>0</v>
      </c>
      <c r="I1917" s="281">
        <v>0</v>
      </c>
      <c r="J1917" s="358" t="str">
        <f>IFERROR(G1917/#REF!,"-")</f>
        <v>-</v>
      </c>
      <c r="K1917" s="339">
        <f t="shared" si="2498"/>
        <v>0</v>
      </c>
      <c r="L1917" s="281">
        <f t="shared" si="2499"/>
        <v>0</v>
      </c>
      <c r="M1917" s="251">
        <f t="shared" si="2500"/>
        <v>0</v>
      </c>
      <c r="N1917" s="343" t="str">
        <f t="shared" si="2494"/>
        <v>-</v>
      </c>
      <c r="O1917" s="264" t="str">
        <f t="shared" si="2480"/>
        <v>-</v>
      </c>
    </row>
    <row r="1918" spans="1:15" ht="23.4" x14ac:dyDescent="0.3">
      <c r="A1918" s="277" t="s">
        <v>111</v>
      </c>
      <c r="B1918" s="923"/>
      <c r="C1918" s="301" t="s">
        <v>266</v>
      </c>
      <c r="D1918" s="278" t="s">
        <v>268</v>
      </c>
      <c r="E1918" s="279">
        <v>0</v>
      </c>
      <c r="F1918" s="280"/>
      <c r="G1918" s="339">
        <f t="shared" si="2497"/>
        <v>0</v>
      </c>
      <c r="H1918" s="281">
        <v>0</v>
      </c>
      <c r="I1918" s="281">
        <v>0</v>
      </c>
      <c r="J1918" s="358" t="str">
        <f>IFERROR(G1918/#REF!,"-")</f>
        <v>-</v>
      </c>
      <c r="K1918" s="339">
        <f t="shared" si="2498"/>
        <v>10464</v>
      </c>
      <c r="L1918" s="281">
        <f t="shared" si="2499"/>
        <v>10417</v>
      </c>
      <c r="M1918" s="251">
        <f t="shared" si="2500"/>
        <v>47</v>
      </c>
      <c r="N1918" s="343" t="str">
        <f t="shared" si="2494"/>
        <v>-</v>
      </c>
      <c r="O1918" s="264">
        <f t="shared" si="2480"/>
        <v>4.491590214067278E-3</v>
      </c>
    </row>
    <row r="1919" spans="1:15" ht="24" thickBot="1" x14ac:dyDescent="0.35">
      <c r="A1919" s="277" t="s">
        <v>111</v>
      </c>
      <c r="B1919" s="924"/>
      <c r="C1919" s="301" t="s">
        <v>267</v>
      </c>
      <c r="D1919" s="278" t="s">
        <v>263</v>
      </c>
      <c r="E1919" s="283">
        <v>0</v>
      </c>
      <c r="F1919" s="284"/>
      <c r="G1919" s="340">
        <f t="shared" si="2497"/>
        <v>0</v>
      </c>
      <c r="H1919" s="285">
        <v>0</v>
      </c>
      <c r="I1919" s="285">
        <v>0</v>
      </c>
      <c r="J1919" s="359" t="str">
        <f>IFERROR(G1919/#REF!,"-")</f>
        <v>-</v>
      </c>
      <c r="K1919" s="340">
        <f t="shared" si="2498"/>
        <v>14088</v>
      </c>
      <c r="L1919" s="285">
        <f t="shared" si="2499"/>
        <v>14000</v>
      </c>
      <c r="M1919" s="286">
        <f t="shared" si="2500"/>
        <v>88</v>
      </c>
      <c r="N1919" s="344" t="str">
        <f t="shared" si="2494"/>
        <v>-</v>
      </c>
      <c r="O1919" s="353">
        <f t="shared" si="2480"/>
        <v>6.2464508801817146E-3</v>
      </c>
    </row>
    <row r="1920" spans="1:15" ht="24" thickBot="1" x14ac:dyDescent="0.35">
      <c r="A1920" s="277" t="s">
        <v>111</v>
      </c>
      <c r="B1920" s="906" t="s">
        <v>52</v>
      </c>
      <c r="C1920" s="907"/>
      <c r="D1920" s="908"/>
      <c r="E1920" s="288">
        <v>157500</v>
      </c>
      <c r="F1920" s="289">
        <v>14000</v>
      </c>
      <c r="G1920" s="326">
        <f>SUM(G1912:G1919)</f>
        <v>0</v>
      </c>
      <c r="H1920" s="327">
        <f t="shared" ref="H1920:I1920" si="2501">SUM(H1912:H1919)</f>
        <v>0</v>
      </c>
      <c r="I1920" s="327">
        <f t="shared" si="2501"/>
        <v>0</v>
      </c>
      <c r="J1920" s="351" t="str">
        <f>IFERROR(G1920/#REF!,"-")</f>
        <v>-</v>
      </c>
      <c r="K1920" s="326">
        <f>SUM(K1912:K1919)</f>
        <v>156755</v>
      </c>
      <c r="L1920" s="327">
        <f t="shared" ref="L1920:M1920" si="2502">SUM(L1912:L1919)</f>
        <v>155334</v>
      </c>
      <c r="M1920" s="328">
        <f t="shared" si="2502"/>
        <v>1421</v>
      </c>
      <c r="N1920" s="345">
        <f t="shared" si="2494"/>
        <v>0.9952698412698413</v>
      </c>
      <c r="O1920" s="351">
        <f t="shared" si="2480"/>
        <v>9.0651015916557685E-3</v>
      </c>
    </row>
    <row r="1921" spans="1:15" ht="24" thickBot="1" x14ac:dyDescent="0.35">
      <c r="A1921" s="277" t="s">
        <v>111</v>
      </c>
      <c r="B1921" s="926" t="s">
        <v>25</v>
      </c>
      <c r="C1921" s="927"/>
      <c r="D1921" s="928"/>
      <c r="E1921" s="332">
        <f t="shared" ref="E1921:F1921" si="2503">+E1911+E1920</f>
        <v>1157500</v>
      </c>
      <c r="F1921" s="333">
        <f t="shared" si="2503"/>
        <v>94000</v>
      </c>
      <c r="G1921" s="332">
        <f>+G1911+G1920</f>
        <v>39687</v>
      </c>
      <c r="H1921" s="330">
        <f t="shared" ref="H1921:I1921" si="2504">+H1911+H1920</f>
        <v>39600</v>
      </c>
      <c r="I1921" s="330">
        <f t="shared" si="2504"/>
        <v>87</v>
      </c>
      <c r="J1921" s="355" t="str">
        <f>IFERROR(G1921/#REF!,"-")</f>
        <v>-</v>
      </c>
      <c r="K1921" s="332">
        <f t="shared" ref="K1921" si="2505">+K1911+K1920</f>
        <v>499907</v>
      </c>
      <c r="L1921" s="330">
        <f>+L1911+L1920</f>
        <v>497874</v>
      </c>
      <c r="M1921" s="331">
        <f t="shared" ref="M1921" si="2506">+M1911+M1920</f>
        <v>2033</v>
      </c>
      <c r="N1921" s="347">
        <f t="shared" si="2494"/>
        <v>0.43188509719222462</v>
      </c>
      <c r="O1921" s="355">
        <f t="shared" si="2480"/>
        <v>4.0667564166935047E-3</v>
      </c>
    </row>
    <row r="1922" spans="1:15" ht="24" thickBot="1" x14ac:dyDescent="0.35">
      <c r="A1922" s="277" t="s">
        <v>111</v>
      </c>
      <c r="B1922" s="900" t="s">
        <v>181</v>
      </c>
      <c r="C1922" s="901"/>
      <c r="D1922" s="902"/>
      <c r="E1922" s="336">
        <f>+E1906+E1921</f>
        <v>6932100</v>
      </c>
      <c r="F1922" s="337">
        <f t="shared" ref="F1922:I1922" si="2507">+F1906+F1921</f>
        <v>449000</v>
      </c>
      <c r="G1922" s="336">
        <f t="shared" si="2507"/>
        <v>199182</v>
      </c>
      <c r="H1922" s="334">
        <f t="shared" si="2507"/>
        <v>249408</v>
      </c>
      <c r="I1922" s="334">
        <f t="shared" si="2507"/>
        <v>678</v>
      </c>
      <c r="J1922" s="356" t="str">
        <f>IFERROR(G1922/#REF!,"-")</f>
        <v>-</v>
      </c>
      <c r="K1922" s="336">
        <f>+K1906+K1921</f>
        <v>3262258</v>
      </c>
      <c r="L1922" s="334">
        <f t="shared" ref="L1922:M1922" si="2508">+L1906+L1921</f>
        <v>3249453</v>
      </c>
      <c r="M1922" s="335">
        <f t="shared" si="2508"/>
        <v>12805</v>
      </c>
      <c r="N1922" s="348">
        <f>IFERROR(K1922/E1922,"-")</f>
        <v>0.47060169357049092</v>
      </c>
      <c r="O1922" s="356">
        <f t="shared" si="2480"/>
        <v>3.9251953708137124E-3</v>
      </c>
    </row>
    <row r="1923" spans="1:15" ht="23.4" x14ac:dyDescent="0.3">
      <c r="A1923" s="271" t="s">
        <v>109</v>
      </c>
      <c r="B1923" s="929" t="s">
        <v>26</v>
      </c>
      <c r="C1923" s="303" t="s">
        <v>334</v>
      </c>
      <c r="D1923" s="303" t="s">
        <v>192</v>
      </c>
      <c r="E1923" s="273">
        <v>0</v>
      </c>
      <c r="F1923" s="274"/>
      <c r="G1923" s="338">
        <f t="shared" ref="G1923:G1931" si="2509">+H1923+I1923</f>
        <v>0</v>
      </c>
      <c r="H1923" s="275">
        <v>0</v>
      </c>
      <c r="I1923" s="275">
        <v>0</v>
      </c>
      <c r="J1923" s="357" t="str">
        <f>IFERROR(G1923/#REF!,"-")</f>
        <v>-</v>
      </c>
      <c r="K1923" s="338">
        <f t="shared" ref="K1923:K1931" si="2510">+L1923+M1923</f>
        <v>326708</v>
      </c>
      <c r="L1923" s="275">
        <f t="shared" ref="L1923:L1931" si="2511">+H1923+L1819</f>
        <v>322218</v>
      </c>
      <c r="M1923" s="276">
        <f t="shared" ref="M1923:M1931" si="2512">+I1923+M1819</f>
        <v>4490</v>
      </c>
      <c r="N1923" s="342" t="str">
        <f t="shared" ref="N1923:N1924" si="2513">IFERROR(K1923/E1923,"-")</f>
        <v>-</v>
      </c>
      <c r="O1923" s="352">
        <f t="shared" si="2480"/>
        <v>1.3743159028857574E-2</v>
      </c>
    </row>
    <row r="1924" spans="1:15" ht="23.4" x14ac:dyDescent="0.3">
      <c r="A1924" s="277" t="s">
        <v>109</v>
      </c>
      <c r="B1924" s="929"/>
      <c r="C1924" s="304" t="s">
        <v>199</v>
      </c>
      <c r="D1924" s="304" t="s">
        <v>115</v>
      </c>
      <c r="E1924" s="279">
        <v>0</v>
      </c>
      <c r="F1924" s="280"/>
      <c r="G1924" s="339">
        <f t="shared" si="2509"/>
        <v>0</v>
      </c>
      <c r="H1924" s="281">
        <v>0</v>
      </c>
      <c r="I1924" s="281">
        <v>0</v>
      </c>
      <c r="J1924" s="358" t="str">
        <f>IFERROR(G1924/#REF!,"-")</f>
        <v>-</v>
      </c>
      <c r="K1924" s="339">
        <f t="shared" si="2510"/>
        <v>0</v>
      </c>
      <c r="L1924" s="281">
        <f t="shared" si="2511"/>
        <v>0</v>
      </c>
      <c r="M1924" s="251">
        <f t="shared" si="2512"/>
        <v>0</v>
      </c>
      <c r="N1924" s="343" t="str">
        <f t="shared" si="2513"/>
        <v>-</v>
      </c>
      <c r="O1924" s="264" t="str">
        <f t="shared" si="2480"/>
        <v>-</v>
      </c>
    </row>
    <row r="1925" spans="1:15" ht="23.4" x14ac:dyDescent="0.3">
      <c r="A1925" s="277" t="s">
        <v>109</v>
      </c>
      <c r="B1925" s="929"/>
      <c r="C1925" s="305" t="s">
        <v>27</v>
      </c>
      <c r="D1925" s="305" t="s">
        <v>394</v>
      </c>
      <c r="E1925" s="283">
        <v>0</v>
      </c>
      <c r="F1925" s="284"/>
      <c r="G1925" s="339">
        <f t="shared" si="2509"/>
        <v>0</v>
      </c>
      <c r="H1925" s="285">
        <v>0</v>
      </c>
      <c r="I1925" s="285">
        <v>0</v>
      </c>
      <c r="J1925" s="359" t="str">
        <f>IFERROR(G1925/#REF!,"-")</f>
        <v>-</v>
      </c>
      <c r="K1925" s="339">
        <f t="shared" si="2510"/>
        <v>20305</v>
      </c>
      <c r="L1925" s="285">
        <f t="shared" si="2511"/>
        <v>19890</v>
      </c>
      <c r="M1925" s="286">
        <f t="shared" si="2512"/>
        <v>415</v>
      </c>
      <c r="N1925" s="287"/>
      <c r="O1925" s="264">
        <f t="shared" si="2480"/>
        <v>2.0438315685791675E-2</v>
      </c>
    </row>
    <row r="1926" spans="1:15" ht="23.4" x14ac:dyDescent="0.3">
      <c r="A1926" s="277" t="s">
        <v>109</v>
      </c>
      <c r="B1926" s="929"/>
      <c r="C1926" s="305" t="s">
        <v>27</v>
      </c>
      <c r="D1926" s="305" t="s">
        <v>259</v>
      </c>
      <c r="E1926" s="283">
        <v>0</v>
      </c>
      <c r="F1926" s="284"/>
      <c r="G1926" s="339">
        <f t="shared" si="2509"/>
        <v>28601</v>
      </c>
      <c r="H1926" s="285">
        <v>27846</v>
      </c>
      <c r="I1926" s="285">
        <v>755</v>
      </c>
      <c r="J1926" s="359" t="str">
        <f>IFERROR(G1926/#REF!,"-")</f>
        <v>-</v>
      </c>
      <c r="K1926" s="339">
        <f t="shared" si="2510"/>
        <v>77402</v>
      </c>
      <c r="L1926" s="285">
        <f t="shared" si="2511"/>
        <v>75582</v>
      </c>
      <c r="M1926" s="286">
        <f t="shared" si="2512"/>
        <v>1820</v>
      </c>
      <c r="N1926" s="287"/>
      <c r="O1926" s="264">
        <f t="shared" si="2480"/>
        <v>2.3513604299630501E-2</v>
      </c>
    </row>
    <row r="1927" spans="1:15" ht="23.4" x14ac:dyDescent="0.3">
      <c r="A1927" s="277" t="s">
        <v>109</v>
      </c>
      <c r="B1927" s="929"/>
      <c r="C1927" s="305" t="s">
        <v>27</v>
      </c>
      <c r="D1927" s="305" t="s">
        <v>310</v>
      </c>
      <c r="E1927" s="283">
        <v>0</v>
      </c>
      <c r="F1927" s="284"/>
      <c r="G1927" s="339">
        <f t="shared" si="2509"/>
        <v>0</v>
      </c>
      <c r="H1927" s="285">
        <v>0</v>
      </c>
      <c r="I1927" s="285">
        <v>0</v>
      </c>
      <c r="J1927" s="359" t="str">
        <f>IFERROR(G1927/#REF!,"-")</f>
        <v>-</v>
      </c>
      <c r="K1927" s="339">
        <f t="shared" si="2510"/>
        <v>8433</v>
      </c>
      <c r="L1927" s="285">
        <f t="shared" si="2511"/>
        <v>7956</v>
      </c>
      <c r="M1927" s="286">
        <f t="shared" si="2512"/>
        <v>477</v>
      </c>
      <c r="N1927" s="287"/>
      <c r="O1927" s="264">
        <f t="shared" si="2480"/>
        <v>5.656350053361793E-2</v>
      </c>
    </row>
    <row r="1928" spans="1:15" ht="23.4" x14ac:dyDescent="0.3">
      <c r="A1928" s="277"/>
      <c r="B1928" s="929"/>
      <c r="C1928" s="305" t="s">
        <v>393</v>
      </c>
      <c r="D1928" s="305" t="s">
        <v>192</v>
      </c>
      <c r="E1928" s="283">
        <v>0</v>
      </c>
      <c r="F1928" s="284"/>
      <c r="G1928" s="340">
        <f t="shared" si="2509"/>
        <v>0</v>
      </c>
      <c r="H1928" s="285">
        <v>0</v>
      </c>
      <c r="I1928" s="285">
        <v>0</v>
      </c>
      <c r="J1928" s="359" t="str">
        <f>IFERROR(G1928/#REF!,"-")</f>
        <v>-</v>
      </c>
      <c r="K1928" s="340">
        <f t="shared" si="2510"/>
        <v>0</v>
      </c>
      <c r="L1928" s="285">
        <f t="shared" si="2511"/>
        <v>0</v>
      </c>
      <c r="M1928" s="286">
        <f t="shared" si="2512"/>
        <v>0</v>
      </c>
      <c r="N1928" s="287"/>
      <c r="O1928" s="264" t="str">
        <f t="shared" si="2480"/>
        <v>-</v>
      </c>
    </row>
    <row r="1929" spans="1:15" ht="23.4" x14ac:dyDescent="0.3">
      <c r="A1929" s="277"/>
      <c r="B1929" s="929"/>
      <c r="C1929" s="305" t="s">
        <v>325</v>
      </c>
      <c r="D1929" s="305" t="s">
        <v>101</v>
      </c>
      <c r="E1929" s="283">
        <v>0</v>
      </c>
      <c r="F1929" s="284"/>
      <c r="G1929" s="340">
        <f t="shared" si="2509"/>
        <v>0</v>
      </c>
      <c r="H1929" s="285">
        <v>0</v>
      </c>
      <c r="I1929" s="285">
        <v>0</v>
      </c>
      <c r="J1929" s="359" t="str">
        <f>IFERROR(G1929/#REF!,"-")</f>
        <v>-</v>
      </c>
      <c r="K1929" s="340">
        <f t="shared" si="2510"/>
        <v>7956</v>
      </c>
      <c r="L1929" s="285">
        <f t="shared" si="2511"/>
        <v>7956</v>
      </c>
      <c r="M1929" s="286">
        <f t="shared" si="2512"/>
        <v>0</v>
      </c>
      <c r="N1929" s="287"/>
      <c r="O1929" s="264">
        <f t="shared" si="2480"/>
        <v>0</v>
      </c>
    </row>
    <row r="1930" spans="1:15" ht="23.4" x14ac:dyDescent="0.3">
      <c r="A1930" s="277"/>
      <c r="B1930" s="929"/>
      <c r="C1930" s="305" t="s">
        <v>325</v>
      </c>
      <c r="D1930" s="305" t="s">
        <v>394</v>
      </c>
      <c r="E1930" s="283">
        <v>0</v>
      </c>
      <c r="F1930" s="284"/>
      <c r="G1930" s="340">
        <f t="shared" si="2509"/>
        <v>0</v>
      </c>
      <c r="H1930" s="285">
        <v>0</v>
      </c>
      <c r="I1930" s="285">
        <v>0</v>
      </c>
      <c r="J1930" s="359" t="str">
        <f>IFERROR(G1930/#REF!,"-")</f>
        <v>-</v>
      </c>
      <c r="K1930" s="340">
        <f t="shared" si="2510"/>
        <v>720648</v>
      </c>
      <c r="L1930" s="285">
        <f t="shared" si="2511"/>
        <v>712062</v>
      </c>
      <c r="M1930" s="286">
        <f t="shared" si="2512"/>
        <v>8586</v>
      </c>
      <c r="N1930" s="287"/>
      <c r="O1930" s="264">
        <f t="shared" si="2480"/>
        <v>1.1914277150564492E-2</v>
      </c>
    </row>
    <row r="1931" spans="1:15" ht="24" thickBot="1" x14ac:dyDescent="0.35">
      <c r="A1931" s="277" t="s">
        <v>109</v>
      </c>
      <c r="B1931" s="929"/>
      <c r="C1931" s="306" t="s">
        <v>326</v>
      </c>
      <c r="D1931" s="305" t="s">
        <v>324</v>
      </c>
      <c r="E1931" s="283">
        <v>0</v>
      </c>
      <c r="F1931" s="284"/>
      <c r="G1931" s="340">
        <f t="shared" si="2509"/>
        <v>0</v>
      </c>
      <c r="H1931" s="285">
        <v>0</v>
      </c>
      <c r="I1931" s="285">
        <v>0</v>
      </c>
      <c r="J1931" s="359" t="str">
        <f>IFERROR(G1931/#REF!,"-")</f>
        <v>-</v>
      </c>
      <c r="K1931" s="340">
        <f t="shared" si="2510"/>
        <v>7956</v>
      </c>
      <c r="L1931" s="285">
        <f t="shared" si="2511"/>
        <v>7956</v>
      </c>
      <c r="M1931" s="286">
        <f t="shared" si="2512"/>
        <v>0</v>
      </c>
      <c r="N1931" s="344" t="str">
        <f t="shared" ref="N1931:N1936" si="2514">IFERROR(K1931/E1931,"-")</f>
        <v>-</v>
      </c>
      <c r="O1931" s="353">
        <f t="shared" si="2480"/>
        <v>0</v>
      </c>
    </row>
    <row r="1932" spans="1:15" ht="24" thickBot="1" x14ac:dyDescent="0.35">
      <c r="A1932" s="277" t="s">
        <v>109</v>
      </c>
      <c r="B1932" s="930"/>
      <c r="C1932" s="307"/>
      <c r="D1932" s="308" t="s">
        <v>55</v>
      </c>
      <c r="E1932" s="288">
        <v>0</v>
      </c>
      <c r="F1932" s="289"/>
      <c r="G1932" s="326">
        <f>SUM(G1923:G1931)</f>
        <v>28601</v>
      </c>
      <c r="H1932" s="327">
        <f>SUM(H1923:H1931)</f>
        <v>27846</v>
      </c>
      <c r="I1932" s="327">
        <f>SUM(I1923:I1931)</f>
        <v>755</v>
      </c>
      <c r="J1932" s="351" t="str">
        <f>IFERROR(G1932/#REF!,"-")</f>
        <v>-</v>
      </c>
      <c r="K1932" s="326">
        <f>SUM(K1923:K1931)</f>
        <v>1169408</v>
      </c>
      <c r="L1932" s="327">
        <f>SUM(L1923:L1931)</f>
        <v>1153620</v>
      </c>
      <c r="M1932" s="328">
        <f>SUM(M1923:M1931)</f>
        <v>15788</v>
      </c>
      <c r="N1932" s="345" t="str">
        <f t="shared" si="2514"/>
        <v>-</v>
      </c>
      <c r="O1932" s="351">
        <f t="shared" si="2480"/>
        <v>1.3500848292469352E-2</v>
      </c>
    </row>
    <row r="1933" spans="1:15" ht="23.4" x14ac:dyDescent="0.3">
      <c r="A1933" s="277" t="s">
        <v>109</v>
      </c>
      <c r="B1933" s="931" t="s">
        <v>28</v>
      </c>
      <c r="C1933" s="305" t="s">
        <v>27</v>
      </c>
      <c r="D1933" s="303" t="s">
        <v>310</v>
      </c>
      <c r="E1933" s="273">
        <v>0</v>
      </c>
      <c r="F1933" s="274"/>
      <c r="G1933" s="338">
        <f t="shared" ref="G1933:G1935" si="2515">+H1933+I1933</f>
        <v>36340</v>
      </c>
      <c r="H1933" s="275">
        <v>35802</v>
      </c>
      <c r="I1933" s="275">
        <v>538</v>
      </c>
      <c r="J1933" s="357" t="str">
        <f>IFERROR(G1933/#REF!,"-")</f>
        <v>-</v>
      </c>
      <c r="K1933" s="338">
        <f t="shared" ref="K1933:K1935" si="2516">+L1933+M1933</f>
        <v>144790</v>
      </c>
      <c r="L1933" s="275">
        <f t="shared" ref="L1933:L1935" si="2517">+H1933+L1829</f>
        <v>143208</v>
      </c>
      <c r="M1933" s="276">
        <f t="shared" ref="M1933:M1935" si="2518">+I1933+M1829</f>
        <v>1582</v>
      </c>
      <c r="N1933" s="342" t="str">
        <f t="shared" si="2514"/>
        <v>-</v>
      </c>
      <c r="O1933" s="352">
        <f t="shared" si="2480"/>
        <v>1.0926168934318668E-2</v>
      </c>
    </row>
    <row r="1934" spans="1:15" ht="23.4" x14ac:dyDescent="0.3">
      <c r="A1934" s="277" t="s">
        <v>109</v>
      </c>
      <c r="B1934" s="929"/>
      <c r="C1934" s="305" t="s">
        <v>27</v>
      </c>
      <c r="D1934" s="305" t="s">
        <v>394</v>
      </c>
      <c r="E1934" s="279">
        <v>0</v>
      </c>
      <c r="F1934" s="280"/>
      <c r="G1934" s="339">
        <f t="shared" si="2515"/>
        <v>77233</v>
      </c>
      <c r="H1934" s="281">
        <v>75582</v>
      </c>
      <c r="I1934" s="281">
        <v>1651</v>
      </c>
      <c r="J1934" s="358" t="str">
        <f>IFERROR(G1934/#REF!,"-")</f>
        <v>-</v>
      </c>
      <c r="K1934" s="339">
        <f t="shared" si="2516"/>
        <v>386473</v>
      </c>
      <c r="L1934" s="281">
        <f t="shared" si="2517"/>
        <v>381888</v>
      </c>
      <c r="M1934" s="251">
        <f t="shared" si="2518"/>
        <v>4585</v>
      </c>
      <c r="N1934" s="343" t="str">
        <f t="shared" si="2514"/>
        <v>-</v>
      </c>
      <c r="O1934" s="264">
        <f t="shared" si="2480"/>
        <v>1.1863700698367027E-2</v>
      </c>
    </row>
    <row r="1935" spans="1:15" ht="24" thickBot="1" x14ac:dyDescent="0.35">
      <c r="A1935" s="277" t="s">
        <v>109</v>
      </c>
      <c r="B1935" s="929"/>
      <c r="C1935" s="305" t="s">
        <v>27</v>
      </c>
      <c r="D1935" s="306" t="s">
        <v>259</v>
      </c>
      <c r="E1935" s="283">
        <v>0</v>
      </c>
      <c r="F1935" s="284"/>
      <c r="G1935" s="340">
        <f t="shared" si="2515"/>
        <v>0</v>
      </c>
      <c r="H1935" s="285">
        <v>0</v>
      </c>
      <c r="I1935" s="285">
        <v>0</v>
      </c>
      <c r="J1935" s="359" t="str">
        <f>IFERROR(G1935/#REF!,"-")</f>
        <v>-</v>
      </c>
      <c r="K1935" s="340">
        <f t="shared" si="2516"/>
        <v>362785</v>
      </c>
      <c r="L1935" s="285">
        <f t="shared" si="2517"/>
        <v>358020</v>
      </c>
      <c r="M1935" s="286">
        <f t="shared" si="2518"/>
        <v>4765</v>
      </c>
      <c r="N1935" s="344" t="str">
        <f t="shared" si="2514"/>
        <v>-</v>
      </c>
      <c r="O1935" s="353">
        <f t="shared" si="2480"/>
        <v>1.3134501150819355E-2</v>
      </c>
    </row>
    <row r="1936" spans="1:15" ht="24" thickBot="1" x14ac:dyDescent="0.35">
      <c r="A1936" s="277" t="s">
        <v>109</v>
      </c>
      <c r="B1936" s="929"/>
      <c r="C1936" s="310"/>
      <c r="D1936" s="311" t="s">
        <v>55</v>
      </c>
      <c r="E1936" s="312">
        <v>0</v>
      </c>
      <c r="F1936" s="313"/>
      <c r="G1936" s="372">
        <f>SUM(G1933:G1935)</f>
        <v>113573</v>
      </c>
      <c r="H1936" s="371">
        <f t="shared" ref="H1936:I1936" si="2519">SUM(H1933:H1935)</f>
        <v>111384</v>
      </c>
      <c r="I1936" s="371">
        <f t="shared" si="2519"/>
        <v>2189</v>
      </c>
      <c r="J1936" s="362" t="str">
        <f>IFERROR(G1936/#REF!,"-")</f>
        <v>-</v>
      </c>
      <c r="K1936" s="372">
        <f>SUM(K1933:K1935)</f>
        <v>894048</v>
      </c>
      <c r="L1936" s="371">
        <f>SUM(L1933:L1935)</f>
        <v>883116</v>
      </c>
      <c r="M1936" s="373">
        <f t="shared" ref="M1936" si="2520">SUM(M1933:M1935)</f>
        <v>10932</v>
      </c>
      <c r="N1936" s="361" t="str">
        <f t="shared" si="2514"/>
        <v>-</v>
      </c>
      <c r="O1936" s="362">
        <f t="shared" si="2480"/>
        <v>1.2227531407709652E-2</v>
      </c>
    </row>
    <row r="1937" spans="1:15" ht="24" thickBot="1" x14ac:dyDescent="0.35">
      <c r="A1937" s="861" t="s">
        <v>109</v>
      </c>
      <c r="B1937" s="932" t="s">
        <v>171</v>
      </c>
      <c r="C1937" s="933"/>
      <c r="D1937" s="934"/>
      <c r="E1937" s="314">
        <v>2167000</v>
      </c>
      <c r="F1937" s="315">
        <v>80000</v>
      </c>
      <c r="G1937" s="375">
        <f>+G1932+G1936</f>
        <v>142174</v>
      </c>
      <c r="H1937" s="374">
        <f t="shared" ref="H1937:I1937" si="2521">+H1932+H1936</f>
        <v>139230</v>
      </c>
      <c r="I1937" s="374">
        <f t="shared" si="2521"/>
        <v>2944</v>
      </c>
      <c r="J1937" s="364" t="str">
        <f>IFERROR(G1937/#REF!,"-")</f>
        <v>-</v>
      </c>
      <c r="K1937" s="375">
        <f>+K1932+K1936</f>
        <v>2063456</v>
      </c>
      <c r="L1937" s="374">
        <f>+L1932+L1936</f>
        <v>2036736</v>
      </c>
      <c r="M1937" s="376">
        <f t="shared" ref="M1937" si="2522">+M1932+M1936</f>
        <v>26720</v>
      </c>
      <c r="N1937" s="363">
        <f>IFERROR(K1937/E1937,"-")</f>
        <v>0.95221781264420857</v>
      </c>
      <c r="O1937" s="364">
        <f t="shared" si="2480"/>
        <v>1.2949149388210845E-2</v>
      </c>
    </row>
    <row r="1938" spans="1:15" ht="23.4" x14ac:dyDescent="0.3">
      <c r="A1938" s="277" t="s">
        <v>109</v>
      </c>
      <c r="B1938" s="929" t="s">
        <v>30</v>
      </c>
      <c r="C1938" s="309" t="s">
        <v>396</v>
      </c>
      <c r="D1938" s="303" t="s">
        <v>193</v>
      </c>
      <c r="E1938" s="273">
        <v>0</v>
      </c>
      <c r="F1938" s="274"/>
      <c r="G1938" s="338">
        <f t="shared" ref="G1938:G1940" si="2523">+H1938+I1938</f>
        <v>0</v>
      </c>
      <c r="H1938" s="275">
        <v>0</v>
      </c>
      <c r="I1938" s="275">
        <v>0</v>
      </c>
      <c r="J1938" s="357" t="str">
        <f>IFERROR(G1938/#REF!,"-")</f>
        <v>-</v>
      </c>
      <c r="K1938" s="338">
        <f t="shared" ref="K1938:K1940" si="2524">+L1938+M1938</f>
        <v>0</v>
      </c>
      <c r="L1938" s="275">
        <f t="shared" ref="L1938:L1940" si="2525">+H1938+L1834</f>
        <v>0</v>
      </c>
      <c r="M1938" s="276">
        <f t="shared" ref="M1938:M1940" si="2526">+I1938+M1834</f>
        <v>0</v>
      </c>
      <c r="N1938" s="342" t="str">
        <f t="shared" ref="N1938:N1948" si="2527">IFERROR(K1938/E1938,"-")</f>
        <v>-</v>
      </c>
      <c r="O1938" s="352" t="str">
        <f t="shared" si="2480"/>
        <v>-</v>
      </c>
    </row>
    <row r="1939" spans="1:15" ht="23.4" x14ac:dyDescent="0.3">
      <c r="A1939" s="277" t="s">
        <v>109</v>
      </c>
      <c r="B1939" s="929"/>
      <c r="C1939" s="309" t="s">
        <v>395</v>
      </c>
      <c r="D1939" s="309" t="s">
        <v>324</v>
      </c>
      <c r="E1939" s="279">
        <v>0</v>
      </c>
      <c r="F1939" s="280"/>
      <c r="G1939" s="339">
        <f t="shared" si="2523"/>
        <v>0</v>
      </c>
      <c r="H1939" s="281">
        <v>0</v>
      </c>
      <c r="I1939" s="281">
        <v>0</v>
      </c>
      <c r="J1939" s="358" t="str">
        <f>IFERROR(G1939/#REF!,"-")</f>
        <v>-</v>
      </c>
      <c r="K1939" s="339">
        <f t="shared" si="2524"/>
        <v>0</v>
      </c>
      <c r="L1939" s="281">
        <f t="shared" si="2525"/>
        <v>0</v>
      </c>
      <c r="M1939" s="251">
        <f t="shared" si="2526"/>
        <v>0</v>
      </c>
      <c r="N1939" s="343" t="str">
        <f t="shared" si="2527"/>
        <v>-</v>
      </c>
      <c r="O1939" s="264" t="str">
        <f t="shared" si="2480"/>
        <v>-</v>
      </c>
    </row>
    <row r="1940" spans="1:15" ht="24" thickBot="1" x14ac:dyDescent="0.35">
      <c r="A1940" s="277" t="s">
        <v>109</v>
      </c>
      <c r="B1940" s="929"/>
      <c r="C1940" s="306" t="s">
        <v>327</v>
      </c>
      <c r="D1940" s="306"/>
      <c r="E1940" s="283">
        <v>0</v>
      </c>
      <c r="F1940" s="284"/>
      <c r="G1940" s="340">
        <f t="shared" si="2523"/>
        <v>0</v>
      </c>
      <c r="H1940" s="285">
        <v>0</v>
      </c>
      <c r="I1940" s="285">
        <v>0</v>
      </c>
      <c r="J1940" s="359" t="str">
        <f>IFERROR(G1940/#REF!,"-")</f>
        <v>-</v>
      </c>
      <c r="K1940" s="340">
        <f t="shared" si="2524"/>
        <v>53929</v>
      </c>
      <c r="L1940" s="285">
        <f t="shared" si="2525"/>
        <v>52416</v>
      </c>
      <c r="M1940" s="286">
        <f t="shared" si="2526"/>
        <v>1513</v>
      </c>
      <c r="N1940" s="344" t="str">
        <f t="shared" si="2527"/>
        <v>-</v>
      </c>
      <c r="O1940" s="353">
        <f t="shared" si="2480"/>
        <v>2.8055406182202525E-2</v>
      </c>
    </row>
    <row r="1941" spans="1:15" ht="24" thickBot="1" x14ac:dyDescent="0.35">
      <c r="A1941" s="277" t="s">
        <v>109</v>
      </c>
      <c r="B1941" s="929"/>
      <c r="C1941" s="307"/>
      <c r="D1941" s="308" t="s">
        <v>53</v>
      </c>
      <c r="E1941" s="288">
        <v>0</v>
      </c>
      <c r="F1941" s="289"/>
      <c r="G1941" s="326">
        <f>SUM(G1938:G1940)</f>
        <v>0</v>
      </c>
      <c r="H1941" s="327">
        <f t="shared" ref="H1941:I1941" si="2528">SUM(H1938:H1940)</f>
        <v>0</v>
      </c>
      <c r="I1941" s="327">
        <f t="shared" si="2528"/>
        <v>0</v>
      </c>
      <c r="J1941" s="351" t="str">
        <f>IFERROR(G1941/#REF!,"-")</f>
        <v>-</v>
      </c>
      <c r="K1941" s="326">
        <f t="shared" ref="K1941" si="2529">SUM(K1938:K1940)</f>
        <v>53929</v>
      </c>
      <c r="L1941" s="327">
        <f>SUM(L1938:L1940)</f>
        <v>52416</v>
      </c>
      <c r="M1941" s="328">
        <f t="shared" ref="M1941" si="2530">SUM(M1938:M1940)</f>
        <v>1513</v>
      </c>
      <c r="N1941" s="345" t="str">
        <f t="shared" si="2527"/>
        <v>-</v>
      </c>
      <c r="O1941" s="351">
        <f t="shared" si="2480"/>
        <v>2.8055406182202525E-2</v>
      </c>
    </row>
    <row r="1942" spans="1:15" ht="23.4" x14ac:dyDescent="0.3">
      <c r="A1942" s="277" t="s">
        <v>109</v>
      </c>
      <c r="B1942" s="929"/>
      <c r="C1942" s="303" t="s">
        <v>352</v>
      </c>
      <c r="D1942" s="303"/>
      <c r="E1942" s="273">
        <v>0</v>
      </c>
      <c r="F1942" s="274"/>
      <c r="G1942" s="338">
        <f t="shared" ref="G1942:G1944" si="2531">+H1942+I1942</f>
        <v>0</v>
      </c>
      <c r="H1942" s="275">
        <v>0</v>
      </c>
      <c r="I1942" s="275">
        <v>0</v>
      </c>
      <c r="J1942" s="357" t="str">
        <f>IFERROR(G1942/#REF!,"-")</f>
        <v>-</v>
      </c>
      <c r="K1942" s="338">
        <f t="shared" ref="K1942:K1944" si="2532">+L1942+M1942</f>
        <v>0</v>
      </c>
      <c r="L1942" s="275">
        <f t="shared" ref="L1942:L1944" si="2533">+H1942+L1838</f>
        <v>0</v>
      </c>
      <c r="M1942" s="276">
        <f t="shared" ref="M1942:M1944" si="2534">+I1942+M1838</f>
        <v>0</v>
      </c>
      <c r="N1942" s="342" t="str">
        <f t="shared" si="2527"/>
        <v>-</v>
      </c>
      <c r="O1942" s="352" t="str">
        <f t="shared" si="2480"/>
        <v>-</v>
      </c>
    </row>
    <row r="1943" spans="1:15" ht="23.4" x14ac:dyDescent="0.3">
      <c r="A1943" s="277" t="s">
        <v>109</v>
      </c>
      <c r="B1943" s="929"/>
      <c r="C1943" s="309" t="s">
        <v>397</v>
      </c>
      <c r="D1943" s="309" t="s">
        <v>259</v>
      </c>
      <c r="E1943" s="279">
        <v>0</v>
      </c>
      <c r="F1943" s="280"/>
      <c r="G1943" s="339">
        <f t="shared" si="2531"/>
        <v>0</v>
      </c>
      <c r="H1943" s="281">
        <v>0</v>
      </c>
      <c r="I1943" s="281">
        <v>0</v>
      </c>
      <c r="J1943" s="358" t="str">
        <f>IFERROR(G1943/#REF!,"-")</f>
        <v>-</v>
      </c>
      <c r="K1943" s="339">
        <f t="shared" si="2532"/>
        <v>493341</v>
      </c>
      <c r="L1943" s="281">
        <f t="shared" si="2533"/>
        <v>481104</v>
      </c>
      <c r="M1943" s="251">
        <f t="shared" si="2534"/>
        <v>12237</v>
      </c>
      <c r="N1943" s="343" t="str">
        <f t="shared" si="2527"/>
        <v>-</v>
      </c>
      <c r="O1943" s="264">
        <f t="shared" si="2480"/>
        <v>2.4804344256812227E-2</v>
      </c>
    </row>
    <row r="1944" spans="1:15" ht="24" thickBot="1" x14ac:dyDescent="0.35">
      <c r="A1944" s="277" t="s">
        <v>109</v>
      </c>
      <c r="B1944" s="929"/>
      <c r="C1944" s="306" t="s">
        <v>146</v>
      </c>
      <c r="D1944" s="306"/>
      <c r="E1944" s="283">
        <v>0</v>
      </c>
      <c r="F1944" s="284"/>
      <c r="G1944" s="340">
        <f t="shared" si="2531"/>
        <v>0</v>
      </c>
      <c r="H1944" s="285">
        <v>0</v>
      </c>
      <c r="I1944" s="285">
        <v>0</v>
      </c>
      <c r="J1944" s="359" t="str">
        <f>IFERROR(G1944/#REF!,"-")</f>
        <v>-</v>
      </c>
      <c r="K1944" s="340">
        <f t="shared" si="2532"/>
        <v>0</v>
      </c>
      <c r="L1944" s="285">
        <f t="shared" si="2533"/>
        <v>0</v>
      </c>
      <c r="M1944" s="286">
        <f t="shared" si="2534"/>
        <v>0</v>
      </c>
      <c r="N1944" s="344" t="str">
        <f t="shared" si="2527"/>
        <v>-</v>
      </c>
      <c r="O1944" s="353" t="str">
        <f t="shared" si="2480"/>
        <v>-</v>
      </c>
    </row>
    <row r="1945" spans="1:15" ht="24" thickBot="1" x14ac:dyDescent="0.35">
      <c r="A1945" s="277" t="s">
        <v>109</v>
      </c>
      <c r="B1945" s="929"/>
      <c r="C1945" s="310"/>
      <c r="D1945" s="311" t="s">
        <v>54</v>
      </c>
      <c r="E1945" s="312">
        <v>0</v>
      </c>
      <c r="F1945" s="313"/>
      <c r="G1945" s="372">
        <f>SUM(G1942:G1944)</f>
        <v>0</v>
      </c>
      <c r="H1945" s="371">
        <f t="shared" ref="H1945:I1945" si="2535">SUM(H1942:H1944)</f>
        <v>0</v>
      </c>
      <c r="I1945" s="371">
        <f t="shared" si="2535"/>
        <v>0</v>
      </c>
      <c r="J1945" s="362" t="str">
        <f>IFERROR(G1945/#REF!,"-")</f>
        <v>-</v>
      </c>
      <c r="K1945" s="372">
        <f t="shared" ref="K1945:M1945" si="2536">SUM(K1942:K1944)</f>
        <v>493341</v>
      </c>
      <c r="L1945" s="371">
        <f t="shared" si="2536"/>
        <v>481104</v>
      </c>
      <c r="M1945" s="373">
        <f t="shared" si="2536"/>
        <v>12237</v>
      </c>
      <c r="N1945" s="361" t="str">
        <f t="shared" si="2527"/>
        <v>-</v>
      </c>
      <c r="O1945" s="362">
        <f t="shared" si="2480"/>
        <v>2.4804344256812227E-2</v>
      </c>
    </row>
    <row r="1946" spans="1:15" ht="24" thickBot="1" x14ac:dyDescent="0.35">
      <c r="A1946" s="277" t="s">
        <v>109</v>
      </c>
      <c r="B1946" s="932" t="s">
        <v>172</v>
      </c>
      <c r="C1946" s="933"/>
      <c r="D1946" s="934"/>
      <c r="E1946" s="314">
        <v>649600</v>
      </c>
      <c r="F1946" s="315">
        <v>50000</v>
      </c>
      <c r="G1946" s="375">
        <f>+G1941+G1945</f>
        <v>0</v>
      </c>
      <c r="H1946" s="374">
        <f t="shared" ref="H1946:I1946" si="2537">+H1941+H1945</f>
        <v>0</v>
      </c>
      <c r="I1946" s="374">
        <f t="shared" si="2537"/>
        <v>0</v>
      </c>
      <c r="J1946" s="364" t="str">
        <f>IFERROR(G1946/#REF!,"-")</f>
        <v>-</v>
      </c>
      <c r="K1946" s="375">
        <f t="shared" ref="K1946:M1946" si="2538">+K1941+K1945</f>
        <v>547270</v>
      </c>
      <c r="L1946" s="374">
        <f t="shared" si="2538"/>
        <v>533520</v>
      </c>
      <c r="M1946" s="376">
        <f t="shared" si="2538"/>
        <v>13750</v>
      </c>
      <c r="N1946" s="363">
        <f t="shared" si="2527"/>
        <v>0.84247229064039408</v>
      </c>
      <c r="O1946" s="364">
        <f t="shared" si="2480"/>
        <v>2.5124709923803609E-2</v>
      </c>
    </row>
    <row r="1947" spans="1:15" ht="24" thickBot="1" x14ac:dyDescent="0.35">
      <c r="A1947" s="277" t="s">
        <v>109</v>
      </c>
      <c r="B1947" s="616" t="s">
        <v>32</v>
      </c>
      <c r="C1947" s="857"/>
      <c r="D1947" s="316" t="s">
        <v>32</v>
      </c>
      <c r="E1947" s="293">
        <v>0</v>
      </c>
      <c r="F1947" s="294">
        <v>110000</v>
      </c>
      <c r="G1947" s="341">
        <f t="shared" ref="G1947" si="2539">+H1947+I1947</f>
        <v>0</v>
      </c>
      <c r="H1947" s="295">
        <v>0</v>
      </c>
      <c r="I1947" s="295">
        <v>0</v>
      </c>
      <c r="J1947" s="360" t="str">
        <f>IFERROR(G1947/#REF!,"-")</f>
        <v>-</v>
      </c>
      <c r="K1947" s="341">
        <f>+L1947+M1947</f>
        <v>0</v>
      </c>
      <c r="L1947" s="295">
        <f>+H1947+L1843</f>
        <v>0</v>
      </c>
      <c r="M1947" s="296">
        <f>+I1947+M1843</f>
        <v>0</v>
      </c>
      <c r="N1947" s="346" t="str">
        <f t="shared" si="2527"/>
        <v>-</v>
      </c>
      <c r="O1947" s="354" t="str">
        <f t="shared" si="2480"/>
        <v>-</v>
      </c>
    </row>
    <row r="1948" spans="1:15" ht="24" thickBot="1" x14ac:dyDescent="0.35">
      <c r="A1948" s="277" t="s">
        <v>109</v>
      </c>
      <c r="B1948" s="926" t="s">
        <v>21</v>
      </c>
      <c r="C1948" s="927"/>
      <c r="D1948" s="928"/>
      <c r="E1948" s="332">
        <f>+E1937+E1946+E1947</f>
        <v>2816600</v>
      </c>
      <c r="F1948" s="333">
        <f t="shared" ref="F1948" si="2540">+F1937+F1946+F1947</f>
        <v>240000</v>
      </c>
      <c r="G1948" s="332">
        <f>+G1937+G1946+G1947</f>
        <v>142174</v>
      </c>
      <c r="H1948" s="330">
        <f t="shared" ref="H1948:I1948" si="2541">+H1937+H1946+H1947</f>
        <v>139230</v>
      </c>
      <c r="I1948" s="330">
        <f t="shared" si="2541"/>
        <v>2944</v>
      </c>
      <c r="J1948" s="355" t="str">
        <f>IFERROR(G1948/#REF!,"-")</f>
        <v>-</v>
      </c>
      <c r="K1948" s="332">
        <f>+K1937+K1946+K1947</f>
        <v>2610726</v>
      </c>
      <c r="L1948" s="330">
        <f>+L1937+L1946+L1947</f>
        <v>2570256</v>
      </c>
      <c r="M1948" s="331">
        <f t="shared" ref="M1948" si="2542">+M1937+M1946+M1947</f>
        <v>40470</v>
      </c>
      <c r="N1948" s="347">
        <f t="shared" si="2527"/>
        <v>0.9269069090392672</v>
      </c>
      <c r="O1948" s="355">
        <f t="shared" si="2480"/>
        <v>1.5501435232958188E-2</v>
      </c>
    </row>
    <row r="1949" spans="1:15" ht="24" thickBot="1" x14ac:dyDescent="0.35">
      <c r="A1949" s="277" t="s">
        <v>109</v>
      </c>
      <c r="B1949" s="900" t="s">
        <v>180</v>
      </c>
      <c r="C1949" s="901"/>
      <c r="D1949" s="902"/>
      <c r="E1949" s="336">
        <f>+E1948</f>
        <v>2816600</v>
      </c>
      <c r="F1949" s="337">
        <f t="shared" ref="F1949:I1949" si="2543">+F1948</f>
        <v>240000</v>
      </c>
      <c r="G1949" s="336">
        <f t="shared" si="2543"/>
        <v>142174</v>
      </c>
      <c r="H1949" s="334">
        <f t="shared" si="2543"/>
        <v>139230</v>
      </c>
      <c r="I1949" s="334">
        <f t="shared" si="2543"/>
        <v>2944</v>
      </c>
      <c r="J1949" s="356" t="str">
        <f>+J1948</f>
        <v>-</v>
      </c>
      <c r="K1949" s="336">
        <f>+K1948</f>
        <v>2610726</v>
      </c>
      <c r="L1949" s="334">
        <f t="shared" ref="L1949" si="2544">+L1948</f>
        <v>2570256</v>
      </c>
      <c r="M1949" s="335">
        <f>+M1948</f>
        <v>40470</v>
      </c>
      <c r="N1949" s="348">
        <f t="shared" ref="N1949:O1949" si="2545">+N1948</f>
        <v>0.9269069090392672</v>
      </c>
      <c r="O1949" s="356">
        <f t="shared" si="2545"/>
        <v>1.5501435232958188E-2</v>
      </c>
    </row>
    <row r="1950" spans="1:15" ht="23.4" x14ac:dyDescent="0.3">
      <c r="A1950" s="271" t="s">
        <v>110</v>
      </c>
      <c r="B1950" s="903" t="s">
        <v>33</v>
      </c>
      <c r="C1950" s="317" t="s">
        <v>121</v>
      </c>
      <c r="D1950" s="317"/>
      <c r="E1950" s="273">
        <v>0</v>
      </c>
      <c r="F1950" s="274"/>
      <c r="G1950" s="338">
        <f t="shared" ref="G1950:G1952" si="2546">+H1950+I1950</f>
        <v>0</v>
      </c>
      <c r="H1950" s="275">
        <v>0</v>
      </c>
      <c r="I1950" s="275">
        <v>0</v>
      </c>
      <c r="J1950" s="357" t="str">
        <f>IFERROR(G1950/#REF!,"-")</f>
        <v>-</v>
      </c>
      <c r="K1950" s="338">
        <f t="shared" ref="K1950:K1952" si="2547">+L1950+M1950</f>
        <v>0</v>
      </c>
      <c r="L1950" s="275">
        <f t="shared" ref="L1950:L1952" si="2548">+H1950+L1846</f>
        <v>0</v>
      </c>
      <c r="M1950" s="276">
        <f t="shared" ref="M1950:M1952" si="2549">+I1950+M1846</f>
        <v>0</v>
      </c>
      <c r="N1950" s="342" t="str">
        <f t="shared" ref="N1950:N1957" si="2550">IFERROR(K1950/E1950,"-")</f>
        <v>-</v>
      </c>
      <c r="O1950" s="352" t="str">
        <f t="shared" ref="O1950:O1975" si="2551">IFERROR(M1950/K1950,"-")</f>
        <v>-</v>
      </c>
    </row>
    <row r="1951" spans="1:15" ht="23.4" x14ac:dyDescent="0.3">
      <c r="A1951" s="277" t="s">
        <v>110</v>
      </c>
      <c r="B1951" s="904"/>
      <c r="C1951" s="318" t="s">
        <v>274</v>
      </c>
      <c r="D1951" s="318"/>
      <c r="E1951" s="279">
        <v>0</v>
      </c>
      <c r="F1951" s="280"/>
      <c r="G1951" s="339">
        <f t="shared" si="2546"/>
        <v>0</v>
      </c>
      <c r="H1951" s="281">
        <v>0</v>
      </c>
      <c r="I1951" s="281">
        <v>0</v>
      </c>
      <c r="J1951" s="358" t="str">
        <f>IFERROR(G1951/#REF!,"-")</f>
        <v>-</v>
      </c>
      <c r="K1951" s="339">
        <f t="shared" si="2547"/>
        <v>10252</v>
      </c>
      <c r="L1951" s="281">
        <f t="shared" si="2548"/>
        <v>9280</v>
      </c>
      <c r="M1951" s="251">
        <f t="shared" si="2549"/>
        <v>972</v>
      </c>
      <c r="N1951" s="343" t="str">
        <f t="shared" si="2550"/>
        <v>-</v>
      </c>
      <c r="O1951" s="264">
        <f t="shared" si="2551"/>
        <v>9.4810768630511119E-2</v>
      </c>
    </row>
    <row r="1952" spans="1:15" ht="24" thickBot="1" x14ac:dyDescent="0.35">
      <c r="A1952" s="277" t="s">
        <v>110</v>
      </c>
      <c r="B1952" s="905"/>
      <c r="C1952" s="319" t="s">
        <v>34</v>
      </c>
      <c r="D1952" s="319"/>
      <c r="E1952" s="283">
        <v>0</v>
      </c>
      <c r="F1952" s="284"/>
      <c r="G1952" s="340">
        <f t="shared" si="2546"/>
        <v>0</v>
      </c>
      <c r="H1952" s="285">
        <v>0</v>
      </c>
      <c r="I1952" s="285">
        <v>0</v>
      </c>
      <c r="J1952" s="359" t="str">
        <f>IFERROR(G1952/#REF!,"-")</f>
        <v>-</v>
      </c>
      <c r="K1952" s="340">
        <f t="shared" si="2547"/>
        <v>0</v>
      </c>
      <c r="L1952" s="285">
        <f t="shared" si="2548"/>
        <v>0</v>
      </c>
      <c r="M1952" s="286">
        <f t="shared" si="2549"/>
        <v>0</v>
      </c>
      <c r="N1952" s="344" t="str">
        <f t="shared" si="2550"/>
        <v>-</v>
      </c>
      <c r="O1952" s="353" t="str">
        <f t="shared" si="2551"/>
        <v>-</v>
      </c>
    </row>
    <row r="1953" spans="1:15" ht="24" thickBot="1" x14ac:dyDescent="0.35">
      <c r="A1953" s="277" t="s">
        <v>110</v>
      </c>
      <c r="B1953" s="906" t="s">
        <v>35</v>
      </c>
      <c r="C1953" s="907"/>
      <c r="D1953" s="908"/>
      <c r="E1953" s="288">
        <v>83700</v>
      </c>
      <c r="F1953" s="289"/>
      <c r="G1953" s="326">
        <f>SUM(G1950:G1952)</f>
        <v>0</v>
      </c>
      <c r="H1953" s="327">
        <f t="shared" ref="H1953:I1953" si="2552">SUM(H1950:H1952)</f>
        <v>0</v>
      </c>
      <c r="I1953" s="327">
        <f t="shared" si="2552"/>
        <v>0</v>
      </c>
      <c r="J1953" s="351" t="str">
        <f>IFERROR(G1953/#REF!,"-")</f>
        <v>-</v>
      </c>
      <c r="K1953" s="326">
        <f t="shared" ref="K1953:M1953" si="2553">SUM(K1950:K1952)</f>
        <v>10252</v>
      </c>
      <c r="L1953" s="327">
        <f t="shared" si="2553"/>
        <v>9280</v>
      </c>
      <c r="M1953" s="328">
        <f t="shared" si="2553"/>
        <v>972</v>
      </c>
      <c r="N1953" s="345">
        <f t="shared" si="2550"/>
        <v>0.12248506571087216</v>
      </c>
      <c r="O1953" s="351">
        <f t="shared" si="2551"/>
        <v>9.4810768630511119E-2</v>
      </c>
    </row>
    <row r="1954" spans="1:15" ht="23.4" x14ac:dyDescent="0.3">
      <c r="A1954" s="277" t="s">
        <v>110</v>
      </c>
      <c r="B1954" s="903" t="s">
        <v>36</v>
      </c>
      <c r="C1954" s="317" t="s">
        <v>121</v>
      </c>
      <c r="D1954" s="317"/>
      <c r="E1954" s="273">
        <v>0</v>
      </c>
      <c r="F1954" s="274"/>
      <c r="G1954" s="338">
        <f t="shared" ref="G1954:G1957" si="2554">+H1954+I1954</f>
        <v>0</v>
      </c>
      <c r="H1954" s="275">
        <v>0</v>
      </c>
      <c r="I1954" s="275">
        <v>0</v>
      </c>
      <c r="J1954" s="357" t="str">
        <f>IFERROR(G1954/#REF!,"-")</f>
        <v>-</v>
      </c>
      <c r="K1954" s="338">
        <f t="shared" ref="K1954:K1957" si="2555">+L1954+M1954</f>
        <v>0</v>
      </c>
      <c r="L1954" s="275">
        <f t="shared" ref="L1954:L1957" si="2556">+H1954+L1850</f>
        <v>0</v>
      </c>
      <c r="M1954" s="276">
        <f t="shared" ref="M1954:M1957" si="2557">+I1954+M1850</f>
        <v>0</v>
      </c>
      <c r="N1954" s="342" t="str">
        <f t="shared" si="2550"/>
        <v>-</v>
      </c>
      <c r="O1954" s="352" t="str">
        <f t="shared" si="2551"/>
        <v>-</v>
      </c>
    </row>
    <row r="1955" spans="1:15" ht="23.4" x14ac:dyDescent="0.3">
      <c r="A1955" s="277" t="s">
        <v>110</v>
      </c>
      <c r="B1955" s="904"/>
      <c r="C1955" s="318" t="s">
        <v>274</v>
      </c>
      <c r="D1955" s="318"/>
      <c r="E1955" s="279">
        <v>0</v>
      </c>
      <c r="F1955" s="280"/>
      <c r="G1955" s="339">
        <f t="shared" si="2554"/>
        <v>0</v>
      </c>
      <c r="H1955" s="281">
        <v>0</v>
      </c>
      <c r="I1955" s="281">
        <v>0</v>
      </c>
      <c r="J1955" s="358" t="str">
        <f>IFERROR(G1955/#REF!,"-")</f>
        <v>-</v>
      </c>
      <c r="K1955" s="339">
        <f t="shared" si="2555"/>
        <v>68200</v>
      </c>
      <c r="L1955" s="281">
        <f t="shared" si="2556"/>
        <v>66462</v>
      </c>
      <c r="M1955" s="251">
        <f t="shared" si="2557"/>
        <v>1738</v>
      </c>
      <c r="N1955" s="343" t="str">
        <f t="shared" si="2550"/>
        <v>-</v>
      </c>
      <c r="O1955" s="264">
        <f t="shared" si="2551"/>
        <v>2.5483870967741934E-2</v>
      </c>
    </row>
    <row r="1956" spans="1:15" ht="23.4" x14ac:dyDescent="0.3">
      <c r="A1956" s="277" t="s">
        <v>110</v>
      </c>
      <c r="B1956" s="904"/>
      <c r="C1956" s="318" t="s">
        <v>201</v>
      </c>
      <c r="D1956" s="318"/>
      <c r="E1956" s="279">
        <v>0</v>
      </c>
      <c r="F1956" s="280"/>
      <c r="G1956" s="339">
        <f t="shared" si="2554"/>
        <v>0</v>
      </c>
      <c r="H1956" s="281">
        <v>0</v>
      </c>
      <c r="I1956" s="281">
        <v>0</v>
      </c>
      <c r="J1956" s="358" t="str">
        <f>IFERROR(G1956/#REF!,"-")</f>
        <v>-</v>
      </c>
      <c r="K1956" s="339">
        <f t="shared" si="2555"/>
        <v>0</v>
      </c>
      <c r="L1956" s="281">
        <f t="shared" si="2556"/>
        <v>0</v>
      </c>
      <c r="M1956" s="251">
        <f t="shared" si="2557"/>
        <v>0</v>
      </c>
      <c r="N1956" s="343" t="str">
        <f t="shared" si="2550"/>
        <v>-</v>
      </c>
      <c r="O1956" s="264" t="str">
        <f t="shared" si="2551"/>
        <v>-</v>
      </c>
    </row>
    <row r="1957" spans="1:15" ht="24" thickBot="1" x14ac:dyDescent="0.35">
      <c r="A1957" s="277" t="s">
        <v>110</v>
      </c>
      <c r="B1957" s="905"/>
      <c r="C1957" s="319" t="s">
        <v>37</v>
      </c>
      <c r="D1957" s="319"/>
      <c r="E1957" s="283">
        <v>0</v>
      </c>
      <c r="F1957" s="284"/>
      <c r="G1957" s="340">
        <f t="shared" si="2554"/>
        <v>0</v>
      </c>
      <c r="H1957" s="285">
        <v>0</v>
      </c>
      <c r="I1957" s="285">
        <v>0</v>
      </c>
      <c r="J1957" s="359" t="str">
        <f>IFERROR(G1957/#REF!,"-")</f>
        <v>-</v>
      </c>
      <c r="K1957" s="340">
        <f t="shared" si="2555"/>
        <v>0</v>
      </c>
      <c r="L1957" s="285">
        <f t="shared" si="2556"/>
        <v>0</v>
      </c>
      <c r="M1957" s="286">
        <f t="shared" si="2557"/>
        <v>0</v>
      </c>
      <c r="N1957" s="344" t="str">
        <f t="shared" si="2550"/>
        <v>-</v>
      </c>
      <c r="O1957" s="353" t="str">
        <f t="shared" si="2551"/>
        <v>-</v>
      </c>
    </row>
    <row r="1958" spans="1:15" ht="24" thickBot="1" x14ac:dyDescent="0.35">
      <c r="A1958" s="277" t="s">
        <v>110</v>
      </c>
      <c r="B1958" s="906" t="s">
        <v>38</v>
      </c>
      <c r="C1958" s="907"/>
      <c r="D1958" s="908"/>
      <c r="E1958" s="288">
        <v>10300</v>
      </c>
      <c r="F1958" s="289">
        <v>6500</v>
      </c>
      <c r="G1958" s="326">
        <f>SUM(G1954:G1957)</f>
        <v>0</v>
      </c>
      <c r="H1958" s="327">
        <f t="shared" ref="H1958:I1958" si="2558">SUM(H1954:H1957)</f>
        <v>0</v>
      </c>
      <c r="I1958" s="327">
        <f t="shared" si="2558"/>
        <v>0</v>
      </c>
      <c r="J1958" s="351" t="str">
        <f>IFERROR(G1958/#REF!,"-")</f>
        <v>-</v>
      </c>
      <c r="K1958" s="326">
        <f t="shared" ref="K1958:M1958" si="2559">SUM(K1954:K1957)</f>
        <v>68200</v>
      </c>
      <c r="L1958" s="327">
        <f t="shared" si="2559"/>
        <v>66462</v>
      </c>
      <c r="M1958" s="328">
        <f t="shared" si="2559"/>
        <v>1738</v>
      </c>
      <c r="N1958" s="345">
        <f>IFERROR(K1958/E1958,"-")</f>
        <v>6.6213592233009706</v>
      </c>
      <c r="O1958" s="351">
        <f t="shared" si="2551"/>
        <v>2.5483870967741934E-2</v>
      </c>
    </row>
    <row r="1959" spans="1:15" ht="23.4" x14ac:dyDescent="0.3">
      <c r="A1959" s="277" t="s">
        <v>110</v>
      </c>
      <c r="B1959" s="903" t="s">
        <v>39</v>
      </c>
      <c r="C1959" s="320" t="s">
        <v>124</v>
      </c>
      <c r="D1959" s="320"/>
      <c r="E1959" s="273">
        <v>0</v>
      </c>
      <c r="F1959" s="274"/>
      <c r="G1959" s="338">
        <f t="shared" ref="G1959:G1960" si="2560">+H1959+I1959</f>
        <v>0</v>
      </c>
      <c r="H1959" s="275">
        <v>0</v>
      </c>
      <c r="I1959" s="275">
        <v>0</v>
      </c>
      <c r="J1959" s="357" t="str">
        <f>IFERROR(G1959/#REF!,"-")</f>
        <v>-</v>
      </c>
      <c r="K1959" s="338">
        <f t="shared" ref="K1959:K1960" si="2561">+L1959+M1959</f>
        <v>0</v>
      </c>
      <c r="L1959" s="275">
        <f t="shared" ref="L1959:L1960" si="2562">+H1959+L1855</f>
        <v>0</v>
      </c>
      <c r="M1959" s="276">
        <f t="shared" ref="M1959:M1960" si="2563">+I1959+M1855</f>
        <v>0</v>
      </c>
      <c r="N1959" s="342" t="str">
        <f t="shared" ref="N1959:N1975" si="2564">IFERROR(K1959/E1959,"-")</f>
        <v>-</v>
      </c>
      <c r="O1959" s="352" t="str">
        <f t="shared" si="2551"/>
        <v>-</v>
      </c>
    </row>
    <row r="1960" spans="1:15" ht="24" thickBot="1" x14ac:dyDescent="0.35">
      <c r="A1960" s="277" t="s">
        <v>110</v>
      </c>
      <c r="B1960" s="905"/>
      <c r="C1960" s="290" t="s">
        <v>140</v>
      </c>
      <c r="D1960" s="290"/>
      <c r="E1960" s="283">
        <v>0</v>
      </c>
      <c r="F1960" s="284"/>
      <c r="G1960" s="340">
        <f t="shared" si="2560"/>
        <v>4339</v>
      </c>
      <c r="H1960" s="285">
        <v>4000</v>
      </c>
      <c r="I1960" s="285">
        <v>339</v>
      </c>
      <c r="J1960" s="359" t="str">
        <f>IFERROR(G1960/#REF!,"-")</f>
        <v>-</v>
      </c>
      <c r="K1960" s="340">
        <f t="shared" si="2561"/>
        <v>12223</v>
      </c>
      <c r="L1960" s="285">
        <f t="shared" si="2562"/>
        <v>10914</v>
      </c>
      <c r="M1960" s="286">
        <f t="shared" si="2563"/>
        <v>1309</v>
      </c>
      <c r="N1960" s="344" t="str">
        <f t="shared" si="2564"/>
        <v>-</v>
      </c>
      <c r="O1960" s="353">
        <f t="shared" si="2551"/>
        <v>0.1070931849791377</v>
      </c>
    </row>
    <row r="1961" spans="1:15" ht="24" thickBot="1" x14ac:dyDescent="0.35">
      <c r="A1961" s="861" t="s">
        <v>110</v>
      </c>
      <c r="B1961" s="906" t="s">
        <v>40</v>
      </c>
      <c r="C1961" s="907"/>
      <c r="D1961" s="908"/>
      <c r="E1961" s="288">
        <v>30000</v>
      </c>
      <c r="F1961" s="289">
        <v>2800</v>
      </c>
      <c r="G1961" s="326">
        <f>SUM(G1959:G1960)</f>
        <v>4339</v>
      </c>
      <c r="H1961" s="327">
        <f t="shared" ref="H1961:I1961" si="2565">SUM(H1959:H1960)</f>
        <v>4000</v>
      </c>
      <c r="I1961" s="327">
        <f t="shared" si="2565"/>
        <v>339</v>
      </c>
      <c r="J1961" s="351" t="str">
        <f>IFERROR(G1961/#REF!,"-")</f>
        <v>-</v>
      </c>
      <c r="K1961" s="326">
        <f t="shared" ref="K1961:M1961" si="2566">SUM(K1959:K1960)</f>
        <v>12223</v>
      </c>
      <c r="L1961" s="327">
        <f t="shared" si="2566"/>
        <v>10914</v>
      </c>
      <c r="M1961" s="328">
        <f t="shared" si="2566"/>
        <v>1309</v>
      </c>
      <c r="N1961" s="345">
        <f t="shared" si="2564"/>
        <v>0.40743333333333331</v>
      </c>
      <c r="O1961" s="351">
        <f t="shared" si="2551"/>
        <v>0.1070931849791377</v>
      </c>
    </row>
    <row r="1962" spans="1:15" ht="23.4" x14ac:dyDescent="0.3">
      <c r="A1962" s="277" t="s">
        <v>110</v>
      </c>
      <c r="B1962" s="903" t="s">
        <v>41</v>
      </c>
      <c r="C1962" s="272" t="s">
        <v>346</v>
      </c>
      <c r="D1962" s="272"/>
      <c r="E1962" s="273">
        <v>0</v>
      </c>
      <c r="F1962" s="321"/>
      <c r="G1962" s="338">
        <f t="shared" ref="G1962:G1966" si="2567">+H1962+I1962</f>
        <v>24670</v>
      </c>
      <c r="H1962" s="275">
        <v>24504</v>
      </c>
      <c r="I1962" s="275">
        <v>166</v>
      </c>
      <c r="J1962" s="377" t="str">
        <f>IFERROR(G1962/#REF!,"-")</f>
        <v>-</v>
      </c>
      <c r="K1962" s="338">
        <f t="shared" ref="K1962:K1966" si="2568">+L1962+M1962</f>
        <v>384486</v>
      </c>
      <c r="L1962" s="275">
        <f t="shared" ref="L1962:L1966" si="2569">+H1962+L1858</f>
        <v>380940</v>
      </c>
      <c r="M1962" s="276">
        <f t="shared" ref="M1962:M1966" si="2570">+I1962+M1858</f>
        <v>3546</v>
      </c>
      <c r="N1962" s="365" t="str">
        <f t="shared" si="2564"/>
        <v>-</v>
      </c>
      <c r="O1962" s="366">
        <f t="shared" si="2551"/>
        <v>9.2227025171267608E-3</v>
      </c>
    </row>
    <row r="1963" spans="1:15" ht="23.4" x14ac:dyDescent="0.3">
      <c r="A1963" s="277" t="s">
        <v>110</v>
      </c>
      <c r="B1963" s="904"/>
      <c r="C1963" s="272" t="s">
        <v>347</v>
      </c>
      <c r="D1963" s="278"/>
      <c r="E1963" s="279">
        <v>0</v>
      </c>
      <c r="F1963" s="322"/>
      <c r="G1963" s="339">
        <f t="shared" si="2567"/>
        <v>0</v>
      </c>
      <c r="H1963" s="281">
        <v>0</v>
      </c>
      <c r="I1963" s="281">
        <v>0</v>
      </c>
      <c r="J1963" s="378" t="str">
        <f>IFERROR(G1963/#REF!,"-")</f>
        <v>-</v>
      </c>
      <c r="K1963" s="339">
        <f t="shared" si="2568"/>
        <v>0</v>
      </c>
      <c r="L1963" s="281">
        <f t="shared" si="2569"/>
        <v>0</v>
      </c>
      <c r="M1963" s="251">
        <f t="shared" si="2570"/>
        <v>0</v>
      </c>
      <c r="N1963" s="367" t="str">
        <f t="shared" si="2564"/>
        <v>-</v>
      </c>
      <c r="O1963" s="368" t="str">
        <f t="shared" si="2551"/>
        <v>-</v>
      </c>
    </row>
    <row r="1964" spans="1:15" ht="23.4" x14ac:dyDescent="0.3">
      <c r="A1964" s="277" t="s">
        <v>110</v>
      </c>
      <c r="B1964" s="904"/>
      <c r="C1964" s="278" t="s">
        <v>423</v>
      </c>
      <c r="D1964" s="278"/>
      <c r="E1964" s="279">
        <v>0</v>
      </c>
      <c r="F1964" s="322"/>
      <c r="G1964" s="339">
        <f t="shared" si="2567"/>
        <v>0</v>
      </c>
      <c r="H1964" s="281">
        <v>0</v>
      </c>
      <c r="I1964" s="281">
        <v>0</v>
      </c>
      <c r="J1964" s="378" t="str">
        <f>IFERROR(G1964/#REF!,"-")</f>
        <v>-</v>
      </c>
      <c r="K1964" s="339">
        <f t="shared" si="2568"/>
        <v>34536</v>
      </c>
      <c r="L1964" s="281">
        <f t="shared" si="2569"/>
        <v>33960</v>
      </c>
      <c r="M1964" s="251">
        <f t="shared" si="2570"/>
        <v>576</v>
      </c>
      <c r="N1964" s="367" t="str">
        <f t="shared" si="2564"/>
        <v>-</v>
      </c>
      <c r="O1964" s="368">
        <f t="shared" si="2551"/>
        <v>1.6678248783877692E-2</v>
      </c>
    </row>
    <row r="1965" spans="1:15" ht="23.4" x14ac:dyDescent="0.3">
      <c r="A1965" s="277" t="s">
        <v>110</v>
      </c>
      <c r="B1965" s="904"/>
      <c r="C1965" s="278" t="s">
        <v>166</v>
      </c>
      <c r="D1965" s="278"/>
      <c r="E1965" s="279">
        <v>0</v>
      </c>
      <c r="F1965" s="322"/>
      <c r="G1965" s="339">
        <f t="shared" si="2567"/>
        <v>0</v>
      </c>
      <c r="H1965" s="281">
        <v>0</v>
      </c>
      <c r="I1965" s="281">
        <v>0</v>
      </c>
      <c r="J1965" s="378" t="str">
        <f>IFERROR(G1965/#REF!,"-")</f>
        <v>-</v>
      </c>
      <c r="K1965" s="339">
        <f t="shared" si="2568"/>
        <v>0</v>
      </c>
      <c r="L1965" s="281">
        <f t="shared" si="2569"/>
        <v>0</v>
      </c>
      <c r="M1965" s="251">
        <f t="shared" si="2570"/>
        <v>0</v>
      </c>
      <c r="N1965" s="367" t="str">
        <f t="shared" si="2564"/>
        <v>-</v>
      </c>
      <c r="O1965" s="368" t="str">
        <f t="shared" si="2551"/>
        <v>-</v>
      </c>
    </row>
    <row r="1966" spans="1:15" ht="24" thickBot="1" x14ac:dyDescent="0.35">
      <c r="A1966" s="277" t="s">
        <v>110</v>
      </c>
      <c r="B1966" s="905"/>
      <c r="C1966" s="282" t="s">
        <v>167</v>
      </c>
      <c r="D1966" s="282"/>
      <c r="E1966" s="283">
        <v>0</v>
      </c>
      <c r="F1966" s="323"/>
      <c r="G1966" s="340">
        <f t="shared" si="2567"/>
        <v>0</v>
      </c>
      <c r="H1966" s="285">
        <v>0</v>
      </c>
      <c r="I1966" s="285">
        <v>0</v>
      </c>
      <c r="J1966" s="379" t="str">
        <f>IFERROR(G1966/#REF!,"-")</f>
        <v>-</v>
      </c>
      <c r="K1966" s="340">
        <f t="shared" si="2568"/>
        <v>0</v>
      </c>
      <c r="L1966" s="285">
        <f t="shared" si="2569"/>
        <v>0</v>
      </c>
      <c r="M1966" s="286">
        <f t="shared" si="2570"/>
        <v>0</v>
      </c>
      <c r="N1966" s="369" t="str">
        <f t="shared" si="2564"/>
        <v>-</v>
      </c>
      <c r="O1966" s="370" t="str">
        <f t="shared" si="2551"/>
        <v>-</v>
      </c>
    </row>
    <row r="1967" spans="1:15" ht="24" thickBot="1" x14ac:dyDescent="0.35">
      <c r="A1967" s="277" t="s">
        <v>110</v>
      </c>
      <c r="B1967" s="906" t="s">
        <v>42</v>
      </c>
      <c r="C1967" s="907"/>
      <c r="D1967" s="908"/>
      <c r="E1967" s="326">
        <v>610600</v>
      </c>
      <c r="F1967" s="289">
        <v>25000</v>
      </c>
      <c r="G1967" s="326">
        <f>SUM(G1963:G1966)</f>
        <v>0</v>
      </c>
      <c r="H1967" s="327">
        <f t="shared" ref="H1967:I1967" si="2571">SUM(H1963:H1966)</f>
        <v>0</v>
      </c>
      <c r="I1967" s="327">
        <f t="shared" si="2571"/>
        <v>0</v>
      </c>
      <c r="J1967" s="351" t="str">
        <f>IFERROR(G1967/#REF!,"-")</f>
        <v>-</v>
      </c>
      <c r="K1967" s="326">
        <f>SUM(K1962:K1966)</f>
        <v>419022</v>
      </c>
      <c r="L1967" s="327">
        <f>SUM(L1962:L1966)</f>
        <v>414900</v>
      </c>
      <c r="M1967" s="328">
        <f>SUM(M1962:M1966)</f>
        <v>4122</v>
      </c>
      <c r="N1967" s="345">
        <f t="shared" si="2564"/>
        <v>0.68624631509990175</v>
      </c>
      <c r="O1967" s="351">
        <f t="shared" si="2551"/>
        <v>9.8371923192576999E-3</v>
      </c>
    </row>
    <row r="1968" spans="1:15" ht="23.4" x14ac:dyDescent="0.3">
      <c r="A1968" s="277" t="s">
        <v>110</v>
      </c>
      <c r="B1968" s="903" t="s">
        <v>43</v>
      </c>
      <c r="C1968" s="272" t="s">
        <v>204</v>
      </c>
      <c r="D1968" s="272"/>
      <c r="E1968" s="273">
        <v>0</v>
      </c>
      <c r="F1968" s="274"/>
      <c r="G1968" s="338">
        <f t="shared" ref="G1968:G1970" si="2572">+H1968+I1968</f>
        <v>0</v>
      </c>
      <c r="H1968" s="275">
        <v>0</v>
      </c>
      <c r="I1968" s="275">
        <v>0</v>
      </c>
      <c r="J1968" s="357" t="str">
        <f>IFERROR(G1968/#REF!,"-")</f>
        <v>-</v>
      </c>
      <c r="K1968" s="338">
        <f t="shared" ref="K1968:K1970" si="2573">+L1968+M1968</f>
        <v>0</v>
      </c>
      <c r="L1968" s="275">
        <f t="shared" ref="L1968:L1970" si="2574">+H1968+L1864</f>
        <v>0</v>
      </c>
      <c r="M1968" s="276">
        <f t="shared" ref="M1968:M1970" si="2575">+I1968+M1864</f>
        <v>0</v>
      </c>
      <c r="N1968" s="342" t="str">
        <f t="shared" si="2564"/>
        <v>-</v>
      </c>
      <c r="O1968" s="352" t="str">
        <f t="shared" si="2551"/>
        <v>-</v>
      </c>
    </row>
    <row r="1969" spans="1:15" ht="23.4" x14ac:dyDescent="0.3">
      <c r="A1969" s="277" t="s">
        <v>110</v>
      </c>
      <c r="B1969" s="904"/>
      <c r="C1969" s="278" t="s">
        <v>168</v>
      </c>
      <c r="D1969" s="278"/>
      <c r="E1969" s="279">
        <v>0</v>
      </c>
      <c r="F1969" s="280"/>
      <c r="G1969" s="339">
        <f t="shared" si="2572"/>
        <v>0</v>
      </c>
      <c r="H1969" s="281">
        <v>0</v>
      </c>
      <c r="I1969" s="281">
        <v>0</v>
      </c>
      <c r="J1969" s="378" t="str">
        <f>IFERROR(G1969/#REF!,"-")</f>
        <v>-</v>
      </c>
      <c r="K1969" s="339">
        <f t="shared" si="2573"/>
        <v>0</v>
      </c>
      <c r="L1969" s="281">
        <f t="shared" si="2574"/>
        <v>0</v>
      </c>
      <c r="M1969" s="251">
        <f t="shared" si="2575"/>
        <v>0</v>
      </c>
      <c r="N1969" s="367" t="str">
        <f t="shared" si="2564"/>
        <v>-</v>
      </c>
      <c r="O1969" s="368" t="str">
        <f t="shared" si="2551"/>
        <v>-</v>
      </c>
    </row>
    <row r="1970" spans="1:15" ht="24" thickBot="1" x14ac:dyDescent="0.35">
      <c r="A1970" s="277" t="s">
        <v>110</v>
      </c>
      <c r="B1970" s="905"/>
      <c r="C1970" s="282" t="s">
        <v>204</v>
      </c>
      <c r="D1970" s="282"/>
      <c r="E1970" s="283">
        <v>0</v>
      </c>
      <c r="F1970" s="284"/>
      <c r="G1970" s="340">
        <f t="shared" si="2572"/>
        <v>0</v>
      </c>
      <c r="H1970" s="285">
        <v>0</v>
      </c>
      <c r="I1970" s="285">
        <v>0</v>
      </c>
      <c r="J1970" s="379" t="str">
        <f>IFERROR(G1970/#REF!,"-")</f>
        <v>-</v>
      </c>
      <c r="K1970" s="340">
        <f t="shared" si="2573"/>
        <v>0</v>
      </c>
      <c r="L1970" s="285">
        <f t="shared" si="2574"/>
        <v>0</v>
      </c>
      <c r="M1970" s="286">
        <f t="shared" si="2575"/>
        <v>0</v>
      </c>
      <c r="N1970" s="369" t="str">
        <f t="shared" si="2564"/>
        <v>-</v>
      </c>
      <c r="O1970" s="370" t="str">
        <f t="shared" si="2551"/>
        <v>-</v>
      </c>
    </row>
    <row r="1971" spans="1:15" ht="24" thickBot="1" x14ac:dyDescent="0.35">
      <c r="A1971" s="277" t="s">
        <v>110</v>
      </c>
      <c r="B1971" s="909" t="s">
        <v>44</v>
      </c>
      <c r="C1971" s="910"/>
      <c r="D1971" s="911"/>
      <c r="E1971" s="326">
        <v>0</v>
      </c>
      <c r="F1971" s="289"/>
      <c r="G1971" s="326">
        <f>SUM(G1968:G1970)</f>
        <v>0</v>
      </c>
      <c r="H1971" s="327">
        <f t="shared" ref="H1971:I1971" si="2576">SUM(H1968:H1970)</f>
        <v>0</v>
      </c>
      <c r="I1971" s="327">
        <f t="shared" si="2576"/>
        <v>0</v>
      </c>
      <c r="J1971" s="351" t="str">
        <f>IFERROR(G1971/#REF!,"-")</f>
        <v>-</v>
      </c>
      <c r="K1971" s="326">
        <f t="shared" ref="K1971:M1971" si="2577">SUM(K1968:K1970)</f>
        <v>0</v>
      </c>
      <c r="L1971" s="327">
        <f t="shared" si="2577"/>
        <v>0</v>
      </c>
      <c r="M1971" s="328">
        <f t="shared" si="2577"/>
        <v>0</v>
      </c>
      <c r="N1971" s="345" t="str">
        <f t="shared" si="2564"/>
        <v>-</v>
      </c>
      <c r="O1971" s="351" t="str">
        <f t="shared" si="2551"/>
        <v>-</v>
      </c>
    </row>
    <row r="1972" spans="1:15" ht="23.4" x14ac:dyDescent="0.3">
      <c r="A1972" s="277" t="s">
        <v>110</v>
      </c>
      <c r="B1972" s="903" t="s">
        <v>45</v>
      </c>
      <c r="C1972" s="272" t="s">
        <v>169</v>
      </c>
      <c r="D1972" s="272"/>
      <c r="E1972" s="273">
        <v>0</v>
      </c>
      <c r="F1972" s="274"/>
      <c r="G1972" s="338">
        <f t="shared" ref="G1972:G1973" si="2578">+H1972+I1972</f>
        <v>0</v>
      </c>
      <c r="H1972" s="275">
        <v>0</v>
      </c>
      <c r="I1972" s="275">
        <v>0</v>
      </c>
      <c r="J1972" s="377" t="str">
        <f>IFERROR(G1972/#REF!,"-")</f>
        <v>-</v>
      </c>
      <c r="K1972" s="338">
        <f t="shared" ref="K1972:K1973" si="2579">+L1972+M1972</f>
        <v>0</v>
      </c>
      <c r="L1972" s="275">
        <f t="shared" ref="L1972:L1973" si="2580">+H1972+L1868</f>
        <v>0</v>
      </c>
      <c r="M1972" s="276">
        <f t="shared" ref="M1972:M1973" si="2581">+I1972+M1868</f>
        <v>0</v>
      </c>
      <c r="N1972" s="365" t="str">
        <f t="shared" si="2564"/>
        <v>-</v>
      </c>
      <c r="O1972" s="366" t="str">
        <f t="shared" si="2551"/>
        <v>-</v>
      </c>
    </row>
    <row r="1973" spans="1:15" ht="24" thickBot="1" x14ac:dyDescent="0.35">
      <c r="A1973" s="277" t="s">
        <v>110</v>
      </c>
      <c r="B1973" s="905"/>
      <c r="C1973" s="282" t="s">
        <v>170</v>
      </c>
      <c r="D1973" s="282"/>
      <c r="E1973" s="283">
        <v>0</v>
      </c>
      <c r="F1973" s="284"/>
      <c r="G1973" s="340">
        <f t="shared" si="2578"/>
        <v>0</v>
      </c>
      <c r="H1973" s="285">
        <v>0</v>
      </c>
      <c r="I1973" s="285">
        <v>0</v>
      </c>
      <c r="J1973" s="379" t="str">
        <f>IFERROR(G1973/#REF!,"-")</f>
        <v>-</v>
      </c>
      <c r="K1973" s="340">
        <f t="shared" si="2579"/>
        <v>0</v>
      </c>
      <c r="L1973" s="285">
        <f t="shared" si="2580"/>
        <v>0</v>
      </c>
      <c r="M1973" s="286">
        <f t="shared" si="2581"/>
        <v>0</v>
      </c>
      <c r="N1973" s="369" t="str">
        <f t="shared" si="2564"/>
        <v>-</v>
      </c>
      <c r="O1973" s="370" t="str">
        <f t="shared" si="2551"/>
        <v>-</v>
      </c>
    </row>
    <row r="1974" spans="1:15" ht="24" thickBot="1" x14ac:dyDescent="0.35">
      <c r="A1974" s="277" t="s">
        <v>110</v>
      </c>
      <c r="B1974" s="909" t="s">
        <v>46</v>
      </c>
      <c r="C1974" s="910"/>
      <c r="D1974" s="911"/>
      <c r="E1974" s="288">
        <v>11100</v>
      </c>
      <c r="F1974" s="289">
        <v>25000</v>
      </c>
      <c r="G1974" s="326">
        <f>SUM(G1972:G1973)</f>
        <v>0</v>
      </c>
      <c r="H1974" s="327">
        <f t="shared" ref="H1974:I1974" si="2582">SUM(H1972:H1973)</f>
        <v>0</v>
      </c>
      <c r="I1974" s="327">
        <f t="shared" si="2582"/>
        <v>0</v>
      </c>
      <c r="J1974" s="351" t="str">
        <f>IFERROR(G1974/#REF!,"-")</f>
        <v>-</v>
      </c>
      <c r="K1974" s="326">
        <f t="shared" ref="K1974:M1974" si="2583">SUM(K1972:K1973)</f>
        <v>0</v>
      </c>
      <c r="L1974" s="327">
        <f t="shared" si="2583"/>
        <v>0</v>
      </c>
      <c r="M1974" s="328">
        <f t="shared" si="2583"/>
        <v>0</v>
      </c>
      <c r="N1974" s="345">
        <f t="shared" si="2564"/>
        <v>0</v>
      </c>
      <c r="O1974" s="351" t="str">
        <f t="shared" si="2551"/>
        <v>-</v>
      </c>
    </row>
    <row r="1975" spans="1:15" ht="24" thickBot="1" x14ac:dyDescent="0.35">
      <c r="A1975" s="277" t="s">
        <v>110</v>
      </c>
      <c r="B1975" s="912" t="s">
        <v>25</v>
      </c>
      <c r="C1975" s="913"/>
      <c r="D1975" s="914"/>
      <c r="E1975" s="332">
        <f t="shared" ref="E1975:F1975" si="2584">+E1953+E1958+E1961+E1967+E1971+E1974</f>
        <v>745700</v>
      </c>
      <c r="F1975" s="333">
        <f t="shared" si="2584"/>
        <v>59300</v>
      </c>
      <c r="G1975" s="332">
        <f>+G1953+G1958+G1961+G1967+G1971+G1974</f>
        <v>4339</v>
      </c>
      <c r="H1975" s="330">
        <f t="shared" ref="H1975:I1975" si="2585">+H1953+H1958+H1961+H1967+H1971+H1974</f>
        <v>4000</v>
      </c>
      <c r="I1975" s="330">
        <f t="shared" si="2585"/>
        <v>339</v>
      </c>
      <c r="J1975" s="355" t="str">
        <f>IFERROR(G1975/#REF!,"-")</f>
        <v>-</v>
      </c>
      <c r="K1975" s="332">
        <f>+K1953+K1958+K1961+K1967+K1971+K1974</f>
        <v>509697</v>
      </c>
      <c r="L1975" s="330">
        <f t="shared" ref="L1975:M1975" si="2586">+L1953+L1958+L1961+L1967+L1971+L1974</f>
        <v>501556</v>
      </c>
      <c r="M1975" s="331">
        <f t="shared" si="2586"/>
        <v>8141</v>
      </c>
      <c r="N1975" s="347">
        <f t="shared" si="2564"/>
        <v>0.68351481829153815</v>
      </c>
      <c r="O1975" s="355">
        <f t="shared" si="2551"/>
        <v>1.5972234484409365E-2</v>
      </c>
    </row>
    <row r="1976" spans="1:15" ht="24" thickBot="1" x14ac:dyDescent="0.35">
      <c r="A1976" s="324" t="s">
        <v>110</v>
      </c>
      <c r="B1976" s="901" t="s">
        <v>182</v>
      </c>
      <c r="C1976" s="901"/>
      <c r="D1976" s="902"/>
      <c r="E1976" s="336">
        <f>+E1975</f>
        <v>745700</v>
      </c>
      <c r="F1976" s="337">
        <f t="shared" ref="F1976:O1976" si="2587">+F1975</f>
        <v>59300</v>
      </c>
      <c r="G1976" s="336">
        <f t="shared" si="2587"/>
        <v>4339</v>
      </c>
      <c r="H1976" s="334">
        <f t="shared" si="2587"/>
        <v>4000</v>
      </c>
      <c r="I1976" s="334">
        <f t="shared" si="2587"/>
        <v>339</v>
      </c>
      <c r="J1976" s="356" t="str">
        <f t="shared" si="2587"/>
        <v>-</v>
      </c>
      <c r="K1976" s="336">
        <f t="shared" si="2587"/>
        <v>509697</v>
      </c>
      <c r="L1976" s="334">
        <f t="shared" si="2587"/>
        <v>501556</v>
      </c>
      <c r="M1976" s="335">
        <f t="shared" si="2587"/>
        <v>8141</v>
      </c>
      <c r="N1976" s="348">
        <f t="shared" si="2587"/>
        <v>0.68351481829153815</v>
      </c>
      <c r="O1976" s="356">
        <f t="shared" si="2587"/>
        <v>1.5972234484409365E-2</v>
      </c>
    </row>
    <row r="1977" spans="1:15" ht="24.6" thickBot="1" x14ac:dyDescent="0.35">
      <c r="A1977" s="325"/>
      <c r="B1977" s="915" t="s">
        <v>183</v>
      </c>
      <c r="C1977" s="916"/>
      <c r="D1977" s="917"/>
      <c r="E1977" s="380">
        <f>+E1922+E1949+E1976</f>
        <v>10494400</v>
      </c>
      <c r="F1977" s="380">
        <f>+F1922+F1949+F1976</f>
        <v>748300</v>
      </c>
      <c r="G1977" s="380">
        <f>+G1922+G1949+G1976</f>
        <v>345695</v>
      </c>
      <c r="H1977" s="380">
        <f>+H1922+H1949+H1976</f>
        <v>392638</v>
      </c>
      <c r="I1977" s="380">
        <f>+I1922+I1949+I1976</f>
        <v>3961</v>
      </c>
      <c r="J1977" s="381" t="str">
        <f>IFERROR(G1977/#REF!,"-")</f>
        <v>-</v>
      </c>
      <c r="K1977" s="380">
        <f>+K1922+K1949+K1976</f>
        <v>6382681</v>
      </c>
      <c r="L1977" s="380">
        <f>+L1922+L1949+L1976</f>
        <v>6321265</v>
      </c>
      <c r="M1977" s="380">
        <f>+M1922+M1949+M1976</f>
        <v>61416</v>
      </c>
      <c r="N1977" s="381">
        <f>IFERROR(K1977/E1977,"-")</f>
        <v>0.60819875362097886</v>
      </c>
      <c r="O1977" s="381">
        <f>IFERROR(M1977/K1977,"-")</f>
        <v>9.622288815624656E-3</v>
      </c>
    </row>
    <row r="1978" spans="1:15" ht="23.4" x14ac:dyDescent="0.3">
      <c r="A1978" s="935" t="s">
        <v>1</v>
      </c>
      <c r="B1978" s="938" t="s">
        <v>2</v>
      </c>
      <c r="C1978" s="941" t="s">
        <v>3</v>
      </c>
      <c r="D1978" s="941" t="s">
        <v>93</v>
      </c>
      <c r="E1978" s="944" t="s">
        <v>4</v>
      </c>
      <c r="F1978" s="945"/>
      <c r="G1978" s="945"/>
      <c r="H1978" s="945"/>
      <c r="I1978" s="945"/>
      <c r="J1978" s="945"/>
      <c r="K1978" s="945"/>
      <c r="L1978" s="945"/>
      <c r="M1978" s="945"/>
      <c r="N1978" s="945"/>
      <c r="O1978" s="946"/>
    </row>
    <row r="1979" spans="1:15" ht="23.4" x14ac:dyDescent="0.3">
      <c r="A1979" s="936"/>
      <c r="B1979" s="939"/>
      <c r="C1979" s="942"/>
      <c r="D1979" s="942"/>
      <c r="E1979" s="947" t="s">
        <v>7</v>
      </c>
      <c r="F1979" s="949" t="s">
        <v>116</v>
      </c>
      <c r="G1979" s="951">
        <v>44526</v>
      </c>
      <c r="H1979" s="952"/>
      <c r="I1979" s="952"/>
      <c r="J1979" s="953"/>
      <c r="K1979" s="954" t="s">
        <v>8</v>
      </c>
      <c r="L1979" s="955"/>
      <c r="M1979" s="956"/>
      <c r="N1979" s="957" t="s">
        <v>174</v>
      </c>
      <c r="O1979" s="959" t="s">
        <v>173</v>
      </c>
    </row>
    <row r="1980" spans="1:15" ht="41.4" thickBot="1" x14ac:dyDescent="0.35">
      <c r="A1980" s="937"/>
      <c r="B1980" s="940"/>
      <c r="C1980" s="943"/>
      <c r="D1980" s="943"/>
      <c r="E1980" s="948"/>
      <c r="F1980" s="950"/>
      <c r="G1980" s="462" t="s">
        <v>13</v>
      </c>
      <c r="H1980" s="463" t="s">
        <v>14</v>
      </c>
      <c r="I1980" s="463" t="s">
        <v>15</v>
      </c>
      <c r="J1980" s="464" t="s">
        <v>175</v>
      </c>
      <c r="K1980" s="462" t="s">
        <v>13</v>
      </c>
      <c r="L1980" s="463" t="s">
        <v>14</v>
      </c>
      <c r="M1980" s="465" t="s">
        <v>15</v>
      </c>
      <c r="N1980" s="958"/>
      <c r="O1980" s="960"/>
    </row>
    <row r="1981" spans="1:15" ht="23.4" x14ac:dyDescent="0.3">
      <c r="A1981" s="271" t="s">
        <v>111</v>
      </c>
      <c r="B1981" s="922" t="s">
        <v>16</v>
      </c>
      <c r="C1981" s="272" t="s">
        <v>186</v>
      </c>
      <c r="D1981" s="272" t="s">
        <v>184</v>
      </c>
      <c r="E1981" s="273">
        <v>0</v>
      </c>
      <c r="F1981" s="274"/>
      <c r="G1981" s="338">
        <f>+H1981+I1981</f>
        <v>0</v>
      </c>
      <c r="H1981" s="275">
        <v>0</v>
      </c>
      <c r="I1981" s="275">
        <v>0</v>
      </c>
      <c r="J1981" s="357" t="str">
        <f>IFERROR(G1981/#REF!,"-")</f>
        <v>-</v>
      </c>
      <c r="K1981" s="468">
        <f>+L1981+M1981</f>
        <v>0</v>
      </c>
      <c r="L1981" s="469">
        <f>+H1981+L1877</f>
        <v>0</v>
      </c>
      <c r="M1981" s="469">
        <f>+I1981+M1877</f>
        <v>0</v>
      </c>
      <c r="N1981" s="342" t="str">
        <f>IFERROR(K1981/E1981,"-")</f>
        <v>-</v>
      </c>
      <c r="O1981" s="349" t="str">
        <f t="shared" ref="O1981:O1982" si="2588">IFERROR(M1981/K1981,"-")</f>
        <v>-</v>
      </c>
    </row>
    <row r="1982" spans="1:15" ht="23.4" x14ac:dyDescent="0.3">
      <c r="A1982" s="277" t="s">
        <v>111</v>
      </c>
      <c r="B1982" s="923"/>
      <c r="C1982" s="278" t="s">
        <v>190</v>
      </c>
      <c r="D1982" s="278" t="s">
        <v>101</v>
      </c>
      <c r="E1982" s="279">
        <v>0</v>
      </c>
      <c r="F1982" s="280"/>
      <c r="G1982" s="339">
        <f t="shared" ref="G1982:G1984" si="2589">+H1982+I1982</f>
        <v>0</v>
      </c>
      <c r="H1982" s="281">
        <v>0</v>
      </c>
      <c r="I1982" s="281">
        <v>0</v>
      </c>
      <c r="J1982" s="358" t="str">
        <f>IFERROR(G1982/#REF!,"-")</f>
        <v>-</v>
      </c>
      <c r="K1982" s="339">
        <f t="shared" ref="K1982:K1984" si="2590">+L1982+M1982</f>
        <v>0</v>
      </c>
      <c r="L1982" s="281">
        <f t="shared" ref="L1982:L1984" si="2591">+H1982+L1878</f>
        <v>0</v>
      </c>
      <c r="M1982" s="442">
        <f t="shared" ref="M1982:M1984" si="2592">+I1982+M1878</f>
        <v>0</v>
      </c>
      <c r="N1982" s="343" t="str">
        <f t="shared" ref="N1982:N1984" si="2593">IFERROR(K1982/E1982,"-")</f>
        <v>-</v>
      </c>
      <c r="O1982" s="268" t="str">
        <f t="shared" si="2588"/>
        <v>-</v>
      </c>
    </row>
    <row r="1983" spans="1:15" ht="23.4" x14ac:dyDescent="0.3">
      <c r="A1983" s="277" t="s">
        <v>111</v>
      </c>
      <c r="B1983" s="923"/>
      <c r="C1983" s="278" t="s">
        <v>187</v>
      </c>
      <c r="D1983" s="278" t="s">
        <v>185</v>
      </c>
      <c r="E1983" s="279">
        <v>0</v>
      </c>
      <c r="F1983" s="280"/>
      <c r="G1983" s="339">
        <f t="shared" si="2589"/>
        <v>0</v>
      </c>
      <c r="H1983" s="281">
        <v>0</v>
      </c>
      <c r="I1983" s="281">
        <v>0</v>
      </c>
      <c r="J1983" s="358" t="str">
        <f>IFERROR(G1983/#REF!,"-")</f>
        <v>-</v>
      </c>
      <c r="K1983" s="339">
        <f t="shared" si="2590"/>
        <v>0</v>
      </c>
      <c r="L1983" s="281">
        <f t="shared" si="2591"/>
        <v>0</v>
      </c>
      <c r="M1983" s="442">
        <f t="shared" si="2592"/>
        <v>0</v>
      </c>
      <c r="N1983" s="343" t="str">
        <f t="shared" si="2593"/>
        <v>-</v>
      </c>
      <c r="O1983" s="268" t="str">
        <f>IFERROR(M1983/K1983,"-")</f>
        <v>-</v>
      </c>
    </row>
    <row r="1984" spans="1:15" ht="24" thickBot="1" x14ac:dyDescent="0.35">
      <c r="A1984" s="277" t="s">
        <v>111</v>
      </c>
      <c r="B1984" s="924"/>
      <c r="C1984" s="282" t="s">
        <v>255</v>
      </c>
      <c r="D1984" s="282" t="s">
        <v>256</v>
      </c>
      <c r="E1984" s="283">
        <v>0</v>
      </c>
      <c r="F1984" s="284"/>
      <c r="G1984" s="340">
        <f t="shared" si="2589"/>
        <v>0</v>
      </c>
      <c r="H1984" s="285">
        <v>0</v>
      </c>
      <c r="I1984" s="285">
        <v>0</v>
      </c>
      <c r="J1984" s="359" t="str">
        <f>IFERROR(G1984/#REF!,"-")</f>
        <v>-</v>
      </c>
      <c r="K1984" s="471">
        <f t="shared" si="2590"/>
        <v>105704</v>
      </c>
      <c r="L1984" s="472">
        <f t="shared" si="2591"/>
        <v>104016</v>
      </c>
      <c r="M1984" s="473">
        <f t="shared" si="2592"/>
        <v>1688</v>
      </c>
      <c r="N1984" s="344" t="str">
        <f t="shared" si="2593"/>
        <v>-</v>
      </c>
      <c r="O1984" s="350">
        <f t="shared" ref="O1984:O2002" si="2594">IFERROR(M1984/K1984,"-")</f>
        <v>1.5969121319912207E-2</v>
      </c>
    </row>
    <row r="1985" spans="1:15" ht="24" thickBot="1" x14ac:dyDescent="0.35">
      <c r="A1985" s="277" t="s">
        <v>111</v>
      </c>
      <c r="B1985" s="906" t="s">
        <v>47</v>
      </c>
      <c r="C1985" s="907"/>
      <c r="D1985" s="908"/>
      <c r="E1985" s="326">
        <v>144600</v>
      </c>
      <c r="F1985" s="289">
        <v>15000</v>
      </c>
      <c r="G1985" s="326">
        <f>SUM(G1981:G1984)</f>
        <v>0</v>
      </c>
      <c r="H1985" s="327">
        <f t="shared" ref="H1985:I1985" si="2595">SUM(H1981:H1984)</f>
        <v>0</v>
      </c>
      <c r="I1985" s="327">
        <f t="shared" si="2595"/>
        <v>0</v>
      </c>
      <c r="J1985" s="351" t="str">
        <f>IFERROR(G1985/#REF!,"-")</f>
        <v>-</v>
      </c>
      <c r="K1985" s="326">
        <f t="shared" ref="K1985:M1985" si="2596">SUM(K1981:K1984)</f>
        <v>105704</v>
      </c>
      <c r="L1985" s="327">
        <f t="shared" si="2596"/>
        <v>104016</v>
      </c>
      <c r="M1985" s="328">
        <f t="shared" si="2596"/>
        <v>1688</v>
      </c>
      <c r="N1985" s="345">
        <f>IFERROR(K1985/E1985,"-")</f>
        <v>0.7310096818810512</v>
      </c>
      <c r="O1985" s="351">
        <f t="shared" si="2594"/>
        <v>1.5969121319912207E-2</v>
      </c>
    </row>
    <row r="1986" spans="1:15" ht="23.4" x14ac:dyDescent="0.3">
      <c r="A1986" s="277" t="s">
        <v>111</v>
      </c>
      <c r="B1986" s="922" t="s">
        <v>17</v>
      </c>
      <c r="C1986" s="272" t="s">
        <v>331</v>
      </c>
      <c r="D1986" s="272"/>
      <c r="E1986" s="273">
        <v>0</v>
      </c>
      <c r="F1986" s="274"/>
      <c r="G1986" s="338">
        <f t="shared" ref="G1986:G1992" si="2597">+H1986+I1986</f>
        <v>0</v>
      </c>
      <c r="H1986" s="275">
        <v>0</v>
      </c>
      <c r="I1986" s="275">
        <v>0</v>
      </c>
      <c r="J1986" s="357" t="str">
        <f>IFERROR(G1986/#REF!,"-")</f>
        <v>-</v>
      </c>
      <c r="K1986" s="468">
        <f t="shared" ref="K1986:K1992" si="2598">+L1986+M1986</f>
        <v>0</v>
      </c>
      <c r="L1986" s="469">
        <f t="shared" ref="L1986:L1992" si="2599">+H1986+L1882</f>
        <v>0</v>
      </c>
      <c r="M1986" s="470">
        <f t="shared" ref="M1986:M1992" si="2600">+I1986+M1882</f>
        <v>0</v>
      </c>
      <c r="N1986" s="342" t="str">
        <f t="shared" ref="N1986:N1992" si="2601">IFERROR(K1986/E1986,"-")</f>
        <v>-</v>
      </c>
      <c r="O1986" s="352" t="str">
        <f t="shared" si="2594"/>
        <v>-</v>
      </c>
    </row>
    <row r="1987" spans="1:15" ht="23.4" x14ac:dyDescent="0.3">
      <c r="A1987" s="277" t="s">
        <v>111</v>
      </c>
      <c r="B1987" s="923"/>
      <c r="C1987" s="278" t="s">
        <v>421</v>
      </c>
      <c r="D1987" s="278" t="s">
        <v>257</v>
      </c>
      <c r="E1987" s="279">
        <v>0</v>
      </c>
      <c r="F1987" s="280"/>
      <c r="G1987" s="339">
        <f t="shared" si="2597"/>
        <v>23442</v>
      </c>
      <c r="H1987" s="281">
        <v>23256</v>
      </c>
      <c r="I1987" s="281">
        <v>186</v>
      </c>
      <c r="J1987" s="358" t="str">
        <f>IFERROR(G1987/#REF!,"-")</f>
        <v>-</v>
      </c>
      <c r="K1987" s="339">
        <f t="shared" si="2598"/>
        <v>1241211</v>
      </c>
      <c r="L1987" s="281">
        <f t="shared" si="2599"/>
        <v>1237319</v>
      </c>
      <c r="M1987" s="442">
        <f t="shared" si="2600"/>
        <v>3892</v>
      </c>
      <c r="N1987" s="343" t="str">
        <f t="shared" si="2601"/>
        <v>-</v>
      </c>
      <c r="O1987" s="264">
        <f t="shared" si="2594"/>
        <v>3.1356473637439565E-3</v>
      </c>
    </row>
    <row r="1988" spans="1:15" ht="23.4" x14ac:dyDescent="0.3">
      <c r="A1988" s="277" t="s">
        <v>111</v>
      </c>
      <c r="B1988" s="923"/>
      <c r="C1988" s="278" t="s">
        <v>290</v>
      </c>
      <c r="D1988" s="278" t="s">
        <v>205</v>
      </c>
      <c r="E1988" s="279">
        <v>0</v>
      </c>
      <c r="F1988" s="280"/>
      <c r="G1988" s="339">
        <f t="shared" si="2597"/>
        <v>0</v>
      </c>
      <c r="H1988" s="281">
        <v>0</v>
      </c>
      <c r="I1988" s="281">
        <v>0</v>
      </c>
      <c r="J1988" s="358" t="str">
        <f>IFERROR(G1988/#REF!,"-")</f>
        <v>-</v>
      </c>
      <c r="K1988" s="339">
        <f t="shared" si="2598"/>
        <v>0</v>
      </c>
      <c r="L1988" s="281">
        <f t="shared" si="2599"/>
        <v>0</v>
      </c>
      <c r="M1988" s="442">
        <f t="shared" si="2600"/>
        <v>0</v>
      </c>
      <c r="N1988" s="343" t="str">
        <f t="shared" si="2601"/>
        <v>-</v>
      </c>
      <c r="O1988" s="264" t="str">
        <f t="shared" si="2594"/>
        <v>-</v>
      </c>
    </row>
    <row r="1989" spans="1:15" ht="23.4" x14ac:dyDescent="0.3">
      <c r="A1989" s="277" t="s">
        <v>111</v>
      </c>
      <c r="B1989" s="923"/>
      <c r="C1989" s="278" t="s">
        <v>330</v>
      </c>
      <c r="D1989" s="278" t="s">
        <v>206</v>
      </c>
      <c r="E1989" s="279">
        <v>0</v>
      </c>
      <c r="F1989" s="280"/>
      <c r="G1989" s="339">
        <f t="shared" si="2597"/>
        <v>0</v>
      </c>
      <c r="H1989" s="281">
        <v>0</v>
      </c>
      <c r="I1989" s="281">
        <v>0</v>
      </c>
      <c r="J1989" s="358" t="str">
        <f>IFERROR(G1989/#REF!,"-")</f>
        <v>-</v>
      </c>
      <c r="K1989" s="339">
        <f t="shared" si="2598"/>
        <v>1836</v>
      </c>
      <c r="L1989" s="281">
        <f t="shared" si="2599"/>
        <v>1836</v>
      </c>
      <c r="M1989" s="442">
        <f t="shared" si="2600"/>
        <v>0</v>
      </c>
      <c r="N1989" s="343" t="str">
        <f t="shared" si="2601"/>
        <v>-</v>
      </c>
      <c r="O1989" s="264">
        <f t="shared" si="2594"/>
        <v>0</v>
      </c>
    </row>
    <row r="1990" spans="1:15" ht="23.4" x14ac:dyDescent="0.3">
      <c r="A1990" s="277" t="s">
        <v>111</v>
      </c>
      <c r="B1990" s="923"/>
      <c r="C1990" s="278" t="s">
        <v>377</v>
      </c>
      <c r="D1990" s="278" t="s">
        <v>371</v>
      </c>
      <c r="E1990" s="279">
        <v>0</v>
      </c>
      <c r="F1990" s="280"/>
      <c r="G1990" s="339">
        <f t="shared" si="2597"/>
        <v>0</v>
      </c>
      <c r="H1990" s="281">
        <v>0</v>
      </c>
      <c r="I1990" s="281">
        <v>0</v>
      </c>
      <c r="J1990" s="358" t="str">
        <f>IFERROR(G1990/#REF!,"-")</f>
        <v>-</v>
      </c>
      <c r="K1990" s="339">
        <f t="shared" si="2598"/>
        <v>10610</v>
      </c>
      <c r="L1990" s="281">
        <f t="shared" si="2599"/>
        <v>10610</v>
      </c>
      <c r="M1990" s="442">
        <f t="shared" si="2600"/>
        <v>0</v>
      </c>
      <c r="N1990" s="343" t="str">
        <f t="shared" si="2601"/>
        <v>-</v>
      </c>
      <c r="O1990" s="264">
        <f t="shared" si="2594"/>
        <v>0</v>
      </c>
    </row>
    <row r="1991" spans="1:15" ht="23.4" x14ac:dyDescent="0.3">
      <c r="A1991" s="277" t="s">
        <v>111</v>
      </c>
      <c r="B1991" s="923"/>
      <c r="C1991" s="278" t="s">
        <v>443</v>
      </c>
      <c r="D1991" s="278" t="s">
        <v>207</v>
      </c>
      <c r="E1991" s="279">
        <v>0</v>
      </c>
      <c r="F1991" s="280"/>
      <c r="G1991" s="339">
        <f t="shared" si="2597"/>
        <v>30814</v>
      </c>
      <c r="H1991" s="281">
        <v>30600</v>
      </c>
      <c r="I1991" s="281">
        <v>214</v>
      </c>
      <c r="J1991" s="358" t="str">
        <f>IFERROR(G1991/#REF!,"-")</f>
        <v>-</v>
      </c>
      <c r="K1991" s="339">
        <f t="shared" si="2598"/>
        <v>527914</v>
      </c>
      <c r="L1991" s="281">
        <f t="shared" si="2599"/>
        <v>526320</v>
      </c>
      <c r="M1991" s="442">
        <f t="shared" si="2600"/>
        <v>1594</v>
      </c>
      <c r="N1991" s="343" t="str">
        <f t="shared" si="2601"/>
        <v>-</v>
      </c>
      <c r="O1991" s="264">
        <f t="shared" si="2594"/>
        <v>3.0194311952325566E-3</v>
      </c>
    </row>
    <row r="1992" spans="1:15" ht="24" thickBot="1" x14ac:dyDescent="0.35">
      <c r="A1992" s="277" t="s">
        <v>111</v>
      </c>
      <c r="B1992" s="924"/>
      <c r="C1992" s="282" t="s">
        <v>416</v>
      </c>
      <c r="D1992" s="282" t="s">
        <v>257</v>
      </c>
      <c r="E1992" s="283">
        <v>0</v>
      </c>
      <c r="F1992" s="284"/>
      <c r="G1992" s="340">
        <f t="shared" si="2597"/>
        <v>0</v>
      </c>
      <c r="H1992" s="285">
        <v>0</v>
      </c>
      <c r="I1992" s="285">
        <v>0</v>
      </c>
      <c r="J1992" s="359" t="str">
        <f>IFERROR(G1992/#REF!,"-")</f>
        <v>-</v>
      </c>
      <c r="K1992" s="471">
        <f t="shared" si="2598"/>
        <v>73650</v>
      </c>
      <c r="L1992" s="472">
        <f t="shared" si="2599"/>
        <v>73440</v>
      </c>
      <c r="M1992" s="473">
        <f t="shared" si="2600"/>
        <v>210</v>
      </c>
      <c r="N1992" s="344" t="str">
        <f t="shared" si="2601"/>
        <v>-</v>
      </c>
      <c r="O1992" s="353">
        <f t="shared" si="2594"/>
        <v>2.8513238289205704E-3</v>
      </c>
    </row>
    <row r="1993" spans="1:15" ht="24" thickBot="1" x14ac:dyDescent="0.35">
      <c r="A1993" s="277" t="s">
        <v>111</v>
      </c>
      <c r="B1993" s="906" t="s">
        <v>48</v>
      </c>
      <c r="C1993" s="907"/>
      <c r="D1993" s="908"/>
      <c r="E1993" s="326">
        <v>3480000</v>
      </c>
      <c r="F1993" s="289">
        <v>100000</v>
      </c>
      <c r="G1993" s="326">
        <f>SUM(G1986:G1992)</f>
        <v>54256</v>
      </c>
      <c r="H1993" s="327">
        <f t="shared" ref="H1993:I1993" si="2602">SUM(H1986:H1992)</f>
        <v>53856</v>
      </c>
      <c r="I1993" s="327">
        <f t="shared" si="2602"/>
        <v>400</v>
      </c>
      <c r="J1993" s="351" t="str">
        <f>IFERROR(G1993/#REF!,"-")</f>
        <v>-</v>
      </c>
      <c r="K1993" s="326">
        <f>SUM(K1986:K1992)</f>
        <v>1855221</v>
      </c>
      <c r="L1993" s="327">
        <f>SUM(L1986:L1992)</f>
        <v>1849525</v>
      </c>
      <c r="M1993" s="328">
        <f t="shared" ref="M1993" si="2603">SUM(M1986:M1992)</f>
        <v>5696</v>
      </c>
      <c r="N1993" s="345">
        <f>IFERROR(K1993/E1993,"-")</f>
        <v>0.53310948275862069</v>
      </c>
      <c r="O1993" s="351">
        <f t="shared" si="2594"/>
        <v>3.0702541637896508E-3</v>
      </c>
    </row>
    <row r="1994" spans="1:15" ht="23.4" x14ac:dyDescent="0.3">
      <c r="A1994" s="277" t="s">
        <v>111</v>
      </c>
      <c r="B1994" s="922" t="s">
        <v>18</v>
      </c>
      <c r="C1994" s="272" t="s">
        <v>359</v>
      </c>
      <c r="D1994" s="272" t="s">
        <v>99</v>
      </c>
      <c r="E1994" s="273">
        <v>0</v>
      </c>
      <c r="F1994" s="274"/>
      <c r="G1994" s="338">
        <f t="shared" ref="G1994:G2000" si="2604">+H1994+I1994</f>
        <v>0</v>
      </c>
      <c r="H1994" s="275">
        <v>0</v>
      </c>
      <c r="I1994" s="275">
        <v>0</v>
      </c>
      <c r="J1994" s="357" t="str">
        <f>IFERROR(G1994/#REF!,"-")</f>
        <v>-</v>
      </c>
      <c r="K1994" s="338">
        <f t="shared" ref="K1994:K2000" si="2605">+L1994+M1994</f>
        <v>0</v>
      </c>
      <c r="L1994" s="275">
        <f t="shared" ref="L1994:L2000" si="2606">+H1994+L1890</f>
        <v>0</v>
      </c>
      <c r="M1994" s="276">
        <f t="shared" ref="M1994:M2000" si="2607">+I1994+M1890</f>
        <v>0</v>
      </c>
      <c r="N1994" s="342" t="str">
        <f t="shared" ref="N1994:N2001" si="2608">IFERROR(K1994/E1994,"-")</f>
        <v>-</v>
      </c>
      <c r="O1994" s="352" t="str">
        <f t="shared" si="2594"/>
        <v>-</v>
      </c>
    </row>
    <row r="1995" spans="1:15" ht="23.4" x14ac:dyDescent="0.3">
      <c r="A1995" s="277" t="s">
        <v>111</v>
      </c>
      <c r="B1995" s="923"/>
      <c r="C1995" s="278" t="s">
        <v>258</v>
      </c>
      <c r="D1995" s="278" t="s">
        <v>259</v>
      </c>
      <c r="E1995" s="279">
        <v>0</v>
      </c>
      <c r="F1995" s="280"/>
      <c r="G1995" s="339">
        <f t="shared" si="2604"/>
        <v>0</v>
      </c>
      <c r="H1995" s="281">
        <v>0</v>
      </c>
      <c r="I1995" s="281">
        <v>0</v>
      </c>
      <c r="J1995" s="358" t="str">
        <f>IFERROR(G1995/#REF!,"-")</f>
        <v>-</v>
      </c>
      <c r="K1995" s="339">
        <f t="shared" si="2605"/>
        <v>0</v>
      </c>
      <c r="L1995" s="281">
        <f t="shared" si="2606"/>
        <v>0</v>
      </c>
      <c r="M1995" s="251">
        <f t="shared" si="2607"/>
        <v>0</v>
      </c>
      <c r="N1995" s="343" t="str">
        <f t="shared" si="2608"/>
        <v>-</v>
      </c>
      <c r="O1995" s="264" t="str">
        <f t="shared" si="2594"/>
        <v>-</v>
      </c>
    </row>
    <row r="1996" spans="1:15" ht="23.4" x14ac:dyDescent="0.3">
      <c r="A1996" s="277" t="s">
        <v>111</v>
      </c>
      <c r="B1996" s="923"/>
      <c r="C1996" s="278" t="s">
        <v>123</v>
      </c>
      <c r="D1996" s="278"/>
      <c r="E1996" s="279">
        <v>0</v>
      </c>
      <c r="F1996" s="280"/>
      <c r="G1996" s="339">
        <f t="shared" si="2604"/>
        <v>0</v>
      </c>
      <c r="H1996" s="281">
        <v>0</v>
      </c>
      <c r="I1996" s="281">
        <v>0</v>
      </c>
      <c r="J1996" s="358" t="str">
        <f>IFERROR(G1996/#REF!,"-")</f>
        <v>-</v>
      </c>
      <c r="K1996" s="339">
        <f t="shared" si="2605"/>
        <v>0</v>
      </c>
      <c r="L1996" s="281">
        <f t="shared" si="2606"/>
        <v>0</v>
      </c>
      <c r="M1996" s="251">
        <f t="shared" si="2607"/>
        <v>0</v>
      </c>
      <c r="N1996" s="343" t="str">
        <f t="shared" si="2608"/>
        <v>-</v>
      </c>
      <c r="O1996" s="264" t="str">
        <f t="shared" si="2594"/>
        <v>-</v>
      </c>
    </row>
    <row r="1997" spans="1:15" ht="23.4" x14ac:dyDescent="0.3">
      <c r="A1997" s="277" t="s">
        <v>111</v>
      </c>
      <c r="B1997" s="923"/>
      <c r="C1997" s="278" t="s">
        <v>130</v>
      </c>
      <c r="D1997" s="278"/>
      <c r="E1997" s="279">
        <v>0</v>
      </c>
      <c r="F1997" s="280"/>
      <c r="G1997" s="339">
        <f t="shared" si="2604"/>
        <v>0</v>
      </c>
      <c r="H1997" s="281">
        <v>0</v>
      </c>
      <c r="I1997" s="281">
        <v>0</v>
      </c>
      <c r="J1997" s="358" t="str">
        <f>IFERROR(G1997/#REF!,"-")</f>
        <v>-</v>
      </c>
      <c r="K1997" s="339">
        <f t="shared" si="2605"/>
        <v>0</v>
      </c>
      <c r="L1997" s="281">
        <f t="shared" si="2606"/>
        <v>0</v>
      </c>
      <c r="M1997" s="251">
        <f t="shared" si="2607"/>
        <v>0</v>
      </c>
      <c r="N1997" s="343" t="str">
        <f t="shared" si="2608"/>
        <v>-</v>
      </c>
      <c r="O1997" s="264" t="str">
        <f t="shared" si="2594"/>
        <v>-</v>
      </c>
    </row>
    <row r="1998" spans="1:15" ht="23.4" x14ac:dyDescent="0.3">
      <c r="A1998" s="277" t="s">
        <v>111</v>
      </c>
      <c r="B1998" s="923"/>
      <c r="C1998" s="278" t="s">
        <v>191</v>
      </c>
      <c r="D1998" s="278" t="s">
        <v>192</v>
      </c>
      <c r="E1998" s="279">
        <v>0</v>
      </c>
      <c r="F1998" s="280"/>
      <c r="G1998" s="339">
        <f t="shared" si="2604"/>
        <v>0</v>
      </c>
      <c r="H1998" s="281">
        <v>0</v>
      </c>
      <c r="I1998" s="281">
        <v>0</v>
      </c>
      <c r="J1998" s="358" t="str">
        <f>IFERROR(G1998/#REF!,"-")</f>
        <v>-</v>
      </c>
      <c r="K1998" s="339">
        <f t="shared" si="2605"/>
        <v>0</v>
      </c>
      <c r="L1998" s="281">
        <f t="shared" si="2606"/>
        <v>0</v>
      </c>
      <c r="M1998" s="251">
        <f t="shared" si="2607"/>
        <v>0</v>
      </c>
      <c r="N1998" s="343" t="str">
        <f t="shared" si="2608"/>
        <v>-</v>
      </c>
      <c r="O1998" s="264" t="str">
        <f t="shared" si="2594"/>
        <v>-</v>
      </c>
    </row>
    <row r="1999" spans="1:15" ht="23.4" x14ac:dyDescent="0.3">
      <c r="A1999" s="277" t="s">
        <v>111</v>
      </c>
      <c r="B1999" s="923"/>
      <c r="C1999" s="278" t="s">
        <v>194</v>
      </c>
      <c r="D1999" s="278" t="s">
        <v>193</v>
      </c>
      <c r="E1999" s="279">
        <v>0</v>
      </c>
      <c r="F1999" s="280"/>
      <c r="G1999" s="339">
        <f t="shared" si="2604"/>
        <v>0</v>
      </c>
      <c r="H1999" s="281">
        <v>0</v>
      </c>
      <c r="I1999" s="281">
        <v>0</v>
      </c>
      <c r="J1999" s="358" t="str">
        <f>IFERROR(G1999/#REF!,"-")</f>
        <v>-</v>
      </c>
      <c r="K1999" s="339">
        <f t="shared" si="2605"/>
        <v>0</v>
      </c>
      <c r="L1999" s="281">
        <f t="shared" si="2606"/>
        <v>0</v>
      </c>
      <c r="M1999" s="251">
        <f t="shared" si="2607"/>
        <v>0</v>
      </c>
      <c r="N1999" s="343" t="str">
        <f t="shared" si="2608"/>
        <v>-</v>
      </c>
      <c r="O1999" s="264" t="str">
        <f t="shared" si="2594"/>
        <v>-</v>
      </c>
    </row>
    <row r="2000" spans="1:15" ht="24" thickBot="1" x14ac:dyDescent="0.35">
      <c r="A2000" s="277" t="s">
        <v>111</v>
      </c>
      <c r="B2000" s="924"/>
      <c r="C2000" s="290" t="s">
        <v>195</v>
      </c>
      <c r="D2000" s="290" t="s">
        <v>115</v>
      </c>
      <c r="E2000" s="283">
        <v>0</v>
      </c>
      <c r="F2000" s="284"/>
      <c r="G2000" s="340">
        <f t="shared" si="2604"/>
        <v>0</v>
      </c>
      <c r="H2000" s="285">
        <v>0</v>
      </c>
      <c r="I2000" s="285">
        <v>0</v>
      </c>
      <c r="J2000" s="359" t="str">
        <f>IFERROR(G2000/#REF!,"-")</f>
        <v>-</v>
      </c>
      <c r="K2000" s="340">
        <f t="shared" si="2605"/>
        <v>0</v>
      </c>
      <c r="L2000" s="285">
        <f t="shared" si="2606"/>
        <v>0</v>
      </c>
      <c r="M2000" s="286">
        <f t="shared" si="2607"/>
        <v>0</v>
      </c>
      <c r="N2000" s="344" t="str">
        <f t="shared" si="2608"/>
        <v>-</v>
      </c>
      <c r="O2000" s="353" t="str">
        <f t="shared" si="2594"/>
        <v>-</v>
      </c>
    </row>
    <row r="2001" spans="1:15" ht="24" thickBot="1" x14ac:dyDescent="0.35">
      <c r="A2001" s="277" t="s">
        <v>111</v>
      </c>
      <c r="B2001" s="906" t="s">
        <v>29</v>
      </c>
      <c r="C2001" s="907"/>
      <c r="D2001" s="908"/>
      <c r="E2001" s="326">
        <f t="shared" ref="E2001" si="2609">SUM(E1994:E2000)</f>
        <v>0</v>
      </c>
      <c r="F2001" s="289">
        <v>80000</v>
      </c>
      <c r="G2001" s="326">
        <f>SUM(G1994:G2000)</f>
        <v>0</v>
      </c>
      <c r="H2001" s="327">
        <f t="shared" ref="H2001:I2001" si="2610">SUM(H1994:H2000)</f>
        <v>0</v>
      </c>
      <c r="I2001" s="327">
        <f t="shared" si="2610"/>
        <v>0</v>
      </c>
      <c r="J2001" s="351" t="str">
        <f>IFERROR(G2001/#REF!,"-")</f>
        <v>-</v>
      </c>
      <c r="K2001" s="326">
        <f t="shared" ref="K2001:M2001" si="2611">SUM(K1994:K2000)</f>
        <v>0</v>
      </c>
      <c r="L2001" s="327">
        <f t="shared" si="2611"/>
        <v>0</v>
      </c>
      <c r="M2001" s="328">
        <f t="shared" si="2611"/>
        <v>0</v>
      </c>
      <c r="N2001" s="345" t="str">
        <f t="shared" si="2608"/>
        <v>-</v>
      </c>
      <c r="O2001" s="351" t="str">
        <f t="shared" si="2594"/>
        <v>-</v>
      </c>
    </row>
    <row r="2002" spans="1:15" ht="23.4" x14ac:dyDescent="0.3">
      <c r="A2002" s="252" t="s">
        <v>111</v>
      </c>
      <c r="B2002" s="918" t="s">
        <v>19</v>
      </c>
      <c r="C2002" s="757" t="s">
        <v>260</v>
      </c>
      <c r="D2002" s="771" t="s">
        <v>192</v>
      </c>
      <c r="E2002" s="540">
        <v>2000000</v>
      </c>
      <c r="F2002" s="470">
        <v>110000</v>
      </c>
      <c r="G2002" s="770">
        <f t="shared" ref="G2002:G2004" si="2612">+H2002+I2002</f>
        <v>0</v>
      </c>
      <c r="H2002" s="469">
        <v>0</v>
      </c>
      <c r="I2002" s="469">
        <v>0</v>
      </c>
      <c r="J2002" s="544" t="str">
        <f>IFERROR(G2002/#REF!,"-")</f>
        <v>-</v>
      </c>
      <c r="K2002" s="468">
        <f>+L2002+M2002</f>
        <v>329781</v>
      </c>
      <c r="L2002" s="469">
        <f t="shared" ref="L2002:L2003" si="2613">+H2002+L1898</f>
        <v>328118</v>
      </c>
      <c r="M2002" s="470">
        <f t="shared" ref="M2002:M2003" si="2614">+I2002+M1898</f>
        <v>1663</v>
      </c>
      <c r="N2002" s="775">
        <f>IFERROR(K2002/E2002,"-")</f>
        <v>0.1648905</v>
      </c>
      <c r="O2002" s="776">
        <f t="shared" si="2594"/>
        <v>5.0427404853524002E-3</v>
      </c>
    </row>
    <row r="2003" spans="1:15" ht="23.4" x14ac:dyDescent="0.3">
      <c r="A2003" s="252"/>
      <c r="B2003" s="919"/>
      <c r="C2003" s="302" t="s">
        <v>458</v>
      </c>
      <c r="D2003" s="772"/>
      <c r="E2003" s="755">
        <v>0</v>
      </c>
      <c r="F2003" s="441">
        <v>110000</v>
      </c>
      <c r="G2003" s="756">
        <f t="shared" si="2612"/>
        <v>17119</v>
      </c>
      <c r="H2003" s="275">
        <v>16896</v>
      </c>
      <c r="I2003" s="275">
        <v>223</v>
      </c>
      <c r="J2003" s="357" t="str">
        <f>IFERROR(G2003/#REF!,"-")</f>
        <v>-</v>
      </c>
      <c r="K2003" s="341">
        <f>+L2003+M2003</f>
        <v>543020</v>
      </c>
      <c r="L2003" s="295">
        <f t="shared" si="2613"/>
        <v>540672</v>
      </c>
      <c r="M2003" s="774">
        <f t="shared" si="2614"/>
        <v>2348</v>
      </c>
      <c r="N2003" s="346" t="str">
        <f t="shared" ref="N2003:N2004" si="2615">IFERROR(K2003/E2003,"-")</f>
        <v>-</v>
      </c>
      <c r="O2003" s="753">
        <f>IFERROR(M2003/K2003,"-")</f>
        <v>4.3239659681043058E-3</v>
      </c>
    </row>
    <row r="2004" spans="1:15" ht="24" thickBot="1" x14ac:dyDescent="0.35">
      <c r="A2004" s="252"/>
      <c r="B2004" s="920"/>
      <c r="C2004" s="679" t="s">
        <v>417</v>
      </c>
      <c r="D2004" s="773"/>
      <c r="E2004" s="472">
        <v>150000</v>
      </c>
      <c r="F2004" s="473">
        <v>110000</v>
      </c>
      <c r="G2004" s="607">
        <f t="shared" si="2612"/>
        <v>0</v>
      </c>
      <c r="H2004" s="285">
        <v>0</v>
      </c>
      <c r="I2004" s="285">
        <v>0</v>
      </c>
      <c r="J2004" s="359"/>
      <c r="K2004" s="471">
        <f>+L2004+M2004</f>
        <v>0</v>
      </c>
      <c r="L2004" s="472">
        <f>+H2004+L1900</f>
        <v>0</v>
      </c>
      <c r="M2004" s="473">
        <f>+I2004+M1900</f>
        <v>0</v>
      </c>
      <c r="N2004" s="344">
        <f t="shared" si="2615"/>
        <v>0</v>
      </c>
      <c r="O2004" s="680" t="str">
        <f t="shared" ref="O2004:O2052" si="2616">IFERROR(M2004/K2004,"-")</f>
        <v>-</v>
      </c>
    </row>
    <row r="2005" spans="1:15" ht="24" thickBot="1" x14ac:dyDescent="0.35">
      <c r="A2005" s="277" t="s">
        <v>111</v>
      </c>
      <c r="B2005" s="921" t="s">
        <v>49</v>
      </c>
      <c r="C2005" s="907"/>
      <c r="D2005" s="908"/>
      <c r="E2005" s="326">
        <f>SUM(E2002:E2004)</f>
        <v>2150000</v>
      </c>
      <c r="F2005" s="329">
        <f t="shared" ref="F2005" si="2617">SUM(F2002)</f>
        <v>110000</v>
      </c>
      <c r="G2005" s="326">
        <f>SUM(G2002)</f>
        <v>0</v>
      </c>
      <c r="H2005" s="327">
        <f>SUM(H2002:H2004)</f>
        <v>16896</v>
      </c>
      <c r="I2005" s="327">
        <f>SUM(I2002:I2004)</f>
        <v>223</v>
      </c>
      <c r="J2005" s="351" t="str">
        <f>IFERROR(G2005/#REF!,"-")</f>
        <v>-</v>
      </c>
      <c r="K2005" s="681">
        <f>SUM(K2002:K2003)</f>
        <v>872801</v>
      </c>
      <c r="L2005" s="327">
        <f>SUM(L2002:L2003)</f>
        <v>868790</v>
      </c>
      <c r="M2005" s="328">
        <f>SUM(M2002:M2003)</f>
        <v>4011</v>
      </c>
      <c r="N2005" s="345">
        <f>IFERROR(K2005/E2005,"-")</f>
        <v>0.4059539534883721</v>
      </c>
      <c r="O2005" s="351">
        <f t="shared" si="2616"/>
        <v>4.5955492718271406E-3</v>
      </c>
    </row>
    <row r="2006" spans="1:15" ht="23.4" x14ac:dyDescent="0.3">
      <c r="A2006" s="277" t="s">
        <v>111</v>
      </c>
      <c r="B2006" s="922" t="s">
        <v>20</v>
      </c>
      <c r="C2006" s="297" t="s">
        <v>370</v>
      </c>
      <c r="D2006" s="297" t="s">
        <v>324</v>
      </c>
      <c r="E2006" s="273">
        <v>0</v>
      </c>
      <c r="F2006" s="274"/>
      <c r="G2006" s="338">
        <f t="shared" ref="G2006:G2008" si="2618">+H2006+I2006</f>
        <v>0</v>
      </c>
      <c r="H2006" s="275">
        <v>0</v>
      </c>
      <c r="I2006" s="275">
        <v>0</v>
      </c>
      <c r="J2006" s="357" t="str">
        <f>IFERROR(G2006/#REF!,"-")</f>
        <v>-</v>
      </c>
      <c r="K2006" s="338">
        <f t="shared" ref="K2006:K2008" si="2619">+L2006+M2006</f>
        <v>0</v>
      </c>
      <c r="L2006" s="275">
        <f t="shared" ref="L2006:L2008" si="2620">+H2006+L1902</f>
        <v>0</v>
      </c>
      <c r="M2006" s="276">
        <f t="shared" ref="M2006:M2008" si="2621">+I2006+M1902</f>
        <v>0</v>
      </c>
      <c r="N2006" s="342" t="str">
        <f t="shared" ref="N2006:N2009" si="2622">IFERROR(K2006/E2006,"-")</f>
        <v>-</v>
      </c>
      <c r="O2006" s="352" t="str">
        <f t="shared" si="2616"/>
        <v>-</v>
      </c>
    </row>
    <row r="2007" spans="1:15" ht="23.4" x14ac:dyDescent="0.3">
      <c r="A2007" s="277" t="s">
        <v>111</v>
      </c>
      <c r="B2007" s="923"/>
      <c r="C2007" s="298" t="s">
        <v>122</v>
      </c>
      <c r="D2007" s="298"/>
      <c r="E2007" s="279">
        <v>0</v>
      </c>
      <c r="F2007" s="280"/>
      <c r="G2007" s="339">
        <f t="shared" si="2618"/>
        <v>0</v>
      </c>
      <c r="H2007" s="281">
        <v>0</v>
      </c>
      <c r="I2007" s="281">
        <v>0</v>
      </c>
      <c r="J2007" s="358" t="str">
        <f>IFERROR(G2007/#REF!,"-")</f>
        <v>-</v>
      </c>
      <c r="K2007" s="339">
        <f t="shared" si="2619"/>
        <v>0</v>
      </c>
      <c r="L2007" s="281">
        <f t="shared" si="2620"/>
        <v>0</v>
      </c>
      <c r="M2007" s="251">
        <f t="shared" si="2621"/>
        <v>0</v>
      </c>
      <c r="N2007" s="343" t="str">
        <f t="shared" si="2622"/>
        <v>-</v>
      </c>
      <c r="O2007" s="264" t="str">
        <f t="shared" si="2616"/>
        <v>-</v>
      </c>
    </row>
    <row r="2008" spans="1:15" ht="24" thickBot="1" x14ac:dyDescent="0.35">
      <c r="A2008" s="277" t="s">
        <v>111</v>
      </c>
      <c r="B2008" s="924"/>
      <c r="C2008" s="299" t="s">
        <v>128</v>
      </c>
      <c r="D2008" s="299"/>
      <c r="E2008" s="283">
        <v>0</v>
      </c>
      <c r="F2008" s="284"/>
      <c r="G2008" s="340">
        <f t="shared" si="2618"/>
        <v>0</v>
      </c>
      <c r="H2008" s="285">
        <v>0</v>
      </c>
      <c r="I2008" s="285">
        <v>0</v>
      </c>
      <c r="J2008" s="359" t="str">
        <f>IFERROR(G2008/#REF!,"-")</f>
        <v>-</v>
      </c>
      <c r="K2008" s="340">
        <f t="shared" si="2619"/>
        <v>0</v>
      </c>
      <c r="L2008" s="285">
        <f t="shared" si="2620"/>
        <v>0</v>
      </c>
      <c r="M2008" s="286">
        <f t="shared" si="2621"/>
        <v>0</v>
      </c>
      <c r="N2008" s="344" t="str">
        <f t="shared" si="2622"/>
        <v>-</v>
      </c>
      <c r="O2008" s="353" t="str">
        <f t="shared" si="2616"/>
        <v>-</v>
      </c>
    </row>
    <row r="2009" spans="1:15" ht="24" thickBot="1" x14ac:dyDescent="0.35">
      <c r="A2009" s="277" t="s">
        <v>111</v>
      </c>
      <c r="B2009" s="907" t="s">
        <v>50</v>
      </c>
      <c r="C2009" s="907"/>
      <c r="D2009" s="925"/>
      <c r="E2009" s="326">
        <f t="shared" ref="E2009" si="2623">SUM(E2006:E2008)</f>
        <v>0</v>
      </c>
      <c r="F2009" s="289">
        <v>50000</v>
      </c>
      <c r="G2009" s="326">
        <f>SUM(G2006:G2008)</f>
        <v>0</v>
      </c>
      <c r="H2009" s="327">
        <f t="shared" ref="H2009:I2009" si="2624">SUM(H2006:H2008)</f>
        <v>0</v>
      </c>
      <c r="I2009" s="327">
        <f t="shared" si="2624"/>
        <v>0</v>
      </c>
      <c r="J2009" s="351" t="str">
        <f>IFERROR(G2009/#REF!,"-")</f>
        <v>-</v>
      </c>
      <c r="K2009" s="326">
        <f t="shared" ref="K2009:M2009" si="2625">SUM(K2006:K2008)</f>
        <v>0</v>
      </c>
      <c r="L2009" s="327">
        <f t="shared" si="2625"/>
        <v>0</v>
      </c>
      <c r="M2009" s="328">
        <f t="shared" si="2625"/>
        <v>0</v>
      </c>
      <c r="N2009" s="345" t="str">
        <f t="shared" si="2622"/>
        <v>-</v>
      </c>
      <c r="O2009" s="351" t="str">
        <f t="shared" si="2616"/>
        <v>-</v>
      </c>
    </row>
    <row r="2010" spans="1:15" ht="24" thickBot="1" x14ac:dyDescent="0.35">
      <c r="A2010" s="277" t="s">
        <v>111</v>
      </c>
      <c r="B2010" s="926" t="s">
        <v>21</v>
      </c>
      <c r="C2010" s="927"/>
      <c r="D2010" s="928"/>
      <c r="E2010" s="332">
        <f>+E1985+E1993+E2001+E2005+E2009</f>
        <v>5774600</v>
      </c>
      <c r="F2010" s="333">
        <f>+F1985+F1993+F2001+F2005+F2009</f>
        <v>355000</v>
      </c>
      <c r="G2010" s="332">
        <f>+G1985+G1993+G2001+G2005+G2009</f>
        <v>54256</v>
      </c>
      <c r="H2010" s="330">
        <f>+H1985+H1993+H2001+H2005+H2009</f>
        <v>70752</v>
      </c>
      <c r="I2010" s="330">
        <f>+I1985+I1993+I2001+I2005+I2009</f>
        <v>623</v>
      </c>
      <c r="J2010" s="355" t="str">
        <f>IFERROR(G2010/#REF!,"-")</f>
        <v>-</v>
      </c>
      <c r="K2010" s="332">
        <f>+K1985+K1993+K2001+K2005+K2009</f>
        <v>2833726</v>
      </c>
      <c r="L2010" s="330">
        <f>+L1985+L1993+L2001+L2005+L2009</f>
        <v>2822331</v>
      </c>
      <c r="M2010" s="331">
        <f>+M1985+M1993+M2001+M2005+M2009</f>
        <v>11395</v>
      </c>
      <c r="N2010" s="347">
        <f>IFERROR(K2010/E2010,"-")</f>
        <v>0.49072247428393306</v>
      </c>
      <c r="O2010" s="355">
        <f t="shared" si="2616"/>
        <v>4.0212074138431166E-3</v>
      </c>
    </row>
    <row r="2011" spans="1:15" ht="23.4" x14ac:dyDescent="0.3">
      <c r="A2011" s="277" t="s">
        <v>111</v>
      </c>
      <c r="B2011" s="922" t="s">
        <v>22</v>
      </c>
      <c r="C2011" s="272" t="s">
        <v>133</v>
      </c>
      <c r="D2011" s="272"/>
      <c r="E2011" s="273">
        <v>0</v>
      </c>
      <c r="F2011" s="274"/>
      <c r="G2011" s="338">
        <f t="shared" ref="G2011:G2014" si="2626">+H2011+I2011</f>
        <v>0</v>
      </c>
      <c r="H2011" s="275">
        <v>0</v>
      </c>
      <c r="I2011" s="275">
        <v>0</v>
      </c>
      <c r="J2011" s="357" t="str">
        <f>IFERROR(G2011/#REF!,"-")</f>
        <v>-</v>
      </c>
      <c r="K2011" s="338">
        <f t="shared" ref="K2011:K2014" si="2627">+L2011+M2011</f>
        <v>0</v>
      </c>
      <c r="L2011" s="275">
        <f t="shared" ref="L2011:L2014" si="2628">+H2011+L1907</f>
        <v>0</v>
      </c>
      <c r="M2011" s="276">
        <f t="shared" ref="M2011:M2014" si="2629">+I2011+M1907</f>
        <v>0</v>
      </c>
      <c r="N2011" s="342" t="str">
        <f t="shared" ref="N2011:N2025" si="2630">IFERROR(K2011/E2011,"-")</f>
        <v>-</v>
      </c>
      <c r="O2011" s="352" t="str">
        <f t="shared" si="2616"/>
        <v>-</v>
      </c>
    </row>
    <row r="2012" spans="1:15" ht="23.4" x14ac:dyDescent="0.3">
      <c r="A2012" s="277" t="s">
        <v>111</v>
      </c>
      <c r="B2012" s="923"/>
      <c r="C2012" s="301" t="s">
        <v>291</v>
      </c>
      <c r="D2012" s="301" t="s">
        <v>196</v>
      </c>
      <c r="E2012" s="279">
        <v>0</v>
      </c>
      <c r="F2012" s="280"/>
      <c r="G2012" s="339">
        <f t="shared" si="2626"/>
        <v>0</v>
      </c>
      <c r="H2012" s="281">
        <v>0</v>
      </c>
      <c r="I2012" s="281">
        <v>0</v>
      </c>
      <c r="J2012" s="358" t="str">
        <f>IFERROR(G2012/#REF!,"-")</f>
        <v>-</v>
      </c>
      <c r="K2012" s="339">
        <f t="shared" si="2627"/>
        <v>0</v>
      </c>
      <c r="L2012" s="281">
        <f t="shared" si="2628"/>
        <v>0</v>
      </c>
      <c r="M2012" s="251">
        <f t="shared" si="2629"/>
        <v>0</v>
      </c>
      <c r="N2012" s="343" t="str">
        <f t="shared" si="2630"/>
        <v>-</v>
      </c>
      <c r="O2012" s="264" t="str">
        <f t="shared" si="2616"/>
        <v>-</v>
      </c>
    </row>
    <row r="2013" spans="1:15" ht="23.4" x14ac:dyDescent="0.3">
      <c r="A2013" s="277" t="s">
        <v>111</v>
      </c>
      <c r="B2013" s="923"/>
      <c r="C2013" s="301" t="s">
        <v>473</v>
      </c>
      <c r="D2013" s="301" t="s">
        <v>196</v>
      </c>
      <c r="E2013" s="279">
        <v>1000000</v>
      </c>
      <c r="F2013" s="280"/>
      <c r="G2013" s="339">
        <f t="shared" si="2626"/>
        <v>0</v>
      </c>
      <c r="H2013" s="281">
        <v>0</v>
      </c>
      <c r="I2013" s="281">
        <v>0</v>
      </c>
      <c r="J2013" s="358" t="str">
        <f>IFERROR(G2013/#REF!,"-")</f>
        <v>-</v>
      </c>
      <c r="K2013" s="339">
        <f t="shared" si="2627"/>
        <v>343152</v>
      </c>
      <c r="L2013" s="281">
        <f t="shared" si="2628"/>
        <v>342540</v>
      </c>
      <c r="M2013" s="251">
        <f t="shared" si="2629"/>
        <v>612</v>
      </c>
      <c r="N2013" s="343">
        <f t="shared" si="2630"/>
        <v>0.34315200000000001</v>
      </c>
      <c r="O2013" s="264">
        <f t="shared" si="2616"/>
        <v>1.7834662190516156E-3</v>
      </c>
    </row>
    <row r="2014" spans="1:15" ht="24" thickBot="1" x14ac:dyDescent="0.35">
      <c r="A2014" s="277" t="s">
        <v>111</v>
      </c>
      <c r="B2014" s="924"/>
      <c r="C2014" s="282" t="s">
        <v>197</v>
      </c>
      <c r="D2014" s="282" t="s">
        <v>100</v>
      </c>
      <c r="E2014" s="283">
        <v>0</v>
      </c>
      <c r="F2014" s="284"/>
      <c r="G2014" s="340">
        <f t="shared" si="2626"/>
        <v>0</v>
      </c>
      <c r="H2014" s="285">
        <v>0</v>
      </c>
      <c r="I2014" s="285">
        <v>0</v>
      </c>
      <c r="J2014" s="359" t="str">
        <f>IFERROR(G2014/#REF!,"-")</f>
        <v>-</v>
      </c>
      <c r="K2014" s="340">
        <f t="shared" si="2627"/>
        <v>0</v>
      </c>
      <c r="L2014" s="285">
        <f t="shared" si="2628"/>
        <v>0</v>
      </c>
      <c r="M2014" s="286">
        <f t="shared" si="2629"/>
        <v>0</v>
      </c>
      <c r="N2014" s="344" t="str">
        <f t="shared" si="2630"/>
        <v>-</v>
      </c>
      <c r="O2014" s="353" t="str">
        <f t="shared" si="2616"/>
        <v>-</v>
      </c>
    </row>
    <row r="2015" spans="1:15" ht="24" thickBot="1" x14ac:dyDescent="0.35">
      <c r="A2015" s="277" t="s">
        <v>111</v>
      </c>
      <c r="B2015" s="906" t="s">
        <v>51</v>
      </c>
      <c r="C2015" s="907"/>
      <c r="D2015" s="908"/>
      <c r="E2015" s="288">
        <f>SUM(E2011:E2014)</f>
        <v>1000000</v>
      </c>
      <c r="F2015" s="289">
        <v>80000</v>
      </c>
      <c r="G2015" s="326">
        <f>SUM(G2011:G2014)</f>
        <v>0</v>
      </c>
      <c r="H2015" s="327">
        <f t="shared" ref="H2015:I2015" si="2631">SUM(H2011:H2014)</f>
        <v>0</v>
      </c>
      <c r="I2015" s="327">
        <f t="shared" si="2631"/>
        <v>0</v>
      </c>
      <c r="J2015" s="351" t="str">
        <f>IFERROR(G2015/#REF!,"-")</f>
        <v>-</v>
      </c>
      <c r="K2015" s="326">
        <f t="shared" ref="K2015:M2015" si="2632">SUM(K2011:K2014)</f>
        <v>343152</v>
      </c>
      <c r="L2015" s="327">
        <f t="shared" si="2632"/>
        <v>342540</v>
      </c>
      <c r="M2015" s="328">
        <f t="shared" si="2632"/>
        <v>612</v>
      </c>
      <c r="N2015" s="345">
        <f t="shared" si="2630"/>
        <v>0.34315200000000001</v>
      </c>
      <c r="O2015" s="351">
        <f t="shared" si="2616"/>
        <v>1.7834662190516156E-3</v>
      </c>
    </row>
    <row r="2016" spans="1:15" ht="23.4" x14ac:dyDescent="0.3">
      <c r="A2016" s="277" t="s">
        <v>111</v>
      </c>
      <c r="B2016" s="922" t="s">
        <v>23</v>
      </c>
      <c r="C2016" s="302" t="s">
        <v>348</v>
      </c>
      <c r="D2016" s="302" t="s">
        <v>263</v>
      </c>
      <c r="E2016" s="273">
        <v>0</v>
      </c>
      <c r="F2016" s="274"/>
      <c r="G2016" s="338">
        <f t="shared" ref="G2016:G2023" si="2633">+H2016+I2016</f>
        <v>0</v>
      </c>
      <c r="H2016" s="275">
        <v>0</v>
      </c>
      <c r="I2016" s="275">
        <v>0</v>
      </c>
      <c r="J2016" s="357" t="str">
        <f>IFERROR(G2016/#REF!,"-")</f>
        <v>-</v>
      </c>
      <c r="K2016" s="338">
        <f t="shared" ref="K2016:K2023" si="2634">+L2016+M2016</f>
        <v>0</v>
      </c>
      <c r="L2016" s="275">
        <f t="shared" ref="L2016:L2023" si="2635">+H2016+L1912</f>
        <v>0</v>
      </c>
      <c r="M2016" s="276">
        <f t="shared" ref="M2016:M2023" si="2636">+I2016+M1912</f>
        <v>0</v>
      </c>
      <c r="N2016" s="342" t="str">
        <f t="shared" si="2630"/>
        <v>-</v>
      </c>
      <c r="O2016" s="352" t="str">
        <f t="shared" si="2616"/>
        <v>-</v>
      </c>
    </row>
    <row r="2017" spans="1:15" ht="23.4" x14ac:dyDescent="0.3">
      <c r="A2017" s="277" t="s">
        <v>111</v>
      </c>
      <c r="B2017" s="923"/>
      <c r="C2017" s="278" t="s">
        <v>24</v>
      </c>
      <c r="D2017" s="278" t="s">
        <v>263</v>
      </c>
      <c r="E2017" s="279">
        <v>0</v>
      </c>
      <c r="F2017" s="280"/>
      <c r="G2017" s="339">
        <f t="shared" si="2633"/>
        <v>0</v>
      </c>
      <c r="H2017" s="281">
        <v>0</v>
      </c>
      <c r="I2017" s="281">
        <v>0</v>
      </c>
      <c r="J2017" s="358" t="str">
        <f>IFERROR(G2017/#REF!,"-")</f>
        <v>-</v>
      </c>
      <c r="K2017" s="339">
        <f t="shared" si="2634"/>
        <v>113483</v>
      </c>
      <c r="L2017" s="281">
        <f t="shared" si="2635"/>
        <v>112404</v>
      </c>
      <c r="M2017" s="251">
        <f t="shared" si="2636"/>
        <v>1079</v>
      </c>
      <c r="N2017" s="343" t="str">
        <f t="shared" si="2630"/>
        <v>-</v>
      </c>
      <c r="O2017" s="264">
        <f t="shared" si="2616"/>
        <v>9.508032040041239E-3</v>
      </c>
    </row>
    <row r="2018" spans="1:15" ht="23.4" x14ac:dyDescent="0.3">
      <c r="A2018" s="277" t="s">
        <v>111</v>
      </c>
      <c r="B2018" s="923"/>
      <c r="C2018" s="278" t="s">
        <v>261</v>
      </c>
      <c r="D2018" s="278" t="s">
        <v>263</v>
      </c>
      <c r="E2018" s="279">
        <v>0</v>
      </c>
      <c r="F2018" s="280"/>
      <c r="G2018" s="339">
        <f t="shared" si="2633"/>
        <v>0</v>
      </c>
      <c r="H2018" s="281">
        <v>0</v>
      </c>
      <c r="I2018" s="281">
        <v>0</v>
      </c>
      <c r="J2018" s="358" t="str">
        <f>IFERROR(G2018/#REF!,"-")</f>
        <v>-</v>
      </c>
      <c r="K2018" s="339">
        <f t="shared" si="2634"/>
        <v>11048</v>
      </c>
      <c r="L2018" s="281">
        <f t="shared" si="2635"/>
        <v>10901</v>
      </c>
      <c r="M2018" s="251">
        <f t="shared" si="2636"/>
        <v>147</v>
      </c>
      <c r="N2018" s="343" t="str">
        <f t="shared" si="2630"/>
        <v>-</v>
      </c>
      <c r="O2018" s="264">
        <f t="shared" si="2616"/>
        <v>1.330557566980449E-2</v>
      </c>
    </row>
    <row r="2019" spans="1:15" ht="23.4" x14ac:dyDescent="0.3">
      <c r="A2019" s="277" t="s">
        <v>111</v>
      </c>
      <c r="B2019" s="923"/>
      <c r="C2019" s="278" t="s">
        <v>262</v>
      </c>
      <c r="D2019" s="278" t="s">
        <v>263</v>
      </c>
      <c r="E2019" s="279">
        <v>0</v>
      </c>
      <c r="F2019" s="280"/>
      <c r="G2019" s="339">
        <f t="shared" si="2633"/>
        <v>0</v>
      </c>
      <c r="H2019" s="281">
        <v>0</v>
      </c>
      <c r="I2019" s="281">
        <v>0</v>
      </c>
      <c r="J2019" s="358" t="str">
        <f>IFERROR(G2019/#REF!,"-")</f>
        <v>-</v>
      </c>
      <c r="K2019" s="339">
        <f t="shared" si="2634"/>
        <v>7672</v>
      </c>
      <c r="L2019" s="281">
        <f t="shared" si="2635"/>
        <v>7612</v>
      </c>
      <c r="M2019" s="251">
        <f t="shared" si="2636"/>
        <v>60</v>
      </c>
      <c r="N2019" s="343" t="str">
        <f t="shared" si="2630"/>
        <v>-</v>
      </c>
      <c r="O2019" s="264">
        <f t="shared" si="2616"/>
        <v>7.8206465067778945E-3</v>
      </c>
    </row>
    <row r="2020" spans="1:15" ht="23.4" x14ac:dyDescent="0.3">
      <c r="A2020" s="277" t="s">
        <v>111</v>
      </c>
      <c r="B2020" s="923"/>
      <c r="C2020" s="301" t="s">
        <v>264</v>
      </c>
      <c r="D2020" s="278" t="s">
        <v>263</v>
      </c>
      <c r="E2020" s="279">
        <v>0</v>
      </c>
      <c r="F2020" s="280"/>
      <c r="G2020" s="339">
        <f t="shared" si="2633"/>
        <v>0</v>
      </c>
      <c r="H2020" s="281">
        <v>0</v>
      </c>
      <c r="I2020" s="281">
        <v>0</v>
      </c>
      <c r="J2020" s="358" t="str">
        <f>IFERROR(G2020/#REF!,"-")</f>
        <v>-</v>
      </c>
      <c r="K2020" s="339">
        <f t="shared" si="2634"/>
        <v>0</v>
      </c>
      <c r="L2020" s="281">
        <f t="shared" si="2635"/>
        <v>0</v>
      </c>
      <c r="M2020" s="251">
        <f t="shared" si="2636"/>
        <v>0</v>
      </c>
      <c r="N2020" s="343" t="str">
        <f t="shared" si="2630"/>
        <v>-</v>
      </c>
      <c r="O2020" s="264" t="str">
        <f t="shared" si="2616"/>
        <v>-</v>
      </c>
    </row>
    <row r="2021" spans="1:15" ht="23.4" x14ac:dyDescent="0.3">
      <c r="A2021" s="277" t="s">
        <v>111</v>
      </c>
      <c r="B2021" s="923"/>
      <c r="C2021" s="301" t="s">
        <v>265</v>
      </c>
      <c r="D2021" s="278" t="s">
        <v>263</v>
      </c>
      <c r="E2021" s="279">
        <v>0</v>
      </c>
      <c r="F2021" s="280"/>
      <c r="G2021" s="339">
        <f t="shared" si="2633"/>
        <v>0</v>
      </c>
      <c r="H2021" s="281">
        <v>0</v>
      </c>
      <c r="I2021" s="281">
        <v>0</v>
      </c>
      <c r="J2021" s="358" t="str">
        <f>IFERROR(G2021/#REF!,"-")</f>
        <v>-</v>
      </c>
      <c r="K2021" s="339">
        <f t="shared" si="2634"/>
        <v>0</v>
      </c>
      <c r="L2021" s="281">
        <f t="shared" si="2635"/>
        <v>0</v>
      </c>
      <c r="M2021" s="251">
        <f t="shared" si="2636"/>
        <v>0</v>
      </c>
      <c r="N2021" s="343" t="str">
        <f t="shared" si="2630"/>
        <v>-</v>
      </c>
      <c r="O2021" s="264" t="str">
        <f t="shared" si="2616"/>
        <v>-</v>
      </c>
    </row>
    <row r="2022" spans="1:15" ht="23.4" x14ac:dyDescent="0.3">
      <c r="A2022" s="277" t="s">
        <v>111</v>
      </c>
      <c r="B2022" s="923"/>
      <c r="C2022" s="301" t="s">
        <v>266</v>
      </c>
      <c r="D2022" s="278" t="s">
        <v>268</v>
      </c>
      <c r="E2022" s="279">
        <v>0</v>
      </c>
      <c r="F2022" s="280"/>
      <c r="G2022" s="339">
        <f t="shared" si="2633"/>
        <v>0</v>
      </c>
      <c r="H2022" s="281">
        <v>0</v>
      </c>
      <c r="I2022" s="281">
        <v>0</v>
      </c>
      <c r="J2022" s="358" t="str">
        <f>IFERROR(G2022/#REF!,"-")</f>
        <v>-</v>
      </c>
      <c r="K2022" s="339">
        <f t="shared" si="2634"/>
        <v>10464</v>
      </c>
      <c r="L2022" s="281">
        <f t="shared" si="2635"/>
        <v>10417</v>
      </c>
      <c r="M2022" s="251">
        <f t="shared" si="2636"/>
        <v>47</v>
      </c>
      <c r="N2022" s="343" t="str">
        <f t="shared" si="2630"/>
        <v>-</v>
      </c>
      <c r="O2022" s="264">
        <f t="shared" si="2616"/>
        <v>4.491590214067278E-3</v>
      </c>
    </row>
    <row r="2023" spans="1:15" ht="24" thickBot="1" x14ac:dyDescent="0.35">
      <c r="A2023" s="277" t="s">
        <v>111</v>
      </c>
      <c r="B2023" s="924"/>
      <c r="C2023" s="301" t="s">
        <v>267</v>
      </c>
      <c r="D2023" s="278" t="s">
        <v>263</v>
      </c>
      <c r="E2023" s="283">
        <v>0</v>
      </c>
      <c r="F2023" s="284"/>
      <c r="G2023" s="340">
        <f t="shared" si="2633"/>
        <v>0</v>
      </c>
      <c r="H2023" s="285">
        <v>0</v>
      </c>
      <c r="I2023" s="285">
        <v>0</v>
      </c>
      <c r="J2023" s="359" t="str">
        <f>IFERROR(G2023/#REF!,"-")</f>
        <v>-</v>
      </c>
      <c r="K2023" s="340">
        <f t="shared" si="2634"/>
        <v>14088</v>
      </c>
      <c r="L2023" s="285">
        <f t="shared" si="2635"/>
        <v>14000</v>
      </c>
      <c r="M2023" s="286">
        <f t="shared" si="2636"/>
        <v>88</v>
      </c>
      <c r="N2023" s="344" t="str">
        <f t="shared" si="2630"/>
        <v>-</v>
      </c>
      <c r="O2023" s="353">
        <f t="shared" si="2616"/>
        <v>6.2464508801817146E-3</v>
      </c>
    </row>
    <row r="2024" spans="1:15" ht="24" thickBot="1" x14ac:dyDescent="0.35">
      <c r="A2024" s="277" t="s">
        <v>111</v>
      </c>
      <c r="B2024" s="906" t="s">
        <v>52</v>
      </c>
      <c r="C2024" s="907"/>
      <c r="D2024" s="908"/>
      <c r="E2024" s="288">
        <v>157500</v>
      </c>
      <c r="F2024" s="289">
        <v>14000</v>
      </c>
      <c r="G2024" s="326">
        <f>SUM(G2016:G2023)</f>
        <v>0</v>
      </c>
      <c r="H2024" s="327">
        <f t="shared" ref="H2024:I2024" si="2637">SUM(H2016:H2023)</f>
        <v>0</v>
      </c>
      <c r="I2024" s="327">
        <f t="shared" si="2637"/>
        <v>0</v>
      </c>
      <c r="J2024" s="351" t="str">
        <f>IFERROR(G2024/#REF!,"-")</f>
        <v>-</v>
      </c>
      <c r="K2024" s="326">
        <f>SUM(K2016:K2023)</f>
        <v>156755</v>
      </c>
      <c r="L2024" s="327">
        <f t="shared" ref="L2024:M2024" si="2638">SUM(L2016:L2023)</f>
        <v>155334</v>
      </c>
      <c r="M2024" s="328">
        <f t="shared" si="2638"/>
        <v>1421</v>
      </c>
      <c r="N2024" s="345">
        <f t="shared" si="2630"/>
        <v>0.9952698412698413</v>
      </c>
      <c r="O2024" s="351">
        <f t="shared" si="2616"/>
        <v>9.0651015916557685E-3</v>
      </c>
    </row>
    <row r="2025" spans="1:15" ht="24" thickBot="1" x14ac:dyDescent="0.35">
      <c r="A2025" s="277" t="s">
        <v>111</v>
      </c>
      <c r="B2025" s="926" t="s">
        <v>25</v>
      </c>
      <c r="C2025" s="927"/>
      <c r="D2025" s="928"/>
      <c r="E2025" s="332">
        <f t="shared" ref="E2025:F2025" si="2639">+E2015+E2024</f>
        <v>1157500</v>
      </c>
      <c r="F2025" s="333">
        <f t="shared" si="2639"/>
        <v>94000</v>
      </c>
      <c r="G2025" s="332">
        <f>+G2015+G2024</f>
        <v>0</v>
      </c>
      <c r="H2025" s="330">
        <f t="shared" ref="H2025:I2025" si="2640">+H2015+H2024</f>
        <v>0</v>
      </c>
      <c r="I2025" s="330">
        <f t="shared" si="2640"/>
        <v>0</v>
      </c>
      <c r="J2025" s="355" t="str">
        <f>IFERROR(G2025/#REF!,"-")</f>
        <v>-</v>
      </c>
      <c r="K2025" s="332">
        <f t="shared" ref="K2025" si="2641">+K2015+K2024</f>
        <v>499907</v>
      </c>
      <c r="L2025" s="330">
        <f>+L2015+L2024</f>
        <v>497874</v>
      </c>
      <c r="M2025" s="331">
        <f t="shared" ref="M2025" si="2642">+M2015+M2024</f>
        <v>2033</v>
      </c>
      <c r="N2025" s="347">
        <f t="shared" si="2630"/>
        <v>0.43188509719222462</v>
      </c>
      <c r="O2025" s="355">
        <f t="shared" si="2616"/>
        <v>4.0667564166935047E-3</v>
      </c>
    </row>
    <row r="2026" spans="1:15" ht="24" thickBot="1" x14ac:dyDescent="0.35">
      <c r="A2026" s="277" t="s">
        <v>111</v>
      </c>
      <c r="B2026" s="900" t="s">
        <v>181</v>
      </c>
      <c r="C2026" s="901"/>
      <c r="D2026" s="902"/>
      <c r="E2026" s="336">
        <f>+E2010+E2025</f>
        <v>6932100</v>
      </c>
      <c r="F2026" s="337">
        <f t="shared" ref="F2026:I2026" si="2643">+F2010+F2025</f>
        <v>449000</v>
      </c>
      <c r="G2026" s="336">
        <f t="shared" si="2643"/>
        <v>54256</v>
      </c>
      <c r="H2026" s="334">
        <f t="shared" si="2643"/>
        <v>70752</v>
      </c>
      <c r="I2026" s="334">
        <f t="shared" si="2643"/>
        <v>623</v>
      </c>
      <c r="J2026" s="356" t="str">
        <f>IFERROR(G2026/#REF!,"-")</f>
        <v>-</v>
      </c>
      <c r="K2026" s="336">
        <f>+K2010+K2025</f>
        <v>3333633</v>
      </c>
      <c r="L2026" s="334">
        <f t="shared" ref="L2026:M2026" si="2644">+L2010+L2025</f>
        <v>3320205</v>
      </c>
      <c r="M2026" s="335">
        <f t="shared" si="2644"/>
        <v>13428</v>
      </c>
      <c r="N2026" s="348">
        <f>IFERROR(K2026/E2026,"-")</f>
        <v>0.48089799627818408</v>
      </c>
      <c r="O2026" s="356">
        <f t="shared" si="2616"/>
        <v>4.0280378793946421E-3</v>
      </c>
    </row>
    <row r="2027" spans="1:15" ht="23.4" x14ac:dyDescent="0.3">
      <c r="A2027" s="271" t="s">
        <v>109</v>
      </c>
      <c r="B2027" s="929" t="s">
        <v>26</v>
      </c>
      <c r="C2027" s="303" t="s">
        <v>334</v>
      </c>
      <c r="D2027" s="303" t="s">
        <v>192</v>
      </c>
      <c r="E2027" s="273">
        <v>0</v>
      </c>
      <c r="F2027" s="274"/>
      <c r="G2027" s="338">
        <f t="shared" ref="G2027:G2035" si="2645">+H2027+I2027</f>
        <v>0</v>
      </c>
      <c r="H2027" s="275">
        <v>0</v>
      </c>
      <c r="I2027" s="275">
        <v>0</v>
      </c>
      <c r="J2027" s="357" t="str">
        <f>IFERROR(G2027/#REF!,"-")</f>
        <v>-</v>
      </c>
      <c r="K2027" s="338">
        <f t="shared" ref="K2027:K2035" si="2646">+L2027+M2027</f>
        <v>326708</v>
      </c>
      <c r="L2027" s="275">
        <f t="shared" ref="L2027:L2035" si="2647">+H2027+L1923</f>
        <v>322218</v>
      </c>
      <c r="M2027" s="276">
        <f t="shared" ref="M2027:M2035" si="2648">+I2027+M1923</f>
        <v>4490</v>
      </c>
      <c r="N2027" s="342" t="str">
        <f t="shared" ref="N2027:N2028" si="2649">IFERROR(K2027/E2027,"-")</f>
        <v>-</v>
      </c>
      <c r="O2027" s="352">
        <f t="shared" si="2616"/>
        <v>1.3743159028857574E-2</v>
      </c>
    </row>
    <row r="2028" spans="1:15" ht="23.4" x14ac:dyDescent="0.3">
      <c r="A2028" s="277" t="s">
        <v>109</v>
      </c>
      <c r="B2028" s="929"/>
      <c r="C2028" s="304" t="s">
        <v>199</v>
      </c>
      <c r="D2028" s="304" t="s">
        <v>115</v>
      </c>
      <c r="E2028" s="279">
        <v>0</v>
      </c>
      <c r="F2028" s="280"/>
      <c r="G2028" s="339">
        <f t="shared" si="2645"/>
        <v>0</v>
      </c>
      <c r="H2028" s="281">
        <v>0</v>
      </c>
      <c r="I2028" s="281">
        <v>0</v>
      </c>
      <c r="J2028" s="358" t="str">
        <f>IFERROR(G2028/#REF!,"-")</f>
        <v>-</v>
      </c>
      <c r="K2028" s="339">
        <f t="shared" si="2646"/>
        <v>0</v>
      </c>
      <c r="L2028" s="281">
        <f t="shared" si="2647"/>
        <v>0</v>
      </c>
      <c r="M2028" s="251">
        <f t="shared" si="2648"/>
        <v>0</v>
      </c>
      <c r="N2028" s="343" t="str">
        <f t="shared" si="2649"/>
        <v>-</v>
      </c>
      <c r="O2028" s="264" t="str">
        <f t="shared" si="2616"/>
        <v>-</v>
      </c>
    </row>
    <row r="2029" spans="1:15" ht="23.4" x14ac:dyDescent="0.3">
      <c r="A2029" s="277" t="s">
        <v>109</v>
      </c>
      <c r="B2029" s="929"/>
      <c r="C2029" s="305" t="s">
        <v>27</v>
      </c>
      <c r="D2029" s="305" t="s">
        <v>394</v>
      </c>
      <c r="E2029" s="283">
        <v>0</v>
      </c>
      <c r="F2029" s="284"/>
      <c r="G2029" s="339">
        <f t="shared" si="2645"/>
        <v>0</v>
      </c>
      <c r="H2029" s="285">
        <v>0</v>
      </c>
      <c r="I2029" s="285">
        <v>0</v>
      </c>
      <c r="J2029" s="359" t="str">
        <f>IFERROR(G2029/#REF!,"-")</f>
        <v>-</v>
      </c>
      <c r="K2029" s="339">
        <f t="shared" si="2646"/>
        <v>20305</v>
      </c>
      <c r="L2029" s="285">
        <f t="shared" si="2647"/>
        <v>19890</v>
      </c>
      <c r="M2029" s="286">
        <f t="shared" si="2648"/>
        <v>415</v>
      </c>
      <c r="N2029" s="287"/>
      <c r="O2029" s="264">
        <f t="shared" si="2616"/>
        <v>2.0438315685791675E-2</v>
      </c>
    </row>
    <row r="2030" spans="1:15" ht="23.4" x14ac:dyDescent="0.3">
      <c r="A2030" s="277" t="s">
        <v>109</v>
      </c>
      <c r="B2030" s="929"/>
      <c r="C2030" s="305" t="s">
        <v>27</v>
      </c>
      <c r="D2030" s="305" t="s">
        <v>259</v>
      </c>
      <c r="E2030" s="283">
        <v>0</v>
      </c>
      <c r="F2030" s="284"/>
      <c r="G2030" s="339">
        <f t="shared" si="2645"/>
        <v>0</v>
      </c>
      <c r="H2030" s="285">
        <v>0</v>
      </c>
      <c r="I2030" s="285">
        <v>0</v>
      </c>
      <c r="J2030" s="359" t="str">
        <f>IFERROR(G2030/#REF!,"-")</f>
        <v>-</v>
      </c>
      <c r="K2030" s="339">
        <f t="shared" si="2646"/>
        <v>77402</v>
      </c>
      <c r="L2030" s="285">
        <f t="shared" si="2647"/>
        <v>75582</v>
      </c>
      <c r="M2030" s="286">
        <f t="shared" si="2648"/>
        <v>1820</v>
      </c>
      <c r="N2030" s="287"/>
      <c r="O2030" s="264">
        <f t="shared" si="2616"/>
        <v>2.3513604299630501E-2</v>
      </c>
    </row>
    <row r="2031" spans="1:15" ht="23.4" x14ac:dyDescent="0.3">
      <c r="A2031" s="277" t="s">
        <v>109</v>
      </c>
      <c r="B2031" s="929"/>
      <c r="C2031" s="305" t="s">
        <v>27</v>
      </c>
      <c r="D2031" s="305" t="s">
        <v>310</v>
      </c>
      <c r="E2031" s="283">
        <v>0</v>
      </c>
      <c r="F2031" s="284"/>
      <c r="G2031" s="339">
        <f t="shared" si="2645"/>
        <v>0</v>
      </c>
      <c r="H2031" s="285">
        <v>0</v>
      </c>
      <c r="I2031" s="285">
        <v>0</v>
      </c>
      <c r="J2031" s="359" t="str">
        <f>IFERROR(G2031/#REF!,"-")</f>
        <v>-</v>
      </c>
      <c r="K2031" s="339">
        <f t="shared" si="2646"/>
        <v>8433</v>
      </c>
      <c r="L2031" s="285">
        <f t="shared" si="2647"/>
        <v>7956</v>
      </c>
      <c r="M2031" s="286">
        <f t="shared" si="2648"/>
        <v>477</v>
      </c>
      <c r="N2031" s="287"/>
      <c r="O2031" s="264">
        <f t="shared" si="2616"/>
        <v>5.656350053361793E-2</v>
      </c>
    </row>
    <row r="2032" spans="1:15" ht="23.4" x14ac:dyDescent="0.3">
      <c r="A2032" s="277"/>
      <c r="B2032" s="929"/>
      <c r="C2032" s="305" t="s">
        <v>393</v>
      </c>
      <c r="D2032" s="305" t="s">
        <v>192</v>
      </c>
      <c r="E2032" s="283">
        <v>0</v>
      </c>
      <c r="F2032" s="284"/>
      <c r="G2032" s="340">
        <f t="shared" si="2645"/>
        <v>0</v>
      </c>
      <c r="H2032" s="285">
        <v>0</v>
      </c>
      <c r="I2032" s="285">
        <v>0</v>
      </c>
      <c r="J2032" s="359" t="str">
        <f>IFERROR(G2032/#REF!,"-")</f>
        <v>-</v>
      </c>
      <c r="K2032" s="340">
        <f t="shared" si="2646"/>
        <v>0</v>
      </c>
      <c r="L2032" s="285">
        <f t="shared" si="2647"/>
        <v>0</v>
      </c>
      <c r="M2032" s="286">
        <f t="shared" si="2648"/>
        <v>0</v>
      </c>
      <c r="N2032" s="287"/>
      <c r="O2032" s="264" t="str">
        <f t="shared" si="2616"/>
        <v>-</v>
      </c>
    </row>
    <row r="2033" spans="1:15" ht="23.4" x14ac:dyDescent="0.3">
      <c r="A2033" s="277"/>
      <c r="B2033" s="929"/>
      <c r="C2033" s="305" t="s">
        <v>325</v>
      </c>
      <c r="D2033" s="305" t="s">
        <v>101</v>
      </c>
      <c r="E2033" s="283">
        <v>0</v>
      </c>
      <c r="F2033" s="284"/>
      <c r="G2033" s="340">
        <f t="shared" si="2645"/>
        <v>0</v>
      </c>
      <c r="H2033" s="285">
        <v>0</v>
      </c>
      <c r="I2033" s="285">
        <v>0</v>
      </c>
      <c r="J2033" s="359" t="str">
        <f>IFERROR(G2033/#REF!,"-")</f>
        <v>-</v>
      </c>
      <c r="K2033" s="340">
        <f t="shared" si="2646"/>
        <v>7956</v>
      </c>
      <c r="L2033" s="285">
        <f t="shared" si="2647"/>
        <v>7956</v>
      </c>
      <c r="M2033" s="286">
        <f t="shared" si="2648"/>
        <v>0</v>
      </c>
      <c r="N2033" s="287"/>
      <c r="O2033" s="264">
        <f t="shared" si="2616"/>
        <v>0</v>
      </c>
    </row>
    <row r="2034" spans="1:15" ht="23.4" x14ac:dyDescent="0.3">
      <c r="A2034" s="277"/>
      <c r="B2034" s="929"/>
      <c r="C2034" s="305" t="s">
        <v>325</v>
      </c>
      <c r="D2034" s="305" t="s">
        <v>394</v>
      </c>
      <c r="E2034" s="283">
        <v>0</v>
      </c>
      <c r="F2034" s="284"/>
      <c r="G2034" s="340">
        <f t="shared" si="2645"/>
        <v>0</v>
      </c>
      <c r="H2034" s="285">
        <v>0</v>
      </c>
      <c r="I2034" s="285">
        <v>0</v>
      </c>
      <c r="J2034" s="359" t="str">
        <f>IFERROR(G2034/#REF!,"-")</f>
        <v>-</v>
      </c>
      <c r="K2034" s="340">
        <f t="shared" si="2646"/>
        <v>720648</v>
      </c>
      <c r="L2034" s="285">
        <f t="shared" si="2647"/>
        <v>712062</v>
      </c>
      <c r="M2034" s="286">
        <f t="shared" si="2648"/>
        <v>8586</v>
      </c>
      <c r="N2034" s="287"/>
      <c r="O2034" s="264">
        <f t="shared" si="2616"/>
        <v>1.1914277150564492E-2</v>
      </c>
    </row>
    <row r="2035" spans="1:15" ht="24" thickBot="1" x14ac:dyDescent="0.35">
      <c r="A2035" s="277" t="s">
        <v>109</v>
      </c>
      <c r="B2035" s="929"/>
      <c r="C2035" s="306" t="s">
        <v>326</v>
      </c>
      <c r="D2035" s="305" t="s">
        <v>324</v>
      </c>
      <c r="E2035" s="283">
        <v>0</v>
      </c>
      <c r="F2035" s="284"/>
      <c r="G2035" s="340">
        <f t="shared" si="2645"/>
        <v>0</v>
      </c>
      <c r="H2035" s="285">
        <v>0</v>
      </c>
      <c r="I2035" s="285">
        <v>0</v>
      </c>
      <c r="J2035" s="359" t="str">
        <f>IFERROR(G2035/#REF!,"-")</f>
        <v>-</v>
      </c>
      <c r="K2035" s="340">
        <f t="shared" si="2646"/>
        <v>7956</v>
      </c>
      <c r="L2035" s="285">
        <f t="shared" si="2647"/>
        <v>7956</v>
      </c>
      <c r="M2035" s="286">
        <f t="shared" si="2648"/>
        <v>0</v>
      </c>
      <c r="N2035" s="344" t="str">
        <f t="shared" ref="N2035:N2040" si="2650">IFERROR(K2035/E2035,"-")</f>
        <v>-</v>
      </c>
      <c r="O2035" s="353">
        <f t="shared" si="2616"/>
        <v>0</v>
      </c>
    </row>
    <row r="2036" spans="1:15" ht="24" thickBot="1" x14ac:dyDescent="0.35">
      <c r="A2036" s="277" t="s">
        <v>109</v>
      </c>
      <c r="B2036" s="930"/>
      <c r="C2036" s="307"/>
      <c r="D2036" s="308" t="s">
        <v>55</v>
      </c>
      <c r="E2036" s="288">
        <v>0</v>
      </c>
      <c r="F2036" s="289"/>
      <c r="G2036" s="326">
        <f>SUM(G2027:G2035)</f>
        <v>0</v>
      </c>
      <c r="H2036" s="327">
        <f>SUM(H2027:H2035)</f>
        <v>0</v>
      </c>
      <c r="I2036" s="327">
        <f>SUM(I2027:I2035)</f>
        <v>0</v>
      </c>
      <c r="J2036" s="351" t="str">
        <f>IFERROR(G2036/#REF!,"-")</f>
        <v>-</v>
      </c>
      <c r="K2036" s="326">
        <f>SUM(K2027:K2035)</f>
        <v>1169408</v>
      </c>
      <c r="L2036" s="327">
        <f>SUM(L2027:L2035)</f>
        <v>1153620</v>
      </c>
      <c r="M2036" s="328">
        <f>SUM(M2027:M2035)</f>
        <v>15788</v>
      </c>
      <c r="N2036" s="345" t="str">
        <f t="shared" si="2650"/>
        <v>-</v>
      </c>
      <c r="O2036" s="351">
        <f t="shared" si="2616"/>
        <v>1.3500848292469352E-2</v>
      </c>
    </row>
    <row r="2037" spans="1:15" ht="23.4" x14ac:dyDescent="0.3">
      <c r="A2037" s="277" t="s">
        <v>109</v>
      </c>
      <c r="B2037" s="931" t="s">
        <v>28</v>
      </c>
      <c r="C2037" s="305" t="s">
        <v>27</v>
      </c>
      <c r="D2037" s="303" t="s">
        <v>310</v>
      </c>
      <c r="E2037" s="273">
        <v>0</v>
      </c>
      <c r="F2037" s="274"/>
      <c r="G2037" s="338">
        <f t="shared" ref="G2037:G2039" si="2651">+H2037+I2037</f>
        <v>0</v>
      </c>
      <c r="H2037" s="275">
        <v>0</v>
      </c>
      <c r="I2037" s="275">
        <v>0</v>
      </c>
      <c r="J2037" s="357" t="str">
        <f>IFERROR(G2037/#REF!,"-")</f>
        <v>-</v>
      </c>
      <c r="K2037" s="338">
        <f t="shared" ref="K2037:K2039" si="2652">+L2037+M2037</f>
        <v>144790</v>
      </c>
      <c r="L2037" s="275">
        <f t="shared" ref="L2037:L2039" si="2653">+H2037+L1933</f>
        <v>143208</v>
      </c>
      <c r="M2037" s="276">
        <f t="shared" ref="M2037:M2039" si="2654">+I2037+M1933</f>
        <v>1582</v>
      </c>
      <c r="N2037" s="342" t="str">
        <f t="shared" si="2650"/>
        <v>-</v>
      </c>
      <c r="O2037" s="352">
        <f t="shared" si="2616"/>
        <v>1.0926168934318668E-2</v>
      </c>
    </row>
    <row r="2038" spans="1:15" ht="23.4" x14ac:dyDescent="0.3">
      <c r="A2038" s="277" t="s">
        <v>109</v>
      </c>
      <c r="B2038" s="929"/>
      <c r="C2038" s="305" t="s">
        <v>27</v>
      </c>
      <c r="D2038" s="305" t="s">
        <v>394</v>
      </c>
      <c r="E2038" s="279">
        <v>0</v>
      </c>
      <c r="F2038" s="280"/>
      <c r="G2038" s="339">
        <f t="shared" si="2651"/>
        <v>3978</v>
      </c>
      <c r="H2038" s="281">
        <v>3978</v>
      </c>
      <c r="I2038" s="281">
        <v>0</v>
      </c>
      <c r="J2038" s="358" t="str">
        <f>IFERROR(G2038/#REF!,"-")</f>
        <v>-</v>
      </c>
      <c r="K2038" s="339">
        <f t="shared" si="2652"/>
        <v>390451</v>
      </c>
      <c r="L2038" s="281">
        <f t="shared" si="2653"/>
        <v>385866</v>
      </c>
      <c r="M2038" s="251">
        <f t="shared" si="2654"/>
        <v>4585</v>
      </c>
      <c r="N2038" s="343" t="str">
        <f t="shared" si="2650"/>
        <v>-</v>
      </c>
      <c r="O2038" s="264">
        <f t="shared" si="2616"/>
        <v>1.174283072651882E-2</v>
      </c>
    </row>
    <row r="2039" spans="1:15" ht="24" thickBot="1" x14ac:dyDescent="0.35">
      <c r="A2039" s="277" t="s">
        <v>109</v>
      </c>
      <c r="B2039" s="929"/>
      <c r="C2039" s="305" t="s">
        <v>27</v>
      </c>
      <c r="D2039" s="306" t="s">
        <v>259</v>
      </c>
      <c r="E2039" s="283">
        <v>0</v>
      </c>
      <c r="F2039" s="284"/>
      <c r="G2039" s="340">
        <f t="shared" si="2651"/>
        <v>64246</v>
      </c>
      <c r="H2039" s="285">
        <v>63648</v>
      </c>
      <c r="I2039" s="285">
        <v>598</v>
      </c>
      <c r="J2039" s="359" t="str">
        <f>IFERROR(G2039/#REF!,"-")</f>
        <v>-</v>
      </c>
      <c r="K2039" s="340">
        <f t="shared" si="2652"/>
        <v>427031</v>
      </c>
      <c r="L2039" s="285">
        <f t="shared" si="2653"/>
        <v>421668</v>
      </c>
      <c r="M2039" s="286">
        <f t="shared" si="2654"/>
        <v>5363</v>
      </c>
      <c r="N2039" s="344" t="str">
        <f t="shared" si="2650"/>
        <v>-</v>
      </c>
      <c r="O2039" s="353">
        <f t="shared" si="2616"/>
        <v>1.2558807206034223E-2</v>
      </c>
    </row>
    <row r="2040" spans="1:15" ht="24" thickBot="1" x14ac:dyDescent="0.35">
      <c r="A2040" s="277" t="s">
        <v>109</v>
      </c>
      <c r="B2040" s="929"/>
      <c r="C2040" s="310"/>
      <c r="D2040" s="311" t="s">
        <v>55</v>
      </c>
      <c r="E2040" s="312">
        <v>0</v>
      </c>
      <c r="F2040" s="313"/>
      <c r="G2040" s="372">
        <f>SUM(G2037:G2039)</f>
        <v>68224</v>
      </c>
      <c r="H2040" s="371">
        <f t="shared" ref="H2040:I2040" si="2655">SUM(H2037:H2039)</f>
        <v>67626</v>
      </c>
      <c r="I2040" s="371">
        <f t="shared" si="2655"/>
        <v>598</v>
      </c>
      <c r="J2040" s="362" t="str">
        <f>IFERROR(G2040/#REF!,"-")</f>
        <v>-</v>
      </c>
      <c r="K2040" s="372">
        <f>SUM(K2037:K2039)</f>
        <v>962272</v>
      </c>
      <c r="L2040" s="371">
        <f>SUM(L2037:L2039)</f>
        <v>950742</v>
      </c>
      <c r="M2040" s="373">
        <f t="shared" ref="M2040" si="2656">SUM(M2037:M2039)</f>
        <v>11530</v>
      </c>
      <c r="N2040" s="361" t="str">
        <f t="shared" si="2650"/>
        <v>-</v>
      </c>
      <c r="O2040" s="362">
        <f t="shared" si="2616"/>
        <v>1.1982059126733398E-2</v>
      </c>
    </row>
    <row r="2041" spans="1:15" ht="24" thickBot="1" x14ac:dyDescent="0.35">
      <c r="A2041" s="861" t="s">
        <v>109</v>
      </c>
      <c r="B2041" s="932" t="s">
        <v>171</v>
      </c>
      <c r="C2041" s="933"/>
      <c r="D2041" s="934"/>
      <c r="E2041" s="314">
        <v>2167000</v>
      </c>
      <c r="F2041" s="315">
        <v>80000</v>
      </c>
      <c r="G2041" s="375">
        <f>+G2036+G2040</f>
        <v>68224</v>
      </c>
      <c r="H2041" s="374">
        <f t="shared" ref="H2041:I2041" si="2657">+H2036+H2040</f>
        <v>67626</v>
      </c>
      <c r="I2041" s="374">
        <f t="shared" si="2657"/>
        <v>598</v>
      </c>
      <c r="J2041" s="364" t="str">
        <f>IFERROR(G2041/#REF!,"-")</f>
        <v>-</v>
      </c>
      <c r="K2041" s="375">
        <f>+K2036+K2040</f>
        <v>2131680</v>
      </c>
      <c r="L2041" s="374">
        <f>+L2036+L2040</f>
        <v>2104362</v>
      </c>
      <c r="M2041" s="376">
        <f t="shared" ref="M2041" si="2658">+M2036+M2040</f>
        <v>27318</v>
      </c>
      <c r="N2041" s="363">
        <f>IFERROR(K2041/E2041,"-")</f>
        <v>0.9837009690816797</v>
      </c>
      <c r="O2041" s="364">
        <f t="shared" si="2616"/>
        <v>1.2815244314343617E-2</v>
      </c>
    </row>
    <row r="2042" spans="1:15" ht="23.4" x14ac:dyDescent="0.3">
      <c r="A2042" s="277" t="s">
        <v>109</v>
      </c>
      <c r="B2042" s="929" t="s">
        <v>30</v>
      </c>
      <c r="C2042" s="309" t="s">
        <v>396</v>
      </c>
      <c r="D2042" s="303" t="s">
        <v>193</v>
      </c>
      <c r="E2042" s="273">
        <v>0</v>
      </c>
      <c r="F2042" s="274"/>
      <c r="G2042" s="338">
        <f t="shared" ref="G2042:G2044" si="2659">+H2042+I2042</f>
        <v>0</v>
      </c>
      <c r="H2042" s="275">
        <v>0</v>
      </c>
      <c r="I2042" s="275">
        <v>0</v>
      </c>
      <c r="J2042" s="357" t="str">
        <f>IFERROR(G2042/#REF!,"-")</f>
        <v>-</v>
      </c>
      <c r="K2042" s="338">
        <f t="shared" ref="K2042:K2044" si="2660">+L2042+M2042</f>
        <v>0</v>
      </c>
      <c r="L2042" s="275">
        <f t="shared" ref="L2042:L2044" si="2661">+H2042+L1938</f>
        <v>0</v>
      </c>
      <c r="M2042" s="276">
        <f t="shared" ref="M2042:M2044" si="2662">+I2042+M1938</f>
        <v>0</v>
      </c>
      <c r="N2042" s="342" t="str">
        <f t="shared" ref="N2042:N2052" si="2663">IFERROR(K2042/E2042,"-")</f>
        <v>-</v>
      </c>
      <c r="O2042" s="352" t="str">
        <f t="shared" si="2616"/>
        <v>-</v>
      </c>
    </row>
    <row r="2043" spans="1:15" ht="23.4" x14ac:dyDescent="0.3">
      <c r="A2043" s="277" t="s">
        <v>109</v>
      </c>
      <c r="B2043" s="929"/>
      <c r="C2043" s="309" t="s">
        <v>395</v>
      </c>
      <c r="D2043" s="309" t="s">
        <v>324</v>
      </c>
      <c r="E2043" s="279">
        <v>0</v>
      </c>
      <c r="F2043" s="280"/>
      <c r="G2043" s="339">
        <f t="shared" si="2659"/>
        <v>0</v>
      </c>
      <c r="H2043" s="281">
        <v>0</v>
      </c>
      <c r="I2043" s="281">
        <v>0</v>
      </c>
      <c r="J2043" s="358" t="str">
        <f>IFERROR(G2043/#REF!,"-")</f>
        <v>-</v>
      </c>
      <c r="K2043" s="339">
        <f t="shared" si="2660"/>
        <v>0</v>
      </c>
      <c r="L2043" s="281">
        <f t="shared" si="2661"/>
        <v>0</v>
      </c>
      <c r="M2043" s="251">
        <f t="shared" si="2662"/>
        <v>0</v>
      </c>
      <c r="N2043" s="343" t="str">
        <f t="shared" si="2663"/>
        <v>-</v>
      </c>
      <c r="O2043" s="264" t="str">
        <f t="shared" si="2616"/>
        <v>-</v>
      </c>
    </row>
    <row r="2044" spans="1:15" ht="24" thickBot="1" x14ac:dyDescent="0.35">
      <c r="A2044" s="277" t="s">
        <v>109</v>
      </c>
      <c r="B2044" s="929"/>
      <c r="C2044" s="306" t="s">
        <v>327</v>
      </c>
      <c r="D2044" s="306"/>
      <c r="E2044" s="283">
        <v>0</v>
      </c>
      <c r="F2044" s="284"/>
      <c r="G2044" s="340">
        <f t="shared" si="2659"/>
        <v>0</v>
      </c>
      <c r="H2044" s="285">
        <v>0</v>
      </c>
      <c r="I2044" s="285">
        <v>0</v>
      </c>
      <c r="J2044" s="359" t="str">
        <f>IFERROR(G2044/#REF!,"-")</f>
        <v>-</v>
      </c>
      <c r="K2044" s="340">
        <f t="shared" si="2660"/>
        <v>53929</v>
      </c>
      <c r="L2044" s="285">
        <f t="shared" si="2661"/>
        <v>52416</v>
      </c>
      <c r="M2044" s="286">
        <f t="shared" si="2662"/>
        <v>1513</v>
      </c>
      <c r="N2044" s="344" t="str">
        <f t="shared" si="2663"/>
        <v>-</v>
      </c>
      <c r="O2044" s="353">
        <f t="shared" si="2616"/>
        <v>2.8055406182202525E-2</v>
      </c>
    </row>
    <row r="2045" spans="1:15" ht="24" thickBot="1" x14ac:dyDescent="0.35">
      <c r="A2045" s="277" t="s">
        <v>109</v>
      </c>
      <c r="B2045" s="929"/>
      <c r="C2045" s="307"/>
      <c r="D2045" s="308" t="s">
        <v>53</v>
      </c>
      <c r="E2045" s="288">
        <v>0</v>
      </c>
      <c r="F2045" s="289"/>
      <c r="G2045" s="326">
        <f>SUM(G2042:G2044)</f>
        <v>0</v>
      </c>
      <c r="H2045" s="327">
        <f t="shared" ref="H2045:I2045" si="2664">SUM(H2042:H2044)</f>
        <v>0</v>
      </c>
      <c r="I2045" s="327">
        <f t="shared" si="2664"/>
        <v>0</v>
      </c>
      <c r="J2045" s="351" t="str">
        <f>IFERROR(G2045/#REF!,"-")</f>
        <v>-</v>
      </c>
      <c r="K2045" s="326">
        <f t="shared" ref="K2045" si="2665">SUM(K2042:K2044)</f>
        <v>53929</v>
      </c>
      <c r="L2045" s="327">
        <f>SUM(L2042:L2044)</f>
        <v>52416</v>
      </c>
      <c r="M2045" s="328">
        <f t="shared" ref="M2045" si="2666">SUM(M2042:M2044)</f>
        <v>1513</v>
      </c>
      <c r="N2045" s="345" t="str">
        <f t="shared" si="2663"/>
        <v>-</v>
      </c>
      <c r="O2045" s="351">
        <f t="shared" si="2616"/>
        <v>2.8055406182202525E-2</v>
      </c>
    </row>
    <row r="2046" spans="1:15" ht="23.4" x14ac:dyDescent="0.3">
      <c r="A2046" s="277" t="s">
        <v>109</v>
      </c>
      <c r="B2046" s="929"/>
      <c r="C2046" s="303" t="s">
        <v>352</v>
      </c>
      <c r="D2046" s="303"/>
      <c r="E2046" s="273">
        <v>0</v>
      </c>
      <c r="F2046" s="274"/>
      <c r="G2046" s="338">
        <f t="shared" ref="G2046:G2048" si="2667">+H2046+I2046</f>
        <v>0</v>
      </c>
      <c r="H2046" s="275">
        <v>0</v>
      </c>
      <c r="I2046" s="275">
        <v>0</v>
      </c>
      <c r="J2046" s="357" t="str">
        <f>IFERROR(G2046/#REF!,"-")</f>
        <v>-</v>
      </c>
      <c r="K2046" s="338">
        <f t="shared" ref="K2046:K2048" si="2668">+L2046+M2046</f>
        <v>0</v>
      </c>
      <c r="L2046" s="275">
        <f t="shared" ref="L2046:L2048" si="2669">+H2046+L1942</f>
        <v>0</v>
      </c>
      <c r="M2046" s="276">
        <f t="shared" ref="M2046:M2048" si="2670">+I2046+M1942</f>
        <v>0</v>
      </c>
      <c r="N2046" s="342" t="str">
        <f t="shared" si="2663"/>
        <v>-</v>
      </c>
      <c r="O2046" s="352" t="str">
        <f t="shared" si="2616"/>
        <v>-</v>
      </c>
    </row>
    <row r="2047" spans="1:15" ht="23.4" x14ac:dyDescent="0.3">
      <c r="A2047" s="277" t="s">
        <v>109</v>
      </c>
      <c r="B2047" s="929"/>
      <c r="C2047" s="309" t="s">
        <v>397</v>
      </c>
      <c r="D2047" s="309" t="s">
        <v>259</v>
      </c>
      <c r="E2047" s="279">
        <v>0</v>
      </c>
      <c r="F2047" s="280"/>
      <c r="G2047" s="339">
        <f t="shared" si="2667"/>
        <v>0</v>
      </c>
      <c r="H2047" s="281">
        <v>0</v>
      </c>
      <c r="I2047" s="281">
        <v>0</v>
      </c>
      <c r="J2047" s="358" t="str">
        <f>IFERROR(G2047/#REF!,"-")</f>
        <v>-</v>
      </c>
      <c r="K2047" s="339">
        <f t="shared" si="2668"/>
        <v>493341</v>
      </c>
      <c r="L2047" s="281">
        <f t="shared" si="2669"/>
        <v>481104</v>
      </c>
      <c r="M2047" s="251">
        <f t="shared" si="2670"/>
        <v>12237</v>
      </c>
      <c r="N2047" s="343" t="str">
        <f t="shared" si="2663"/>
        <v>-</v>
      </c>
      <c r="O2047" s="264">
        <f t="shared" si="2616"/>
        <v>2.4804344256812227E-2</v>
      </c>
    </row>
    <row r="2048" spans="1:15" ht="24" thickBot="1" x14ac:dyDescent="0.35">
      <c r="A2048" s="277" t="s">
        <v>109</v>
      </c>
      <c r="B2048" s="929"/>
      <c r="C2048" s="306" t="s">
        <v>146</v>
      </c>
      <c r="D2048" s="306"/>
      <c r="E2048" s="283">
        <v>0</v>
      </c>
      <c r="F2048" s="284"/>
      <c r="G2048" s="340">
        <f t="shared" si="2667"/>
        <v>0</v>
      </c>
      <c r="H2048" s="285">
        <v>0</v>
      </c>
      <c r="I2048" s="285">
        <v>0</v>
      </c>
      <c r="J2048" s="359" t="str">
        <f>IFERROR(G2048/#REF!,"-")</f>
        <v>-</v>
      </c>
      <c r="K2048" s="340">
        <f t="shared" si="2668"/>
        <v>0</v>
      </c>
      <c r="L2048" s="285">
        <f t="shared" si="2669"/>
        <v>0</v>
      </c>
      <c r="M2048" s="286">
        <f t="shared" si="2670"/>
        <v>0</v>
      </c>
      <c r="N2048" s="344" t="str">
        <f t="shared" si="2663"/>
        <v>-</v>
      </c>
      <c r="O2048" s="353" t="str">
        <f t="shared" si="2616"/>
        <v>-</v>
      </c>
    </row>
    <row r="2049" spans="1:15" ht="24" thickBot="1" x14ac:dyDescent="0.35">
      <c r="A2049" s="277" t="s">
        <v>109</v>
      </c>
      <c r="B2049" s="929"/>
      <c r="C2049" s="310"/>
      <c r="D2049" s="311" t="s">
        <v>54</v>
      </c>
      <c r="E2049" s="312">
        <v>0</v>
      </c>
      <c r="F2049" s="313"/>
      <c r="G2049" s="372">
        <f>SUM(G2046:G2048)</f>
        <v>0</v>
      </c>
      <c r="H2049" s="371">
        <f t="shared" ref="H2049:I2049" si="2671">SUM(H2046:H2048)</f>
        <v>0</v>
      </c>
      <c r="I2049" s="371">
        <f t="shared" si="2671"/>
        <v>0</v>
      </c>
      <c r="J2049" s="362" t="str">
        <f>IFERROR(G2049/#REF!,"-")</f>
        <v>-</v>
      </c>
      <c r="K2049" s="372">
        <f t="shared" ref="K2049:M2049" si="2672">SUM(K2046:K2048)</f>
        <v>493341</v>
      </c>
      <c r="L2049" s="371">
        <f t="shared" si="2672"/>
        <v>481104</v>
      </c>
      <c r="M2049" s="373">
        <f t="shared" si="2672"/>
        <v>12237</v>
      </c>
      <c r="N2049" s="361" t="str">
        <f t="shared" si="2663"/>
        <v>-</v>
      </c>
      <c r="O2049" s="362">
        <f t="shared" si="2616"/>
        <v>2.4804344256812227E-2</v>
      </c>
    </row>
    <row r="2050" spans="1:15" ht="24" thickBot="1" x14ac:dyDescent="0.35">
      <c r="A2050" s="277" t="s">
        <v>109</v>
      </c>
      <c r="B2050" s="932" t="s">
        <v>172</v>
      </c>
      <c r="C2050" s="933"/>
      <c r="D2050" s="934"/>
      <c r="E2050" s="314">
        <v>649600</v>
      </c>
      <c r="F2050" s="315">
        <v>50000</v>
      </c>
      <c r="G2050" s="375">
        <f>+G2045+G2049</f>
        <v>0</v>
      </c>
      <c r="H2050" s="374">
        <f t="shared" ref="H2050:I2050" si="2673">+H2045+H2049</f>
        <v>0</v>
      </c>
      <c r="I2050" s="374">
        <f t="shared" si="2673"/>
        <v>0</v>
      </c>
      <c r="J2050" s="364" t="str">
        <f>IFERROR(G2050/#REF!,"-")</f>
        <v>-</v>
      </c>
      <c r="K2050" s="375">
        <f t="shared" ref="K2050:M2050" si="2674">+K2045+K2049</f>
        <v>547270</v>
      </c>
      <c r="L2050" s="374">
        <f t="shared" si="2674"/>
        <v>533520</v>
      </c>
      <c r="M2050" s="376">
        <f t="shared" si="2674"/>
        <v>13750</v>
      </c>
      <c r="N2050" s="363">
        <f t="shared" si="2663"/>
        <v>0.84247229064039408</v>
      </c>
      <c r="O2050" s="364">
        <f t="shared" si="2616"/>
        <v>2.5124709923803609E-2</v>
      </c>
    </row>
    <row r="2051" spans="1:15" ht="24" thickBot="1" x14ac:dyDescent="0.35">
      <c r="A2051" s="277" t="s">
        <v>109</v>
      </c>
      <c r="B2051" s="616" t="s">
        <v>32</v>
      </c>
      <c r="C2051" s="857"/>
      <c r="D2051" s="316" t="s">
        <v>32</v>
      </c>
      <c r="E2051" s="293">
        <v>0</v>
      </c>
      <c r="F2051" s="294">
        <v>110000</v>
      </c>
      <c r="G2051" s="341">
        <f t="shared" ref="G2051" si="2675">+H2051+I2051</f>
        <v>0</v>
      </c>
      <c r="H2051" s="295">
        <v>0</v>
      </c>
      <c r="I2051" s="295">
        <v>0</v>
      </c>
      <c r="J2051" s="360" t="str">
        <f>IFERROR(G2051/#REF!,"-")</f>
        <v>-</v>
      </c>
      <c r="K2051" s="341">
        <f>+L2051+M2051</f>
        <v>0</v>
      </c>
      <c r="L2051" s="295">
        <f>+H2051+L1947</f>
        <v>0</v>
      </c>
      <c r="M2051" s="296">
        <f>+I2051+M1947</f>
        <v>0</v>
      </c>
      <c r="N2051" s="346" t="str">
        <f t="shared" si="2663"/>
        <v>-</v>
      </c>
      <c r="O2051" s="354" t="str">
        <f t="shared" si="2616"/>
        <v>-</v>
      </c>
    </row>
    <row r="2052" spans="1:15" ht="24" thickBot="1" x14ac:dyDescent="0.35">
      <c r="A2052" s="277" t="s">
        <v>109</v>
      </c>
      <c r="B2052" s="926" t="s">
        <v>21</v>
      </c>
      <c r="C2052" s="927"/>
      <c r="D2052" s="928"/>
      <c r="E2052" s="332">
        <f>+E2041+E2050+E2051</f>
        <v>2816600</v>
      </c>
      <c r="F2052" s="333">
        <f t="shared" ref="F2052" si="2676">+F2041+F2050+F2051</f>
        <v>240000</v>
      </c>
      <c r="G2052" s="332">
        <f>+G2041+G2050+G2051</f>
        <v>68224</v>
      </c>
      <c r="H2052" s="330">
        <f t="shared" ref="H2052:I2052" si="2677">+H2041+H2050+H2051</f>
        <v>67626</v>
      </c>
      <c r="I2052" s="330">
        <f t="shared" si="2677"/>
        <v>598</v>
      </c>
      <c r="J2052" s="355" t="str">
        <f>IFERROR(G2052/#REF!,"-")</f>
        <v>-</v>
      </c>
      <c r="K2052" s="332">
        <f>+K2041+K2050+K2051</f>
        <v>2678950</v>
      </c>
      <c r="L2052" s="330">
        <f>+L2041+L2050+L2051</f>
        <v>2637882</v>
      </c>
      <c r="M2052" s="331">
        <f t="shared" ref="M2052" si="2678">+M2041+M2050+M2051</f>
        <v>41068</v>
      </c>
      <c r="N2052" s="347">
        <f t="shared" si="2663"/>
        <v>0.95112902080522621</v>
      </c>
      <c r="O2052" s="355">
        <f t="shared" si="2616"/>
        <v>1.5329886709345078E-2</v>
      </c>
    </row>
    <row r="2053" spans="1:15" ht="24" thickBot="1" x14ac:dyDescent="0.35">
      <c r="A2053" s="277" t="s">
        <v>109</v>
      </c>
      <c r="B2053" s="900" t="s">
        <v>180</v>
      </c>
      <c r="C2053" s="901"/>
      <c r="D2053" s="902"/>
      <c r="E2053" s="336">
        <f>+E2052</f>
        <v>2816600</v>
      </c>
      <c r="F2053" s="337">
        <f t="shared" ref="F2053:I2053" si="2679">+F2052</f>
        <v>240000</v>
      </c>
      <c r="G2053" s="336">
        <f t="shared" si="2679"/>
        <v>68224</v>
      </c>
      <c r="H2053" s="334">
        <f t="shared" si="2679"/>
        <v>67626</v>
      </c>
      <c r="I2053" s="334">
        <f t="shared" si="2679"/>
        <v>598</v>
      </c>
      <c r="J2053" s="356" t="str">
        <f>+J2052</f>
        <v>-</v>
      </c>
      <c r="K2053" s="336">
        <f>+K2052</f>
        <v>2678950</v>
      </c>
      <c r="L2053" s="334">
        <f t="shared" ref="L2053" si="2680">+L2052</f>
        <v>2637882</v>
      </c>
      <c r="M2053" s="335">
        <f>+M2052</f>
        <v>41068</v>
      </c>
      <c r="N2053" s="348">
        <f t="shared" ref="N2053:O2053" si="2681">+N2052</f>
        <v>0.95112902080522621</v>
      </c>
      <c r="O2053" s="356">
        <f t="shared" si="2681"/>
        <v>1.5329886709345078E-2</v>
      </c>
    </row>
    <row r="2054" spans="1:15" ht="23.4" x14ac:dyDescent="0.3">
      <c r="A2054" s="271" t="s">
        <v>110</v>
      </c>
      <c r="B2054" s="903" t="s">
        <v>33</v>
      </c>
      <c r="C2054" s="317" t="s">
        <v>121</v>
      </c>
      <c r="D2054" s="317"/>
      <c r="E2054" s="273">
        <v>0</v>
      </c>
      <c r="F2054" s="274"/>
      <c r="G2054" s="338">
        <f t="shared" ref="G2054:G2056" si="2682">+H2054+I2054</f>
        <v>0</v>
      </c>
      <c r="H2054" s="275">
        <v>0</v>
      </c>
      <c r="I2054" s="275">
        <v>0</v>
      </c>
      <c r="J2054" s="357" t="str">
        <f>IFERROR(G2054/#REF!,"-")</f>
        <v>-</v>
      </c>
      <c r="K2054" s="338">
        <f t="shared" ref="K2054:K2056" si="2683">+L2054+M2054</f>
        <v>0</v>
      </c>
      <c r="L2054" s="275">
        <f t="shared" ref="L2054:L2056" si="2684">+H2054+L1950</f>
        <v>0</v>
      </c>
      <c r="M2054" s="276">
        <f t="shared" ref="M2054:M2056" si="2685">+I2054+M1950</f>
        <v>0</v>
      </c>
      <c r="N2054" s="342" t="str">
        <f t="shared" ref="N2054:N2061" si="2686">IFERROR(K2054/E2054,"-")</f>
        <v>-</v>
      </c>
      <c r="O2054" s="352" t="str">
        <f t="shared" ref="O2054:O2079" si="2687">IFERROR(M2054/K2054,"-")</f>
        <v>-</v>
      </c>
    </row>
    <row r="2055" spans="1:15" ht="23.4" x14ac:dyDescent="0.3">
      <c r="A2055" s="277" t="s">
        <v>110</v>
      </c>
      <c r="B2055" s="904"/>
      <c r="C2055" s="318" t="s">
        <v>274</v>
      </c>
      <c r="D2055" s="318"/>
      <c r="E2055" s="279">
        <v>0</v>
      </c>
      <c r="F2055" s="280"/>
      <c r="G2055" s="339">
        <f t="shared" si="2682"/>
        <v>0</v>
      </c>
      <c r="H2055" s="281">
        <v>0</v>
      </c>
      <c r="I2055" s="281">
        <v>0</v>
      </c>
      <c r="J2055" s="358" t="str">
        <f>IFERROR(G2055/#REF!,"-")</f>
        <v>-</v>
      </c>
      <c r="K2055" s="339">
        <f t="shared" si="2683"/>
        <v>10252</v>
      </c>
      <c r="L2055" s="281">
        <f t="shared" si="2684"/>
        <v>9280</v>
      </c>
      <c r="M2055" s="251">
        <f t="shared" si="2685"/>
        <v>972</v>
      </c>
      <c r="N2055" s="343" t="str">
        <f t="shared" si="2686"/>
        <v>-</v>
      </c>
      <c r="O2055" s="264">
        <f t="shared" si="2687"/>
        <v>9.4810768630511119E-2</v>
      </c>
    </row>
    <row r="2056" spans="1:15" ht="24" thickBot="1" x14ac:dyDescent="0.35">
      <c r="A2056" s="277" t="s">
        <v>110</v>
      </c>
      <c r="B2056" s="905"/>
      <c r="C2056" s="319" t="s">
        <v>34</v>
      </c>
      <c r="D2056" s="319"/>
      <c r="E2056" s="283">
        <v>0</v>
      </c>
      <c r="F2056" s="284"/>
      <c r="G2056" s="340">
        <f t="shared" si="2682"/>
        <v>0</v>
      </c>
      <c r="H2056" s="285">
        <v>0</v>
      </c>
      <c r="I2056" s="285">
        <v>0</v>
      </c>
      <c r="J2056" s="359" t="str">
        <f>IFERROR(G2056/#REF!,"-")</f>
        <v>-</v>
      </c>
      <c r="K2056" s="340">
        <f t="shared" si="2683"/>
        <v>0</v>
      </c>
      <c r="L2056" s="285">
        <f t="shared" si="2684"/>
        <v>0</v>
      </c>
      <c r="M2056" s="286">
        <f t="shared" si="2685"/>
        <v>0</v>
      </c>
      <c r="N2056" s="344" t="str">
        <f t="shared" si="2686"/>
        <v>-</v>
      </c>
      <c r="O2056" s="353" t="str">
        <f t="shared" si="2687"/>
        <v>-</v>
      </c>
    </row>
    <row r="2057" spans="1:15" ht="24" thickBot="1" x14ac:dyDescent="0.35">
      <c r="A2057" s="277" t="s">
        <v>110</v>
      </c>
      <c r="B2057" s="906" t="s">
        <v>35</v>
      </c>
      <c r="C2057" s="907"/>
      <c r="D2057" s="908"/>
      <c r="E2057" s="288">
        <v>83700</v>
      </c>
      <c r="F2057" s="289"/>
      <c r="G2057" s="326">
        <f>SUM(G2054:G2056)</f>
        <v>0</v>
      </c>
      <c r="H2057" s="327">
        <f t="shared" ref="H2057:I2057" si="2688">SUM(H2054:H2056)</f>
        <v>0</v>
      </c>
      <c r="I2057" s="327">
        <f t="shared" si="2688"/>
        <v>0</v>
      </c>
      <c r="J2057" s="351" t="str">
        <f>IFERROR(G2057/#REF!,"-")</f>
        <v>-</v>
      </c>
      <c r="K2057" s="326">
        <f t="shared" ref="K2057:M2057" si="2689">SUM(K2054:K2056)</f>
        <v>10252</v>
      </c>
      <c r="L2057" s="327">
        <f t="shared" si="2689"/>
        <v>9280</v>
      </c>
      <c r="M2057" s="328">
        <f t="shared" si="2689"/>
        <v>972</v>
      </c>
      <c r="N2057" s="345">
        <f t="shared" si="2686"/>
        <v>0.12248506571087216</v>
      </c>
      <c r="O2057" s="351">
        <f t="shared" si="2687"/>
        <v>9.4810768630511119E-2</v>
      </c>
    </row>
    <row r="2058" spans="1:15" ht="23.4" x14ac:dyDescent="0.3">
      <c r="A2058" s="277" t="s">
        <v>110</v>
      </c>
      <c r="B2058" s="903" t="s">
        <v>36</v>
      </c>
      <c r="C2058" s="317" t="s">
        <v>121</v>
      </c>
      <c r="D2058" s="317"/>
      <c r="E2058" s="273">
        <v>0</v>
      </c>
      <c r="F2058" s="274"/>
      <c r="G2058" s="338">
        <f t="shared" ref="G2058:G2061" si="2690">+H2058+I2058</f>
        <v>0</v>
      </c>
      <c r="H2058" s="275">
        <v>0</v>
      </c>
      <c r="I2058" s="275">
        <v>0</v>
      </c>
      <c r="J2058" s="357" t="str">
        <f>IFERROR(G2058/#REF!,"-")</f>
        <v>-</v>
      </c>
      <c r="K2058" s="338">
        <f t="shared" ref="K2058:K2061" si="2691">+L2058+M2058</f>
        <v>0</v>
      </c>
      <c r="L2058" s="275">
        <f t="shared" ref="L2058:L2061" si="2692">+H2058+L1954</f>
        <v>0</v>
      </c>
      <c r="M2058" s="276">
        <f t="shared" ref="M2058:M2061" si="2693">+I2058+M1954</f>
        <v>0</v>
      </c>
      <c r="N2058" s="342" t="str">
        <f t="shared" si="2686"/>
        <v>-</v>
      </c>
      <c r="O2058" s="352" t="str">
        <f t="shared" si="2687"/>
        <v>-</v>
      </c>
    </row>
    <row r="2059" spans="1:15" ht="23.4" x14ac:dyDescent="0.3">
      <c r="A2059" s="277" t="s">
        <v>110</v>
      </c>
      <c r="B2059" s="904"/>
      <c r="C2059" s="318" t="s">
        <v>274</v>
      </c>
      <c r="D2059" s="318"/>
      <c r="E2059" s="279">
        <v>0</v>
      </c>
      <c r="F2059" s="280"/>
      <c r="G2059" s="339">
        <f t="shared" si="2690"/>
        <v>0</v>
      </c>
      <c r="H2059" s="281">
        <v>0</v>
      </c>
      <c r="I2059" s="281">
        <v>0</v>
      </c>
      <c r="J2059" s="358" t="str">
        <f>IFERROR(G2059/#REF!,"-")</f>
        <v>-</v>
      </c>
      <c r="K2059" s="339">
        <f t="shared" si="2691"/>
        <v>68200</v>
      </c>
      <c r="L2059" s="281">
        <f t="shared" si="2692"/>
        <v>66462</v>
      </c>
      <c r="M2059" s="251">
        <f t="shared" si="2693"/>
        <v>1738</v>
      </c>
      <c r="N2059" s="343" t="str">
        <f t="shared" si="2686"/>
        <v>-</v>
      </c>
      <c r="O2059" s="264">
        <f t="shared" si="2687"/>
        <v>2.5483870967741934E-2</v>
      </c>
    </row>
    <row r="2060" spans="1:15" ht="23.4" x14ac:dyDescent="0.3">
      <c r="A2060" s="277" t="s">
        <v>110</v>
      </c>
      <c r="B2060" s="904"/>
      <c r="C2060" s="318" t="s">
        <v>201</v>
      </c>
      <c r="D2060" s="318"/>
      <c r="E2060" s="279">
        <v>0</v>
      </c>
      <c r="F2060" s="280"/>
      <c r="G2060" s="339">
        <f t="shared" si="2690"/>
        <v>0</v>
      </c>
      <c r="H2060" s="281">
        <v>0</v>
      </c>
      <c r="I2060" s="281">
        <v>0</v>
      </c>
      <c r="J2060" s="358" t="str">
        <f>IFERROR(G2060/#REF!,"-")</f>
        <v>-</v>
      </c>
      <c r="K2060" s="339">
        <f t="shared" si="2691"/>
        <v>0</v>
      </c>
      <c r="L2060" s="281">
        <f t="shared" si="2692"/>
        <v>0</v>
      </c>
      <c r="M2060" s="251">
        <f t="shared" si="2693"/>
        <v>0</v>
      </c>
      <c r="N2060" s="343" t="str">
        <f t="shared" si="2686"/>
        <v>-</v>
      </c>
      <c r="O2060" s="264" t="str">
        <f t="shared" si="2687"/>
        <v>-</v>
      </c>
    </row>
    <row r="2061" spans="1:15" ht="24" thickBot="1" x14ac:dyDescent="0.35">
      <c r="A2061" s="277" t="s">
        <v>110</v>
      </c>
      <c r="B2061" s="905"/>
      <c r="C2061" s="319" t="s">
        <v>37</v>
      </c>
      <c r="D2061" s="319"/>
      <c r="E2061" s="283">
        <v>0</v>
      </c>
      <c r="F2061" s="284"/>
      <c r="G2061" s="340">
        <f t="shared" si="2690"/>
        <v>0</v>
      </c>
      <c r="H2061" s="285">
        <v>0</v>
      </c>
      <c r="I2061" s="285">
        <v>0</v>
      </c>
      <c r="J2061" s="359" t="str">
        <f>IFERROR(G2061/#REF!,"-")</f>
        <v>-</v>
      </c>
      <c r="K2061" s="340">
        <f t="shared" si="2691"/>
        <v>0</v>
      </c>
      <c r="L2061" s="285">
        <f t="shared" si="2692"/>
        <v>0</v>
      </c>
      <c r="M2061" s="286">
        <f t="shared" si="2693"/>
        <v>0</v>
      </c>
      <c r="N2061" s="344" t="str">
        <f t="shared" si="2686"/>
        <v>-</v>
      </c>
      <c r="O2061" s="353" t="str">
        <f t="shared" si="2687"/>
        <v>-</v>
      </c>
    </row>
    <row r="2062" spans="1:15" ht="24" thickBot="1" x14ac:dyDescent="0.35">
      <c r="A2062" s="277" t="s">
        <v>110</v>
      </c>
      <c r="B2062" s="906" t="s">
        <v>38</v>
      </c>
      <c r="C2062" s="907"/>
      <c r="D2062" s="908"/>
      <c r="E2062" s="288">
        <v>10300</v>
      </c>
      <c r="F2062" s="289">
        <v>6500</v>
      </c>
      <c r="G2062" s="326">
        <f>SUM(G2058:G2061)</f>
        <v>0</v>
      </c>
      <c r="H2062" s="327">
        <f t="shared" ref="H2062:I2062" si="2694">SUM(H2058:H2061)</f>
        <v>0</v>
      </c>
      <c r="I2062" s="327">
        <f t="shared" si="2694"/>
        <v>0</v>
      </c>
      <c r="J2062" s="351" t="str">
        <f>IFERROR(G2062/#REF!,"-")</f>
        <v>-</v>
      </c>
      <c r="K2062" s="326">
        <f t="shared" ref="K2062:M2062" si="2695">SUM(K2058:K2061)</f>
        <v>68200</v>
      </c>
      <c r="L2062" s="327">
        <f t="shared" si="2695"/>
        <v>66462</v>
      </c>
      <c r="M2062" s="328">
        <f t="shared" si="2695"/>
        <v>1738</v>
      </c>
      <c r="N2062" s="345">
        <f>IFERROR(K2062/E2062,"-")</f>
        <v>6.6213592233009706</v>
      </c>
      <c r="O2062" s="351">
        <f t="shared" si="2687"/>
        <v>2.5483870967741934E-2</v>
      </c>
    </row>
    <row r="2063" spans="1:15" ht="23.4" x14ac:dyDescent="0.3">
      <c r="A2063" s="277" t="s">
        <v>110</v>
      </c>
      <c r="B2063" s="903" t="s">
        <v>39</v>
      </c>
      <c r="C2063" s="320" t="s">
        <v>124</v>
      </c>
      <c r="D2063" s="320"/>
      <c r="E2063" s="273">
        <v>0</v>
      </c>
      <c r="F2063" s="274"/>
      <c r="G2063" s="338">
        <f t="shared" ref="G2063:G2064" si="2696">+H2063+I2063</f>
        <v>0</v>
      </c>
      <c r="H2063" s="275">
        <v>0</v>
      </c>
      <c r="I2063" s="275">
        <v>0</v>
      </c>
      <c r="J2063" s="357" t="str">
        <f>IFERROR(G2063/#REF!,"-")</f>
        <v>-</v>
      </c>
      <c r="K2063" s="338">
        <f t="shared" ref="K2063:K2064" si="2697">+L2063+M2063</f>
        <v>0</v>
      </c>
      <c r="L2063" s="275">
        <f t="shared" ref="L2063:L2064" si="2698">+H2063+L1959</f>
        <v>0</v>
      </c>
      <c r="M2063" s="276">
        <f t="shared" ref="M2063:M2064" si="2699">+I2063+M1959</f>
        <v>0</v>
      </c>
      <c r="N2063" s="342" t="str">
        <f t="shared" ref="N2063:N2079" si="2700">IFERROR(K2063/E2063,"-")</f>
        <v>-</v>
      </c>
      <c r="O2063" s="352" t="str">
        <f t="shared" si="2687"/>
        <v>-</v>
      </c>
    </row>
    <row r="2064" spans="1:15" ht="24" thickBot="1" x14ac:dyDescent="0.35">
      <c r="A2064" s="277" t="s">
        <v>110</v>
      </c>
      <c r="B2064" s="905"/>
      <c r="C2064" s="290" t="s">
        <v>140</v>
      </c>
      <c r="D2064" s="290"/>
      <c r="E2064" s="283">
        <v>0</v>
      </c>
      <c r="F2064" s="284"/>
      <c r="G2064" s="340">
        <f t="shared" si="2696"/>
        <v>2607</v>
      </c>
      <c r="H2064" s="285">
        <v>2400</v>
      </c>
      <c r="I2064" s="285">
        <v>207</v>
      </c>
      <c r="J2064" s="359" t="str">
        <f>IFERROR(G2064/#REF!,"-")</f>
        <v>-</v>
      </c>
      <c r="K2064" s="340">
        <f t="shared" si="2697"/>
        <v>14830</v>
      </c>
      <c r="L2064" s="285">
        <f t="shared" si="2698"/>
        <v>13314</v>
      </c>
      <c r="M2064" s="286">
        <f t="shared" si="2699"/>
        <v>1516</v>
      </c>
      <c r="N2064" s="344" t="str">
        <f t="shared" si="2700"/>
        <v>-</v>
      </c>
      <c r="O2064" s="353">
        <f t="shared" si="2687"/>
        <v>0.10222521915037087</v>
      </c>
    </row>
    <row r="2065" spans="1:15" ht="24" thickBot="1" x14ac:dyDescent="0.35">
      <c r="A2065" s="861" t="s">
        <v>110</v>
      </c>
      <c r="B2065" s="906" t="s">
        <v>40</v>
      </c>
      <c r="C2065" s="907"/>
      <c r="D2065" s="908"/>
      <c r="E2065" s="288">
        <v>30000</v>
      </c>
      <c r="F2065" s="289">
        <v>2800</v>
      </c>
      <c r="G2065" s="326">
        <f>SUM(G2063:G2064)</f>
        <v>2607</v>
      </c>
      <c r="H2065" s="327">
        <f t="shared" ref="H2065:I2065" si="2701">SUM(H2063:H2064)</f>
        <v>2400</v>
      </c>
      <c r="I2065" s="327">
        <f t="shared" si="2701"/>
        <v>207</v>
      </c>
      <c r="J2065" s="351" t="str">
        <f>IFERROR(G2065/#REF!,"-")</f>
        <v>-</v>
      </c>
      <c r="K2065" s="326">
        <f t="shared" ref="K2065:M2065" si="2702">SUM(K2063:K2064)</f>
        <v>14830</v>
      </c>
      <c r="L2065" s="327">
        <f t="shared" si="2702"/>
        <v>13314</v>
      </c>
      <c r="M2065" s="328">
        <f t="shared" si="2702"/>
        <v>1516</v>
      </c>
      <c r="N2065" s="345">
        <f t="shared" si="2700"/>
        <v>0.49433333333333335</v>
      </c>
      <c r="O2065" s="351">
        <f t="shared" si="2687"/>
        <v>0.10222521915037087</v>
      </c>
    </row>
    <row r="2066" spans="1:15" ht="23.4" x14ac:dyDescent="0.3">
      <c r="A2066" s="277" t="s">
        <v>110</v>
      </c>
      <c r="B2066" s="903" t="s">
        <v>41</v>
      </c>
      <c r="C2066" s="272" t="s">
        <v>346</v>
      </c>
      <c r="D2066" s="272"/>
      <c r="E2066" s="273">
        <v>0</v>
      </c>
      <c r="F2066" s="321"/>
      <c r="G2066" s="338">
        <f t="shared" ref="G2066:G2070" si="2703">+H2066+I2066</f>
        <v>23640</v>
      </c>
      <c r="H2066" s="275">
        <v>23520</v>
      </c>
      <c r="I2066" s="275">
        <v>120</v>
      </c>
      <c r="J2066" s="377" t="str">
        <f>IFERROR(G2066/#REF!,"-")</f>
        <v>-</v>
      </c>
      <c r="K2066" s="338">
        <f t="shared" ref="K2066:K2070" si="2704">+L2066+M2066</f>
        <v>408126</v>
      </c>
      <c r="L2066" s="275">
        <f t="shared" ref="L2066:L2070" si="2705">+H2066+L1962</f>
        <v>404460</v>
      </c>
      <c r="M2066" s="276">
        <f t="shared" ref="M2066:M2070" si="2706">+I2066+M1962</f>
        <v>3666</v>
      </c>
      <c r="N2066" s="365" t="str">
        <f t="shared" si="2700"/>
        <v>-</v>
      </c>
      <c r="O2066" s="366">
        <f t="shared" si="2687"/>
        <v>8.9825201040855032E-3</v>
      </c>
    </row>
    <row r="2067" spans="1:15" ht="23.4" x14ac:dyDescent="0.3">
      <c r="A2067" s="277" t="s">
        <v>110</v>
      </c>
      <c r="B2067" s="904"/>
      <c r="C2067" s="272" t="s">
        <v>347</v>
      </c>
      <c r="D2067" s="278"/>
      <c r="E2067" s="279">
        <v>0</v>
      </c>
      <c r="F2067" s="322"/>
      <c r="G2067" s="339">
        <f t="shared" si="2703"/>
        <v>0</v>
      </c>
      <c r="H2067" s="281">
        <v>0</v>
      </c>
      <c r="I2067" s="281">
        <v>0</v>
      </c>
      <c r="J2067" s="378" t="str">
        <f>IFERROR(G2067/#REF!,"-")</f>
        <v>-</v>
      </c>
      <c r="K2067" s="339">
        <f t="shared" si="2704"/>
        <v>0</v>
      </c>
      <c r="L2067" s="281">
        <f t="shared" si="2705"/>
        <v>0</v>
      </c>
      <c r="M2067" s="251">
        <f t="shared" si="2706"/>
        <v>0</v>
      </c>
      <c r="N2067" s="367" t="str">
        <f t="shared" si="2700"/>
        <v>-</v>
      </c>
      <c r="O2067" s="368" t="str">
        <f t="shared" si="2687"/>
        <v>-</v>
      </c>
    </row>
    <row r="2068" spans="1:15" ht="23.4" x14ac:dyDescent="0.3">
      <c r="A2068" s="277" t="s">
        <v>110</v>
      </c>
      <c r="B2068" s="904"/>
      <c r="C2068" s="278" t="s">
        <v>423</v>
      </c>
      <c r="D2068" s="278"/>
      <c r="E2068" s="279">
        <v>0</v>
      </c>
      <c r="F2068" s="322"/>
      <c r="G2068" s="339">
        <f t="shared" si="2703"/>
        <v>0</v>
      </c>
      <c r="H2068" s="281">
        <v>0</v>
      </c>
      <c r="I2068" s="281">
        <v>0</v>
      </c>
      <c r="J2068" s="378" t="str">
        <f>IFERROR(G2068/#REF!,"-")</f>
        <v>-</v>
      </c>
      <c r="K2068" s="339">
        <f t="shared" si="2704"/>
        <v>34536</v>
      </c>
      <c r="L2068" s="281">
        <f t="shared" si="2705"/>
        <v>33960</v>
      </c>
      <c r="M2068" s="251">
        <f t="shared" si="2706"/>
        <v>576</v>
      </c>
      <c r="N2068" s="367" t="str">
        <f t="shared" si="2700"/>
        <v>-</v>
      </c>
      <c r="O2068" s="368">
        <f t="shared" si="2687"/>
        <v>1.6678248783877692E-2</v>
      </c>
    </row>
    <row r="2069" spans="1:15" ht="23.4" x14ac:dyDescent="0.3">
      <c r="A2069" s="277" t="s">
        <v>110</v>
      </c>
      <c r="B2069" s="904"/>
      <c r="C2069" s="278" t="s">
        <v>166</v>
      </c>
      <c r="D2069" s="278"/>
      <c r="E2069" s="279">
        <v>0</v>
      </c>
      <c r="F2069" s="322"/>
      <c r="G2069" s="339">
        <f t="shared" si="2703"/>
        <v>0</v>
      </c>
      <c r="H2069" s="281">
        <v>0</v>
      </c>
      <c r="I2069" s="281">
        <v>0</v>
      </c>
      <c r="J2069" s="378" t="str">
        <f>IFERROR(G2069/#REF!,"-")</f>
        <v>-</v>
      </c>
      <c r="K2069" s="339">
        <f t="shared" si="2704"/>
        <v>0</v>
      </c>
      <c r="L2069" s="281">
        <f t="shared" si="2705"/>
        <v>0</v>
      </c>
      <c r="M2069" s="251">
        <f t="shared" si="2706"/>
        <v>0</v>
      </c>
      <c r="N2069" s="367" t="str">
        <f t="shared" si="2700"/>
        <v>-</v>
      </c>
      <c r="O2069" s="368" t="str">
        <f t="shared" si="2687"/>
        <v>-</v>
      </c>
    </row>
    <row r="2070" spans="1:15" ht="24" thickBot="1" x14ac:dyDescent="0.35">
      <c r="A2070" s="277" t="s">
        <v>110</v>
      </c>
      <c r="B2070" s="905"/>
      <c r="C2070" s="282" t="s">
        <v>167</v>
      </c>
      <c r="D2070" s="282"/>
      <c r="E2070" s="283">
        <v>0</v>
      </c>
      <c r="F2070" s="323"/>
      <c r="G2070" s="340">
        <f t="shared" si="2703"/>
        <v>0</v>
      </c>
      <c r="H2070" s="285">
        <v>0</v>
      </c>
      <c r="I2070" s="285">
        <v>0</v>
      </c>
      <c r="J2070" s="379" t="str">
        <f>IFERROR(G2070/#REF!,"-")</f>
        <v>-</v>
      </c>
      <c r="K2070" s="340">
        <f t="shared" si="2704"/>
        <v>0</v>
      </c>
      <c r="L2070" s="285">
        <f t="shared" si="2705"/>
        <v>0</v>
      </c>
      <c r="M2070" s="286">
        <f t="shared" si="2706"/>
        <v>0</v>
      </c>
      <c r="N2070" s="369" t="str">
        <f t="shared" si="2700"/>
        <v>-</v>
      </c>
      <c r="O2070" s="370" t="str">
        <f t="shared" si="2687"/>
        <v>-</v>
      </c>
    </row>
    <row r="2071" spans="1:15" ht="24" thickBot="1" x14ac:dyDescent="0.35">
      <c r="A2071" s="277" t="s">
        <v>110</v>
      </c>
      <c r="B2071" s="906" t="s">
        <v>42</v>
      </c>
      <c r="C2071" s="907"/>
      <c r="D2071" s="908"/>
      <c r="E2071" s="326">
        <v>610600</v>
      </c>
      <c r="F2071" s="289">
        <v>25000</v>
      </c>
      <c r="G2071" s="326">
        <f>SUM(G2067:G2070)</f>
        <v>0</v>
      </c>
      <c r="H2071" s="327">
        <f>SUM(H2066:H2070)</f>
        <v>23520</v>
      </c>
      <c r="I2071" s="327">
        <f t="shared" ref="I2071" si="2707">SUM(I2067:I2070)</f>
        <v>0</v>
      </c>
      <c r="J2071" s="351" t="str">
        <f>IFERROR(G2071/#REF!,"-")</f>
        <v>-</v>
      </c>
      <c r="K2071" s="326">
        <f>SUM(K2066:K2070)</f>
        <v>442662</v>
      </c>
      <c r="L2071" s="327">
        <f>SUM(L2066:L2070)</f>
        <v>438420</v>
      </c>
      <c r="M2071" s="328">
        <f>SUM(M2066:M2070)</f>
        <v>4242</v>
      </c>
      <c r="N2071" s="345">
        <f t="shared" si="2700"/>
        <v>0.72496233213232886</v>
      </c>
      <c r="O2071" s="351">
        <f t="shared" si="2687"/>
        <v>9.582932350190438E-3</v>
      </c>
    </row>
    <row r="2072" spans="1:15" ht="23.4" x14ac:dyDescent="0.3">
      <c r="A2072" s="277" t="s">
        <v>110</v>
      </c>
      <c r="B2072" s="903" t="s">
        <v>43</v>
      </c>
      <c r="C2072" s="272" t="s">
        <v>204</v>
      </c>
      <c r="D2072" s="272"/>
      <c r="E2072" s="273">
        <v>0</v>
      </c>
      <c r="F2072" s="274"/>
      <c r="G2072" s="338">
        <f t="shared" ref="G2072:G2074" si="2708">+H2072+I2072</f>
        <v>0</v>
      </c>
      <c r="H2072" s="275">
        <v>0</v>
      </c>
      <c r="I2072" s="275">
        <v>0</v>
      </c>
      <c r="J2072" s="357" t="str">
        <f>IFERROR(G2072/#REF!,"-")</f>
        <v>-</v>
      </c>
      <c r="K2072" s="338">
        <f t="shared" ref="K2072:K2074" si="2709">+L2072+M2072</f>
        <v>0</v>
      </c>
      <c r="L2072" s="275">
        <f t="shared" ref="L2072:L2074" si="2710">+H2072+L1968</f>
        <v>0</v>
      </c>
      <c r="M2072" s="276">
        <f t="shared" ref="M2072:M2074" si="2711">+I2072+M1968</f>
        <v>0</v>
      </c>
      <c r="N2072" s="342" t="str">
        <f t="shared" si="2700"/>
        <v>-</v>
      </c>
      <c r="O2072" s="352" t="str">
        <f t="shared" si="2687"/>
        <v>-</v>
      </c>
    </row>
    <row r="2073" spans="1:15" ht="23.4" x14ac:dyDescent="0.3">
      <c r="A2073" s="277" t="s">
        <v>110</v>
      </c>
      <c r="B2073" s="904"/>
      <c r="C2073" s="278" t="s">
        <v>168</v>
      </c>
      <c r="D2073" s="278"/>
      <c r="E2073" s="279">
        <v>0</v>
      </c>
      <c r="F2073" s="280"/>
      <c r="G2073" s="339">
        <f t="shared" si="2708"/>
        <v>0</v>
      </c>
      <c r="H2073" s="281">
        <v>0</v>
      </c>
      <c r="I2073" s="281">
        <v>0</v>
      </c>
      <c r="J2073" s="378" t="str">
        <f>IFERROR(G2073/#REF!,"-")</f>
        <v>-</v>
      </c>
      <c r="K2073" s="339">
        <f t="shared" si="2709"/>
        <v>0</v>
      </c>
      <c r="L2073" s="281">
        <f t="shared" si="2710"/>
        <v>0</v>
      </c>
      <c r="M2073" s="251">
        <f t="shared" si="2711"/>
        <v>0</v>
      </c>
      <c r="N2073" s="367" t="str">
        <f t="shared" si="2700"/>
        <v>-</v>
      </c>
      <c r="O2073" s="368" t="str">
        <f t="shared" si="2687"/>
        <v>-</v>
      </c>
    </row>
    <row r="2074" spans="1:15" ht="24" thickBot="1" x14ac:dyDescent="0.35">
      <c r="A2074" s="277" t="s">
        <v>110</v>
      </c>
      <c r="B2074" s="905"/>
      <c r="C2074" s="282" t="s">
        <v>204</v>
      </c>
      <c r="D2074" s="282"/>
      <c r="E2074" s="283">
        <v>0</v>
      </c>
      <c r="F2074" s="284"/>
      <c r="G2074" s="340">
        <f t="shared" si="2708"/>
        <v>0</v>
      </c>
      <c r="H2074" s="285">
        <v>0</v>
      </c>
      <c r="I2074" s="285">
        <v>0</v>
      </c>
      <c r="J2074" s="379" t="str">
        <f>IFERROR(G2074/#REF!,"-")</f>
        <v>-</v>
      </c>
      <c r="K2074" s="340">
        <f t="shared" si="2709"/>
        <v>0</v>
      </c>
      <c r="L2074" s="285">
        <f t="shared" si="2710"/>
        <v>0</v>
      </c>
      <c r="M2074" s="286">
        <f t="shared" si="2711"/>
        <v>0</v>
      </c>
      <c r="N2074" s="369" t="str">
        <f t="shared" si="2700"/>
        <v>-</v>
      </c>
      <c r="O2074" s="370" t="str">
        <f t="shared" si="2687"/>
        <v>-</v>
      </c>
    </row>
    <row r="2075" spans="1:15" ht="24" thickBot="1" x14ac:dyDescent="0.35">
      <c r="A2075" s="277" t="s">
        <v>110</v>
      </c>
      <c r="B2075" s="909" t="s">
        <v>44</v>
      </c>
      <c r="C2075" s="910"/>
      <c r="D2075" s="911"/>
      <c r="E2075" s="326">
        <v>0</v>
      </c>
      <c r="F2075" s="289"/>
      <c r="G2075" s="326">
        <f>SUM(G2072:G2074)</f>
        <v>0</v>
      </c>
      <c r="H2075" s="327">
        <f t="shared" ref="H2075:I2075" si="2712">SUM(H2072:H2074)</f>
        <v>0</v>
      </c>
      <c r="I2075" s="327">
        <f t="shared" si="2712"/>
        <v>0</v>
      </c>
      <c r="J2075" s="351" t="str">
        <f>IFERROR(G2075/#REF!,"-")</f>
        <v>-</v>
      </c>
      <c r="K2075" s="326">
        <f t="shared" ref="K2075:M2075" si="2713">SUM(K2072:K2074)</f>
        <v>0</v>
      </c>
      <c r="L2075" s="327">
        <f t="shared" si="2713"/>
        <v>0</v>
      </c>
      <c r="M2075" s="328">
        <f t="shared" si="2713"/>
        <v>0</v>
      </c>
      <c r="N2075" s="345" t="str">
        <f t="shared" si="2700"/>
        <v>-</v>
      </c>
      <c r="O2075" s="351" t="str">
        <f t="shared" si="2687"/>
        <v>-</v>
      </c>
    </row>
    <row r="2076" spans="1:15" ht="23.4" x14ac:dyDescent="0.3">
      <c r="A2076" s="277" t="s">
        <v>110</v>
      </c>
      <c r="B2076" s="903" t="s">
        <v>45</v>
      </c>
      <c r="C2076" s="272" t="s">
        <v>169</v>
      </c>
      <c r="D2076" s="272"/>
      <c r="E2076" s="273">
        <v>0</v>
      </c>
      <c r="F2076" s="274"/>
      <c r="G2076" s="338">
        <f t="shared" ref="G2076:G2077" si="2714">+H2076+I2076</f>
        <v>0</v>
      </c>
      <c r="H2076" s="275">
        <v>0</v>
      </c>
      <c r="I2076" s="275">
        <v>0</v>
      </c>
      <c r="J2076" s="377" t="str">
        <f>IFERROR(G2076/#REF!,"-")</f>
        <v>-</v>
      </c>
      <c r="K2076" s="338">
        <f t="shared" ref="K2076:K2077" si="2715">+L2076+M2076</f>
        <v>0</v>
      </c>
      <c r="L2076" s="275">
        <f t="shared" ref="L2076:L2077" si="2716">+H2076+L1972</f>
        <v>0</v>
      </c>
      <c r="M2076" s="276">
        <f t="shared" ref="M2076:M2077" si="2717">+I2076+M1972</f>
        <v>0</v>
      </c>
      <c r="N2076" s="365" t="str">
        <f t="shared" si="2700"/>
        <v>-</v>
      </c>
      <c r="O2076" s="366" t="str">
        <f t="shared" si="2687"/>
        <v>-</v>
      </c>
    </row>
    <row r="2077" spans="1:15" ht="24" thickBot="1" x14ac:dyDescent="0.35">
      <c r="A2077" s="277" t="s">
        <v>110</v>
      </c>
      <c r="B2077" s="905"/>
      <c r="C2077" s="282" t="s">
        <v>170</v>
      </c>
      <c r="D2077" s="282"/>
      <c r="E2077" s="283">
        <v>0</v>
      </c>
      <c r="F2077" s="284"/>
      <c r="G2077" s="340">
        <f t="shared" si="2714"/>
        <v>0</v>
      </c>
      <c r="H2077" s="285">
        <v>0</v>
      </c>
      <c r="I2077" s="285">
        <v>0</v>
      </c>
      <c r="J2077" s="379" t="str">
        <f>IFERROR(G2077/#REF!,"-")</f>
        <v>-</v>
      </c>
      <c r="K2077" s="340">
        <f t="shared" si="2715"/>
        <v>0</v>
      </c>
      <c r="L2077" s="285">
        <f t="shared" si="2716"/>
        <v>0</v>
      </c>
      <c r="M2077" s="286">
        <f t="shared" si="2717"/>
        <v>0</v>
      </c>
      <c r="N2077" s="369" t="str">
        <f t="shared" si="2700"/>
        <v>-</v>
      </c>
      <c r="O2077" s="370" t="str">
        <f t="shared" si="2687"/>
        <v>-</v>
      </c>
    </row>
    <row r="2078" spans="1:15" ht="24" thickBot="1" x14ac:dyDescent="0.35">
      <c r="A2078" s="277" t="s">
        <v>110</v>
      </c>
      <c r="B2078" s="909" t="s">
        <v>46</v>
      </c>
      <c r="C2078" s="910"/>
      <c r="D2078" s="911"/>
      <c r="E2078" s="288">
        <v>11100</v>
      </c>
      <c r="F2078" s="289">
        <v>25000</v>
      </c>
      <c r="G2078" s="326">
        <f>SUM(G2076:G2077)</f>
        <v>0</v>
      </c>
      <c r="H2078" s="327">
        <f t="shared" ref="H2078:I2078" si="2718">SUM(H2076:H2077)</f>
        <v>0</v>
      </c>
      <c r="I2078" s="327">
        <f t="shared" si="2718"/>
        <v>0</v>
      </c>
      <c r="J2078" s="351" t="str">
        <f>IFERROR(G2078/#REF!,"-")</f>
        <v>-</v>
      </c>
      <c r="K2078" s="326">
        <f t="shared" ref="K2078:M2078" si="2719">SUM(K2076:K2077)</f>
        <v>0</v>
      </c>
      <c r="L2078" s="327">
        <f t="shared" si="2719"/>
        <v>0</v>
      </c>
      <c r="M2078" s="328">
        <f t="shared" si="2719"/>
        <v>0</v>
      </c>
      <c r="N2078" s="345">
        <f t="shared" si="2700"/>
        <v>0</v>
      </c>
      <c r="O2078" s="351" t="str">
        <f t="shared" si="2687"/>
        <v>-</v>
      </c>
    </row>
    <row r="2079" spans="1:15" ht="24" thickBot="1" x14ac:dyDescent="0.35">
      <c r="A2079" s="277" t="s">
        <v>110</v>
      </c>
      <c r="B2079" s="912" t="s">
        <v>25</v>
      </c>
      <c r="C2079" s="913"/>
      <c r="D2079" s="914"/>
      <c r="E2079" s="332">
        <f t="shared" ref="E2079:F2079" si="2720">+E2057+E2062+E2065+E2071+E2075+E2078</f>
        <v>745700</v>
      </c>
      <c r="F2079" s="333">
        <f t="shared" si="2720"/>
        <v>59300</v>
      </c>
      <c r="G2079" s="332">
        <f>+G2057+G2062+G2065+G2071+G2075+G2078</f>
        <v>2607</v>
      </c>
      <c r="H2079" s="330">
        <f>+H2057+H2062+H2065+H2071+H2075+H2078</f>
        <v>25920</v>
      </c>
      <c r="I2079" s="330">
        <f t="shared" ref="I2079" si="2721">+I2057+I2062+I2065+I2071+I2075+I2078</f>
        <v>207</v>
      </c>
      <c r="J2079" s="355" t="str">
        <f>IFERROR(G2079/#REF!,"-")</f>
        <v>-</v>
      </c>
      <c r="K2079" s="332">
        <f>+K2057+K2062+K2065+K2071+K2075+K2078</f>
        <v>535944</v>
      </c>
      <c r="L2079" s="330">
        <f t="shared" ref="L2079:M2079" si="2722">+L2057+L2062+L2065+L2071+L2075+L2078</f>
        <v>527476</v>
      </c>
      <c r="M2079" s="331">
        <f t="shared" si="2722"/>
        <v>8468</v>
      </c>
      <c r="N2079" s="347">
        <f t="shared" si="2700"/>
        <v>0.71871261901568995</v>
      </c>
      <c r="O2079" s="355">
        <f t="shared" si="2687"/>
        <v>1.5800158225486246E-2</v>
      </c>
    </row>
    <row r="2080" spans="1:15" ht="24" thickBot="1" x14ac:dyDescent="0.35">
      <c r="A2080" s="324" t="s">
        <v>110</v>
      </c>
      <c r="B2080" s="901" t="s">
        <v>182</v>
      </c>
      <c r="C2080" s="901"/>
      <c r="D2080" s="902"/>
      <c r="E2080" s="336">
        <f>+E2079</f>
        <v>745700</v>
      </c>
      <c r="F2080" s="337">
        <f t="shared" ref="F2080:O2080" si="2723">+F2079</f>
        <v>59300</v>
      </c>
      <c r="G2080" s="336">
        <f t="shared" si="2723"/>
        <v>2607</v>
      </c>
      <c r="H2080" s="334">
        <f t="shared" si="2723"/>
        <v>25920</v>
      </c>
      <c r="I2080" s="334">
        <f t="shared" si="2723"/>
        <v>207</v>
      </c>
      <c r="J2080" s="356" t="str">
        <f t="shared" si="2723"/>
        <v>-</v>
      </c>
      <c r="K2080" s="336">
        <f t="shared" si="2723"/>
        <v>535944</v>
      </c>
      <c r="L2080" s="334">
        <f t="shared" si="2723"/>
        <v>527476</v>
      </c>
      <c r="M2080" s="335">
        <f t="shared" si="2723"/>
        <v>8468</v>
      </c>
      <c r="N2080" s="348">
        <f t="shared" si="2723"/>
        <v>0.71871261901568995</v>
      </c>
      <c r="O2080" s="356">
        <f t="shared" si="2723"/>
        <v>1.5800158225486246E-2</v>
      </c>
    </row>
    <row r="2081" spans="1:15" ht="24.6" thickBot="1" x14ac:dyDescent="0.35">
      <c r="A2081" s="325"/>
      <c r="B2081" s="915" t="s">
        <v>183</v>
      </c>
      <c r="C2081" s="916"/>
      <c r="D2081" s="917"/>
      <c r="E2081" s="380">
        <f>+E2026+E2053+E2080</f>
        <v>10494400</v>
      </c>
      <c r="F2081" s="380">
        <f>+F2026+F2053+F2080</f>
        <v>748300</v>
      </c>
      <c r="G2081" s="380">
        <f>+G2026+G2053+G2080</f>
        <v>125087</v>
      </c>
      <c r="H2081" s="380">
        <f>+H2026+H2053+H2080</f>
        <v>164298</v>
      </c>
      <c r="I2081" s="380">
        <f>+I2026+I2053+I2080</f>
        <v>1428</v>
      </c>
      <c r="J2081" s="381" t="str">
        <f>IFERROR(G2081/#REF!,"-")</f>
        <v>-</v>
      </c>
      <c r="K2081" s="380">
        <f>+K2026+K2053+K2080</f>
        <v>6548527</v>
      </c>
      <c r="L2081" s="380">
        <f>+L2026+L2053+L2080</f>
        <v>6485563</v>
      </c>
      <c r="M2081" s="380">
        <f>+M2026+M2053+M2080</f>
        <v>62964</v>
      </c>
      <c r="N2081" s="381">
        <f>IFERROR(K2081/E2081,"-")</f>
        <v>0.62400203918280228</v>
      </c>
      <c r="O2081" s="381">
        <f>IFERROR(M2081/K2081,"-")</f>
        <v>9.6149866985354108E-3</v>
      </c>
    </row>
    <row r="2082" spans="1:15" ht="23.4" x14ac:dyDescent="0.3">
      <c r="A2082" s="935" t="s">
        <v>1</v>
      </c>
      <c r="B2082" s="938" t="s">
        <v>2</v>
      </c>
      <c r="C2082" s="941" t="s">
        <v>3</v>
      </c>
      <c r="D2082" s="941" t="s">
        <v>93</v>
      </c>
      <c r="E2082" s="944" t="s">
        <v>4</v>
      </c>
      <c r="F2082" s="945"/>
      <c r="G2082" s="945"/>
      <c r="H2082" s="945"/>
      <c r="I2082" s="945"/>
      <c r="J2082" s="945"/>
      <c r="K2082" s="945"/>
      <c r="L2082" s="945"/>
      <c r="M2082" s="945"/>
      <c r="N2082" s="945"/>
      <c r="O2082" s="946"/>
    </row>
    <row r="2083" spans="1:15" ht="23.4" x14ac:dyDescent="0.3">
      <c r="A2083" s="936"/>
      <c r="B2083" s="939"/>
      <c r="C2083" s="942"/>
      <c r="D2083" s="942"/>
      <c r="E2083" s="947" t="s">
        <v>7</v>
      </c>
      <c r="F2083" s="949" t="s">
        <v>116</v>
      </c>
      <c r="G2083" s="951">
        <v>44528</v>
      </c>
      <c r="H2083" s="952"/>
      <c r="I2083" s="952"/>
      <c r="J2083" s="953"/>
      <c r="K2083" s="954" t="s">
        <v>8</v>
      </c>
      <c r="L2083" s="955"/>
      <c r="M2083" s="956"/>
      <c r="N2083" s="957" t="s">
        <v>174</v>
      </c>
      <c r="O2083" s="959" t="s">
        <v>173</v>
      </c>
    </row>
    <row r="2084" spans="1:15" ht="41.4" thickBot="1" x14ac:dyDescent="0.35">
      <c r="A2084" s="937"/>
      <c r="B2084" s="940"/>
      <c r="C2084" s="943"/>
      <c r="D2084" s="943"/>
      <c r="E2084" s="948"/>
      <c r="F2084" s="950"/>
      <c r="G2084" s="462" t="s">
        <v>13</v>
      </c>
      <c r="H2084" s="463" t="s">
        <v>14</v>
      </c>
      <c r="I2084" s="463" t="s">
        <v>15</v>
      </c>
      <c r="J2084" s="464" t="s">
        <v>175</v>
      </c>
      <c r="K2084" s="462" t="s">
        <v>13</v>
      </c>
      <c r="L2084" s="463" t="s">
        <v>14</v>
      </c>
      <c r="M2084" s="465" t="s">
        <v>15</v>
      </c>
      <c r="N2084" s="958"/>
      <c r="O2084" s="960"/>
    </row>
    <row r="2085" spans="1:15" ht="23.4" x14ac:dyDescent="0.3">
      <c r="A2085" s="271" t="s">
        <v>111</v>
      </c>
      <c r="B2085" s="922" t="s">
        <v>16</v>
      </c>
      <c r="C2085" s="272" t="s">
        <v>186</v>
      </c>
      <c r="D2085" s="272" t="s">
        <v>184</v>
      </c>
      <c r="E2085" s="273">
        <v>0</v>
      </c>
      <c r="F2085" s="274"/>
      <c r="G2085" s="338">
        <f>+H2085+I2085</f>
        <v>0</v>
      </c>
      <c r="H2085" s="275">
        <v>0</v>
      </c>
      <c r="I2085" s="275">
        <v>0</v>
      </c>
      <c r="J2085" s="357" t="str">
        <f>IFERROR(G2085/#REF!,"-")</f>
        <v>-</v>
      </c>
      <c r="K2085" s="468">
        <f>+L2085+M2085</f>
        <v>0</v>
      </c>
      <c r="L2085" s="469">
        <f>+H2085+L1981</f>
        <v>0</v>
      </c>
      <c r="M2085" s="469">
        <f>+I2085+M1981</f>
        <v>0</v>
      </c>
      <c r="N2085" s="342" t="str">
        <f>IFERROR(K2085/E2085,"-")</f>
        <v>-</v>
      </c>
      <c r="O2085" s="349" t="str">
        <f t="shared" ref="O2085:O2086" si="2724">IFERROR(M2085/K2085,"-")</f>
        <v>-</v>
      </c>
    </row>
    <row r="2086" spans="1:15" ht="23.4" x14ac:dyDescent="0.3">
      <c r="A2086" s="277" t="s">
        <v>111</v>
      </c>
      <c r="B2086" s="923"/>
      <c r="C2086" s="278" t="s">
        <v>190</v>
      </c>
      <c r="D2086" s="278" t="s">
        <v>101</v>
      </c>
      <c r="E2086" s="279">
        <v>0</v>
      </c>
      <c r="F2086" s="280"/>
      <c r="G2086" s="339">
        <f t="shared" ref="G2086:G2088" si="2725">+H2086+I2086</f>
        <v>0</v>
      </c>
      <c r="H2086" s="281">
        <v>0</v>
      </c>
      <c r="I2086" s="281">
        <v>0</v>
      </c>
      <c r="J2086" s="358" t="str">
        <f>IFERROR(G2086/#REF!,"-")</f>
        <v>-</v>
      </c>
      <c r="K2086" s="339">
        <f t="shared" ref="K2086:K2088" si="2726">+L2086+M2086</f>
        <v>0</v>
      </c>
      <c r="L2086" s="281">
        <f t="shared" ref="L2086:L2088" si="2727">+H2086+L1982</f>
        <v>0</v>
      </c>
      <c r="M2086" s="442">
        <f t="shared" ref="M2086:M2088" si="2728">+I2086+M1982</f>
        <v>0</v>
      </c>
      <c r="N2086" s="343" t="str">
        <f t="shared" ref="N2086:N2088" si="2729">IFERROR(K2086/E2086,"-")</f>
        <v>-</v>
      </c>
      <c r="O2086" s="268" t="str">
        <f t="shared" si="2724"/>
        <v>-</v>
      </c>
    </row>
    <row r="2087" spans="1:15" ht="23.4" x14ac:dyDescent="0.3">
      <c r="A2087" s="277" t="s">
        <v>111</v>
      </c>
      <c r="B2087" s="923"/>
      <c r="C2087" s="278" t="s">
        <v>187</v>
      </c>
      <c r="D2087" s="278" t="s">
        <v>185</v>
      </c>
      <c r="E2087" s="279">
        <v>0</v>
      </c>
      <c r="F2087" s="280"/>
      <c r="G2087" s="339">
        <f t="shared" si="2725"/>
        <v>0</v>
      </c>
      <c r="H2087" s="281">
        <v>0</v>
      </c>
      <c r="I2087" s="281">
        <v>0</v>
      </c>
      <c r="J2087" s="358" t="str">
        <f>IFERROR(G2087/#REF!,"-")</f>
        <v>-</v>
      </c>
      <c r="K2087" s="339">
        <f t="shared" si="2726"/>
        <v>0</v>
      </c>
      <c r="L2087" s="281">
        <f t="shared" si="2727"/>
        <v>0</v>
      </c>
      <c r="M2087" s="442">
        <f t="shared" si="2728"/>
        <v>0</v>
      </c>
      <c r="N2087" s="343" t="str">
        <f t="shared" si="2729"/>
        <v>-</v>
      </c>
      <c r="O2087" s="268" t="str">
        <f>IFERROR(M2087/K2087,"-")</f>
        <v>-</v>
      </c>
    </row>
    <row r="2088" spans="1:15" ht="24" thickBot="1" x14ac:dyDescent="0.35">
      <c r="A2088" s="277" t="s">
        <v>111</v>
      </c>
      <c r="B2088" s="924"/>
      <c r="C2088" s="282" t="s">
        <v>255</v>
      </c>
      <c r="D2088" s="282" t="s">
        <v>256</v>
      </c>
      <c r="E2088" s="283">
        <v>0</v>
      </c>
      <c r="F2088" s="284"/>
      <c r="G2088" s="340">
        <f t="shared" si="2725"/>
        <v>0</v>
      </c>
      <c r="H2088" s="285">
        <v>0</v>
      </c>
      <c r="I2088" s="285">
        <v>0</v>
      </c>
      <c r="J2088" s="359" t="str">
        <f>IFERROR(G2088/#REF!,"-")</f>
        <v>-</v>
      </c>
      <c r="K2088" s="471">
        <f t="shared" si="2726"/>
        <v>105704</v>
      </c>
      <c r="L2088" s="472">
        <f t="shared" si="2727"/>
        <v>104016</v>
      </c>
      <c r="M2088" s="473">
        <f t="shared" si="2728"/>
        <v>1688</v>
      </c>
      <c r="N2088" s="344" t="str">
        <f t="shared" si="2729"/>
        <v>-</v>
      </c>
      <c r="O2088" s="350">
        <f t="shared" ref="O2088:O2106" si="2730">IFERROR(M2088/K2088,"-")</f>
        <v>1.5969121319912207E-2</v>
      </c>
    </row>
    <row r="2089" spans="1:15" ht="24" thickBot="1" x14ac:dyDescent="0.35">
      <c r="A2089" s="277" t="s">
        <v>111</v>
      </c>
      <c r="B2089" s="906" t="s">
        <v>47</v>
      </c>
      <c r="C2089" s="907"/>
      <c r="D2089" s="908"/>
      <c r="E2089" s="326">
        <v>144600</v>
      </c>
      <c r="F2089" s="289">
        <v>15000</v>
      </c>
      <c r="G2089" s="326">
        <f>SUM(G2085:G2088)</f>
        <v>0</v>
      </c>
      <c r="H2089" s="327">
        <f t="shared" ref="H2089:I2089" si="2731">SUM(H2085:H2088)</f>
        <v>0</v>
      </c>
      <c r="I2089" s="327">
        <f t="shared" si="2731"/>
        <v>0</v>
      </c>
      <c r="J2089" s="351" t="str">
        <f>IFERROR(G2089/#REF!,"-")</f>
        <v>-</v>
      </c>
      <c r="K2089" s="326">
        <f t="shared" ref="K2089:M2089" si="2732">SUM(K2085:K2088)</f>
        <v>105704</v>
      </c>
      <c r="L2089" s="327">
        <f t="shared" si="2732"/>
        <v>104016</v>
      </c>
      <c r="M2089" s="328">
        <f t="shared" si="2732"/>
        <v>1688</v>
      </c>
      <c r="N2089" s="345">
        <f>IFERROR(K2089/E2089,"-")</f>
        <v>0.7310096818810512</v>
      </c>
      <c r="O2089" s="351">
        <f t="shared" si="2730"/>
        <v>1.5969121319912207E-2</v>
      </c>
    </row>
    <row r="2090" spans="1:15" ht="23.4" x14ac:dyDescent="0.3">
      <c r="A2090" s="277" t="s">
        <v>111</v>
      </c>
      <c r="B2090" s="922" t="s">
        <v>17</v>
      </c>
      <c r="C2090" s="272" t="s">
        <v>331</v>
      </c>
      <c r="D2090" s="272"/>
      <c r="E2090" s="273">
        <v>0</v>
      </c>
      <c r="F2090" s="274"/>
      <c r="G2090" s="338">
        <f t="shared" ref="G2090:G2096" si="2733">+H2090+I2090</f>
        <v>0</v>
      </c>
      <c r="H2090" s="275">
        <v>0</v>
      </c>
      <c r="I2090" s="275">
        <v>0</v>
      </c>
      <c r="J2090" s="357" t="str">
        <f>IFERROR(G2090/#REF!,"-")</f>
        <v>-</v>
      </c>
      <c r="K2090" s="468">
        <f t="shared" ref="K2090:K2096" si="2734">+L2090+M2090</f>
        <v>0</v>
      </c>
      <c r="L2090" s="469">
        <f t="shared" ref="L2090:L2096" si="2735">+H2090+L1986</f>
        <v>0</v>
      </c>
      <c r="M2090" s="470">
        <f t="shared" ref="M2090:M2096" si="2736">+I2090+M1986</f>
        <v>0</v>
      </c>
      <c r="N2090" s="342" t="str">
        <f t="shared" ref="N2090:N2096" si="2737">IFERROR(K2090/E2090,"-")</f>
        <v>-</v>
      </c>
      <c r="O2090" s="352" t="str">
        <f t="shared" si="2730"/>
        <v>-</v>
      </c>
    </row>
    <row r="2091" spans="1:15" ht="23.4" x14ac:dyDescent="0.3">
      <c r="A2091" s="277" t="s">
        <v>111</v>
      </c>
      <c r="B2091" s="923"/>
      <c r="C2091" s="278" t="s">
        <v>421</v>
      </c>
      <c r="D2091" s="278" t="s">
        <v>257</v>
      </c>
      <c r="E2091" s="279">
        <v>0</v>
      </c>
      <c r="F2091" s="280"/>
      <c r="G2091" s="339">
        <f t="shared" si="2733"/>
        <v>0</v>
      </c>
      <c r="H2091" s="281">
        <v>0</v>
      </c>
      <c r="I2091" s="281">
        <v>0</v>
      </c>
      <c r="J2091" s="358" t="str">
        <f>IFERROR(G2091/#REF!,"-")</f>
        <v>-</v>
      </c>
      <c r="K2091" s="339">
        <f t="shared" si="2734"/>
        <v>1241211</v>
      </c>
      <c r="L2091" s="281">
        <f t="shared" si="2735"/>
        <v>1237319</v>
      </c>
      <c r="M2091" s="442">
        <f t="shared" si="2736"/>
        <v>3892</v>
      </c>
      <c r="N2091" s="343" t="str">
        <f t="shared" si="2737"/>
        <v>-</v>
      </c>
      <c r="O2091" s="264">
        <f t="shared" si="2730"/>
        <v>3.1356473637439565E-3</v>
      </c>
    </row>
    <row r="2092" spans="1:15" ht="23.4" x14ac:dyDescent="0.3">
      <c r="A2092" s="277" t="s">
        <v>111</v>
      </c>
      <c r="B2092" s="923"/>
      <c r="C2092" s="278" t="s">
        <v>290</v>
      </c>
      <c r="D2092" s="278" t="s">
        <v>205</v>
      </c>
      <c r="E2092" s="279">
        <v>0</v>
      </c>
      <c r="F2092" s="280"/>
      <c r="G2092" s="339">
        <f t="shared" si="2733"/>
        <v>0</v>
      </c>
      <c r="H2092" s="281">
        <v>0</v>
      </c>
      <c r="I2092" s="281">
        <v>0</v>
      </c>
      <c r="J2092" s="358" t="str">
        <f>IFERROR(G2092/#REF!,"-")</f>
        <v>-</v>
      </c>
      <c r="K2092" s="339">
        <f t="shared" si="2734"/>
        <v>0</v>
      </c>
      <c r="L2092" s="281">
        <f t="shared" si="2735"/>
        <v>0</v>
      </c>
      <c r="M2092" s="442">
        <f t="shared" si="2736"/>
        <v>0</v>
      </c>
      <c r="N2092" s="343" t="str">
        <f t="shared" si="2737"/>
        <v>-</v>
      </c>
      <c r="O2092" s="264" t="str">
        <f t="shared" si="2730"/>
        <v>-</v>
      </c>
    </row>
    <row r="2093" spans="1:15" ht="23.4" x14ac:dyDescent="0.3">
      <c r="A2093" s="277" t="s">
        <v>111</v>
      </c>
      <c r="B2093" s="923"/>
      <c r="C2093" s="278" t="s">
        <v>330</v>
      </c>
      <c r="D2093" s="278" t="s">
        <v>206</v>
      </c>
      <c r="E2093" s="279">
        <v>0</v>
      </c>
      <c r="F2093" s="280"/>
      <c r="G2093" s="339">
        <f t="shared" si="2733"/>
        <v>0</v>
      </c>
      <c r="H2093" s="281">
        <v>0</v>
      </c>
      <c r="I2093" s="281">
        <v>0</v>
      </c>
      <c r="J2093" s="358" t="str">
        <f>IFERROR(G2093/#REF!,"-")</f>
        <v>-</v>
      </c>
      <c r="K2093" s="339">
        <f t="shared" si="2734"/>
        <v>1836</v>
      </c>
      <c r="L2093" s="281">
        <f t="shared" si="2735"/>
        <v>1836</v>
      </c>
      <c r="M2093" s="442">
        <f t="shared" si="2736"/>
        <v>0</v>
      </c>
      <c r="N2093" s="343" t="str">
        <f t="shared" si="2737"/>
        <v>-</v>
      </c>
      <c r="O2093" s="264">
        <f t="shared" si="2730"/>
        <v>0</v>
      </c>
    </row>
    <row r="2094" spans="1:15" ht="23.4" x14ac:dyDescent="0.3">
      <c r="A2094" s="277" t="s">
        <v>111</v>
      </c>
      <c r="B2094" s="923"/>
      <c r="C2094" s="278" t="s">
        <v>377</v>
      </c>
      <c r="D2094" s="278" t="s">
        <v>371</v>
      </c>
      <c r="E2094" s="279">
        <v>0</v>
      </c>
      <c r="F2094" s="280"/>
      <c r="G2094" s="339">
        <f t="shared" si="2733"/>
        <v>0</v>
      </c>
      <c r="H2094" s="281">
        <v>0</v>
      </c>
      <c r="I2094" s="281">
        <v>0</v>
      </c>
      <c r="J2094" s="358" t="str">
        <f>IFERROR(G2094/#REF!,"-")</f>
        <v>-</v>
      </c>
      <c r="K2094" s="339">
        <f t="shared" si="2734"/>
        <v>10610</v>
      </c>
      <c r="L2094" s="281">
        <f t="shared" si="2735"/>
        <v>10610</v>
      </c>
      <c r="M2094" s="442">
        <f t="shared" si="2736"/>
        <v>0</v>
      </c>
      <c r="N2094" s="343" t="str">
        <f t="shared" si="2737"/>
        <v>-</v>
      </c>
      <c r="O2094" s="264">
        <f t="shared" si="2730"/>
        <v>0</v>
      </c>
    </row>
    <row r="2095" spans="1:15" ht="23.4" x14ac:dyDescent="0.3">
      <c r="A2095" s="277" t="s">
        <v>111</v>
      </c>
      <c r="B2095" s="923"/>
      <c r="C2095" s="278" t="s">
        <v>443</v>
      </c>
      <c r="D2095" s="278" t="s">
        <v>207</v>
      </c>
      <c r="E2095" s="279">
        <v>0</v>
      </c>
      <c r="F2095" s="280"/>
      <c r="G2095" s="339">
        <f t="shared" si="2733"/>
        <v>165603</v>
      </c>
      <c r="H2095" s="281">
        <f>61200+12240+91800</f>
        <v>165240</v>
      </c>
      <c r="I2095" s="281">
        <f>208+155</f>
        <v>363</v>
      </c>
      <c r="J2095" s="358" t="str">
        <f>IFERROR(G2095/#REF!,"-")</f>
        <v>-</v>
      </c>
      <c r="K2095" s="339">
        <f t="shared" si="2734"/>
        <v>693517</v>
      </c>
      <c r="L2095" s="281">
        <f t="shared" si="2735"/>
        <v>691560</v>
      </c>
      <c r="M2095" s="442">
        <f t="shared" si="2736"/>
        <v>1957</v>
      </c>
      <c r="N2095" s="343" t="str">
        <f t="shared" si="2737"/>
        <v>-</v>
      </c>
      <c r="O2095" s="264">
        <f t="shared" si="2730"/>
        <v>2.8218486352894019E-3</v>
      </c>
    </row>
    <row r="2096" spans="1:15" ht="24" thickBot="1" x14ac:dyDescent="0.35">
      <c r="A2096" s="277" t="s">
        <v>111</v>
      </c>
      <c r="B2096" s="924"/>
      <c r="C2096" s="282" t="s">
        <v>416</v>
      </c>
      <c r="D2096" s="282" t="s">
        <v>257</v>
      </c>
      <c r="E2096" s="283">
        <v>0</v>
      </c>
      <c r="F2096" s="284"/>
      <c r="G2096" s="340">
        <f t="shared" si="2733"/>
        <v>0</v>
      </c>
      <c r="H2096" s="285">
        <v>0</v>
      </c>
      <c r="I2096" s="285">
        <v>0</v>
      </c>
      <c r="J2096" s="359" t="str">
        <f>IFERROR(G2096/#REF!,"-")</f>
        <v>-</v>
      </c>
      <c r="K2096" s="471">
        <f t="shared" si="2734"/>
        <v>73650</v>
      </c>
      <c r="L2096" s="472">
        <f t="shared" si="2735"/>
        <v>73440</v>
      </c>
      <c r="M2096" s="473">
        <f t="shared" si="2736"/>
        <v>210</v>
      </c>
      <c r="N2096" s="344" t="str">
        <f t="shared" si="2737"/>
        <v>-</v>
      </c>
      <c r="O2096" s="353">
        <f t="shared" si="2730"/>
        <v>2.8513238289205704E-3</v>
      </c>
    </row>
    <row r="2097" spans="1:15" ht="24" thickBot="1" x14ac:dyDescent="0.35">
      <c r="A2097" s="277" t="s">
        <v>111</v>
      </c>
      <c r="B2097" s="906" t="s">
        <v>48</v>
      </c>
      <c r="C2097" s="907"/>
      <c r="D2097" s="908"/>
      <c r="E2097" s="326">
        <v>3480000</v>
      </c>
      <c r="F2097" s="289">
        <v>100000</v>
      </c>
      <c r="G2097" s="326">
        <f>SUM(G2090:G2096)</f>
        <v>165603</v>
      </c>
      <c r="H2097" s="327">
        <f t="shared" ref="H2097:I2097" si="2738">SUM(H2090:H2096)</f>
        <v>165240</v>
      </c>
      <c r="I2097" s="327">
        <f t="shared" si="2738"/>
        <v>363</v>
      </c>
      <c r="J2097" s="351" t="str">
        <f>IFERROR(G2097/#REF!,"-")</f>
        <v>-</v>
      </c>
      <c r="K2097" s="326">
        <f>SUM(K2090:K2096)</f>
        <v>2020824</v>
      </c>
      <c r="L2097" s="327">
        <f>SUM(L2090:L2096)</f>
        <v>2014765</v>
      </c>
      <c r="M2097" s="328">
        <f t="shared" ref="M2097" si="2739">SUM(M2090:M2096)</f>
        <v>6059</v>
      </c>
      <c r="N2097" s="345">
        <f>IFERROR(K2097/E2097,"-")</f>
        <v>0.58069655172413792</v>
      </c>
      <c r="O2097" s="351">
        <f t="shared" si="2730"/>
        <v>2.9982818889720234E-3</v>
      </c>
    </row>
    <row r="2098" spans="1:15" ht="23.4" x14ac:dyDescent="0.3">
      <c r="A2098" s="277" t="s">
        <v>111</v>
      </c>
      <c r="B2098" s="922" t="s">
        <v>18</v>
      </c>
      <c r="C2098" s="272" t="s">
        <v>359</v>
      </c>
      <c r="D2098" s="272" t="s">
        <v>99</v>
      </c>
      <c r="E2098" s="273">
        <v>0</v>
      </c>
      <c r="F2098" s="274"/>
      <c r="G2098" s="338">
        <f t="shared" ref="G2098:G2104" si="2740">+H2098+I2098</f>
        <v>0</v>
      </c>
      <c r="H2098" s="275">
        <v>0</v>
      </c>
      <c r="I2098" s="275">
        <v>0</v>
      </c>
      <c r="J2098" s="357" t="str">
        <f>IFERROR(G2098/#REF!,"-")</f>
        <v>-</v>
      </c>
      <c r="K2098" s="338">
        <f t="shared" ref="K2098:K2104" si="2741">+L2098+M2098</f>
        <v>0</v>
      </c>
      <c r="L2098" s="275">
        <f t="shared" ref="L2098:L2104" si="2742">+H2098+L1994</f>
        <v>0</v>
      </c>
      <c r="M2098" s="276">
        <f t="shared" ref="M2098:M2104" si="2743">+I2098+M1994</f>
        <v>0</v>
      </c>
      <c r="N2098" s="342" t="str">
        <f t="shared" ref="N2098:N2105" si="2744">IFERROR(K2098/E2098,"-")</f>
        <v>-</v>
      </c>
      <c r="O2098" s="352" t="str">
        <f t="shared" si="2730"/>
        <v>-</v>
      </c>
    </row>
    <row r="2099" spans="1:15" ht="23.4" x14ac:dyDescent="0.3">
      <c r="A2099" s="277" t="s">
        <v>111</v>
      </c>
      <c r="B2099" s="923"/>
      <c r="C2099" s="278" t="s">
        <v>258</v>
      </c>
      <c r="D2099" s="278" t="s">
        <v>259</v>
      </c>
      <c r="E2099" s="279">
        <v>0</v>
      </c>
      <c r="F2099" s="280"/>
      <c r="G2099" s="339">
        <f t="shared" si="2740"/>
        <v>0</v>
      </c>
      <c r="H2099" s="281">
        <v>0</v>
      </c>
      <c r="I2099" s="281">
        <v>0</v>
      </c>
      <c r="J2099" s="358" t="str">
        <f>IFERROR(G2099/#REF!,"-")</f>
        <v>-</v>
      </c>
      <c r="K2099" s="339">
        <f t="shared" si="2741"/>
        <v>0</v>
      </c>
      <c r="L2099" s="281">
        <f t="shared" si="2742"/>
        <v>0</v>
      </c>
      <c r="M2099" s="251">
        <f t="shared" si="2743"/>
        <v>0</v>
      </c>
      <c r="N2099" s="343" t="str">
        <f t="shared" si="2744"/>
        <v>-</v>
      </c>
      <c r="O2099" s="264" t="str">
        <f t="shared" si="2730"/>
        <v>-</v>
      </c>
    </row>
    <row r="2100" spans="1:15" ht="23.4" x14ac:dyDescent="0.3">
      <c r="A2100" s="277" t="s">
        <v>111</v>
      </c>
      <c r="B2100" s="923"/>
      <c r="C2100" s="278" t="s">
        <v>123</v>
      </c>
      <c r="D2100" s="278"/>
      <c r="E2100" s="279">
        <v>0</v>
      </c>
      <c r="F2100" s="280"/>
      <c r="G2100" s="339">
        <f t="shared" si="2740"/>
        <v>0</v>
      </c>
      <c r="H2100" s="281">
        <v>0</v>
      </c>
      <c r="I2100" s="281">
        <v>0</v>
      </c>
      <c r="J2100" s="358" t="str">
        <f>IFERROR(G2100/#REF!,"-")</f>
        <v>-</v>
      </c>
      <c r="K2100" s="339">
        <f t="shared" si="2741"/>
        <v>0</v>
      </c>
      <c r="L2100" s="281">
        <f t="shared" si="2742"/>
        <v>0</v>
      </c>
      <c r="M2100" s="251">
        <f t="shared" si="2743"/>
        <v>0</v>
      </c>
      <c r="N2100" s="343" t="str">
        <f t="shared" si="2744"/>
        <v>-</v>
      </c>
      <c r="O2100" s="264" t="str">
        <f t="shared" si="2730"/>
        <v>-</v>
      </c>
    </row>
    <row r="2101" spans="1:15" ht="23.4" x14ac:dyDescent="0.3">
      <c r="A2101" s="277" t="s">
        <v>111</v>
      </c>
      <c r="B2101" s="923"/>
      <c r="C2101" s="278" t="s">
        <v>130</v>
      </c>
      <c r="D2101" s="278"/>
      <c r="E2101" s="279">
        <v>0</v>
      </c>
      <c r="F2101" s="280"/>
      <c r="G2101" s="339">
        <f t="shared" si="2740"/>
        <v>0</v>
      </c>
      <c r="H2101" s="281">
        <v>0</v>
      </c>
      <c r="I2101" s="281">
        <v>0</v>
      </c>
      <c r="J2101" s="358" t="str">
        <f>IFERROR(G2101/#REF!,"-")</f>
        <v>-</v>
      </c>
      <c r="K2101" s="339">
        <f t="shared" si="2741"/>
        <v>0</v>
      </c>
      <c r="L2101" s="281">
        <f t="shared" si="2742"/>
        <v>0</v>
      </c>
      <c r="M2101" s="251">
        <f t="shared" si="2743"/>
        <v>0</v>
      </c>
      <c r="N2101" s="343" t="str">
        <f t="shared" si="2744"/>
        <v>-</v>
      </c>
      <c r="O2101" s="264" t="str">
        <f t="shared" si="2730"/>
        <v>-</v>
      </c>
    </row>
    <row r="2102" spans="1:15" ht="23.4" x14ac:dyDescent="0.3">
      <c r="A2102" s="277" t="s">
        <v>111</v>
      </c>
      <c r="B2102" s="923"/>
      <c r="C2102" s="278" t="s">
        <v>191</v>
      </c>
      <c r="D2102" s="278" t="s">
        <v>192</v>
      </c>
      <c r="E2102" s="279">
        <v>0</v>
      </c>
      <c r="F2102" s="280"/>
      <c r="G2102" s="339">
        <f t="shared" si="2740"/>
        <v>0</v>
      </c>
      <c r="H2102" s="281">
        <v>0</v>
      </c>
      <c r="I2102" s="281">
        <v>0</v>
      </c>
      <c r="J2102" s="358" t="str">
        <f>IFERROR(G2102/#REF!,"-")</f>
        <v>-</v>
      </c>
      <c r="K2102" s="339">
        <f t="shared" si="2741"/>
        <v>0</v>
      </c>
      <c r="L2102" s="281">
        <f t="shared" si="2742"/>
        <v>0</v>
      </c>
      <c r="M2102" s="251">
        <f t="shared" si="2743"/>
        <v>0</v>
      </c>
      <c r="N2102" s="343" t="str">
        <f t="shared" si="2744"/>
        <v>-</v>
      </c>
      <c r="O2102" s="264" t="str">
        <f t="shared" si="2730"/>
        <v>-</v>
      </c>
    </row>
    <row r="2103" spans="1:15" ht="23.4" x14ac:dyDescent="0.3">
      <c r="A2103" s="277" t="s">
        <v>111</v>
      </c>
      <c r="B2103" s="923"/>
      <c r="C2103" s="278" t="s">
        <v>194</v>
      </c>
      <c r="D2103" s="278" t="s">
        <v>193</v>
      </c>
      <c r="E2103" s="279">
        <v>0</v>
      </c>
      <c r="F2103" s="280"/>
      <c r="G2103" s="339">
        <f t="shared" si="2740"/>
        <v>0</v>
      </c>
      <c r="H2103" s="281">
        <v>0</v>
      </c>
      <c r="I2103" s="281">
        <v>0</v>
      </c>
      <c r="J2103" s="358" t="str">
        <f>IFERROR(G2103/#REF!,"-")</f>
        <v>-</v>
      </c>
      <c r="K2103" s="339">
        <f t="shared" si="2741"/>
        <v>0</v>
      </c>
      <c r="L2103" s="281">
        <f t="shared" si="2742"/>
        <v>0</v>
      </c>
      <c r="M2103" s="251">
        <f t="shared" si="2743"/>
        <v>0</v>
      </c>
      <c r="N2103" s="343" t="str">
        <f t="shared" si="2744"/>
        <v>-</v>
      </c>
      <c r="O2103" s="264" t="str">
        <f t="shared" si="2730"/>
        <v>-</v>
      </c>
    </row>
    <row r="2104" spans="1:15" ht="24" thickBot="1" x14ac:dyDescent="0.35">
      <c r="A2104" s="277" t="s">
        <v>111</v>
      </c>
      <c r="B2104" s="924"/>
      <c r="C2104" s="290" t="s">
        <v>195</v>
      </c>
      <c r="D2104" s="290" t="s">
        <v>115</v>
      </c>
      <c r="E2104" s="283">
        <v>0</v>
      </c>
      <c r="F2104" s="284"/>
      <c r="G2104" s="340">
        <f t="shared" si="2740"/>
        <v>0</v>
      </c>
      <c r="H2104" s="285">
        <v>0</v>
      </c>
      <c r="I2104" s="285">
        <v>0</v>
      </c>
      <c r="J2104" s="359" t="str">
        <f>IFERROR(G2104/#REF!,"-")</f>
        <v>-</v>
      </c>
      <c r="K2104" s="340">
        <f t="shared" si="2741"/>
        <v>0</v>
      </c>
      <c r="L2104" s="285">
        <f t="shared" si="2742"/>
        <v>0</v>
      </c>
      <c r="M2104" s="286">
        <f t="shared" si="2743"/>
        <v>0</v>
      </c>
      <c r="N2104" s="344" t="str">
        <f t="shared" si="2744"/>
        <v>-</v>
      </c>
      <c r="O2104" s="353" t="str">
        <f t="shared" si="2730"/>
        <v>-</v>
      </c>
    </row>
    <row r="2105" spans="1:15" ht="24" thickBot="1" x14ac:dyDescent="0.35">
      <c r="A2105" s="277" t="s">
        <v>111</v>
      </c>
      <c r="B2105" s="906" t="s">
        <v>29</v>
      </c>
      <c r="C2105" s="907"/>
      <c r="D2105" s="908"/>
      <c r="E2105" s="326">
        <f t="shared" ref="E2105" si="2745">SUM(E2098:E2104)</f>
        <v>0</v>
      </c>
      <c r="F2105" s="289">
        <v>80000</v>
      </c>
      <c r="G2105" s="326">
        <f>SUM(G2098:G2104)</f>
        <v>0</v>
      </c>
      <c r="H2105" s="327">
        <f t="shared" ref="H2105:I2105" si="2746">SUM(H2098:H2104)</f>
        <v>0</v>
      </c>
      <c r="I2105" s="327">
        <f t="shared" si="2746"/>
        <v>0</v>
      </c>
      <c r="J2105" s="351" t="str">
        <f>IFERROR(G2105/#REF!,"-")</f>
        <v>-</v>
      </c>
      <c r="K2105" s="326">
        <f t="shared" ref="K2105:M2105" si="2747">SUM(K2098:K2104)</f>
        <v>0</v>
      </c>
      <c r="L2105" s="327">
        <f t="shared" si="2747"/>
        <v>0</v>
      </c>
      <c r="M2105" s="328">
        <f t="shared" si="2747"/>
        <v>0</v>
      </c>
      <c r="N2105" s="345" t="str">
        <f t="shared" si="2744"/>
        <v>-</v>
      </c>
      <c r="O2105" s="351" t="str">
        <f t="shared" si="2730"/>
        <v>-</v>
      </c>
    </row>
    <row r="2106" spans="1:15" ht="23.4" x14ac:dyDescent="0.3">
      <c r="A2106" s="252" t="s">
        <v>111</v>
      </c>
      <c r="B2106" s="918" t="s">
        <v>19</v>
      </c>
      <c r="C2106" s="757" t="s">
        <v>260</v>
      </c>
      <c r="D2106" s="771" t="s">
        <v>192</v>
      </c>
      <c r="E2106" s="540">
        <v>2000000</v>
      </c>
      <c r="F2106" s="470">
        <v>110000</v>
      </c>
      <c r="G2106" s="770">
        <f t="shared" ref="G2106:G2108" si="2748">+H2106+I2106</f>
        <v>0</v>
      </c>
      <c r="H2106" s="469">
        <v>0</v>
      </c>
      <c r="I2106" s="469">
        <v>0</v>
      </c>
      <c r="J2106" s="544" t="str">
        <f>IFERROR(G2106/#REF!,"-")</f>
        <v>-</v>
      </c>
      <c r="K2106" s="468">
        <f>+L2106+M2106</f>
        <v>329781</v>
      </c>
      <c r="L2106" s="469">
        <f t="shared" ref="L2106:L2107" si="2749">+H2106+L2002</f>
        <v>328118</v>
      </c>
      <c r="M2106" s="470">
        <f t="shared" ref="M2106:M2107" si="2750">+I2106+M2002</f>
        <v>1663</v>
      </c>
      <c r="N2106" s="775">
        <f>IFERROR(K2106/E2106,"-")</f>
        <v>0.1648905</v>
      </c>
      <c r="O2106" s="776">
        <f t="shared" si="2730"/>
        <v>5.0427404853524002E-3</v>
      </c>
    </row>
    <row r="2107" spans="1:15" ht="23.4" x14ac:dyDescent="0.3">
      <c r="A2107" s="252"/>
      <c r="B2107" s="919"/>
      <c r="C2107" s="302" t="s">
        <v>458</v>
      </c>
      <c r="D2107" s="772"/>
      <c r="E2107" s="755">
        <v>0</v>
      </c>
      <c r="F2107" s="441">
        <v>110000</v>
      </c>
      <c r="G2107" s="756">
        <f t="shared" si="2748"/>
        <v>50828</v>
      </c>
      <c r="H2107" s="275">
        <v>50688</v>
      </c>
      <c r="I2107" s="275">
        <v>140</v>
      </c>
      <c r="J2107" s="357" t="str">
        <f>IFERROR(G2107/#REF!,"-")</f>
        <v>-</v>
      </c>
      <c r="K2107" s="341">
        <f>+L2107+M2107</f>
        <v>593848</v>
      </c>
      <c r="L2107" s="295">
        <f t="shared" si="2749"/>
        <v>591360</v>
      </c>
      <c r="M2107" s="774">
        <f t="shared" si="2750"/>
        <v>2488</v>
      </c>
      <c r="N2107" s="346" t="str">
        <f t="shared" ref="N2107:N2108" si="2751">IFERROR(K2107/E2107,"-")</f>
        <v>-</v>
      </c>
      <c r="O2107" s="753">
        <f>IFERROR(M2107/K2107,"-")</f>
        <v>4.1896242809607845E-3</v>
      </c>
    </row>
    <row r="2108" spans="1:15" ht="24" thickBot="1" x14ac:dyDescent="0.35">
      <c r="A2108" s="252"/>
      <c r="B2108" s="920"/>
      <c r="C2108" s="679" t="s">
        <v>417</v>
      </c>
      <c r="D2108" s="773"/>
      <c r="E2108" s="472">
        <v>150000</v>
      </c>
      <c r="F2108" s="473">
        <v>110000</v>
      </c>
      <c r="G2108" s="607">
        <f t="shared" si="2748"/>
        <v>0</v>
      </c>
      <c r="H2108" s="285">
        <v>0</v>
      </c>
      <c r="I2108" s="285">
        <v>0</v>
      </c>
      <c r="J2108" s="359"/>
      <c r="K2108" s="471">
        <f>+L2108+M2108</f>
        <v>0</v>
      </c>
      <c r="L2108" s="472">
        <f>+H2108+L2004</f>
        <v>0</v>
      </c>
      <c r="M2108" s="473">
        <f>+I2108+M2004</f>
        <v>0</v>
      </c>
      <c r="N2108" s="344">
        <f t="shared" si="2751"/>
        <v>0</v>
      </c>
      <c r="O2108" s="680" t="str">
        <f t="shared" ref="O2108:O2156" si="2752">IFERROR(M2108/K2108,"-")</f>
        <v>-</v>
      </c>
    </row>
    <row r="2109" spans="1:15" ht="24" thickBot="1" x14ac:dyDescent="0.35">
      <c r="A2109" s="277" t="s">
        <v>111</v>
      </c>
      <c r="B2109" s="921" t="s">
        <v>49</v>
      </c>
      <c r="C2109" s="907"/>
      <c r="D2109" s="908"/>
      <c r="E2109" s="326">
        <f>SUM(E2106:E2108)</f>
        <v>2150000</v>
      </c>
      <c r="F2109" s="329">
        <f t="shared" ref="F2109" si="2753">SUM(F2106)</f>
        <v>110000</v>
      </c>
      <c r="G2109" s="326">
        <f>SUM(G2106)</f>
        <v>0</v>
      </c>
      <c r="H2109" s="327">
        <f>SUM(H2106:H2108)</f>
        <v>50688</v>
      </c>
      <c r="I2109" s="327">
        <f>SUM(I2106:I2108)</f>
        <v>140</v>
      </c>
      <c r="J2109" s="351" t="str">
        <f>IFERROR(G2109/#REF!,"-")</f>
        <v>-</v>
      </c>
      <c r="K2109" s="681">
        <f>SUM(K2106:K2107)</f>
        <v>923629</v>
      </c>
      <c r="L2109" s="327">
        <f>SUM(L2106:L2107)</f>
        <v>919478</v>
      </c>
      <c r="M2109" s="328">
        <f>SUM(M2106:M2107)</f>
        <v>4151</v>
      </c>
      <c r="N2109" s="345">
        <f>IFERROR(K2109/E2109,"-")</f>
        <v>0.42959488372093024</v>
      </c>
      <c r="O2109" s="351">
        <f t="shared" si="2752"/>
        <v>4.494228743359076E-3</v>
      </c>
    </row>
    <row r="2110" spans="1:15" ht="23.4" x14ac:dyDescent="0.3">
      <c r="A2110" s="277" t="s">
        <v>111</v>
      </c>
      <c r="B2110" s="922" t="s">
        <v>20</v>
      </c>
      <c r="C2110" s="297" t="s">
        <v>370</v>
      </c>
      <c r="D2110" s="297" t="s">
        <v>324</v>
      </c>
      <c r="E2110" s="273">
        <v>0</v>
      </c>
      <c r="F2110" s="274"/>
      <c r="G2110" s="338">
        <f t="shared" ref="G2110:G2112" si="2754">+H2110+I2110</f>
        <v>0</v>
      </c>
      <c r="H2110" s="275">
        <v>0</v>
      </c>
      <c r="I2110" s="275">
        <v>0</v>
      </c>
      <c r="J2110" s="357" t="str">
        <f>IFERROR(G2110/#REF!,"-")</f>
        <v>-</v>
      </c>
      <c r="K2110" s="338">
        <f t="shared" ref="K2110:K2112" si="2755">+L2110+M2110</f>
        <v>0</v>
      </c>
      <c r="L2110" s="275">
        <f t="shared" ref="L2110:L2112" si="2756">+H2110+L2006</f>
        <v>0</v>
      </c>
      <c r="M2110" s="276">
        <f t="shared" ref="M2110:M2112" si="2757">+I2110+M2006</f>
        <v>0</v>
      </c>
      <c r="N2110" s="342" t="str">
        <f t="shared" ref="N2110:N2113" si="2758">IFERROR(K2110/E2110,"-")</f>
        <v>-</v>
      </c>
      <c r="O2110" s="352" t="str">
        <f t="shared" si="2752"/>
        <v>-</v>
      </c>
    </row>
    <row r="2111" spans="1:15" ht="23.4" x14ac:dyDescent="0.3">
      <c r="A2111" s="277" t="s">
        <v>111</v>
      </c>
      <c r="B2111" s="923"/>
      <c r="C2111" s="298" t="s">
        <v>122</v>
      </c>
      <c r="D2111" s="298"/>
      <c r="E2111" s="279">
        <v>0</v>
      </c>
      <c r="F2111" s="280"/>
      <c r="G2111" s="339">
        <f t="shared" si="2754"/>
        <v>0</v>
      </c>
      <c r="H2111" s="281">
        <v>0</v>
      </c>
      <c r="I2111" s="281">
        <v>0</v>
      </c>
      <c r="J2111" s="358" t="str">
        <f>IFERROR(G2111/#REF!,"-")</f>
        <v>-</v>
      </c>
      <c r="K2111" s="339">
        <f t="shared" si="2755"/>
        <v>0</v>
      </c>
      <c r="L2111" s="281">
        <f t="shared" si="2756"/>
        <v>0</v>
      </c>
      <c r="M2111" s="251">
        <f t="shared" si="2757"/>
        <v>0</v>
      </c>
      <c r="N2111" s="343" t="str">
        <f t="shared" si="2758"/>
        <v>-</v>
      </c>
      <c r="O2111" s="264" t="str">
        <f t="shared" si="2752"/>
        <v>-</v>
      </c>
    </row>
    <row r="2112" spans="1:15" ht="24" thickBot="1" x14ac:dyDescent="0.35">
      <c r="A2112" s="277" t="s">
        <v>111</v>
      </c>
      <c r="B2112" s="924"/>
      <c r="C2112" s="299" t="s">
        <v>128</v>
      </c>
      <c r="D2112" s="299"/>
      <c r="E2112" s="283">
        <v>0</v>
      </c>
      <c r="F2112" s="284"/>
      <c r="G2112" s="340">
        <f t="shared" si="2754"/>
        <v>0</v>
      </c>
      <c r="H2112" s="285">
        <v>0</v>
      </c>
      <c r="I2112" s="285">
        <v>0</v>
      </c>
      <c r="J2112" s="359" t="str">
        <f>IFERROR(G2112/#REF!,"-")</f>
        <v>-</v>
      </c>
      <c r="K2112" s="340">
        <f t="shared" si="2755"/>
        <v>0</v>
      </c>
      <c r="L2112" s="285">
        <f t="shared" si="2756"/>
        <v>0</v>
      </c>
      <c r="M2112" s="286">
        <f t="shared" si="2757"/>
        <v>0</v>
      </c>
      <c r="N2112" s="344" t="str">
        <f t="shared" si="2758"/>
        <v>-</v>
      </c>
      <c r="O2112" s="353" t="str">
        <f t="shared" si="2752"/>
        <v>-</v>
      </c>
    </row>
    <row r="2113" spans="1:15" ht="24" thickBot="1" x14ac:dyDescent="0.35">
      <c r="A2113" s="277" t="s">
        <v>111</v>
      </c>
      <c r="B2113" s="907" t="s">
        <v>50</v>
      </c>
      <c r="C2113" s="907"/>
      <c r="D2113" s="925"/>
      <c r="E2113" s="326">
        <f t="shared" ref="E2113" si="2759">SUM(E2110:E2112)</f>
        <v>0</v>
      </c>
      <c r="F2113" s="289">
        <v>50000</v>
      </c>
      <c r="G2113" s="326">
        <f>SUM(G2110:G2112)</f>
        <v>0</v>
      </c>
      <c r="H2113" s="327">
        <f t="shared" ref="H2113:I2113" si="2760">SUM(H2110:H2112)</f>
        <v>0</v>
      </c>
      <c r="I2113" s="327">
        <f t="shared" si="2760"/>
        <v>0</v>
      </c>
      <c r="J2113" s="351" t="str">
        <f>IFERROR(G2113/#REF!,"-")</f>
        <v>-</v>
      </c>
      <c r="K2113" s="326">
        <f t="shared" ref="K2113:M2113" si="2761">SUM(K2110:K2112)</f>
        <v>0</v>
      </c>
      <c r="L2113" s="327">
        <f t="shared" si="2761"/>
        <v>0</v>
      </c>
      <c r="M2113" s="328">
        <f t="shared" si="2761"/>
        <v>0</v>
      </c>
      <c r="N2113" s="345" t="str">
        <f t="shared" si="2758"/>
        <v>-</v>
      </c>
      <c r="O2113" s="351" t="str">
        <f t="shared" si="2752"/>
        <v>-</v>
      </c>
    </row>
    <row r="2114" spans="1:15" ht="24" thickBot="1" x14ac:dyDescent="0.35">
      <c r="A2114" s="277" t="s">
        <v>111</v>
      </c>
      <c r="B2114" s="926" t="s">
        <v>21</v>
      </c>
      <c r="C2114" s="927"/>
      <c r="D2114" s="928"/>
      <c r="E2114" s="332">
        <f>+E2089+E2097+E2105+E2109+E2113</f>
        <v>5774600</v>
      </c>
      <c r="F2114" s="333">
        <f>+F2089+F2097+F2105+F2109+F2113</f>
        <v>355000</v>
      </c>
      <c r="G2114" s="332">
        <f>+G2089+G2097+G2105+G2109+G2113</f>
        <v>165603</v>
      </c>
      <c r="H2114" s="330">
        <f>+H2089+H2097+H2105+H2109+H2113</f>
        <v>215928</v>
      </c>
      <c r="I2114" s="330">
        <f>+I2089+I2097+I2105+I2109+I2113</f>
        <v>503</v>
      </c>
      <c r="J2114" s="355" t="str">
        <f>IFERROR(G2114/#REF!,"-")</f>
        <v>-</v>
      </c>
      <c r="K2114" s="332">
        <f>+K2089+K2097+K2105+K2109+K2113</f>
        <v>3050157</v>
      </c>
      <c r="L2114" s="330">
        <f>+L2089+L2097+L2105+L2109+L2113</f>
        <v>3038259</v>
      </c>
      <c r="M2114" s="331">
        <f>+M2089+M2097+M2105+M2109+M2113</f>
        <v>11898</v>
      </c>
      <c r="N2114" s="347">
        <f>IFERROR(K2114/E2114,"-")</f>
        <v>0.52820229972638799</v>
      </c>
      <c r="O2114" s="355">
        <f t="shared" si="2752"/>
        <v>3.9007828121634396E-3</v>
      </c>
    </row>
    <row r="2115" spans="1:15" ht="23.4" x14ac:dyDescent="0.3">
      <c r="A2115" s="277" t="s">
        <v>111</v>
      </c>
      <c r="B2115" s="922" t="s">
        <v>22</v>
      </c>
      <c r="C2115" s="272" t="s">
        <v>133</v>
      </c>
      <c r="D2115" s="272"/>
      <c r="E2115" s="273">
        <v>0</v>
      </c>
      <c r="F2115" s="274"/>
      <c r="G2115" s="338">
        <f t="shared" ref="G2115:G2118" si="2762">+H2115+I2115</f>
        <v>0</v>
      </c>
      <c r="H2115" s="275">
        <v>0</v>
      </c>
      <c r="I2115" s="275">
        <v>0</v>
      </c>
      <c r="J2115" s="357" t="str">
        <f>IFERROR(G2115/#REF!,"-")</f>
        <v>-</v>
      </c>
      <c r="K2115" s="338">
        <f t="shared" ref="K2115:K2118" si="2763">+L2115+M2115</f>
        <v>0</v>
      </c>
      <c r="L2115" s="275">
        <f t="shared" ref="L2115:L2118" si="2764">+H2115+L2011</f>
        <v>0</v>
      </c>
      <c r="M2115" s="276">
        <f t="shared" ref="M2115:M2118" si="2765">+I2115+M2011</f>
        <v>0</v>
      </c>
      <c r="N2115" s="342" t="str">
        <f t="shared" ref="N2115:N2129" si="2766">IFERROR(K2115/E2115,"-")</f>
        <v>-</v>
      </c>
      <c r="O2115" s="352" t="str">
        <f t="shared" si="2752"/>
        <v>-</v>
      </c>
    </row>
    <row r="2116" spans="1:15" ht="23.4" x14ac:dyDescent="0.3">
      <c r="A2116" s="277" t="s">
        <v>111</v>
      </c>
      <c r="B2116" s="923"/>
      <c r="C2116" s="301" t="s">
        <v>291</v>
      </c>
      <c r="D2116" s="301" t="s">
        <v>196</v>
      </c>
      <c r="E2116" s="279">
        <v>0</v>
      </c>
      <c r="F2116" s="280"/>
      <c r="G2116" s="339">
        <f t="shared" si="2762"/>
        <v>0</v>
      </c>
      <c r="H2116" s="281">
        <v>0</v>
      </c>
      <c r="I2116" s="281">
        <v>0</v>
      </c>
      <c r="J2116" s="358" t="str">
        <f>IFERROR(G2116/#REF!,"-")</f>
        <v>-</v>
      </c>
      <c r="K2116" s="339">
        <f t="shared" si="2763"/>
        <v>0</v>
      </c>
      <c r="L2116" s="281">
        <f t="shared" si="2764"/>
        <v>0</v>
      </c>
      <c r="M2116" s="251">
        <f t="shared" si="2765"/>
        <v>0</v>
      </c>
      <c r="N2116" s="343" t="str">
        <f t="shared" si="2766"/>
        <v>-</v>
      </c>
      <c r="O2116" s="264" t="str">
        <f t="shared" si="2752"/>
        <v>-</v>
      </c>
    </row>
    <row r="2117" spans="1:15" ht="23.4" x14ac:dyDescent="0.3">
      <c r="A2117" s="277" t="s">
        <v>111</v>
      </c>
      <c r="B2117" s="923"/>
      <c r="C2117" s="301" t="s">
        <v>473</v>
      </c>
      <c r="D2117" s="301" t="s">
        <v>196</v>
      </c>
      <c r="E2117" s="279">
        <v>1000000</v>
      </c>
      <c r="F2117" s="280"/>
      <c r="G2117" s="339">
        <f t="shared" si="2762"/>
        <v>51480</v>
      </c>
      <c r="H2117" s="281">
        <v>51480</v>
      </c>
      <c r="I2117" s="281">
        <v>0</v>
      </c>
      <c r="J2117" s="358" t="str">
        <f>IFERROR(G2117/#REF!,"-")</f>
        <v>-</v>
      </c>
      <c r="K2117" s="339">
        <f t="shared" si="2763"/>
        <v>394632</v>
      </c>
      <c r="L2117" s="281">
        <f t="shared" si="2764"/>
        <v>394020</v>
      </c>
      <c r="M2117" s="251">
        <f t="shared" si="2765"/>
        <v>612</v>
      </c>
      <c r="N2117" s="343">
        <f t="shared" si="2766"/>
        <v>0.39463199999999998</v>
      </c>
      <c r="O2117" s="264">
        <f t="shared" si="2752"/>
        <v>1.5508118956394819E-3</v>
      </c>
    </row>
    <row r="2118" spans="1:15" ht="24" thickBot="1" x14ac:dyDescent="0.35">
      <c r="A2118" s="277" t="s">
        <v>111</v>
      </c>
      <c r="B2118" s="924"/>
      <c r="C2118" s="282" t="s">
        <v>197</v>
      </c>
      <c r="D2118" s="282" t="s">
        <v>100</v>
      </c>
      <c r="E2118" s="283">
        <v>0</v>
      </c>
      <c r="F2118" s="284"/>
      <c r="G2118" s="340">
        <f t="shared" si="2762"/>
        <v>0</v>
      </c>
      <c r="H2118" s="285">
        <v>0</v>
      </c>
      <c r="I2118" s="285">
        <v>0</v>
      </c>
      <c r="J2118" s="359" t="str">
        <f>IFERROR(G2118/#REF!,"-")</f>
        <v>-</v>
      </c>
      <c r="K2118" s="340">
        <f t="shared" si="2763"/>
        <v>0</v>
      </c>
      <c r="L2118" s="285">
        <f t="shared" si="2764"/>
        <v>0</v>
      </c>
      <c r="M2118" s="286">
        <f t="shared" si="2765"/>
        <v>0</v>
      </c>
      <c r="N2118" s="344" t="str">
        <f t="shared" si="2766"/>
        <v>-</v>
      </c>
      <c r="O2118" s="353" t="str">
        <f t="shared" si="2752"/>
        <v>-</v>
      </c>
    </row>
    <row r="2119" spans="1:15" ht="24" thickBot="1" x14ac:dyDescent="0.35">
      <c r="A2119" s="277" t="s">
        <v>111</v>
      </c>
      <c r="B2119" s="906" t="s">
        <v>51</v>
      </c>
      <c r="C2119" s="907"/>
      <c r="D2119" s="908"/>
      <c r="E2119" s="288">
        <f>SUM(E2115:E2118)</f>
        <v>1000000</v>
      </c>
      <c r="F2119" s="289">
        <v>80000</v>
      </c>
      <c r="G2119" s="326">
        <f>SUM(G2115:G2118)</f>
        <v>51480</v>
      </c>
      <c r="H2119" s="327">
        <f t="shared" ref="H2119:I2119" si="2767">SUM(H2115:H2118)</f>
        <v>51480</v>
      </c>
      <c r="I2119" s="327">
        <f t="shared" si="2767"/>
        <v>0</v>
      </c>
      <c r="J2119" s="351" t="str">
        <f>IFERROR(G2119/#REF!,"-")</f>
        <v>-</v>
      </c>
      <c r="K2119" s="326">
        <f t="shared" ref="K2119:M2119" si="2768">SUM(K2115:K2118)</f>
        <v>394632</v>
      </c>
      <c r="L2119" s="327">
        <f t="shared" si="2768"/>
        <v>394020</v>
      </c>
      <c r="M2119" s="328">
        <f t="shared" si="2768"/>
        <v>612</v>
      </c>
      <c r="N2119" s="345">
        <f t="shared" si="2766"/>
        <v>0.39463199999999998</v>
      </c>
      <c r="O2119" s="351">
        <f t="shared" si="2752"/>
        <v>1.5508118956394819E-3</v>
      </c>
    </row>
    <row r="2120" spans="1:15" ht="23.4" x14ac:dyDescent="0.3">
      <c r="A2120" s="277" t="s">
        <v>111</v>
      </c>
      <c r="B2120" s="922" t="s">
        <v>23</v>
      </c>
      <c r="C2120" s="302" t="s">
        <v>348</v>
      </c>
      <c r="D2120" s="302" t="s">
        <v>263</v>
      </c>
      <c r="E2120" s="273">
        <v>0</v>
      </c>
      <c r="F2120" s="274"/>
      <c r="G2120" s="338">
        <f t="shared" ref="G2120:G2127" si="2769">+H2120+I2120</f>
        <v>0</v>
      </c>
      <c r="H2120" s="275">
        <v>0</v>
      </c>
      <c r="I2120" s="275">
        <v>0</v>
      </c>
      <c r="J2120" s="357" t="str">
        <f>IFERROR(G2120/#REF!,"-")</f>
        <v>-</v>
      </c>
      <c r="K2120" s="338">
        <f t="shared" ref="K2120:K2127" si="2770">+L2120+M2120</f>
        <v>0</v>
      </c>
      <c r="L2120" s="275">
        <f t="shared" ref="L2120:L2127" si="2771">+H2120+L2016</f>
        <v>0</v>
      </c>
      <c r="M2120" s="276">
        <f t="shared" ref="M2120:M2127" si="2772">+I2120+M2016</f>
        <v>0</v>
      </c>
      <c r="N2120" s="342" t="str">
        <f t="shared" si="2766"/>
        <v>-</v>
      </c>
      <c r="O2120" s="352" t="str">
        <f t="shared" si="2752"/>
        <v>-</v>
      </c>
    </row>
    <row r="2121" spans="1:15" ht="23.4" x14ac:dyDescent="0.3">
      <c r="A2121" s="277" t="s">
        <v>111</v>
      </c>
      <c r="B2121" s="923"/>
      <c r="C2121" s="278" t="s">
        <v>24</v>
      </c>
      <c r="D2121" s="278" t="s">
        <v>263</v>
      </c>
      <c r="E2121" s="279">
        <v>0</v>
      </c>
      <c r="F2121" s="280"/>
      <c r="G2121" s="339">
        <f t="shared" si="2769"/>
        <v>0</v>
      </c>
      <c r="H2121" s="281">
        <v>0</v>
      </c>
      <c r="I2121" s="281">
        <v>0</v>
      </c>
      <c r="J2121" s="358" t="str">
        <f>IFERROR(G2121/#REF!,"-")</f>
        <v>-</v>
      </c>
      <c r="K2121" s="339">
        <f t="shared" si="2770"/>
        <v>113483</v>
      </c>
      <c r="L2121" s="281">
        <f t="shared" si="2771"/>
        <v>112404</v>
      </c>
      <c r="M2121" s="251">
        <f t="shared" si="2772"/>
        <v>1079</v>
      </c>
      <c r="N2121" s="343" t="str">
        <f t="shared" si="2766"/>
        <v>-</v>
      </c>
      <c r="O2121" s="264">
        <f t="shared" si="2752"/>
        <v>9.508032040041239E-3</v>
      </c>
    </row>
    <row r="2122" spans="1:15" ht="23.4" x14ac:dyDescent="0.3">
      <c r="A2122" s="277" t="s">
        <v>111</v>
      </c>
      <c r="B2122" s="923"/>
      <c r="C2122" s="278" t="s">
        <v>261</v>
      </c>
      <c r="D2122" s="278" t="s">
        <v>263</v>
      </c>
      <c r="E2122" s="279">
        <v>0</v>
      </c>
      <c r="F2122" s="280"/>
      <c r="G2122" s="339">
        <f t="shared" si="2769"/>
        <v>0</v>
      </c>
      <c r="H2122" s="281">
        <v>0</v>
      </c>
      <c r="I2122" s="281">
        <v>0</v>
      </c>
      <c r="J2122" s="358" t="str">
        <f>IFERROR(G2122/#REF!,"-")</f>
        <v>-</v>
      </c>
      <c r="K2122" s="339">
        <f t="shared" si="2770"/>
        <v>11048</v>
      </c>
      <c r="L2122" s="281">
        <f t="shared" si="2771"/>
        <v>10901</v>
      </c>
      <c r="M2122" s="251">
        <f t="shared" si="2772"/>
        <v>147</v>
      </c>
      <c r="N2122" s="343" t="str">
        <f t="shared" si="2766"/>
        <v>-</v>
      </c>
      <c r="O2122" s="264">
        <f t="shared" si="2752"/>
        <v>1.330557566980449E-2</v>
      </c>
    </row>
    <row r="2123" spans="1:15" ht="23.4" x14ac:dyDescent="0.3">
      <c r="A2123" s="277" t="s">
        <v>111</v>
      </c>
      <c r="B2123" s="923"/>
      <c r="C2123" s="278" t="s">
        <v>262</v>
      </c>
      <c r="D2123" s="278" t="s">
        <v>263</v>
      </c>
      <c r="E2123" s="279">
        <v>0</v>
      </c>
      <c r="F2123" s="280"/>
      <c r="G2123" s="339">
        <f t="shared" si="2769"/>
        <v>0</v>
      </c>
      <c r="H2123" s="281">
        <v>0</v>
      </c>
      <c r="I2123" s="281">
        <v>0</v>
      </c>
      <c r="J2123" s="358" t="str">
        <f>IFERROR(G2123/#REF!,"-")</f>
        <v>-</v>
      </c>
      <c r="K2123" s="339">
        <f t="shared" si="2770"/>
        <v>7672</v>
      </c>
      <c r="L2123" s="281">
        <f t="shared" si="2771"/>
        <v>7612</v>
      </c>
      <c r="M2123" s="251">
        <f t="shared" si="2772"/>
        <v>60</v>
      </c>
      <c r="N2123" s="343" t="str">
        <f t="shared" si="2766"/>
        <v>-</v>
      </c>
      <c r="O2123" s="264">
        <f t="shared" si="2752"/>
        <v>7.8206465067778945E-3</v>
      </c>
    </row>
    <row r="2124" spans="1:15" ht="23.4" x14ac:dyDescent="0.3">
      <c r="A2124" s="277" t="s">
        <v>111</v>
      </c>
      <c r="B2124" s="923"/>
      <c r="C2124" s="301" t="s">
        <v>264</v>
      </c>
      <c r="D2124" s="278" t="s">
        <v>263</v>
      </c>
      <c r="E2124" s="279">
        <v>0</v>
      </c>
      <c r="F2124" s="280"/>
      <c r="G2124" s="339">
        <f t="shared" si="2769"/>
        <v>0</v>
      </c>
      <c r="H2124" s="281">
        <v>0</v>
      </c>
      <c r="I2124" s="281">
        <v>0</v>
      </c>
      <c r="J2124" s="358" t="str">
        <f>IFERROR(G2124/#REF!,"-")</f>
        <v>-</v>
      </c>
      <c r="K2124" s="339">
        <f t="shared" si="2770"/>
        <v>0</v>
      </c>
      <c r="L2124" s="281">
        <f t="shared" si="2771"/>
        <v>0</v>
      </c>
      <c r="M2124" s="251">
        <f t="shared" si="2772"/>
        <v>0</v>
      </c>
      <c r="N2124" s="343" t="str">
        <f t="shared" si="2766"/>
        <v>-</v>
      </c>
      <c r="O2124" s="264" t="str">
        <f t="shared" si="2752"/>
        <v>-</v>
      </c>
    </row>
    <row r="2125" spans="1:15" ht="23.4" x14ac:dyDescent="0.3">
      <c r="A2125" s="277" t="s">
        <v>111</v>
      </c>
      <c r="B2125" s="923"/>
      <c r="C2125" s="301" t="s">
        <v>265</v>
      </c>
      <c r="D2125" s="278" t="s">
        <v>263</v>
      </c>
      <c r="E2125" s="279">
        <v>0</v>
      </c>
      <c r="F2125" s="280"/>
      <c r="G2125" s="339">
        <f t="shared" si="2769"/>
        <v>0</v>
      </c>
      <c r="H2125" s="281">
        <v>0</v>
      </c>
      <c r="I2125" s="281">
        <v>0</v>
      </c>
      <c r="J2125" s="358" t="str">
        <f>IFERROR(G2125/#REF!,"-")</f>
        <v>-</v>
      </c>
      <c r="K2125" s="339">
        <f t="shared" si="2770"/>
        <v>0</v>
      </c>
      <c r="L2125" s="281">
        <f t="shared" si="2771"/>
        <v>0</v>
      </c>
      <c r="M2125" s="251">
        <f t="shared" si="2772"/>
        <v>0</v>
      </c>
      <c r="N2125" s="343" t="str">
        <f t="shared" si="2766"/>
        <v>-</v>
      </c>
      <c r="O2125" s="264" t="str">
        <f t="shared" si="2752"/>
        <v>-</v>
      </c>
    </row>
    <row r="2126" spans="1:15" ht="23.4" x14ac:dyDescent="0.3">
      <c r="A2126" s="277" t="s">
        <v>111</v>
      </c>
      <c r="B2126" s="923"/>
      <c r="C2126" s="301" t="s">
        <v>266</v>
      </c>
      <c r="D2126" s="278" t="s">
        <v>268</v>
      </c>
      <c r="E2126" s="279">
        <v>0</v>
      </c>
      <c r="F2126" s="280"/>
      <c r="G2126" s="339">
        <f t="shared" si="2769"/>
        <v>0</v>
      </c>
      <c r="H2126" s="281">
        <v>0</v>
      </c>
      <c r="I2126" s="281">
        <v>0</v>
      </c>
      <c r="J2126" s="358" t="str">
        <f>IFERROR(G2126/#REF!,"-")</f>
        <v>-</v>
      </c>
      <c r="K2126" s="339">
        <f t="shared" si="2770"/>
        <v>10464</v>
      </c>
      <c r="L2126" s="281">
        <f t="shared" si="2771"/>
        <v>10417</v>
      </c>
      <c r="M2126" s="251">
        <f t="shared" si="2772"/>
        <v>47</v>
      </c>
      <c r="N2126" s="343" t="str">
        <f t="shared" si="2766"/>
        <v>-</v>
      </c>
      <c r="O2126" s="264">
        <f t="shared" si="2752"/>
        <v>4.491590214067278E-3</v>
      </c>
    </row>
    <row r="2127" spans="1:15" ht="24" thickBot="1" x14ac:dyDescent="0.35">
      <c r="A2127" s="277" t="s">
        <v>111</v>
      </c>
      <c r="B2127" s="924"/>
      <c r="C2127" s="301" t="s">
        <v>267</v>
      </c>
      <c r="D2127" s="278" t="s">
        <v>263</v>
      </c>
      <c r="E2127" s="283">
        <v>0</v>
      </c>
      <c r="F2127" s="284"/>
      <c r="G2127" s="340">
        <f t="shared" si="2769"/>
        <v>0</v>
      </c>
      <c r="H2127" s="285">
        <v>0</v>
      </c>
      <c r="I2127" s="285">
        <v>0</v>
      </c>
      <c r="J2127" s="359" t="str">
        <f>IFERROR(G2127/#REF!,"-")</f>
        <v>-</v>
      </c>
      <c r="K2127" s="340">
        <f t="shared" si="2770"/>
        <v>14088</v>
      </c>
      <c r="L2127" s="285">
        <f t="shared" si="2771"/>
        <v>14000</v>
      </c>
      <c r="M2127" s="286">
        <f t="shared" si="2772"/>
        <v>88</v>
      </c>
      <c r="N2127" s="344" t="str">
        <f t="shared" si="2766"/>
        <v>-</v>
      </c>
      <c r="O2127" s="353">
        <f t="shared" si="2752"/>
        <v>6.2464508801817146E-3</v>
      </c>
    </row>
    <row r="2128" spans="1:15" ht="24" thickBot="1" x14ac:dyDescent="0.35">
      <c r="A2128" s="277" t="s">
        <v>111</v>
      </c>
      <c r="B2128" s="906" t="s">
        <v>52</v>
      </c>
      <c r="C2128" s="907"/>
      <c r="D2128" s="908"/>
      <c r="E2128" s="288">
        <v>157500</v>
      </c>
      <c r="F2128" s="289">
        <v>14000</v>
      </c>
      <c r="G2128" s="326">
        <f>SUM(G2120:G2127)</f>
        <v>0</v>
      </c>
      <c r="H2128" s="327">
        <f t="shared" ref="H2128:I2128" si="2773">SUM(H2120:H2127)</f>
        <v>0</v>
      </c>
      <c r="I2128" s="327">
        <f t="shared" si="2773"/>
        <v>0</v>
      </c>
      <c r="J2128" s="351" t="str">
        <f>IFERROR(G2128/#REF!,"-")</f>
        <v>-</v>
      </c>
      <c r="K2128" s="326">
        <f>SUM(K2120:K2127)</f>
        <v>156755</v>
      </c>
      <c r="L2128" s="327">
        <f t="shared" ref="L2128:M2128" si="2774">SUM(L2120:L2127)</f>
        <v>155334</v>
      </c>
      <c r="M2128" s="328">
        <f t="shared" si="2774"/>
        <v>1421</v>
      </c>
      <c r="N2128" s="345">
        <f t="shared" si="2766"/>
        <v>0.9952698412698413</v>
      </c>
      <c r="O2128" s="351">
        <f t="shared" si="2752"/>
        <v>9.0651015916557685E-3</v>
      </c>
    </row>
    <row r="2129" spans="1:15" ht="24" thickBot="1" x14ac:dyDescent="0.35">
      <c r="A2129" s="277" t="s">
        <v>111</v>
      </c>
      <c r="B2129" s="926" t="s">
        <v>25</v>
      </c>
      <c r="C2129" s="927"/>
      <c r="D2129" s="928"/>
      <c r="E2129" s="332">
        <f t="shared" ref="E2129:F2129" si="2775">+E2119+E2128</f>
        <v>1157500</v>
      </c>
      <c r="F2129" s="333">
        <f t="shared" si="2775"/>
        <v>94000</v>
      </c>
      <c r="G2129" s="332">
        <f>+G2119+G2128</f>
        <v>51480</v>
      </c>
      <c r="H2129" s="330">
        <f t="shared" ref="H2129:I2129" si="2776">+H2119+H2128</f>
        <v>51480</v>
      </c>
      <c r="I2129" s="330">
        <f t="shared" si="2776"/>
        <v>0</v>
      </c>
      <c r="J2129" s="355" t="str">
        <f>IFERROR(G2129/#REF!,"-")</f>
        <v>-</v>
      </c>
      <c r="K2129" s="332">
        <f t="shared" ref="K2129" si="2777">+K2119+K2128</f>
        <v>551387</v>
      </c>
      <c r="L2129" s="330">
        <f>+L2119+L2128</f>
        <v>549354</v>
      </c>
      <c r="M2129" s="331">
        <f t="shared" ref="M2129" si="2778">+M2119+M2128</f>
        <v>2033</v>
      </c>
      <c r="N2129" s="347">
        <f t="shared" si="2766"/>
        <v>0.47636025917926567</v>
      </c>
      <c r="O2129" s="355">
        <f t="shared" si="2752"/>
        <v>3.687065527478885E-3</v>
      </c>
    </row>
    <row r="2130" spans="1:15" ht="24" thickBot="1" x14ac:dyDescent="0.35">
      <c r="A2130" s="277" t="s">
        <v>111</v>
      </c>
      <c r="B2130" s="900" t="s">
        <v>181</v>
      </c>
      <c r="C2130" s="901"/>
      <c r="D2130" s="902"/>
      <c r="E2130" s="336">
        <f>+E2114+E2129</f>
        <v>6932100</v>
      </c>
      <c r="F2130" s="337">
        <f t="shared" ref="F2130:I2130" si="2779">+F2114+F2129</f>
        <v>449000</v>
      </c>
      <c r="G2130" s="336">
        <f t="shared" si="2779"/>
        <v>217083</v>
      </c>
      <c r="H2130" s="334">
        <f t="shared" si="2779"/>
        <v>267408</v>
      </c>
      <c r="I2130" s="334">
        <f t="shared" si="2779"/>
        <v>503</v>
      </c>
      <c r="J2130" s="356" t="str">
        <f>IFERROR(G2130/#REF!,"-")</f>
        <v>-</v>
      </c>
      <c r="K2130" s="336">
        <f>+K2114+K2129</f>
        <v>3601544</v>
      </c>
      <c r="L2130" s="334">
        <f t="shared" ref="L2130:M2130" si="2780">+L2114+L2129</f>
        <v>3587613</v>
      </c>
      <c r="M2130" s="335">
        <f t="shared" si="2780"/>
        <v>13931</v>
      </c>
      <c r="N2130" s="348">
        <f>IFERROR(K2130/E2130,"-")</f>
        <v>0.51954588075763475</v>
      </c>
      <c r="O2130" s="356">
        <f t="shared" si="2752"/>
        <v>3.8680632528715463E-3</v>
      </c>
    </row>
    <row r="2131" spans="1:15" ht="23.4" x14ac:dyDescent="0.3">
      <c r="A2131" s="271" t="s">
        <v>109</v>
      </c>
      <c r="B2131" s="929" t="s">
        <v>26</v>
      </c>
      <c r="C2131" s="303" t="s">
        <v>334</v>
      </c>
      <c r="D2131" s="303" t="s">
        <v>192</v>
      </c>
      <c r="E2131" s="273">
        <v>0</v>
      </c>
      <c r="F2131" s="274"/>
      <c r="G2131" s="338">
        <f t="shared" ref="G2131:G2139" si="2781">+H2131+I2131</f>
        <v>0</v>
      </c>
      <c r="H2131" s="275">
        <v>0</v>
      </c>
      <c r="I2131" s="275">
        <v>0</v>
      </c>
      <c r="J2131" s="357" t="str">
        <f>IFERROR(G2131/#REF!,"-")</f>
        <v>-</v>
      </c>
      <c r="K2131" s="338">
        <f t="shared" ref="K2131:K2139" si="2782">+L2131+M2131</f>
        <v>326708</v>
      </c>
      <c r="L2131" s="275">
        <f t="shared" ref="L2131:L2139" si="2783">+H2131+L2027</f>
        <v>322218</v>
      </c>
      <c r="M2131" s="276">
        <f t="shared" ref="M2131:M2139" si="2784">+I2131+M2027</f>
        <v>4490</v>
      </c>
      <c r="N2131" s="342" t="str">
        <f t="shared" ref="N2131:N2132" si="2785">IFERROR(K2131/E2131,"-")</f>
        <v>-</v>
      </c>
      <c r="O2131" s="352">
        <f t="shared" si="2752"/>
        <v>1.3743159028857574E-2</v>
      </c>
    </row>
    <row r="2132" spans="1:15" ht="23.4" x14ac:dyDescent="0.3">
      <c r="A2132" s="277" t="s">
        <v>109</v>
      </c>
      <c r="B2132" s="929"/>
      <c r="C2132" s="304" t="s">
        <v>199</v>
      </c>
      <c r="D2132" s="304" t="s">
        <v>115</v>
      </c>
      <c r="E2132" s="279">
        <v>0</v>
      </c>
      <c r="F2132" s="280"/>
      <c r="G2132" s="339">
        <f t="shared" si="2781"/>
        <v>0</v>
      </c>
      <c r="H2132" s="281">
        <v>0</v>
      </c>
      <c r="I2132" s="281">
        <v>0</v>
      </c>
      <c r="J2132" s="358" t="str">
        <f>IFERROR(G2132/#REF!,"-")</f>
        <v>-</v>
      </c>
      <c r="K2132" s="339">
        <f t="shared" si="2782"/>
        <v>0</v>
      </c>
      <c r="L2132" s="281">
        <f t="shared" si="2783"/>
        <v>0</v>
      </c>
      <c r="M2132" s="251">
        <f t="shared" si="2784"/>
        <v>0</v>
      </c>
      <c r="N2132" s="343" t="str">
        <f t="shared" si="2785"/>
        <v>-</v>
      </c>
      <c r="O2132" s="264" t="str">
        <f t="shared" si="2752"/>
        <v>-</v>
      </c>
    </row>
    <row r="2133" spans="1:15" ht="23.4" x14ac:dyDescent="0.3">
      <c r="A2133" s="277" t="s">
        <v>109</v>
      </c>
      <c r="B2133" s="929"/>
      <c r="C2133" s="305" t="s">
        <v>27</v>
      </c>
      <c r="D2133" s="305" t="s">
        <v>394</v>
      </c>
      <c r="E2133" s="283">
        <v>0</v>
      </c>
      <c r="F2133" s="284"/>
      <c r="G2133" s="339">
        <f t="shared" si="2781"/>
        <v>0</v>
      </c>
      <c r="H2133" s="285">
        <v>0</v>
      </c>
      <c r="I2133" s="285">
        <v>0</v>
      </c>
      <c r="J2133" s="359" t="str">
        <f>IFERROR(G2133/#REF!,"-")</f>
        <v>-</v>
      </c>
      <c r="K2133" s="339">
        <f t="shared" si="2782"/>
        <v>20305</v>
      </c>
      <c r="L2133" s="285">
        <f t="shared" si="2783"/>
        <v>19890</v>
      </c>
      <c r="M2133" s="286">
        <f t="shared" si="2784"/>
        <v>415</v>
      </c>
      <c r="N2133" s="287"/>
      <c r="O2133" s="264">
        <f t="shared" si="2752"/>
        <v>2.0438315685791675E-2</v>
      </c>
    </row>
    <row r="2134" spans="1:15" ht="23.4" x14ac:dyDescent="0.3">
      <c r="A2134" s="277" t="s">
        <v>109</v>
      </c>
      <c r="B2134" s="929"/>
      <c r="C2134" s="305" t="s">
        <v>27</v>
      </c>
      <c r="D2134" s="305" t="s">
        <v>259</v>
      </c>
      <c r="E2134" s="283">
        <v>0</v>
      </c>
      <c r="F2134" s="284"/>
      <c r="G2134" s="339">
        <f t="shared" si="2781"/>
        <v>0</v>
      </c>
      <c r="H2134" s="285">
        <v>0</v>
      </c>
      <c r="I2134" s="285">
        <v>0</v>
      </c>
      <c r="J2134" s="359" t="str">
        <f>IFERROR(G2134/#REF!,"-")</f>
        <v>-</v>
      </c>
      <c r="K2134" s="339">
        <f t="shared" si="2782"/>
        <v>77402</v>
      </c>
      <c r="L2134" s="285">
        <f t="shared" si="2783"/>
        <v>75582</v>
      </c>
      <c r="M2134" s="286">
        <f t="shared" si="2784"/>
        <v>1820</v>
      </c>
      <c r="N2134" s="287"/>
      <c r="O2134" s="264">
        <f t="shared" si="2752"/>
        <v>2.3513604299630501E-2</v>
      </c>
    </row>
    <row r="2135" spans="1:15" ht="23.4" x14ac:dyDescent="0.3">
      <c r="A2135" s="277" t="s">
        <v>109</v>
      </c>
      <c r="B2135" s="929"/>
      <c r="C2135" s="305" t="s">
        <v>27</v>
      </c>
      <c r="D2135" s="305" t="s">
        <v>310</v>
      </c>
      <c r="E2135" s="283">
        <v>0</v>
      </c>
      <c r="F2135" s="284"/>
      <c r="G2135" s="339">
        <f t="shared" si="2781"/>
        <v>0</v>
      </c>
      <c r="H2135" s="285">
        <v>0</v>
      </c>
      <c r="I2135" s="285">
        <v>0</v>
      </c>
      <c r="J2135" s="359" t="str">
        <f>IFERROR(G2135/#REF!,"-")</f>
        <v>-</v>
      </c>
      <c r="K2135" s="339">
        <f t="shared" si="2782"/>
        <v>8433</v>
      </c>
      <c r="L2135" s="285">
        <f t="shared" si="2783"/>
        <v>7956</v>
      </c>
      <c r="M2135" s="286">
        <f t="shared" si="2784"/>
        <v>477</v>
      </c>
      <c r="N2135" s="287"/>
      <c r="O2135" s="264">
        <f t="shared" si="2752"/>
        <v>5.656350053361793E-2</v>
      </c>
    </row>
    <row r="2136" spans="1:15" ht="23.4" x14ac:dyDescent="0.3">
      <c r="A2136" s="277"/>
      <c r="B2136" s="929"/>
      <c r="C2136" s="305" t="s">
        <v>393</v>
      </c>
      <c r="D2136" s="305" t="s">
        <v>192</v>
      </c>
      <c r="E2136" s="283">
        <v>0</v>
      </c>
      <c r="F2136" s="284"/>
      <c r="G2136" s="340">
        <f t="shared" si="2781"/>
        <v>0</v>
      </c>
      <c r="H2136" s="285">
        <v>0</v>
      </c>
      <c r="I2136" s="285">
        <v>0</v>
      </c>
      <c r="J2136" s="359" t="str">
        <f>IFERROR(G2136/#REF!,"-")</f>
        <v>-</v>
      </c>
      <c r="K2136" s="340">
        <f t="shared" si="2782"/>
        <v>0</v>
      </c>
      <c r="L2136" s="285">
        <f t="shared" si="2783"/>
        <v>0</v>
      </c>
      <c r="M2136" s="286">
        <f t="shared" si="2784"/>
        <v>0</v>
      </c>
      <c r="N2136" s="287"/>
      <c r="O2136" s="264" t="str">
        <f t="shared" si="2752"/>
        <v>-</v>
      </c>
    </row>
    <row r="2137" spans="1:15" ht="23.4" x14ac:dyDescent="0.3">
      <c r="A2137" s="277"/>
      <c r="B2137" s="929"/>
      <c r="C2137" s="305" t="s">
        <v>325</v>
      </c>
      <c r="D2137" s="305" t="s">
        <v>101</v>
      </c>
      <c r="E2137" s="283">
        <v>0</v>
      </c>
      <c r="F2137" s="284"/>
      <c r="G2137" s="340">
        <f t="shared" si="2781"/>
        <v>0</v>
      </c>
      <c r="H2137" s="285">
        <v>0</v>
      </c>
      <c r="I2137" s="285">
        <v>0</v>
      </c>
      <c r="J2137" s="359" t="str">
        <f>IFERROR(G2137/#REF!,"-")</f>
        <v>-</v>
      </c>
      <c r="K2137" s="340">
        <f t="shared" si="2782"/>
        <v>7956</v>
      </c>
      <c r="L2137" s="285">
        <f t="shared" si="2783"/>
        <v>7956</v>
      </c>
      <c r="M2137" s="286">
        <f t="shared" si="2784"/>
        <v>0</v>
      </c>
      <c r="N2137" s="287"/>
      <c r="O2137" s="264">
        <f t="shared" si="2752"/>
        <v>0</v>
      </c>
    </row>
    <row r="2138" spans="1:15" ht="23.4" x14ac:dyDescent="0.3">
      <c r="A2138" s="277"/>
      <c r="B2138" s="929"/>
      <c r="C2138" s="305" t="s">
        <v>325</v>
      </c>
      <c r="D2138" s="305" t="s">
        <v>394</v>
      </c>
      <c r="E2138" s="283">
        <v>0</v>
      </c>
      <c r="F2138" s="284"/>
      <c r="G2138" s="340">
        <f t="shared" si="2781"/>
        <v>0</v>
      </c>
      <c r="H2138" s="285">
        <v>0</v>
      </c>
      <c r="I2138" s="285">
        <v>0</v>
      </c>
      <c r="J2138" s="359" t="str">
        <f>IFERROR(G2138/#REF!,"-")</f>
        <v>-</v>
      </c>
      <c r="K2138" s="340">
        <f t="shared" si="2782"/>
        <v>720648</v>
      </c>
      <c r="L2138" s="285">
        <f t="shared" si="2783"/>
        <v>712062</v>
      </c>
      <c r="M2138" s="286">
        <f t="shared" si="2784"/>
        <v>8586</v>
      </c>
      <c r="N2138" s="287"/>
      <c r="O2138" s="264">
        <f t="shared" si="2752"/>
        <v>1.1914277150564492E-2</v>
      </c>
    </row>
    <row r="2139" spans="1:15" ht="24" thickBot="1" x14ac:dyDescent="0.35">
      <c r="A2139" s="277" t="s">
        <v>109</v>
      </c>
      <c r="B2139" s="929"/>
      <c r="C2139" s="306" t="s">
        <v>326</v>
      </c>
      <c r="D2139" s="305" t="s">
        <v>324</v>
      </c>
      <c r="E2139" s="283">
        <v>0</v>
      </c>
      <c r="F2139" s="284"/>
      <c r="G2139" s="340">
        <f t="shared" si="2781"/>
        <v>0</v>
      </c>
      <c r="H2139" s="285">
        <v>0</v>
      </c>
      <c r="I2139" s="285">
        <v>0</v>
      </c>
      <c r="J2139" s="359" t="str">
        <f>IFERROR(G2139/#REF!,"-")</f>
        <v>-</v>
      </c>
      <c r="K2139" s="340">
        <f t="shared" si="2782"/>
        <v>7956</v>
      </c>
      <c r="L2139" s="285">
        <f t="shared" si="2783"/>
        <v>7956</v>
      </c>
      <c r="M2139" s="286">
        <f t="shared" si="2784"/>
        <v>0</v>
      </c>
      <c r="N2139" s="344" t="str">
        <f t="shared" ref="N2139:N2144" si="2786">IFERROR(K2139/E2139,"-")</f>
        <v>-</v>
      </c>
      <c r="O2139" s="353">
        <f t="shared" si="2752"/>
        <v>0</v>
      </c>
    </row>
    <row r="2140" spans="1:15" ht="24" thickBot="1" x14ac:dyDescent="0.35">
      <c r="A2140" s="277" t="s">
        <v>109</v>
      </c>
      <c r="B2140" s="930"/>
      <c r="C2140" s="307"/>
      <c r="D2140" s="308" t="s">
        <v>55</v>
      </c>
      <c r="E2140" s="288">
        <v>0</v>
      </c>
      <c r="F2140" s="289"/>
      <c r="G2140" s="326">
        <f>SUM(G2131:G2139)</f>
        <v>0</v>
      </c>
      <c r="H2140" s="327">
        <f>SUM(H2131:H2139)</f>
        <v>0</v>
      </c>
      <c r="I2140" s="327">
        <f>SUM(I2131:I2139)</f>
        <v>0</v>
      </c>
      <c r="J2140" s="351" t="str">
        <f>IFERROR(G2140/#REF!,"-")</f>
        <v>-</v>
      </c>
      <c r="K2140" s="326">
        <f>SUM(K2131:K2139)</f>
        <v>1169408</v>
      </c>
      <c r="L2140" s="327">
        <f>SUM(L2131:L2139)</f>
        <v>1153620</v>
      </c>
      <c r="M2140" s="328">
        <f>SUM(M2131:M2139)</f>
        <v>15788</v>
      </c>
      <c r="N2140" s="345" t="str">
        <f t="shared" si="2786"/>
        <v>-</v>
      </c>
      <c r="O2140" s="351">
        <f t="shared" si="2752"/>
        <v>1.3500848292469352E-2</v>
      </c>
    </row>
    <row r="2141" spans="1:15" ht="23.4" x14ac:dyDescent="0.3">
      <c r="A2141" s="277" t="s">
        <v>109</v>
      </c>
      <c r="B2141" s="931" t="s">
        <v>28</v>
      </c>
      <c r="C2141" s="305" t="s">
        <v>27</v>
      </c>
      <c r="D2141" s="303" t="s">
        <v>310</v>
      </c>
      <c r="E2141" s="273">
        <v>0</v>
      </c>
      <c r="F2141" s="274"/>
      <c r="G2141" s="338">
        <f t="shared" ref="G2141:G2143" si="2787">+H2141+I2141</f>
        <v>0</v>
      </c>
      <c r="H2141" s="275">
        <v>0</v>
      </c>
      <c r="I2141" s="275">
        <v>0</v>
      </c>
      <c r="J2141" s="357" t="str">
        <f>IFERROR(G2141/#REF!,"-")</f>
        <v>-</v>
      </c>
      <c r="K2141" s="338">
        <f t="shared" ref="K2141:K2143" si="2788">+L2141+M2141</f>
        <v>144790</v>
      </c>
      <c r="L2141" s="275">
        <f t="shared" ref="L2141:L2143" si="2789">+H2141+L2037</f>
        <v>143208</v>
      </c>
      <c r="M2141" s="276">
        <f t="shared" ref="M2141:M2143" si="2790">+I2141+M2037</f>
        <v>1582</v>
      </c>
      <c r="N2141" s="342" t="str">
        <f t="shared" si="2786"/>
        <v>-</v>
      </c>
      <c r="O2141" s="352">
        <f t="shared" si="2752"/>
        <v>1.0926168934318668E-2</v>
      </c>
    </row>
    <row r="2142" spans="1:15" ht="23.4" x14ac:dyDescent="0.3">
      <c r="A2142" s="277" t="s">
        <v>109</v>
      </c>
      <c r="B2142" s="929"/>
      <c r="C2142" s="305" t="s">
        <v>27</v>
      </c>
      <c r="D2142" s="305" t="s">
        <v>394</v>
      </c>
      <c r="E2142" s="279">
        <v>0</v>
      </c>
      <c r="F2142" s="280"/>
      <c r="G2142" s="339">
        <f t="shared" si="2787"/>
        <v>0</v>
      </c>
      <c r="H2142" s="281">
        <v>0</v>
      </c>
      <c r="I2142" s="281">
        <v>0</v>
      </c>
      <c r="J2142" s="358" t="str">
        <f>IFERROR(G2142/#REF!,"-")</f>
        <v>-</v>
      </c>
      <c r="K2142" s="339">
        <f t="shared" si="2788"/>
        <v>390451</v>
      </c>
      <c r="L2142" s="281">
        <f t="shared" si="2789"/>
        <v>385866</v>
      </c>
      <c r="M2142" s="251">
        <f t="shared" si="2790"/>
        <v>4585</v>
      </c>
      <c r="N2142" s="343" t="str">
        <f t="shared" si="2786"/>
        <v>-</v>
      </c>
      <c r="O2142" s="264">
        <f t="shared" si="2752"/>
        <v>1.174283072651882E-2</v>
      </c>
    </row>
    <row r="2143" spans="1:15" ht="24" thickBot="1" x14ac:dyDescent="0.35">
      <c r="A2143" s="277" t="s">
        <v>109</v>
      </c>
      <c r="B2143" s="929"/>
      <c r="C2143" s="305" t="s">
        <v>27</v>
      </c>
      <c r="D2143" s="306" t="s">
        <v>259</v>
      </c>
      <c r="E2143" s="283">
        <v>0</v>
      </c>
      <c r="F2143" s="284"/>
      <c r="G2143" s="340">
        <f t="shared" si="2787"/>
        <v>32378</v>
      </c>
      <c r="H2143" s="285">
        <v>31824</v>
      </c>
      <c r="I2143" s="285">
        <v>554</v>
      </c>
      <c r="J2143" s="359" t="str">
        <f>IFERROR(G2143/#REF!,"-")</f>
        <v>-</v>
      </c>
      <c r="K2143" s="340">
        <f t="shared" si="2788"/>
        <v>459409</v>
      </c>
      <c r="L2143" s="285">
        <f t="shared" si="2789"/>
        <v>453492</v>
      </c>
      <c r="M2143" s="286">
        <f t="shared" si="2790"/>
        <v>5917</v>
      </c>
      <c r="N2143" s="344" t="str">
        <f t="shared" si="2786"/>
        <v>-</v>
      </c>
      <c r="O2143" s="353">
        <f t="shared" si="2752"/>
        <v>1.2879590952724044E-2</v>
      </c>
    </row>
    <row r="2144" spans="1:15" ht="24" thickBot="1" x14ac:dyDescent="0.35">
      <c r="A2144" s="277" t="s">
        <v>109</v>
      </c>
      <c r="B2144" s="929"/>
      <c r="C2144" s="310"/>
      <c r="D2144" s="311" t="s">
        <v>55</v>
      </c>
      <c r="E2144" s="312">
        <v>0</v>
      </c>
      <c r="F2144" s="313"/>
      <c r="G2144" s="372">
        <f>SUM(G2141:G2143)</f>
        <v>32378</v>
      </c>
      <c r="H2144" s="371">
        <f t="shared" ref="H2144:I2144" si="2791">SUM(H2141:H2143)</f>
        <v>31824</v>
      </c>
      <c r="I2144" s="371">
        <f t="shared" si="2791"/>
        <v>554</v>
      </c>
      <c r="J2144" s="362" t="str">
        <f>IFERROR(G2144/#REF!,"-")</f>
        <v>-</v>
      </c>
      <c r="K2144" s="372">
        <f>SUM(K2141:K2143)</f>
        <v>994650</v>
      </c>
      <c r="L2144" s="371">
        <f>SUM(L2141:L2143)</f>
        <v>982566</v>
      </c>
      <c r="M2144" s="373">
        <f t="shared" ref="M2144" si="2792">SUM(M2141:M2143)</f>
        <v>12084</v>
      </c>
      <c r="N2144" s="361" t="str">
        <f t="shared" si="2786"/>
        <v>-</v>
      </c>
      <c r="O2144" s="362">
        <f t="shared" si="2752"/>
        <v>1.2148997134670486E-2</v>
      </c>
    </row>
    <row r="2145" spans="1:15" ht="24" thickBot="1" x14ac:dyDescent="0.35">
      <c r="A2145" s="876" t="s">
        <v>109</v>
      </c>
      <c r="B2145" s="932" t="s">
        <v>171</v>
      </c>
      <c r="C2145" s="933"/>
      <c r="D2145" s="934"/>
      <c r="E2145" s="314">
        <v>2167000</v>
      </c>
      <c r="F2145" s="315">
        <v>80000</v>
      </c>
      <c r="G2145" s="375">
        <f>+G2140+G2144</f>
        <v>32378</v>
      </c>
      <c r="H2145" s="374">
        <f t="shared" ref="H2145:I2145" si="2793">+H2140+H2144</f>
        <v>31824</v>
      </c>
      <c r="I2145" s="374">
        <f t="shared" si="2793"/>
        <v>554</v>
      </c>
      <c r="J2145" s="364" t="str">
        <f>IFERROR(G2145/#REF!,"-")</f>
        <v>-</v>
      </c>
      <c r="K2145" s="375">
        <f>+K2140+K2144</f>
        <v>2164058</v>
      </c>
      <c r="L2145" s="374">
        <f>+L2140+L2144</f>
        <v>2136186</v>
      </c>
      <c r="M2145" s="376">
        <f t="shared" ref="M2145" si="2794">+M2140+M2144</f>
        <v>27872</v>
      </c>
      <c r="N2145" s="363">
        <f>IFERROR(K2145/E2145,"-")</f>
        <v>0.99864236271342866</v>
      </c>
      <c r="O2145" s="364">
        <f t="shared" si="2752"/>
        <v>1.2879506926339313E-2</v>
      </c>
    </row>
    <row r="2146" spans="1:15" ht="23.4" x14ac:dyDescent="0.3">
      <c r="A2146" s="277" t="s">
        <v>109</v>
      </c>
      <c r="B2146" s="929" t="s">
        <v>30</v>
      </c>
      <c r="C2146" s="309" t="s">
        <v>396</v>
      </c>
      <c r="D2146" s="303" t="s">
        <v>193</v>
      </c>
      <c r="E2146" s="273">
        <v>0</v>
      </c>
      <c r="F2146" s="274"/>
      <c r="G2146" s="338">
        <f t="shared" ref="G2146:G2148" si="2795">+H2146+I2146</f>
        <v>0</v>
      </c>
      <c r="H2146" s="275">
        <v>0</v>
      </c>
      <c r="I2146" s="275">
        <v>0</v>
      </c>
      <c r="J2146" s="357" t="str">
        <f>IFERROR(G2146/#REF!,"-")</f>
        <v>-</v>
      </c>
      <c r="K2146" s="338">
        <f t="shared" ref="K2146:K2148" si="2796">+L2146+M2146</f>
        <v>0</v>
      </c>
      <c r="L2146" s="275">
        <f t="shared" ref="L2146:L2148" si="2797">+H2146+L2042</f>
        <v>0</v>
      </c>
      <c r="M2146" s="276">
        <f t="shared" ref="M2146:M2148" si="2798">+I2146+M2042</f>
        <v>0</v>
      </c>
      <c r="N2146" s="342" t="str">
        <f t="shared" ref="N2146:N2156" si="2799">IFERROR(K2146/E2146,"-")</f>
        <v>-</v>
      </c>
      <c r="O2146" s="352" t="str">
        <f t="shared" si="2752"/>
        <v>-</v>
      </c>
    </row>
    <row r="2147" spans="1:15" ht="23.4" x14ac:dyDescent="0.3">
      <c r="A2147" s="277" t="s">
        <v>109</v>
      </c>
      <c r="B2147" s="929"/>
      <c r="C2147" s="309" t="s">
        <v>395</v>
      </c>
      <c r="D2147" s="309" t="s">
        <v>324</v>
      </c>
      <c r="E2147" s="279">
        <v>0</v>
      </c>
      <c r="F2147" s="280"/>
      <c r="G2147" s="339">
        <f t="shared" si="2795"/>
        <v>0</v>
      </c>
      <c r="H2147" s="281">
        <v>0</v>
      </c>
      <c r="I2147" s="281">
        <v>0</v>
      </c>
      <c r="J2147" s="358" t="str">
        <f>IFERROR(G2147/#REF!,"-")</f>
        <v>-</v>
      </c>
      <c r="K2147" s="339">
        <f t="shared" si="2796"/>
        <v>0</v>
      </c>
      <c r="L2147" s="281">
        <f t="shared" si="2797"/>
        <v>0</v>
      </c>
      <c r="M2147" s="251">
        <f t="shared" si="2798"/>
        <v>0</v>
      </c>
      <c r="N2147" s="343" t="str">
        <f t="shared" si="2799"/>
        <v>-</v>
      </c>
      <c r="O2147" s="264" t="str">
        <f t="shared" si="2752"/>
        <v>-</v>
      </c>
    </row>
    <row r="2148" spans="1:15" ht="24" thickBot="1" x14ac:dyDescent="0.35">
      <c r="A2148" s="277" t="s">
        <v>109</v>
      </c>
      <c r="B2148" s="929"/>
      <c r="C2148" s="306" t="s">
        <v>327</v>
      </c>
      <c r="D2148" s="306"/>
      <c r="E2148" s="283">
        <v>0</v>
      </c>
      <c r="F2148" s="284"/>
      <c r="G2148" s="340">
        <f t="shared" si="2795"/>
        <v>17810</v>
      </c>
      <c r="H2148" s="285">
        <v>16848</v>
      </c>
      <c r="I2148" s="285">
        <v>962</v>
      </c>
      <c r="J2148" s="359" t="str">
        <f>IFERROR(G2148/#REF!,"-")</f>
        <v>-</v>
      </c>
      <c r="K2148" s="340">
        <f t="shared" si="2796"/>
        <v>71739</v>
      </c>
      <c r="L2148" s="285">
        <f t="shared" si="2797"/>
        <v>69264</v>
      </c>
      <c r="M2148" s="286">
        <f t="shared" si="2798"/>
        <v>2475</v>
      </c>
      <c r="N2148" s="344" t="str">
        <f t="shared" si="2799"/>
        <v>-</v>
      </c>
      <c r="O2148" s="353">
        <f t="shared" si="2752"/>
        <v>3.4500062727386774E-2</v>
      </c>
    </row>
    <row r="2149" spans="1:15" ht="24" thickBot="1" x14ac:dyDescent="0.35">
      <c r="A2149" s="277" t="s">
        <v>109</v>
      </c>
      <c r="B2149" s="929"/>
      <c r="C2149" s="307"/>
      <c r="D2149" s="308" t="s">
        <v>53</v>
      </c>
      <c r="E2149" s="288">
        <v>0</v>
      </c>
      <c r="F2149" s="289"/>
      <c r="G2149" s="326">
        <f>SUM(G2146:G2148)</f>
        <v>17810</v>
      </c>
      <c r="H2149" s="327">
        <f t="shared" ref="H2149:I2149" si="2800">SUM(H2146:H2148)</f>
        <v>16848</v>
      </c>
      <c r="I2149" s="327">
        <f t="shared" si="2800"/>
        <v>962</v>
      </c>
      <c r="J2149" s="351" t="str">
        <f>IFERROR(G2149/#REF!,"-")</f>
        <v>-</v>
      </c>
      <c r="K2149" s="326">
        <f t="shared" ref="K2149" si="2801">SUM(K2146:K2148)</f>
        <v>71739</v>
      </c>
      <c r="L2149" s="327">
        <f>SUM(L2146:L2148)</f>
        <v>69264</v>
      </c>
      <c r="M2149" s="328">
        <f t="shared" ref="M2149" si="2802">SUM(M2146:M2148)</f>
        <v>2475</v>
      </c>
      <c r="N2149" s="345" t="str">
        <f t="shared" si="2799"/>
        <v>-</v>
      </c>
      <c r="O2149" s="351">
        <f t="shared" si="2752"/>
        <v>3.4500062727386774E-2</v>
      </c>
    </row>
    <row r="2150" spans="1:15" ht="23.4" x14ac:dyDescent="0.3">
      <c r="A2150" s="277" t="s">
        <v>109</v>
      </c>
      <c r="B2150" s="929"/>
      <c r="C2150" s="303" t="s">
        <v>352</v>
      </c>
      <c r="D2150" s="303"/>
      <c r="E2150" s="273">
        <v>0</v>
      </c>
      <c r="F2150" s="274"/>
      <c r="G2150" s="338">
        <f t="shared" ref="G2150:G2152" si="2803">+H2150+I2150</f>
        <v>0</v>
      </c>
      <c r="H2150" s="275">
        <v>0</v>
      </c>
      <c r="I2150" s="275">
        <v>0</v>
      </c>
      <c r="J2150" s="357" t="str">
        <f>IFERROR(G2150/#REF!,"-")</f>
        <v>-</v>
      </c>
      <c r="K2150" s="338">
        <f t="shared" ref="K2150:K2152" si="2804">+L2150+M2150</f>
        <v>0</v>
      </c>
      <c r="L2150" s="275">
        <f t="shared" ref="L2150:L2152" si="2805">+H2150+L2046</f>
        <v>0</v>
      </c>
      <c r="M2150" s="276">
        <f t="shared" ref="M2150:M2152" si="2806">+I2150+M2046</f>
        <v>0</v>
      </c>
      <c r="N2150" s="342" t="str">
        <f t="shared" si="2799"/>
        <v>-</v>
      </c>
      <c r="O2150" s="352" t="str">
        <f t="shared" si="2752"/>
        <v>-</v>
      </c>
    </row>
    <row r="2151" spans="1:15" ht="23.4" x14ac:dyDescent="0.3">
      <c r="A2151" s="277" t="s">
        <v>109</v>
      </c>
      <c r="B2151" s="929"/>
      <c r="C2151" s="309" t="s">
        <v>397</v>
      </c>
      <c r="D2151" s="309" t="s">
        <v>259</v>
      </c>
      <c r="E2151" s="279">
        <v>0</v>
      </c>
      <c r="F2151" s="280"/>
      <c r="G2151" s="339">
        <f t="shared" si="2803"/>
        <v>0</v>
      </c>
      <c r="H2151" s="281">
        <v>0</v>
      </c>
      <c r="I2151" s="281">
        <v>0</v>
      </c>
      <c r="J2151" s="358" t="str">
        <f>IFERROR(G2151/#REF!,"-")</f>
        <v>-</v>
      </c>
      <c r="K2151" s="339">
        <f t="shared" si="2804"/>
        <v>493341</v>
      </c>
      <c r="L2151" s="281">
        <f t="shared" si="2805"/>
        <v>481104</v>
      </c>
      <c r="M2151" s="251">
        <f t="shared" si="2806"/>
        <v>12237</v>
      </c>
      <c r="N2151" s="343" t="str">
        <f t="shared" si="2799"/>
        <v>-</v>
      </c>
      <c r="O2151" s="264">
        <f t="shared" si="2752"/>
        <v>2.4804344256812227E-2</v>
      </c>
    </row>
    <row r="2152" spans="1:15" ht="24" thickBot="1" x14ac:dyDescent="0.35">
      <c r="A2152" s="277" t="s">
        <v>109</v>
      </c>
      <c r="B2152" s="929"/>
      <c r="C2152" s="306" t="s">
        <v>146</v>
      </c>
      <c r="D2152" s="306"/>
      <c r="E2152" s="283">
        <v>0</v>
      </c>
      <c r="F2152" s="284"/>
      <c r="G2152" s="340">
        <f t="shared" si="2803"/>
        <v>0</v>
      </c>
      <c r="H2152" s="285">
        <v>0</v>
      </c>
      <c r="I2152" s="285">
        <v>0</v>
      </c>
      <c r="J2152" s="359" t="str">
        <f>IFERROR(G2152/#REF!,"-")</f>
        <v>-</v>
      </c>
      <c r="K2152" s="340">
        <f t="shared" si="2804"/>
        <v>0</v>
      </c>
      <c r="L2152" s="285">
        <f t="shared" si="2805"/>
        <v>0</v>
      </c>
      <c r="M2152" s="286">
        <f t="shared" si="2806"/>
        <v>0</v>
      </c>
      <c r="N2152" s="344" t="str">
        <f t="shared" si="2799"/>
        <v>-</v>
      </c>
      <c r="O2152" s="353" t="str">
        <f t="shared" si="2752"/>
        <v>-</v>
      </c>
    </row>
    <row r="2153" spans="1:15" ht="24" thickBot="1" x14ac:dyDescent="0.35">
      <c r="A2153" s="277" t="s">
        <v>109</v>
      </c>
      <c r="B2153" s="929"/>
      <c r="C2153" s="310"/>
      <c r="D2153" s="311" t="s">
        <v>54</v>
      </c>
      <c r="E2153" s="312">
        <v>0</v>
      </c>
      <c r="F2153" s="313"/>
      <c r="G2153" s="372">
        <f>SUM(G2150:G2152)</f>
        <v>0</v>
      </c>
      <c r="H2153" s="371">
        <f t="shared" ref="H2153:I2153" si="2807">SUM(H2150:H2152)</f>
        <v>0</v>
      </c>
      <c r="I2153" s="371">
        <f t="shared" si="2807"/>
        <v>0</v>
      </c>
      <c r="J2153" s="362" t="str">
        <f>IFERROR(G2153/#REF!,"-")</f>
        <v>-</v>
      </c>
      <c r="K2153" s="372">
        <f t="shared" ref="K2153:M2153" si="2808">SUM(K2150:K2152)</f>
        <v>493341</v>
      </c>
      <c r="L2153" s="371">
        <f t="shared" si="2808"/>
        <v>481104</v>
      </c>
      <c r="M2153" s="373">
        <f t="shared" si="2808"/>
        <v>12237</v>
      </c>
      <c r="N2153" s="361" t="str">
        <f t="shared" si="2799"/>
        <v>-</v>
      </c>
      <c r="O2153" s="362">
        <f t="shared" si="2752"/>
        <v>2.4804344256812227E-2</v>
      </c>
    </row>
    <row r="2154" spans="1:15" ht="24" thickBot="1" x14ac:dyDescent="0.35">
      <c r="A2154" s="277" t="s">
        <v>109</v>
      </c>
      <c r="B2154" s="932" t="s">
        <v>172</v>
      </c>
      <c r="C2154" s="933"/>
      <c r="D2154" s="934"/>
      <c r="E2154" s="314">
        <v>649600</v>
      </c>
      <c r="F2154" s="315">
        <v>50000</v>
      </c>
      <c r="G2154" s="375">
        <f>+G2149+G2153</f>
        <v>17810</v>
      </c>
      <c r="H2154" s="374">
        <f t="shared" ref="H2154:I2154" si="2809">+H2149+H2153</f>
        <v>16848</v>
      </c>
      <c r="I2154" s="374">
        <f t="shared" si="2809"/>
        <v>962</v>
      </c>
      <c r="J2154" s="364" t="str">
        <f>IFERROR(G2154/#REF!,"-")</f>
        <v>-</v>
      </c>
      <c r="K2154" s="375">
        <f t="shared" ref="K2154:M2154" si="2810">+K2149+K2153</f>
        <v>565080</v>
      </c>
      <c r="L2154" s="374">
        <f t="shared" si="2810"/>
        <v>550368</v>
      </c>
      <c r="M2154" s="376">
        <f t="shared" si="2810"/>
        <v>14712</v>
      </c>
      <c r="N2154" s="363">
        <f t="shared" si="2799"/>
        <v>0.86988916256157633</v>
      </c>
      <c r="O2154" s="364">
        <f t="shared" si="2752"/>
        <v>2.6035251645784668E-2</v>
      </c>
    </row>
    <row r="2155" spans="1:15" ht="24" thickBot="1" x14ac:dyDescent="0.35">
      <c r="A2155" s="277" t="s">
        <v>109</v>
      </c>
      <c r="B2155" s="616" t="s">
        <v>32</v>
      </c>
      <c r="C2155" s="872"/>
      <c r="D2155" s="316" t="s">
        <v>32</v>
      </c>
      <c r="E2155" s="293">
        <v>0</v>
      </c>
      <c r="F2155" s="294">
        <v>110000</v>
      </c>
      <c r="G2155" s="341">
        <f t="shared" ref="G2155" si="2811">+H2155+I2155</f>
        <v>0</v>
      </c>
      <c r="H2155" s="295">
        <v>0</v>
      </c>
      <c r="I2155" s="295">
        <v>0</v>
      </c>
      <c r="J2155" s="360" t="str">
        <f>IFERROR(G2155/#REF!,"-")</f>
        <v>-</v>
      </c>
      <c r="K2155" s="341">
        <f>+L2155+M2155</f>
        <v>0</v>
      </c>
      <c r="L2155" s="295">
        <f>+H2155+L2051</f>
        <v>0</v>
      </c>
      <c r="M2155" s="296">
        <f>+I2155+M2051</f>
        <v>0</v>
      </c>
      <c r="N2155" s="346" t="str">
        <f t="shared" si="2799"/>
        <v>-</v>
      </c>
      <c r="O2155" s="354" t="str">
        <f t="shared" si="2752"/>
        <v>-</v>
      </c>
    </row>
    <row r="2156" spans="1:15" ht="24" thickBot="1" x14ac:dyDescent="0.35">
      <c r="A2156" s="277" t="s">
        <v>109</v>
      </c>
      <c r="B2156" s="926" t="s">
        <v>21</v>
      </c>
      <c r="C2156" s="927"/>
      <c r="D2156" s="928"/>
      <c r="E2156" s="332">
        <f>+E2145+E2154+E2155</f>
        <v>2816600</v>
      </c>
      <c r="F2156" s="333">
        <f t="shared" ref="F2156" si="2812">+F2145+F2154+F2155</f>
        <v>240000</v>
      </c>
      <c r="G2156" s="332">
        <f>+G2145+G2154+G2155</f>
        <v>50188</v>
      </c>
      <c r="H2156" s="330">
        <f t="shared" ref="H2156:I2156" si="2813">+H2145+H2154+H2155</f>
        <v>48672</v>
      </c>
      <c r="I2156" s="330">
        <f t="shared" si="2813"/>
        <v>1516</v>
      </c>
      <c r="J2156" s="355" t="str">
        <f>IFERROR(G2156/#REF!,"-")</f>
        <v>-</v>
      </c>
      <c r="K2156" s="332">
        <f>+K2145+K2154+K2155</f>
        <v>2729138</v>
      </c>
      <c r="L2156" s="330">
        <f>+L2145+L2154+L2155</f>
        <v>2686554</v>
      </c>
      <c r="M2156" s="331">
        <f t="shared" ref="M2156" si="2814">+M2145+M2154+M2155</f>
        <v>42584</v>
      </c>
      <c r="N2156" s="347">
        <f t="shared" si="2799"/>
        <v>0.96894766740041183</v>
      </c>
      <c r="O2156" s="355">
        <f t="shared" si="2752"/>
        <v>1.5603461605825722E-2</v>
      </c>
    </row>
    <row r="2157" spans="1:15" ht="24" thickBot="1" x14ac:dyDescent="0.35">
      <c r="A2157" s="277" t="s">
        <v>109</v>
      </c>
      <c r="B2157" s="900" t="s">
        <v>180</v>
      </c>
      <c r="C2157" s="901"/>
      <c r="D2157" s="902"/>
      <c r="E2157" s="336">
        <f>+E2156</f>
        <v>2816600</v>
      </c>
      <c r="F2157" s="337">
        <f t="shared" ref="F2157:I2157" si="2815">+F2156</f>
        <v>240000</v>
      </c>
      <c r="G2157" s="336">
        <f t="shared" si="2815"/>
        <v>50188</v>
      </c>
      <c r="H2157" s="334">
        <f t="shared" si="2815"/>
        <v>48672</v>
      </c>
      <c r="I2157" s="334">
        <f t="shared" si="2815"/>
        <v>1516</v>
      </c>
      <c r="J2157" s="356" t="str">
        <f>+J2156</f>
        <v>-</v>
      </c>
      <c r="K2157" s="336">
        <f>+K2156</f>
        <v>2729138</v>
      </c>
      <c r="L2157" s="334">
        <f t="shared" ref="L2157" si="2816">+L2156</f>
        <v>2686554</v>
      </c>
      <c r="M2157" s="335">
        <f>+M2156</f>
        <v>42584</v>
      </c>
      <c r="N2157" s="348">
        <f t="shared" ref="N2157:O2157" si="2817">+N2156</f>
        <v>0.96894766740041183</v>
      </c>
      <c r="O2157" s="356">
        <f t="shared" si="2817"/>
        <v>1.5603461605825722E-2</v>
      </c>
    </row>
    <row r="2158" spans="1:15" ht="23.4" x14ac:dyDescent="0.3">
      <c r="A2158" s="271" t="s">
        <v>110</v>
      </c>
      <c r="B2158" s="903" t="s">
        <v>33</v>
      </c>
      <c r="C2158" s="317" t="s">
        <v>121</v>
      </c>
      <c r="D2158" s="317"/>
      <c r="E2158" s="273">
        <v>0</v>
      </c>
      <c r="F2158" s="274"/>
      <c r="G2158" s="338">
        <f t="shared" ref="G2158:G2160" si="2818">+H2158+I2158</f>
        <v>0</v>
      </c>
      <c r="H2158" s="275">
        <v>0</v>
      </c>
      <c r="I2158" s="275">
        <v>0</v>
      </c>
      <c r="J2158" s="357" t="str">
        <f>IFERROR(G2158/#REF!,"-")</f>
        <v>-</v>
      </c>
      <c r="K2158" s="338">
        <f t="shared" ref="K2158:K2160" si="2819">+L2158+M2158</f>
        <v>0</v>
      </c>
      <c r="L2158" s="275">
        <f t="shared" ref="L2158:L2160" si="2820">+H2158+L2054</f>
        <v>0</v>
      </c>
      <c r="M2158" s="276">
        <f t="shared" ref="M2158:M2160" si="2821">+I2158+M2054</f>
        <v>0</v>
      </c>
      <c r="N2158" s="342" t="str">
        <f t="shared" ref="N2158:N2165" si="2822">IFERROR(K2158/E2158,"-")</f>
        <v>-</v>
      </c>
      <c r="O2158" s="352" t="str">
        <f t="shared" ref="O2158:O2183" si="2823">IFERROR(M2158/K2158,"-")</f>
        <v>-</v>
      </c>
    </row>
    <row r="2159" spans="1:15" ht="23.4" x14ac:dyDescent="0.3">
      <c r="A2159" s="277" t="s">
        <v>110</v>
      </c>
      <c r="B2159" s="904"/>
      <c r="C2159" s="318" t="s">
        <v>274</v>
      </c>
      <c r="D2159" s="318"/>
      <c r="E2159" s="279">
        <v>0</v>
      </c>
      <c r="F2159" s="280"/>
      <c r="G2159" s="339">
        <f t="shared" si="2818"/>
        <v>0</v>
      </c>
      <c r="H2159" s="281">
        <v>0</v>
      </c>
      <c r="I2159" s="281">
        <v>0</v>
      </c>
      <c r="J2159" s="358" t="str">
        <f>IFERROR(G2159/#REF!,"-")</f>
        <v>-</v>
      </c>
      <c r="K2159" s="339">
        <f t="shared" si="2819"/>
        <v>10252</v>
      </c>
      <c r="L2159" s="281">
        <f t="shared" si="2820"/>
        <v>9280</v>
      </c>
      <c r="M2159" s="251">
        <f t="shared" si="2821"/>
        <v>972</v>
      </c>
      <c r="N2159" s="343" t="str">
        <f t="shared" si="2822"/>
        <v>-</v>
      </c>
      <c r="O2159" s="264">
        <f t="shared" si="2823"/>
        <v>9.4810768630511119E-2</v>
      </c>
    </row>
    <row r="2160" spans="1:15" ht="24" thickBot="1" x14ac:dyDescent="0.35">
      <c r="A2160" s="277" t="s">
        <v>110</v>
      </c>
      <c r="B2160" s="905"/>
      <c r="C2160" s="319" t="s">
        <v>34</v>
      </c>
      <c r="D2160" s="319"/>
      <c r="E2160" s="283">
        <v>0</v>
      </c>
      <c r="F2160" s="284"/>
      <c r="G2160" s="340">
        <f t="shared" si="2818"/>
        <v>0</v>
      </c>
      <c r="H2160" s="285">
        <v>0</v>
      </c>
      <c r="I2160" s="285">
        <v>0</v>
      </c>
      <c r="J2160" s="359" t="str">
        <f>IFERROR(G2160/#REF!,"-")</f>
        <v>-</v>
      </c>
      <c r="K2160" s="340">
        <f t="shared" si="2819"/>
        <v>0</v>
      </c>
      <c r="L2160" s="285">
        <f t="shared" si="2820"/>
        <v>0</v>
      </c>
      <c r="M2160" s="286">
        <f t="shared" si="2821"/>
        <v>0</v>
      </c>
      <c r="N2160" s="344" t="str">
        <f t="shared" si="2822"/>
        <v>-</v>
      </c>
      <c r="O2160" s="353" t="str">
        <f t="shared" si="2823"/>
        <v>-</v>
      </c>
    </row>
    <row r="2161" spans="1:15" ht="24" thickBot="1" x14ac:dyDescent="0.35">
      <c r="A2161" s="277" t="s">
        <v>110</v>
      </c>
      <c r="B2161" s="906" t="s">
        <v>35</v>
      </c>
      <c r="C2161" s="907"/>
      <c r="D2161" s="908"/>
      <c r="E2161" s="288">
        <v>83700</v>
      </c>
      <c r="F2161" s="289"/>
      <c r="G2161" s="326">
        <f>SUM(G2158:G2160)</f>
        <v>0</v>
      </c>
      <c r="H2161" s="327">
        <f t="shared" ref="H2161:I2161" si="2824">SUM(H2158:H2160)</f>
        <v>0</v>
      </c>
      <c r="I2161" s="327">
        <f t="shared" si="2824"/>
        <v>0</v>
      </c>
      <c r="J2161" s="351" t="str">
        <f>IFERROR(G2161/#REF!,"-")</f>
        <v>-</v>
      </c>
      <c r="K2161" s="326">
        <f t="shared" ref="K2161:M2161" si="2825">SUM(K2158:K2160)</f>
        <v>10252</v>
      </c>
      <c r="L2161" s="327">
        <f t="shared" si="2825"/>
        <v>9280</v>
      </c>
      <c r="M2161" s="328">
        <f t="shared" si="2825"/>
        <v>972</v>
      </c>
      <c r="N2161" s="345">
        <f t="shared" si="2822"/>
        <v>0.12248506571087216</v>
      </c>
      <c r="O2161" s="351">
        <f t="shared" si="2823"/>
        <v>9.4810768630511119E-2</v>
      </c>
    </row>
    <row r="2162" spans="1:15" ht="23.4" x14ac:dyDescent="0.3">
      <c r="A2162" s="277" t="s">
        <v>110</v>
      </c>
      <c r="B2162" s="903" t="s">
        <v>36</v>
      </c>
      <c r="C2162" s="317" t="s">
        <v>121</v>
      </c>
      <c r="D2162" s="317"/>
      <c r="E2162" s="273">
        <v>0</v>
      </c>
      <c r="F2162" s="274"/>
      <c r="G2162" s="338">
        <f t="shared" ref="G2162:G2165" si="2826">+H2162+I2162</f>
        <v>0</v>
      </c>
      <c r="H2162" s="275">
        <v>0</v>
      </c>
      <c r="I2162" s="275">
        <v>0</v>
      </c>
      <c r="J2162" s="357" t="str">
        <f>IFERROR(G2162/#REF!,"-")</f>
        <v>-</v>
      </c>
      <c r="K2162" s="338">
        <f t="shared" ref="K2162:K2165" si="2827">+L2162+M2162</f>
        <v>0</v>
      </c>
      <c r="L2162" s="275">
        <f t="shared" ref="L2162:L2165" si="2828">+H2162+L2058</f>
        <v>0</v>
      </c>
      <c r="M2162" s="276">
        <f t="shared" ref="M2162:M2165" si="2829">+I2162+M2058</f>
        <v>0</v>
      </c>
      <c r="N2162" s="342" t="str">
        <f t="shared" si="2822"/>
        <v>-</v>
      </c>
      <c r="O2162" s="352" t="str">
        <f t="shared" si="2823"/>
        <v>-</v>
      </c>
    </row>
    <row r="2163" spans="1:15" ht="23.4" x14ac:dyDescent="0.3">
      <c r="A2163" s="277" t="s">
        <v>110</v>
      </c>
      <c r="B2163" s="904"/>
      <c r="C2163" s="318" t="s">
        <v>274</v>
      </c>
      <c r="D2163" s="318"/>
      <c r="E2163" s="279">
        <v>0</v>
      </c>
      <c r="F2163" s="280"/>
      <c r="G2163" s="339">
        <f t="shared" si="2826"/>
        <v>0</v>
      </c>
      <c r="H2163" s="281">
        <v>0</v>
      </c>
      <c r="I2163" s="281">
        <v>0</v>
      </c>
      <c r="J2163" s="358" t="str">
        <f>IFERROR(G2163/#REF!,"-")</f>
        <v>-</v>
      </c>
      <c r="K2163" s="339">
        <f t="shared" si="2827"/>
        <v>68200</v>
      </c>
      <c r="L2163" s="281">
        <f t="shared" si="2828"/>
        <v>66462</v>
      </c>
      <c r="M2163" s="251">
        <f t="shared" si="2829"/>
        <v>1738</v>
      </c>
      <c r="N2163" s="343" t="str">
        <f t="shared" si="2822"/>
        <v>-</v>
      </c>
      <c r="O2163" s="264">
        <f t="shared" si="2823"/>
        <v>2.5483870967741934E-2</v>
      </c>
    </row>
    <row r="2164" spans="1:15" ht="23.4" x14ac:dyDescent="0.3">
      <c r="A2164" s="277" t="s">
        <v>110</v>
      </c>
      <c r="B2164" s="904"/>
      <c r="C2164" s="318" t="s">
        <v>201</v>
      </c>
      <c r="D2164" s="318"/>
      <c r="E2164" s="279">
        <v>0</v>
      </c>
      <c r="F2164" s="280"/>
      <c r="G2164" s="339">
        <f t="shared" si="2826"/>
        <v>0</v>
      </c>
      <c r="H2164" s="281">
        <v>0</v>
      </c>
      <c r="I2164" s="281">
        <v>0</v>
      </c>
      <c r="J2164" s="358" t="str">
        <f>IFERROR(G2164/#REF!,"-")</f>
        <v>-</v>
      </c>
      <c r="K2164" s="339">
        <f t="shared" si="2827"/>
        <v>0</v>
      </c>
      <c r="L2164" s="281">
        <f t="shared" si="2828"/>
        <v>0</v>
      </c>
      <c r="M2164" s="251">
        <f t="shared" si="2829"/>
        <v>0</v>
      </c>
      <c r="N2164" s="343" t="str">
        <f t="shared" si="2822"/>
        <v>-</v>
      </c>
      <c r="O2164" s="264" t="str">
        <f t="shared" si="2823"/>
        <v>-</v>
      </c>
    </row>
    <row r="2165" spans="1:15" ht="24" thickBot="1" x14ac:dyDescent="0.35">
      <c r="A2165" s="277" t="s">
        <v>110</v>
      </c>
      <c r="B2165" s="905"/>
      <c r="C2165" s="319" t="s">
        <v>37</v>
      </c>
      <c r="D2165" s="319"/>
      <c r="E2165" s="283">
        <v>0</v>
      </c>
      <c r="F2165" s="284"/>
      <c r="G2165" s="340">
        <f t="shared" si="2826"/>
        <v>0</v>
      </c>
      <c r="H2165" s="285">
        <v>0</v>
      </c>
      <c r="I2165" s="285">
        <v>0</v>
      </c>
      <c r="J2165" s="359" t="str">
        <f>IFERROR(G2165/#REF!,"-")</f>
        <v>-</v>
      </c>
      <c r="K2165" s="340">
        <f t="shared" si="2827"/>
        <v>0</v>
      </c>
      <c r="L2165" s="285">
        <f t="shared" si="2828"/>
        <v>0</v>
      </c>
      <c r="M2165" s="286">
        <f t="shared" si="2829"/>
        <v>0</v>
      </c>
      <c r="N2165" s="344" t="str">
        <f t="shared" si="2822"/>
        <v>-</v>
      </c>
      <c r="O2165" s="353" t="str">
        <f t="shared" si="2823"/>
        <v>-</v>
      </c>
    </row>
    <row r="2166" spans="1:15" ht="24" thickBot="1" x14ac:dyDescent="0.35">
      <c r="A2166" s="277" t="s">
        <v>110</v>
      </c>
      <c r="B2166" s="906" t="s">
        <v>38</v>
      </c>
      <c r="C2166" s="907"/>
      <c r="D2166" s="908"/>
      <c r="E2166" s="288">
        <v>10300</v>
      </c>
      <c r="F2166" s="289">
        <v>6500</v>
      </c>
      <c r="G2166" s="326">
        <f>SUM(G2162:G2165)</f>
        <v>0</v>
      </c>
      <c r="H2166" s="327">
        <f t="shared" ref="H2166:I2166" si="2830">SUM(H2162:H2165)</f>
        <v>0</v>
      </c>
      <c r="I2166" s="327">
        <f t="shared" si="2830"/>
        <v>0</v>
      </c>
      <c r="J2166" s="351" t="str">
        <f>IFERROR(G2166/#REF!,"-")</f>
        <v>-</v>
      </c>
      <c r="K2166" s="326">
        <f t="shared" ref="K2166:M2166" si="2831">SUM(K2162:K2165)</f>
        <v>68200</v>
      </c>
      <c r="L2166" s="327">
        <f t="shared" si="2831"/>
        <v>66462</v>
      </c>
      <c r="M2166" s="328">
        <f t="shared" si="2831"/>
        <v>1738</v>
      </c>
      <c r="N2166" s="345">
        <f>IFERROR(K2166/E2166,"-")</f>
        <v>6.6213592233009706</v>
      </c>
      <c r="O2166" s="351">
        <f t="shared" si="2823"/>
        <v>2.5483870967741934E-2</v>
      </c>
    </row>
    <row r="2167" spans="1:15" ht="23.4" x14ac:dyDescent="0.3">
      <c r="A2167" s="277" t="s">
        <v>110</v>
      </c>
      <c r="B2167" s="903" t="s">
        <v>39</v>
      </c>
      <c r="C2167" s="320" t="s">
        <v>124</v>
      </c>
      <c r="D2167" s="320"/>
      <c r="E2167" s="273">
        <v>0</v>
      </c>
      <c r="F2167" s="274"/>
      <c r="G2167" s="338">
        <f t="shared" ref="G2167:G2168" si="2832">+H2167+I2167</f>
        <v>0</v>
      </c>
      <c r="H2167" s="275">
        <v>0</v>
      </c>
      <c r="I2167" s="275">
        <v>0</v>
      </c>
      <c r="J2167" s="357" t="str">
        <f>IFERROR(G2167/#REF!,"-")</f>
        <v>-</v>
      </c>
      <c r="K2167" s="338">
        <f t="shared" ref="K2167:K2168" si="2833">+L2167+M2167</f>
        <v>0</v>
      </c>
      <c r="L2167" s="275">
        <f t="shared" ref="L2167:L2168" si="2834">+H2167+L2063</f>
        <v>0</v>
      </c>
      <c r="M2167" s="276">
        <f t="shared" ref="M2167:M2168" si="2835">+I2167+M2063</f>
        <v>0</v>
      </c>
      <c r="N2167" s="342" t="str">
        <f t="shared" ref="N2167:N2183" si="2836">IFERROR(K2167/E2167,"-")</f>
        <v>-</v>
      </c>
      <c r="O2167" s="352" t="str">
        <f t="shared" si="2823"/>
        <v>-</v>
      </c>
    </row>
    <row r="2168" spans="1:15" ht="24" thickBot="1" x14ac:dyDescent="0.35">
      <c r="A2168" s="277" t="s">
        <v>110</v>
      </c>
      <c r="B2168" s="905"/>
      <c r="C2168" s="290" t="s">
        <v>140</v>
      </c>
      <c r="D2168" s="290"/>
      <c r="E2168" s="283">
        <v>0</v>
      </c>
      <c r="F2168" s="284"/>
      <c r="G2168" s="340">
        <f t="shared" si="2832"/>
        <v>3487</v>
      </c>
      <c r="H2168" s="285">
        <v>3200</v>
      </c>
      <c r="I2168" s="285">
        <v>287</v>
      </c>
      <c r="J2168" s="359" t="str">
        <f>IFERROR(G2168/#REF!,"-")</f>
        <v>-</v>
      </c>
      <c r="K2168" s="340">
        <f t="shared" si="2833"/>
        <v>18317</v>
      </c>
      <c r="L2168" s="285">
        <f t="shared" si="2834"/>
        <v>16514</v>
      </c>
      <c r="M2168" s="286">
        <f t="shared" si="2835"/>
        <v>1803</v>
      </c>
      <c r="N2168" s="344" t="str">
        <f t="shared" si="2836"/>
        <v>-</v>
      </c>
      <c r="O2168" s="353">
        <f t="shared" si="2823"/>
        <v>9.8433149533220507E-2</v>
      </c>
    </row>
    <row r="2169" spans="1:15" ht="24" thickBot="1" x14ac:dyDescent="0.35">
      <c r="A2169" s="876" t="s">
        <v>110</v>
      </c>
      <c r="B2169" s="906" t="s">
        <v>40</v>
      </c>
      <c r="C2169" s="907"/>
      <c r="D2169" s="908"/>
      <c r="E2169" s="288">
        <v>30000</v>
      </c>
      <c r="F2169" s="289">
        <v>2800</v>
      </c>
      <c r="G2169" s="326">
        <f>SUM(G2167:G2168)</f>
        <v>3487</v>
      </c>
      <c r="H2169" s="327">
        <f t="shared" ref="H2169:I2169" si="2837">SUM(H2167:H2168)</f>
        <v>3200</v>
      </c>
      <c r="I2169" s="327">
        <f t="shared" si="2837"/>
        <v>287</v>
      </c>
      <c r="J2169" s="351" t="str">
        <f>IFERROR(G2169/#REF!,"-")</f>
        <v>-</v>
      </c>
      <c r="K2169" s="326">
        <f t="shared" ref="K2169:M2169" si="2838">SUM(K2167:K2168)</f>
        <v>18317</v>
      </c>
      <c r="L2169" s="327">
        <f t="shared" si="2838"/>
        <v>16514</v>
      </c>
      <c r="M2169" s="328">
        <f t="shared" si="2838"/>
        <v>1803</v>
      </c>
      <c r="N2169" s="345">
        <f t="shared" si="2836"/>
        <v>0.6105666666666667</v>
      </c>
      <c r="O2169" s="351">
        <f t="shared" si="2823"/>
        <v>9.8433149533220507E-2</v>
      </c>
    </row>
    <row r="2170" spans="1:15" ht="23.4" x14ac:dyDescent="0.3">
      <c r="A2170" s="277" t="s">
        <v>110</v>
      </c>
      <c r="B2170" s="903" t="s">
        <v>41</v>
      </c>
      <c r="C2170" s="272" t="s">
        <v>346</v>
      </c>
      <c r="D2170" s="272"/>
      <c r="E2170" s="273">
        <v>0</v>
      </c>
      <c r="F2170" s="321"/>
      <c r="G2170" s="338">
        <f t="shared" ref="G2170:G2174" si="2839">+H2170+I2170</f>
        <v>21990</v>
      </c>
      <c r="H2170" s="275">
        <v>21840</v>
      </c>
      <c r="I2170" s="275">
        <v>150</v>
      </c>
      <c r="J2170" s="377" t="str">
        <f>IFERROR(G2170/#REF!,"-")</f>
        <v>-</v>
      </c>
      <c r="K2170" s="338">
        <f t="shared" ref="K2170:K2174" si="2840">+L2170+M2170</f>
        <v>430116</v>
      </c>
      <c r="L2170" s="275">
        <f t="shared" ref="L2170:L2174" si="2841">+H2170+L2066</f>
        <v>426300</v>
      </c>
      <c r="M2170" s="276">
        <f t="shared" ref="M2170:M2174" si="2842">+I2170+M2066</f>
        <v>3816</v>
      </c>
      <c r="N2170" s="365" t="str">
        <f t="shared" si="2836"/>
        <v>-</v>
      </c>
      <c r="O2170" s="366">
        <f t="shared" si="2823"/>
        <v>8.8720252211031449E-3</v>
      </c>
    </row>
    <row r="2171" spans="1:15" ht="23.4" x14ac:dyDescent="0.3">
      <c r="A2171" s="277" t="s">
        <v>110</v>
      </c>
      <c r="B2171" s="904"/>
      <c r="C2171" s="272" t="s">
        <v>347</v>
      </c>
      <c r="D2171" s="278"/>
      <c r="E2171" s="279">
        <v>0</v>
      </c>
      <c r="F2171" s="322"/>
      <c r="G2171" s="339">
        <f t="shared" si="2839"/>
        <v>0</v>
      </c>
      <c r="H2171" s="281">
        <v>0</v>
      </c>
      <c r="I2171" s="281">
        <v>0</v>
      </c>
      <c r="J2171" s="378" t="str">
        <f>IFERROR(G2171/#REF!,"-")</f>
        <v>-</v>
      </c>
      <c r="K2171" s="339">
        <f t="shared" si="2840"/>
        <v>0</v>
      </c>
      <c r="L2171" s="281">
        <f t="shared" si="2841"/>
        <v>0</v>
      </c>
      <c r="M2171" s="251">
        <f t="shared" si="2842"/>
        <v>0</v>
      </c>
      <c r="N2171" s="367" t="str">
        <f t="shared" si="2836"/>
        <v>-</v>
      </c>
      <c r="O2171" s="368" t="str">
        <f t="shared" si="2823"/>
        <v>-</v>
      </c>
    </row>
    <row r="2172" spans="1:15" ht="23.4" x14ac:dyDescent="0.3">
      <c r="A2172" s="277" t="s">
        <v>110</v>
      </c>
      <c r="B2172" s="904"/>
      <c r="C2172" s="278" t="s">
        <v>423</v>
      </c>
      <c r="D2172" s="278"/>
      <c r="E2172" s="279">
        <v>0</v>
      </c>
      <c r="F2172" s="322"/>
      <c r="G2172" s="339">
        <f t="shared" si="2839"/>
        <v>0</v>
      </c>
      <c r="H2172" s="281">
        <v>0</v>
      </c>
      <c r="I2172" s="281">
        <v>0</v>
      </c>
      <c r="J2172" s="378" t="str">
        <f>IFERROR(G2172/#REF!,"-")</f>
        <v>-</v>
      </c>
      <c r="K2172" s="339">
        <f t="shared" si="2840"/>
        <v>34536</v>
      </c>
      <c r="L2172" s="281">
        <f t="shared" si="2841"/>
        <v>33960</v>
      </c>
      <c r="M2172" s="251">
        <f t="shared" si="2842"/>
        <v>576</v>
      </c>
      <c r="N2172" s="367" t="str">
        <f t="shared" si="2836"/>
        <v>-</v>
      </c>
      <c r="O2172" s="368">
        <f t="shared" si="2823"/>
        <v>1.6678248783877692E-2</v>
      </c>
    </row>
    <row r="2173" spans="1:15" ht="23.4" x14ac:dyDescent="0.3">
      <c r="A2173" s="277" t="s">
        <v>110</v>
      </c>
      <c r="B2173" s="904"/>
      <c r="C2173" s="278" t="s">
        <v>166</v>
      </c>
      <c r="D2173" s="278"/>
      <c r="E2173" s="279">
        <v>0</v>
      </c>
      <c r="F2173" s="322"/>
      <c r="G2173" s="339">
        <f t="shared" si="2839"/>
        <v>0</v>
      </c>
      <c r="H2173" s="281">
        <v>0</v>
      </c>
      <c r="I2173" s="281">
        <v>0</v>
      </c>
      <c r="J2173" s="378" t="str">
        <f>IFERROR(G2173/#REF!,"-")</f>
        <v>-</v>
      </c>
      <c r="K2173" s="339">
        <f t="shared" si="2840"/>
        <v>0</v>
      </c>
      <c r="L2173" s="281">
        <f t="shared" si="2841"/>
        <v>0</v>
      </c>
      <c r="M2173" s="251">
        <f t="shared" si="2842"/>
        <v>0</v>
      </c>
      <c r="N2173" s="367" t="str">
        <f t="shared" si="2836"/>
        <v>-</v>
      </c>
      <c r="O2173" s="368" t="str">
        <f t="shared" si="2823"/>
        <v>-</v>
      </c>
    </row>
    <row r="2174" spans="1:15" ht="24" thickBot="1" x14ac:dyDescent="0.35">
      <c r="A2174" s="277" t="s">
        <v>110</v>
      </c>
      <c r="B2174" s="905"/>
      <c r="C2174" s="282" t="s">
        <v>167</v>
      </c>
      <c r="D2174" s="282"/>
      <c r="E2174" s="283">
        <v>0</v>
      </c>
      <c r="F2174" s="323"/>
      <c r="G2174" s="340">
        <f t="shared" si="2839"/>
        <v>0</v>
      </c>
      <c r="H2174" s="285">
        <v>0</v>
      </c>
      <c r="I2174" s="285">
        <v>0</v>
      </c>
      <c r="J2174" s="379" t="str">
        <f>IFERROR(G2174/#REF!,"-")</f>
        <v>-</v>
      </c>
      <c r="K2174" s="340">
        <f t="shared" si="2840"/>
        <v>0</v>
      </c>
      <c r="L2174" s="285">
        <f t="shared" si="2841"/>
        <v>0</v>
      </c>
      <c r="M2174" s="286">
        <f t="shared" si="2842"/>
        <v>0</v>
      </c>
      <c r="N2174" s="369" t="str">
        <f t="shared" si="2836"/>
        <v>-</v>
      </c>
      <c r="O2174" s="370" t="str">
        <f t="shared" si="2823"/>
        <v>-</v>
      </c>
    </row>
    <row r="2175" spans="1:15" ht="24" thickBot="1" x14ac:dyDescent="0.35">
      <c r="A2175" s="277" t="s">
        <v>110</v>
      </c>
      <c r="B2175" s="906" t="s">
        <v>42</v>
      </c>
      <c r="C2175" s="907"/>
      <c r="D2175" s="908"/>
      <c r="E2175" s="326">
        <v>610600</v>
      </c>
      <c r="F2175" s="289">
        <v>25000</v>
      </c>
      <c r="G2175" s="326">
        <f>SUM(G2171:G2174)</f>
        <v>0</v>
      </c>
      <c r="H2175" s="327">
        <f>SUM(H2170:H2174)</f>
        <v>21840</v>
      </c>
      <c r="I2175" s="327">
        <f t="shared" ref="I2175" si="2843">SUM(I2171:I2174)</f>
        <v>0</v>
      </c>
      <c r="J2175" s="351" t="str">
        <f>IFERROR(G2175/#REF!,"-")</f>
        <v>-</v>
      </c>
      <c r="K2175" s="326">
        <f>SUM(K2170:K2174)</f>
        <v>464652</v>
      </c>
      <c r="L2175" s="327">
        <f>SUM(L2170:L2174)</f>
        <v>460260</v>
      </c>
      <c r="M2175" s="328">
        <f>SUM(M2170:M2174)</f>
        <v>4392</v>
      </c>
      <c r="N2175" s="345">
        <f t="shared" si="2836"/>
        <v>0.76097608909269576</v>
      </c>
      <c r="O2175" s="351">
        <f t="shared" si="2823"/>
        <v>9.4522352211977995E-3</v>
      </c>
    </row>
    <row r="2176" spans="1:15" ht="23.4" x14ac:dyDescent="0.3">
      <c r="A2176" s="277" t="s">
        <v>110</v>
      </c>
      <c r="B2176" s="903" t="s">
        <v>43</v>
      </c>
      <c r="C2176" s="272" t="s">
        <v>204</v>
      </c>
      <c r="D2176" s="272"/>
      <c r="E2176" s="273">
        <v>0</v>
      </c>
      <c r="F2176" s="274"/>
      <c r="G2176" s="338">
        <f t="shared" ref="G2176:G2178" si="2844">+H2176+I2176</f>
        <v>0</v>
      </c>
      <c r="H2176" s="275">
        <v>0</v>
      </c>
      <c r="I2176" s="275">
        <v>0</v>
      </c>
      <c r="J2176" s="357" t="str">
        <f>IFERROR(G2176/#REF!,"-")</f>
        <v>-</v>
      </c>
      <c r="K2176" s="338">
        <f t="shared" ref="K2176:K2178" si="2845">+L2176+M2176</f>
        <v>0</v>
      </c>
      <c r="L2176" s="275">
        <f t="shared" ref="L2176:L2178" si="2846">+H2176+L2072</f>
        <v>0</v>
      </c>
      <c r="M2176" s="276">
        <f t="shared" ref="M2176:M2178" si="2847">+I2176+M2072</f>
        <v>0</v>
      </c>
      <c r="N2176" s="342" t="str">
        <f t="shared" si="2836"/>
        <v>-</v>
      </c>
      <c r="O2176" s="352" t="str">
        <f t="shared" si="2823"/>
        <v>-</v>
      </c>
    </row>
    <row r="2177" spans="1:15" ht="23.4" x14ac:dyDescent="0.3">
      <c r="A2177" s="277" t="s">
        <v>110</v>
      </c>
      <c r="B2177" s="904"/>
      <c r="C2177" s="278" t="s">
        <v>168</v>
      </c>
      <c r="D2177" s="278"/>
      <c r="E2177" s="279">
        <v>0</v>
      </c>
      <c r="F2177" s="280"/>
      <c r="G2177" s="339">
        <f t="shared" si="2844"/>
        <v>0</v>
      </c>
      <c r="H2177" s="281">
        <v>0</v>
      </c>
      <c r="I2177" s="281">
        <v>0</v>
      </c>
      <c r="J2177" s="378" t="str">
        <f>IFERROR(G2177/#REF!,"-")</f>
        <v>-</v>
      </c>
      <c r="K2177" s="339">
        <f t="shared" si="2845"/>
        <v>0</v>
      </c>
      <c r="L2177" s="281">
        <f t="shared" si="2846"/>
        <v>0</v>
      </c>
      <c r="M2177" s="251">
        <f t="shared" si="2847"/>
        <v>0</v>
      </c>
      <c r="N2177" s="367" t="str">
        <f t="shared" si="2836"/>
        <v>-</v>
      </c>
      <c r="O2177" s="368" t="str">
        <f t="shared" si="2823"/>
        <v>-</v>
      </c>
    </row>
    <row r="2178" spans="1:15" ht="24" thickBot="1" x14ac:dyDescent="0.35">
      <c r="A2178" s="277" t="s">
        <v>110</v>
      </c>
      <c r="B2178" s="905"/>
      <c r="C2178" s="282" t="s">
        <v>204</v>
      </c>
      <c r="D2178" s="282"/>
      <c r="E2178" s="283">
        <v>0</v>
      </c>
      <c r="F2178" s="284"/>
      <c r="G2178" s="340">
        <f t="shared" si="2844"/>
        <v>0</v>
      </c>
      <c r="H2178" s="285">
        <v>0</v>
      </c>
      <c r="I2178" s="285">
        <v>0</v>
      </c>
      <c r="J2178" s="379" t="str">
        <f>IFERROR(G2178/#REF!,"-")</f>
        <v>-</v>
      </c>
      <c r="K2178" s="340">
        <f t="shared" si="2845"/>
        <v>0</v>
      </c>
      <c r="L2178" s="285">
        <f t="shared" si="2846"/>
        <v>0</v>
      </c>
      <c r="M2178" s="286">
        <f t="shared" si="2847"/>
        <v>0</v>
      </c>
      <c r="N2178" s="369" t="str">
        <f t="shared" si="2836"/>
        <v>-</v>
      </c>
      <c r="O2178" s="370" t="str">
        <f t="shared" si="2823"/>
        <v>-</v>
      </c>
    </row>
    <row r="2179" spans="1:15" ht="24" thickBot="1" x14ac:dyDescent="0.35">
      <c r="A2179" s="277" t="s">
        <v>110</v>
      </c>
      <c r="B2179" s="909" t="s">
        <v>44</v>
      </c>
      <c r="C2179" s="910"/>
      <c r="D2179" s="911"/>
      <c r="E2179" s="326">
        <v>0</v>
      </c>
      <c r="F2179" s="289"/>
      <c r="G2179" s="326">
        <f>SUM(G2176:G2178)</f>
        <v>0</v>
      </c>
      <c r="H2179" s="327">
        <f t="shared" ref="H2179:I2179" si="2848">SUM(H2176:H2178)</f>
        <v>0</v>
      </c>
      <c r="I2179" s="327">
        <f t="shared" si="2848"/>
        <v>0</v>
      </c>
      <c r="J2179" s="351" t="str">
        <f>IFERROR(G2179/#REF!,"-")</f>
        <v>-</v>
      </c>
      <c r="K2179" s="326">
        <f t="shared" ref="K2179:M2179" si="2849">SUM(K2176:K2178)</f>
        <v>0</v>
      </c>
      <c r="L2179" s="327">
        <f t="shared" si="2849"/>
        <v>0</v>
      </c>
      <c r="M2179" s="328">
        <f t="shared" si="2849"/>
        <v>0</v>
      </c>
      <c r="N2179" s="345" t="str">
        <f t="shared" si="2836"/>
        <v>-</v>
      </c>
      <c r="O2179" s="351" t="str">
        <f t="shared" si="2823"/>
        <v>-</v>
      </c>
    </row>
    <row r="2180" spans="1:15" ht="23.4" x14ac:dyDescent="0.3">
      <c r="A2180" s="277" t="s">
        <v>110</v>
      </c>
      <c r="B2180" s="903" t="s">
        <v>45</v>
      </c>
      <c r="C2180" s="272" t="s">
        <v>169</v>
      </c>
      <c r="D2180" s="272"/>
      <c r="E2180" s="273">
        <v>0</v>
      </c>
      <c r="F2180" s="274"/>
      <c r="G2180" s="338">
        <f t="shared" ref="G2180:G2181" si="2850">+H2180+I2180</f>
        <v>0</v>
      </c>
      <c r="H2180" s="275">
        <v>0</v>
      </c>
      <c r="I2180" s="275">
        <v>0</v>
      </c>
      <c r="J2180" s="377" t="str">
        <f>IFERROR(G2180/#REF!,"-")</f>
        <v>-</v>
      </c>
      <c r="K2180" s="338">
        <f t="shared" ref="K2180:K2181" si="2851">+L2180+M2180</f>
        <v>0</v>
      </c>
      <c r="L2180" s="275">
        <f t="shared" ref="L2180:L2181" si="2852">+H2180+L2076</f>
        <v>0</v>
      </c>
      <c r="M2180" s="276">
        <f t="shared" ref="M2180:M2181" si="2853">+I2180+M2076</f>
        <v>0</v>
      </c>
      <c r="N2180" s="365" t="str">
        <f t="shared" si="2836"/>
        <v>-</v>
      </c>
      <c r="O2180" s="366" t="str">
        <f t="shared" si="2823"/>
        <v>-</v>
      </c>
    </row>
    <row r="2181" spans="1:15" ht="24" thickBot="1" x14ac:dyDescent="0.35">
      <c r="A2181" s="277" t="s">
        <v>110</v>
      </c>
      <c r="B2181" s="905"/>
      <c r="C2181" s="282" t="s">
        <v>170</v>
      </c>
      <c r="D2181" s="282"/>
      <c r="E2181" s="283">
        <v>0</v>
      </c>
      <c r="F2181" s="284"/>
      <c r="G2181" s="340">
        <f t="shared" si="2850"/>
        <v>0</v>
      </c>
      <c r="H2181" s="285">
        <v>0</v>
      </c>
      <c r="I2181" s="285">
        <v>0</v>
      </c>
      <c r="J2181" s="379" t="str">
        <f>IFERROR(G2181/#REF!,"-")</f>
        <v>-</v>
      </c>
      <c r="K2181" s="340">
        <f t="shared" si="2851"/>
        <v>0</v>
      </c>
      <c r="L2181" s="285">
        <f t="shared" si="2852"/>
        <v>0</v>
      </c>
      <c r="M2181" s="286">
        <f t="shared" si="2853"/>
        <v>0</v>
      </c>
      <c r="N2181" s="369" t="str">
        <f t="shared" si="2836"/>
        <v>-</v>
      </c>
      <c r="O2181" s="370" t="str">
        <f t="shared" si="2823"/>
        <v>-</v>
      </c>
    </row>
    <row r="2182" spans="1:15" ht="24" thickBot="1" x14ac:dyDescent="0.35">
      <c r="A2182" s="277" t="s">
        <v>110</v>
      </c>
      <c r="B2182" s="909" t="s">
        <v>46</v>
      </c>
      <c r="C2182" s="910"/>
      <c r="D2182" s="911"/>
      <c r="E2182" s="288">
        <v>11100</v>
      </c>
      <c r="F2182" s="289">
        <v>25000</v>
      </c>
      <c r="G2182" s="326">
        <f>SUM(G2180:G2181)</f>
        <v>0</v>
      </c>
      <c r="H2182" s="327">
        <f t="shared" ref="H2182:I2182" si="2854">SUM(H2180:H2181)</f>
        <v>0</v>
      </c>
      <c r="I2182" s="327">
        <f t="shared" si="2854"/>
        <v>0</v>
      </c>
      <c r="J2182" s="351" t="str">
        <f>IFERROR(G2182/#REF!,"-")</f>
        <v>-</v>
      </c>
      <c r="K2182" s="326">
        <f t="shared" ref="K2182:M2182" si="2855">SUM(K2180:K2181)</f>
        <v>0</v>
      </c>
      <c r="L2182" s="327">
        <f t="shared" si="2855"/>
        <v>0</v>
      </c>
      <c r="M2182" s="328">
        <f t="shared" si="2855"/>
        <v>0</v>
      </c>
      <c r="N2182" s="345">
        <f t="shared" si="2836"/>
        <v>0</v>
      </c>
      <c r="O2182" s="351" t="str">
        <f t="shared" si="2823"/>
        <v>-</v>
      </c>
    </row>
    <row r="2183" spans="1:15" ht="24" thickBot="1" x14ac:dyDescent="0.35">
      <c r="A2183" s="277" t="s">
        <v>110</v>
      </c>
      <c r="B2183" s="912" t="s">
        <v>25</v>
      </c>
      <c r="C2183" s="913"/>
      <c r="D2183" s="914"/>
      <c r="E2183" s="332">
        <f t="shared" ref="E2183:F2183" si="2856">+E2161+E2166+E2169+E2175+E2179+E2182</f>
        <v>745700</v>
      </c>
      <c r="F2183" s="333">
        <f t="shared" si="2856"/>
        <v>59300</v>
      </c>
      <c r="G2183" s="332">
        <f>+G2161+G2166+G2169+G2175+G2179+G2182</f>
        <v>3487</v>
      </c>
      <c r="H2183" s="330">
        <f>+H2161+H2166+H2169+H2175+H2179+H2182</f>
        <v>25040</v>
      </c>
      <c r="I2183" s="330">
        <f t="shared" ref="I2183" si="2857">+I2161+I2166+I2169+I2175+I2179+I2182</f>
        <v>287</v>
      </c>
      <c r="J2183" s="355" t="str">
        <f>IFERROR(G2183/#REF!,"-")</f>
        <v>-</v>
      </c>
      <c r="K2183" s="332">
        <f>+K2161+K2166+K2169+K2175+K2179+K2182</f>
        <v>561421</v>
      </c>
      <c r="L2183" s="330">
        <f t="shared" ref="L2183:M2183" si="2858">+L2161+L2166+L2169+L2175+L2179+L2182</f>
        <v>552516</v>
      </c>
      <c r="M2183" s="331">
        <f t="shared" si="2858"/>
        <v>8905</v>
      </c>
      <c r="N2183" s="347">
        <f t="shared" si="2836"/>
        <v>0.75287783290867638</v>
      </c>
      <c r="O2183" s="355">
        <f t="shared" si="2823"/>
        <v>1.586153706398585E-2</v>
      </c>
    </row>
    <row r="2184" spans="1:15" ht="24" thickBot="1" x14ac:dyDescent="0.35">
      <c r="A2184" s="324" t="s">
        <v>110</v>
      </c>
      <c r="B2184" s="901" t="s">
        <v>182</v>
      </c>
      <c r="C2184" s="901"/>
      <c r="D2184" s="902"/>
      <c r="E2184" s="336">
        <f>+E2183</f>
        <v>745700</v>
      </c>
      <c r="F2184" s="337">
        <f t="shared" ref="F2184:O2184" si="2859">+F2183</f>
        <v>59300</v>
      </c>
      <c r="G2184" s="336">
        <f t="shared" si="2859"/>
        <v>3487</v>
      </c>
      <c r="H2184" s="334">
        <f t="shared" si="2859"/>
        <v>25040</v>
      </c>
      <c r="I2184" s="334">
        <f t="shared" si="2859"/>
        <v>287</v>
      </c>
      <c r="J2184" s="356" t="str">
        <f t="shared" si="2859"/>
        <v>-</v>
      </c>
      <c r="K2184" s="336">
        <f t="shared" si="2859"/>
        <v>561421</v>
      </c>
      <c r="L2184" s="334">
        <f t="shared" si="2859"/>
        <v>552516</v>
      </c>
      <c r="M2184" s="335">
        <f t="shared" si="2859"/>
        <v>8905</v>
      </c>
      <c r="N2184" s="348">
        <f t="shared" si="2859"/>
        <v>0.75287783290867638</v>
      </c>
      <c r="O2184" s="356">
        <f t="shared" si="2859"/>
        <v>1.586153706398585E-2</v>
      </c>
    </row>
    <row r="2185" spans="1:15" ht="24.6" thickBot="1" x14ac:dyDescent="0.35">
      <c r="A2185" s="325"/>
      <c r="B2185" s="915" t="s">
        <v>183</v>
      </c>
      <c r="C2185" s="916"/>
      <c r="D2185" s="917"/>
      <c r="E2185" s="380">
        <f>+E2130+E2157+E2184</f>
        <v>10494400</v>
      </c>
      <c r="F2185" s="380">
        <f>+F2130+F2157+F2184</f>
        <v>748300</v>
      </c>
      <c r="G2185" s="380">
        <f>+G2130+G2157+G2184</f>
        <v>270758</v>
      </c>
      <c r="H2185" s="380">
        <f>+H2130+H2157+H2184</f>
        <v>341120</v>
      </c>
      <c r="I2185" s="380">
        <f>+I2130+I2157+I2184</f>
        <v>2306</v>
      </c>
      <c r="J2185" s="381" t="str">
        <f>IFERROR(G2185/#REF!,"-")</f>
        <v>-</v>
      </c>
      <c r="K2185" s="380">
        <f>+K2130+K2157+K2184</f>
        <v>6892103</v>
      </c>
      <c r="L2185" s="380">
        <f>+L2130+L2157+L2184</f>
        <v>6826683</v>
      </c>
      <c r="M2185" s="380">
        <f>+M2130+M2157+M2184</f>
        <v>65420</v>
      </c>
      <c r="N2185" s="381">
        <f>IFERROR(K2185/E2185,"-")</f>
        <v>0.65674102378411348</v>
      </c>
      <c r="O2185" s="381">
        <f>IFERROR(M2185/K2185,"-")</f>
        <v>9.4920229717983026E-3</v>
      </c>
    </row>
    <row r="2186" spans="1:15" ht="23.4" x14ac:dyDescent="0.3">
      <c r="A2186" s="935" t="s">
        <v>1</v>
      </c>
      <c r="B2186" s="938" t="s">
        <v>2</v>
      </c>
      <c r="C2186" s="941" t="s">
        <v>3</v>
      </c>
      <c r="D2186" s="941" t="s">
        <v>93</v>
      </c>
      <c r="E2186" s="944" t="s">
        <v>4</v>
      </c>
      <c r="F2186" s="945"/>
      <c r="G2186" s="945"/>
      <c r="H2186" s="945"/>
      <c r="I2186" s="945"/>
      <c r="J2186" s="945"/>
      <c r="K2186" s="945"/>
      <c r="L2186" s="945"/>
      <c r="M2186" s="945"/>
      <c r="N2186" s="945"/>
      <c r="O2186" s="946"/>
    </row>
    <row r="2187" spans="1:15" ht="23.4" x14ac:dyDescent="0.3">
      <c r="A2187" s="936"/>
      <c r="B2187" s="939"/>
      <c r="C2187" s="942"/>
      <c r="D2187" s="942"/>
      <c r="E2187" s="947" t="s">
        <v>7</v>
      </c>
      <c r="F2187" s="949" t="s">
        <v>116</v>
      </c>
      <c r="G2187" s="951">
        <v>44529</v>
      </c>
      <c r="H2187" s="952"/>
      <c r="I2187" s="952"/>
      <c r="J2187" s="953"/>
      <c r="K2187" s="954" t="s">
        <v>8</v>
      </c>
      <c r="L2187" s="955"/>
      <c r="M2187" s="956"/>
      <c r="N2187" s="957" t="s">
        <v>174</v>
      </c>
      <c r="O2187" s="959" t="s">
        <v>173</v>
      </c>
    </row>
    <row r="2188" spans="1:15" ht="41.4" thickBot="1" x14ac:dyDescent="0.35">
      <c r="A2188" s="937"/>
      <c r="B2188" s="940"/>
      <c r="C2188" s="943"/>
      <c r="D2188" s="943"/>
      <c r="E2188" s="948"/>
      <c r="F2188" s="950"/>
      <c r="G2188" s="462" t="s">
        <v>13</v>
      </c>
      <c r="H2188" s="463" t="s">
        <v>14</v>
      </c>
      <c r="I2188" s="463" t="s">
        <v>15</v>
      </c>
      <c r="J2188" s="464" t="s">
        <v>175</v>
      </c>
      <c r="K2188" s="462" t="s">
        <v>13</v>
      </c>
      <c r="L2188" s="463" t="s">
        <v>14</v>
      </c>
      <c r="M2188" s="465" t="s">
        <v>15</v>
      </c>
      <c r="N2188" s="958"/>
      <c r="O2188" s="960"/>
    </row>
    <row r="2189" spans="1:15" ht="23.4" x14ac:dyDescent="0.3">
      <c r="A2189" s="271" t="s">
        <v>111</v>
      </c>
      <c r="B2189" s="922" t="s">
        <v>16</v>
      </c>
      <c r="C2189" s="272" t="s">
        <v>186</v>
      </c>
      <c r="D2189" s="272" t="s">
        <v>184</v>
      </c>
      <c r="E2189" s="273">
        <v>0</v>
      </c>
      <c r="F2189" s="274"/>
      <c r="G2189" s="338">
        <f>+H2189+I2189</f>
        <v>0</v>
      </c>
      <c r="H2189" s="275">
        <v>0</v>
      </c>
      <c r="I2189" s="275">
        <v>0</v>
      </c>
      <c r="J2189" s="357" t="str">
        <f>IFERROR(G2189/#REF!,"-")</f>
        <v>-</v>
      </c>
      <c r="K2189" s="468">
        <f>+L2189+M2189</f>
        <v>0</v>
      </c>
      <c r="L2189" s="469">
        <f>+H2189+L2085</f>
        <v>0</v>
      </c>
      <c r="M2189" s="469">
        <f>+I2189+M2085</f>
        <v>0</v>
      </c>
      <c r="N2189" s="342" t="str">
        <f>IFERROR(K2189/E2189,"-")</f>
        <v>-</v>
      </c>
      <c r="O2189" s="349" t="str">
        <f t="shared" ref="O2189:O2190" si="2860">IFERROR(M2189/K2189,"-")</f>
        <v>-</v>
      </c>
    </row>
    <row r="2190" spans="1:15" ht="23.4" x14ac:dyDescent="0.3">
      <c r="A2190" s="277" t="s">
        <v>111</v>
      </c>
      <c r="B2190" s="923"/>
      <c r="C2190" s="278" t="s">
        <v>190</v>
      </c>
      <c r="D2190" s="278" t="s">
        <v>101</v>
      </c>
      <c r="E2190" s="279">
        <v>0</v>
      </c>
      <c r="F2190" s="280"/>
      <c r="G2190" s="339">
        <f t="shared" ref="G2190:G2192" si="2861">+H2190+I2190</f>
        <v>0</v>
      </c>
      <c r="H2190" s="281">
        <v>0</v>
      </c>
      <c r="I2190" s="281">
        <v>0</v>
      </c>
      <c r="J2190" s="358" t="str">
        <f>IFERROR(G2190/#REF!,"-")</f>
        <v>-</v>
      </c>
      <c r="K2190" s="339">
        <f t="shared" ref="K2190:K2192" si="2862">+L2190+M2190</f>
        <v>0</v>
      </c>
      <c r="L2190" s="281">
        <f t="shared" ref="L2190:L2192" si="2863">+H2190+L2086</f>
        <v>0</v>
      </c>
      <c r="M2190" s="442">
        <f t="shared" ref="M2190:M2192" si="2864">+I2190+M2086</f>
        <v>0</v>
      </c>
      <c r="N2190" s="343" t="str">
        <f t="shared" ref="N2190:N2192" si="2865">IFERROR(K2190/E2190,"-")</f>
        <v>-</v>
      </c>
      <c r="O2190" s="268" t="str">
        <f t="shared" si="2860"/>
        <v>-</v>
      </c>
    </row>
    <row r="2191" spans="1:15" ht="23.4" x14ac:dyDescent="0.3">
      <c r="A2191" s="277" t="s">
        <v>111</v>
      </c>
      <c r="B2191" s="923"/>
      <c r="C2191" s="278" t="s">
        <v>187</v>
      </c>
      <c r="D2191" s="278" t="s">
        <v>185</v>
      </c>
      <c r="E2191" s="279">
        <v>0</v>
      </c>
      <c r="F2191" s="280"/>
      <c r="G2191" s="339">
        <f t="shared" si="2861"/>
        <v>0</v>
      </c>
      <c r="H2191" s="281">
        <v>0</v>
      </c>
      <c r="I2191" s="281">
        <v>0</v>
      </c>
      <c r="J2191" s="358" t="str">
        <f>IFERROR(G2191/#REF!,"-")</f>
        <v>-</v>
      </c>
      <c r="K2191" s="339">
        <f t="shared" si="2862"/>
        <v>0</v>
      </c>
      <c r="L2191" s="281">
        <f t="shared" si="2863"/>
        <v>0</v>
      </c>
      <c r="M2191" s="442">
        <f t="shared" si="2864"/>
        <v>0</v>
      </c>
      <c r="N2191" s="343" t="str">
        <f t="shared" si="2865"/>
        <v>-</v>
      </c>
      <c r="O2191" s="268" t="str">
        <f>IFERROR(M2191/K2191,"-")</f>
        <v>-</v>
      </c>
    </row>
    <row r="2192" spans="1:15" ht="24" thickBot="1" x14ac:dyDescent="0.35">
      <c r="A2192" s="277" t="s">
        <v>111</v>
      </c>
      <c r="B2192" s="924"/>
      <c r="C2192" s="282" t="s">
        <v>255</v>
      </c>
      <c r="D2192" s="282" t="s">
        <v>256</v>
      </c>
      <c r="E2192" s="283">
        <v>0</v>
      </c>
      <c r="F2192" s="284"/>
      <c r="G2192" s="340">
        <f t="shared" si="2861"/>
        <v>0</v>
      </c>
      <c r="H2192" s="285">
        <v>0</v>
      </c>
      <c r="I2192" s="285">
        <v>0</v>
      </c>
      <c r="J2192" s="359" t="str">
        <f>IFERROR(G2192/#REF!,"-")</f>
        <v>-</v>
      </c>
      <c r="K2192" s="471">
        <f t="shared" si="2862"/>
        <v>105704</v>
      </c>
      <c r="L2192" s="472">
        <f t="shared" si="2863"/>
        <v>104016</v>
      </c>
      <c r="M2192" s="473">
        <f t="shared" si="2864"/>
        <v>1688</v>
      </c>
      <c r="N2192" s="344" t="str">
        <f t="shared" si="2865"/>
        <v>-</v>
      </c>
      <c r="O2192" s="350">
        <f t="shared" ref="O2192:O2210" si="2866">IFERROR(M2192/K2192,"-")</f>
        <v>1.5969121319912207E-2</v>
      </c>
    </row>
    <row r="2193" spans="1:15" ht="24" thickBot="1" x14ac:dyDescent="0.35">
      <c r="A2193" s="277" t="s">
        <v>111</v>
      </c>
      <c r="B2193" s="906" t="s">
        <v>47</v>
      </c>
      <c r="C2193" s="907"/>
      <c r="D2193" s="908"/>
      <c r="E2193" s="326">
        <v>144600</v>
      </c>
      <c r="F2193" s="289">
        <v>15000</v>
      </c>
      <c r="G2193" s="326">
        <f>SUM(G2189:G2192)</f>
        <v>0</v>
      </c>
      <c r="H2193" s="327">
        <f t="shared" ref="H2193:I2193" si="2867">SUM(H2189:H2192)</f>
        <v>0</v>
      </c>
      <c r="I2193" s="327">
        <f t="shared" si="2867"/>
        <v>0</v>
      </c>
      <c r="J2193" s="351" t="str">
        <f>IFERROR(G2193/#REF!,"-")</f>
        <v>-</v>
      </c>
      <c r="K2193" s="326">
        <f t="shared" ref="K2193:M2193" si="2868">SUM(K2189:K2192)</f>
        <v>105704</v>
      </c>
      <c r="L2193" s="327">
        <f t="shared" si="2868"/>
        <v>104016</v>
      </c>
      <c r="M2193" s="328">
        <f t="shared" si="2868"/>
        <v>1688</v>
      </c>
      <c r="N2193" s="345">
        <f>IFERROR(K2193/E2193,"-")</f>
        <v>0.7310096818810512</v>
      </c>
      <c r="O2193" s="351">
        <f t="shared" si="2866"/>
        <v>1.5969121319912207E-2</v>
      </c>
    </row>
    <row r="2194" spans="1:15" ht="23.4" x14ac:dyDescent="0.3">
      <c r="A2194" s="277" t="s">
        <v>111</v>
      </c>
      <c r="B2194" s="922" t="s">
        <v>17</v>
      </c>
      <c r="C2194" s="272" t="s">
        <v>331</v>
      </c>
      <c r="D2194" s="272"/>
      <c r="E2194" s="273">
        <v>0</v>
      </c>
      <c r="F2194" s="274"/>
      <c r="G2194" s="338">
        <f t="shared" ref="G2194:G2200" si="2869">+H2194+I2194</f>
        <v>0</v>
      </c>
      <c r="H2194" s="275">
        <v>0</v>
      </c>
      <c r="I2194" s="275">
        <v>0</v>
      </c>
      <c r="J2194" s="357" t="str">
        <f>IFERROR(G2194/#REF!,"-")</f>
        <v>-</v>
      </c>
      <c r="K2194" s="468">
        <f t="shared" ref="K2194:K2200" si="2870">+L2194+M2194</f>
        <v>0</v>
      </c>
      <c r="L2194" s="469">
        <f t="shared" ref="L2194:L2200" si="2871">+H2194+L2090</f>
        <v>0</v>
      </c>
      <c r="M2194" s="470">
        <f t="shared" ref="M2194:M2200" si="2872">+I2194+M2090</f>
        <v>0</v>
      </c>
      <c r="N2194" s="342" t="str">
        <f t="shared" ref="N2194:N2200" si="2873">IFERROR(K2194/E2194,"-")</f>
        <v>-</v>
      </c>
      <c r="O2194" s="352" t="str">
        <f t="shared" si="2866"/>
        <v>-</v>
      </c>
    </row>
    <row r="2195" spans="1:15" ht="23.4" x14ac:dyDescent="0.3">
      <c r="A2195" s="277" t="s">
        <v>111</v>
      </c>
      <c r="B2195" s="923"/>
      <c r="C2195" s="278" t="s">
        <v>421</v>
      </c>
      <c r="D2195" s="278" t="s">
        <v>257</v>
      </c>
      <c r="E2195" s="279">
        <v>0</v>
      </c>
      <c r="F2195" s="280"/>
      <c r="G2195" s="339">
        <f t="shared" si="2869"/>
        <v>0</v>
      </c>
      <c r="H2195" s="281">
        <v>0</v>
      </c>
      <c r="I2195" s="281">
        <v>0</v>
      </c>
      <c r="J2195" s="358" t="str">
        <f>IFERROR(G2195/#REF!,"-")</f>
        <v>-</v>
      </c>
      <c r="K2195" s="339">
        <f t="shared" si="2870"/>
        <v>1241211</v>
      </c>
      <c r="L2195" s="281">
        <f t="shared" si="2871"/>
        <v>1237319</v>
      </c>
      <c r="M2195" s="442">
        <f t="shared" si="2872"/>
        <v>3892</v>
      </c>
      <c r="N2195" s="343" t="str">
        <f t="shared" si="2873"/>
        <v>-</v>
      </c>
      <c r="O2195" s="264">
        <f t="shared" si="2866"/>
        <v>3.1356473637439565E-3</v>
      </c>
    </row>
    <row r="2196" spans="1:15" ht="23.4" x14ac:dyDescent="0.3">
      <c r="A2196" s="277" t="s">
        <v>111</v>
      </c>
      <c r="B2196" s="923"/>
      <c r="C2196" s="278" t="s">
        <v>290</v>
      </c>
      <c r="D2196" s="278" t="s">
        <v>205</v>
      </c>
      <c r="E2196" s="279">
        <v>0</v>
      </c>
      <c r="F2196" s="280"/>
      <c r="G2196" s="339">
        <f t="shared" si="2869"/>
        <v>0</v>
      </c>
      <c r="H2196" s="281">
        <v>0</v>
      </c>
      <c r="I2196" s="281">
        <v>0</v>
      </c>
      <c r="J2196" s="358" t="str">
        <f>IFERROR(G2196/#REF!,"-")</f>
        <v>-</v>
      </c>
      <c r="K2196" s="339">
        <f t="shared" si="2870"/>
        <v>0</v>
      </c>
      <c r="L2196" s="281">
        <f t="shared" si="2871"/>
        <v>0</v>
      </c>
      <c r="M2196" s="442">
        <f t="shared" si="2872"/>
        <v>0</v>
      </c>
      <c r="N2196" s="343" t="str">
        <f t="shared" si="2873"/>
        <v>-</v>
      </c>
      <c r="O2196" s="264" t="str">
        <f t="shared" si="2866"/>
        <v>-</v>
      </c>
    </row>
    <row r="2197" spans="1:15" ht="23.4" x14ac:dyDescent="0.3">
      <c r="A2197" s="277" t="s">
        <v>111</v>
      </c>
      <c r="B2197" s="923"/>
      <c r="C2197" s="278" t="s">
        <v>330</v>
      </c>
      <c r="D2197" s="278" t="s">
        <v>206</v>
      </c>
      <c r="E2197" s="279">
        <v>0</v>
      </c>
      <c r="F2197" s="280"/>
      <c r="G2197" s="339">
        <f t="shared" si="2869"/>
        <v>0</v>
      </c>
      <c r="H2197" s="281">
        <v>0</v>
      </c>
      <c r="I2197" s="281">
        <v>0</v>
      </c>
      <c r="J2197" s="358" t="str">
        <f>IFERROR(G2197/#REF!,"-")</f>
        <v>-</v>
      </c>
      <c r="K2197" s="339">
        <f t="shared" si="2870"/>
        <v>1836</v>
      </c>
      <c r="L2197" s="281">
        <f t="shared" si="2871"/>
        <v>1836</v>
      </c>
      <c r="M2197" s="442">
        <f t="shared" si="2872"/>
        <v>0</v>
      </c>
      <c r="N2197" s="343" t="str">
        <f t="shared" si="2873"/>
        <v>-</v>
      </c>
      <c r="O2197" s="264">
        <f t="shared" si="2866"/>
        <v>0</v>
      </c>
    </row>
    <row r="2198" spans="1:15" ht="23.4" x14ac:dyDescent="0.3">
      <c r="A2198" s="277" t="s">
        <v>111</v>
      </c>
      <c r="B2198" s="923"/>
      <c r="C2198" s="278" t="s">
        <v>377</v>
      </c>
      <c r="D2198" s="278" t="s">
        <v>371</v>
      </c>
      <c r="E2198" s="279">
        <v>0</v>
      </c>
      <c r="F2198" s="280"/>
      <c r="G2198" s="339">
        <f t="shared" si="2869"/>
        <v>0</v>
      </c>
      <c r="H2198" s="281">
        <v>0</v>
      </c>
      <c r="I2198" s="281">
        <v>0</v>
      </c>
      <c r="J2198" s="358" t="str">
        <f>IFERROR(G2198/#REF!,"-")</f>
        <v>-</v>
      </c>
      <c r="K2198" s="339">
        <f t="shared" si="2870"/>
        <v>10610</v>
      </c>
      <c r="L2198" s="281">
        <f t="shared" si="2871"/>
        <v>10610</v>
      </c>
      <c r="M2198" s="442">
        <f t="shared" si="2872"/>
        <v>0</v>
      </c>
      <c r="N2198" s="343" t="str">
        <f t="shared" si="2873"/>
        <v>-</v>
      </c>
      <c r="O2198" s="264">
        <f t="shared" si="2866"/>
        <v>0</v>
      </c>
    </row>
    <row r="2199" spans="1:15" ht="23.4" x14ac:dyDescent="0.3">
      <c r="A2199" s="277" t="s">
        <v>111</v>
      </c>
      <c r="B2199" s="923"/>
      <c r="C2199" s="278" t="s">
        <v>443</v>
      </c>
      <c r="D2199" s="278" t="s">
        <v>207</v>
      </c>
      <c r="E2199" s="279">
        <v>0</v>
      </c>
      <c r="F2199" s="280"/>
      <c r="G2199" s="339">
        <f t="shared" si="2869"/>
        <v>232855</v>
      </c>
      <c r="H2199" s="281">
        <f>97920+134640</f>
        <v>232560</v>
      </c>
      <c r="I2199" s="281">
        <f>155+140</f>
        <v>295</v>
      </c>
      <c r="J2199" s="358" t="str">
        <f>IFERROR(G2199/#REF!,"-")</f>
        <v>-</v>
      </c>
      <c r="K2199" s="339">
        <f t="shared" si="2870"/>
        <v>926372</v>
      </c>
      <c r="L2199" s="281">
        <f t="shared" si="2871"/>
        <v>924120</v>
      </c>
      <c r="M2199" s="442">
        <f t="shared" si="2872"/>
        <v>2252</v>
      </c>
      <c r="N2199" s="343" t="str">
        <f t="shared" si="2873"/>
        <v>-</v>
      </c>
      <c r="O2199" s="264">
        <f t="shared" si="2866"/>
        <v>2.4309888468131593E-3</v>
      </c>
    </row>
    <row r="2200" spans="1:15" ht="24" thickBot="1" x14ac:dyDescent="0.35">
      <c r="A2200" s="277" t="s">
        <v>111</v>
      </c>
      <c r="B2200" s="924"/>
      <c r="C2200" s="282" t="s">
        <v>416</v>
      </c>
      <c r="D2200" s="282" t="s">
        <v>257</v>
      </c>
      <c r="E2200" s="283">
        <v>0</v>
      </c>
      <c r="F2200" s="284"/>
      <c r="G2200" s="340">
        <f t="shared" si="2869"/>
        <v>0</v>
      </c>
      <c r="H2200" s="285">
        <v>0</v>
      </c>
      <c r="I2200" s="285">
        <v>0</v>
      </c>
      <c r="J2200" s="359" t="str">
        <f>IFERROR(G2200/#REF!,"-")</f>
        <v>-</v>
      </c>
      <c r="K2200" s="471">
        <f t="shared" si="2870"/>
        <v>73650</v>
      </c>
      <c r="L2200" s="472">
        <f t="shared" si="2871"/>
        <v>73440</v>
      </c>
      <c r="M2200" s="473">
        <f t="shared" si="2872"/>
        <v>210</v>
      </c>
      <c r="N2200" s="344" t="str">
        <f t="shared" si="2873"/>
        <v>-</v>
      </c>
      <c r="O2200" s="353">
        <f t="shared" si="2866"/>
        <v>2.8513238289205704E-3</v>
      </c>
    </row>
    <row r="2201" spans="1:15" ht="24" thickBot="1" x14ac:dyDescent="0.35">
      <c r="A2201" s="277" t="s">
        <v>111</v>
      </c>
      <c r="B2201" s="906" t="s">
        <v>48</v>
      </c>
      <c r="C2201" s="907"/>
      <c r="D2201" s="908"/>
      <c r="E2201" s="326">
        <v>3480000</v>
      </c>
      <c r="F2201" s="289">
        <v>100000</v>
      </c>
      <c r="G2201" s="326">
        <f>SUM(G2194:G2200)</f>
        <v>232855</v>
      </c>
      <c r="H2201" s="327">
        <f t="shared" ref="H2201:I2201" si="2874">SUM(H2194:H2200)</f>
        <v>232560</v>
      </c>
      <c r="I2201" s="327">
        <f t="shared" si="2874"/>
        <v>295</v>
      </c>
      <c r="J2201" s="351" t="str">
        <f>IFERROR(G2201/#REF!,"-")</f>
        <v>-</v>
      </c>
      <c r="K2201" s="326">
        <f>SUM(K2194:K2200)</f>
        <v>2253679</v>
      </c>
      <c r="L2201" s="327">
        <f>SUM(L2194:L2200)</f>
        <v>2247325</v>
      </c>
      <c r="M2201" s="328">
        <f t="shared" ref="M2201" si="2875">SUM(M2194:M2200)</f>
        <v>6354</v>
      </c>
      <c r="N2201" s="345">
        <f>IFERROR(K2201/E2201,"-")</f>
        <v>0.64760890804597704</v>
      </c>
      <c r="O2201" s="351">
        <f t="shared" si="2866"/>
        <v>2.8193899841104258E-3</v>
      </c>
    </row>
    <row r="2202" spans="1:15" ht="23.4" x14ac:dyDescent="0.3">
      <c r="A2202" s="277" t="s">
        <v>111</v>
      </c>
      <c r="B2202" s="922" t="s">
        <v>18</v>
      </c>
      <c r="C2202" s="272" t="s">
        <v>359</v>
      </c>
      <c r="D2202" s="272" t="s">
        <v>99</v>
      </c>
      <c r="E2202" s="273">
        <v>0</v>
      </c>
      <c r="F2202" s="274"/>
      <c r="G2202" s="338">
        <f t="shared" ref="G2202:G2208" si="2876">+H2202+I2202</f>
        <v>0</v>
      </c>
      <c r="H2202" s="275">
        <v>0</v>
      </c>
      <c r="I2202" s="275">
        <v>0</v>
      </c>
      <c r="J2202" s="357" t="str">
        <f>IFERROR(G2202/#REF!,"-")</f>
        <v>-</v>
      </c>
      <c r="K2202" s="338">
        <f t="shared" ref="K2202:K2208" si="2877">+L2202+M2202</f>
        <v>0</v>
      </c>
      <c r="L2202" s="275">
        <f t="shared" ref="L2202:L2208" si="2878">+H2202+L2098</f>
        <v>0</v>
      </c>
      <c r="M2202" s="276">
        <f t="shared" ref="M2202:M2208" si="2879">+I2202+M2098</f>
        <v>0</v>
      </c>
      <c r="N2202" s="342" t="str">
        <f t="shared" ref="N2202:N2209" si="2880">IFERROR(K2202/E2202,"-")</f>
        <v>-</v>
      </c>
      <c r="O2202" s="352" t="str">
        <f t="shared" si="2866"/>
        <v>-</v>
      </c>
    </row>
    <row r="2203" spans="1:15" ht="23.4" x14ac:dyDescent="0.3">
      <c r="A2203" s="277" t="s">
        <v>111</v>
      </c>
      <c r="B2203" s="923"/>
      <c r="C2203" s="278" t="s">
        <v>258</v>
      </c>
      <c r="D2203" s="278" t="s">
        <v>259</v>
      </c>
      <c r="E2203" s="279">
        <v>0</v>
      </c>
      <c r="F2203" s="280"/>
      <c r="G2203" s="339">
        <f t="shared" si="2876"/>
        <v>0</v>
      </c>
      <c r="H2203" s="281">
        <v>0</v>
      </c>
      <c r="I2203" s="281">
        <v>0</v>
      </c>
      <c r="J2203" s="358" t="str">
        <f>IFERROR(G2203/#REF!,"-")</f>
        <v>-</v>
      </c>
      <c r="K2203" s="339">
        <f t="shared" si="2877"/>
        <v>0</v>
      </c>
      <c r="L2203" s="281">
        <f t="shared" si="2878"/>
        <v>0</v>
      </c>
      <c r="M2203" s="251">
        <f t="shared" si="2879"/>
        <v>0</v>
      </c>
      <c r="N2203" s="343" t="str">
        <f t="shared" si="2880"/>
        <v>-</v>
      </c>
      <c r="O2203" s="264" t="str">
        <f t="shared" si="2866"/>
        <v>-</v>
      </c>
    </row>
    <row r="2204" spans="1:15" ht="23.4" x14ac:dyDescent="0.3">
      <c r="A2204" s="277" t="s">
        <v>111</v>
      </c>
      <c r="B2204" s="923"/>
      <c r="C2204" s="278" t="s">
        <v>123</v>
      </c>
      <c r="D2204" s="278"/>
      <c r="E2204" s="279">
        <v>0</v>
      </c>
      <c r="F2204" s="280"/>
      <c r="G2204" s="339">
        <f t="shared" si="2876"/>
        <v>0</v>
      </c>
      <c r="H2204" s="281">
        <v>0</v>
      </c>
      <c r="I2204" s="281">
        <v>0</v>
      </c>
      <c r="J2204" s="358" t="str">
        <f>IFERROR(G2204/#REF!,"-")</f>
        <v>-</v>
      </c>
      <c r="K2204" s="339">
        <f t="shared" si="2877"/>
        <v>0</v>
      </c>
      <c r="L2204" s="281">
        <f t="shared" si="2878"/>
        <v>0</v>
      </c>
      <c r="M2204" s="251">
        <f t="shared" si="2879"/>
        <v>0</v>
      </c>
      <c r="N2204" s="343" t="str">
        <f t="shared" si="2880"/>
        <v>-</v>
      </c>
      <c r="O2204" s="264" t="str">
        <f t="shared" si="2866"/>
        <v>-</v>
      </c>
    </row>
    <row r="2205" spans="1:15" ht="23.4" x14ac:dyDescent="0.3">
      <c r="A2205" s="277" t="s">
        <v>111</v>
      </c>
      <c r="B2205" s="923"/>
      <c r="C2205" s="278" t="s">
        <v>130</v>
      </c>
      <c r="D2205" s="278"/>
      <c r="E2205" s="279">
        <v>0</v>
      </c>
      <c r="F2205" s="280"/>
      <c r="G2205" s="339">
        <f t="shared" si="2876"/>
        <v>0</v>
      </c>
      <c r="H2205" s="281">
        <v>0</v>
      </c>
      <c r="I2205" s="281">
        <v>0</v>
      </c>
      <c r="J2205" s="358" t="str">
        <f>IFERROR(G2205/#REF!,"-")</f>
        <v>-</v>
      </c>
      <c r="K2205" s="339">
        <f t="shared" si="2877"/>
        <v>0</v>
      </c>
      <c r="L2205" s="281">
        <f t="shared" si="2878"/>
        <v>0</v>
      </c>
      <c r="M2205" s="251">
        <f t="shared" si="2879"/>
        <v>0</v>
      </c>
      <c r="N2205" s="343" t="str">
        <f t="shared" si="2880"/>
        <v>-</v>
      </c>
      <c r="O2205" s="264" t="str">
        <f t="shared" si="2866"/>
        <v>-</v>
      </c>
    </row>
    <row r="2206" spans="1:15" ht="23.4" x14ac:dyDescent="0.3">
      <c r="A2206" s="277" t="s">
        <v>111</v>
      </c>
      <c r="B2206" s="923"/>
      <c r="C2206" s="278" t="s">
        <v>191</v>
      </c>
      <c r="D2206" s="278" t="s">
        <v>192</v>
      </c>
      <c r="E2206" s="279">
        <v>0</v>
      </c>
      <c r="F2206" s="280"/>
      <c r="G2206" s="339">
        <f t="shared" si="2876"/>
        <v>0</v>
      </c>
      <c r="H2206" s="281">
        <v>0</v>
      </c>
      <c r="I2206" s="281">
        <v>0</v>
      </c>
      <c r="J2206" s="358" t="str">
        <f>IFERROR(G2206/#REF!,"-")</f>
        <v>-</v>
      </c>
      <c r="K2206" s="339">
        <f t="shared" si="2877"/>
        <v>0</v>
      </c>
      <c r="L2206" s="281">
        <f t="shared" si="2878"/>
        <v>0</v>
      </c>
      <c r="M2206" s="251">
        <f t="shared" si="2879"/>
        <v>0</v>
      </c>
      <c r="N2206" s="343" t="str">
        <f t="shared" si="2880"/>
        <v>-</v>
      </c>
      <c r="O2206" s="264" t="str">
        <f t="shared" si="2866"/>
        <v>-</v>
      </c>
    </row>
    <row r="2207" spans="1:15" ht="23.4" x14ac:dyDescent="0.3">
      <c r="A2207" s="277" t="s">
        <v>111</v>
      </c>
      <c r="B2207" s="923"/>
      <c r="C2207" s="278" t="s">
        <v>194</v>
      </c>
      <c r="D2207" s="278" t="s">
        <v>193</v>
      </c>
      <c r="E2207" s="279">
        <v>0</v>
      </c>
      <c r="F2207" s="280"/>
      <c r="G2207" s="339">
        <f t="shared" si="2876"/>
        <v>0</v>
      </c>
      <c r="H2207" s="281">
        <v>0</v>
      </c>
      <c r="I2207" s="281">
        <v>0</v>
      </c>
      <c r="J2207" s="358" t="str">
        <f>IFERROR(G2207/#REF!,"-")</f>
        <v>-</v>
      </c>
      <c r="K2207" s="339">
        <f t="shared" si="2877"/>
        <v>0</v>
      </c>
      <c r="L2207" s="281">
        <f t="shared" si="2878"/>
        <v>0</v>
      </c>
      <c r="M2207" s="251">
        <f t="shared" si="2879"/>
        <v>0</v>
      </c>
      <c r="N2207" s="343" t="str">
        <f t="shared" si="2880"/>
        <v>-</v>
      </c>
      <c r="O2207" s="264" t="str">
        <f t="shared" si="2866"/>
        <v>-</v>
      </c>
    </row>
    <row r="2208" spans="1:15" ht="24" thickBot="1" x14ac:dyDescent="0.35">
      <c r="A2208" s="277" t="s">
        <v>111</v>
      </c>
      <c r="B2208" s="924"/>
      <c r="C2208" s="290" t="s">
        <v>195</v>
      </c>
      <c r="D2208" s="290" t="s">
        <v>115</v>
      </c>
      <c r="E2208" s="283">
        <v>0</v>
      </c>
      <c r="F2208" s="284"/>
      <c r="G2208" s="340">
        <f t="shared" si="2876"/>
        <v>0</v>
      </c>
      <c r="H2208" s="285">
        <v>0</v>
      </c>
      <c r="I2208" s="285">
        <v>0</v>
      </c>
      <c r="J2208" s="359" t="str">
        <f>IFERROR(G2208/#REF!,"-")</f>
        <v>-</v>
      </c>
      <c r="K2208" s="340">
        <f t="shared" si="2877"/>
        <v>0</v>
      </c>
      <c r="L2208" s="285">
        <f t="shared" si="2878"/>
        <v>0</v>
      </c>
      <c r="M2208" s="286">
        <f t="shared" si="2879"/>
        <v>0</v>
      </c>
      <c r="N2208" s="344" t="str">
        <f t="shared" si="2880"/>
        <v>-</v>
      </c>
      <c r="O2208" s="353" t="str">
        <f t="shared" si="2866"/>
        <v>-</v>
      </c>
    </row>
    <row r="2209" spans="1:15" ht="24" thickBot="1" x14ac:dyDescent="0.35">
      <c r="A2209" s="277" t="s">
        <v>111</v>
      </c>
      <c r="B2209" s="906" t="s">
        <v>29</v>
      </c>
      <c r="C2209" s="907"/>
      <c r="D2209" s="908"/>
      <c r="E2209" s="326">
        <f t="shared" ref="E2209" si="2881">SUM(E2202:E2208)</f>
        <v>0</v>
      </c>
      <c r="F2209" s="289">
        <v>80000</v>
      </c>
      <c r="G2209" s="326">
        <f>SUM(G2202:G2208)</f>
        <v>0</v>
      </c>
      <c r="H2209" s="327">
        <f t="shared" ref="H2209:I2209" si="2882">SUM(H2202:H2208)</f>
        <v>0</v>
      </c>
      <c r="I2209" s="327">
        <f t="shared" si="2882"/>
        <v>0</v>
      </c>
      <c r="J2209" s="351" t="str">
        <f>IFERROR(G2209/#REF!,"-")</f>
        <v>-</v>
      </c>
      <c r="K2209" s="326">
        <f t="shared" ref="K2209:M2209" si="2883">SUM(K2202:K2208)</f>
        <v>0</v>
      </c>
      <c r="L2209" s="327">
        <f t="shared" si="2883"/>
        <v>0</v>
      </c>
      <c r="M2209" s="328">
        <f t="shared" si="2883"/>
        <v>0</v>
      </c>
      <c r="N2209" s="345" t="str">
        <f t="shared" si="2880"/>
        <v>-</v>
      </c>
      <c r="O2209" s="351" t="str">
        <f t="shared" si="2866"/>
        <v>-</v>
      </c>
    </row>
    <row r="2210" spans="1:15" ht="23.4" x14ac:dyDescent="0.3">
      <c r="A2210" s="252" t="s">
        <v>111</v>
      </c>
      <c r="B2210" s="918" t="s">
        <v>19</v>
      </c>
      <c r="C2210" s="757" t="s">
        <v>260</v>
      </c>
      <c r="D2210" s="771" t="s">
        <v>192</v>
      </c>
      <c r="E2210" s="540">
        <v>2000000</v>
      </c>
      <c r="F2210" s="470">
        <v>110000</v>
      </c>
      <c r="G2210" s="770">
        <f t="shared" ref="G2210:G2212" si="2884">+H2210+I2210</f>
        <v>0</v>
      </c>
      <c r="H2210" s="469">
        <v>0</v>
      </c>
      <c r="I2210" s="469">
        <v>0</v>
      </c>
      <c r="J2210" s="544" t="str">
        <f>IFERROR(G2210/#REF!,"-")</f>
        <v>-</v>
      </c>
      <c r="K2210" s="468">
        <f>+L2210+M2210</f>
        <v>329781</v>
      </c>
      <c r="L2210" s="469">
        <f t="shared" ref="L2210:L2211" si="2885">+H2210+L2106</f>
        <v>328118</v>
      </c>
      <c r="M2210" s="470">
        <f t="shared" ref="M2210:M2211" si="2886">+I2210+M2106</f>
        <v>1663</v>
      </c>
      <c r="N2210" s="775">
        <f>IFERROR(K2210/E2210,"-")</f>
        <v>0.1648905</v>
      </c>
      <c r="O2210" s="776">
        <f t="shared" si="2866"/>
        <v>5.0427404853524002E-3</v>
      </c>
    </row>
    <row r="2211" spans="1:15" ht="23.4" x14ac:dyDescent="0.3">
      <c r="A2211" s="252"/>
      <c r="B2211" s="919"/>
      <c r="C2211" s="302" t="s">
        <v>458</v>
      </c>
      <c r="D2211" s="772"/>
      <c r="E2211" s="755">
        <v>0</v>
      </c>
      <c r="F2211" s="441">
        <v>110000</v>
      </c>
      <c r="G2211" s="756">
        <f t="shared" si="2884"/>
        <v>67734</v>
      </c>
      <c r="H2211" s="275">
        <v>67584</v>
      </c>
      <c r="I2211" s="275">
        <v>150</v>
      </c>
      <c r="J2211" s="357" t="str">
        <f>IFERROR(G2211/#REF!,"-")</f>
        <v>-</v>
      </c>
      <c r="K2211" s="341">
        <f>+L2211+M2211</f>
        <v>661582</v>
      </c>
      <c r="L2211" s="295">
        <f t="shared" si="2885"/>
        <v>658944</v>
      </c>
      <c r="M2211" s="774">
        <f t="shared" si="2886"/>
        <v>2638</v>
      </c>
      <c r="N2211" s="346" t="str">
        <f t="shared" ref="N2211:N2212" si="2887">IFERROR(K2211/E2211,"-")</f>
        <v>-</v>
      </c>
      <c r="O2211" s="753">
        <f>IFERROR(M2211/K2211,"-")</f>
        <v>3.9874119912573199E-3</v>
      </c>
    </row>
    <row r="2212" spans="1:15" ht="24" thickBot="1" x14ac:dyDescent="0.35">
      <c r="A2212" s="252"/>
      <c r="B2212" s="920"/>
      <c r="C2212" s="679" t="s">
        <v>417</v>
      </c>
      <c r="D2212" s="773"/>
      <c r="E2212" s="472">
        <v>150000</v>
      </c>
      <c r="F2212" s="473">
        <v>110000</v>
      </c>
      <c r="G2212" s="607">
        <f t="shared" si="2884"/>
        <v>0</v>
      </c>
      <c r="H2212" s="285">
        <v>0</v>
      </c>
      <c r="I2212" s="285">
        <v>0</v>
      </c>
      <c r="J2212" s="359"/>
      <c r="K2212" s="471">
        <f>+L2212+M2212</f>
        <v>0</v>
      </c>
      <c r="L2212" s="472">
        <f>+H2212+L2108</f>
        <v>0</v>
      </c>
      <c r="M2212" s="473">
        <f>+I2212+M2108</f>
        <v>0</v>
      </c>
      <c r="N2212" s="344">
        <f t="shared" si="2887"/>
        <v>0</v>
      </c>
      <c r="O2212" s="680" t="str">
        <f t="shared" ref="O2212:O2260" si="2888">IFERROR(M2212/K2212,"-")</f>
        <v>-</v>
      </c>
    </row>
    <row r="2213" spans="1:15" ht="24" thickBot="1" x14ac:dyDescent="0.35">
      <c r="A2213" s="277" t="s">
        <v>111</v>
      </c>
      <c r="B2213" s="921" t="s">
        <v>49</v>
      </c>
      <c r="C2213" s="907"/>
      <c r="D2213" s="908"/>
      <c r="E2213" s="326">
        <f>SUM(E2210:E2212)</f>
        <v>2150000</v>
      </c>
      <c r="F2213" s="329">
        <f t="shared" ref="F2213" si="2889">SUM(F2210)</f>
        <v>110000</v>
      </c>
      <c r="G2213" s="326">
        <f>SUM(G2210)</f>
        <v>0</v>
      </c>
      <c r="H2213" s="327">
        <f>SUM(H2210:H2212)</f>
        <v>67584</v>
      </c>
      <c r="I2213" s="327">
        <f>SUM(I2210:I2212)</f>
        <v>150</v>
      </c>
      <c r="J2213" s="351" t="str">
        <f>IFERROR(G2213/#REF!,"-")</f>
        <v>-</v>
      </c>
      <c r="K2213" s="681">
        <f>SUM(K2210:K2211)</f>
        <v>991363</v>
      </c>
      <c r="L2213" s="327">
        <f>SUM(L2210:L2211)</f>
        <v>987062</v>
      </c>
      <c r="M2213" s="328">
        <f>SUM(M2210:M2211)</f>
        <v>4301</v>
      </c>
      <c r="N2213" s="345">
        <f>IFERROR(K2213/E2213,"-")</f>
        <v>0.46109906976744186</v>
      </c>
      <c r="O2213" s="351">
        <f t="shared" si="2888"/>
        <v>4.3384713772856159E-3</v>
      </c>
    </row>
    <row r="2214" spans="1:15" ht="23.4" x14ac:dyDescent="0.3">
      <c r="A2214" s="277" t="s">
        <v>111</v>
      </c>
      <c r="B2214" s="922" t="s">
        <v>20</v>
      </c>
      <c r="C2214" s="297" t="s">
        <v>370</v>
      </c>
      <c r="D2214" s="297" t="s">
        <v>324</v>
      </c>
      <c r="E2214" s="273">
        <v>0</v>
      </c>
      <c r="F2214" s="274"/>
      <c r="G2214" s="338">
        <f t="shared" ref="G2214:G2216" si="2890">+H2214+I2214</f>
        <v>0</v>
      </c>
      <c r="H2214" s="275">
        <v>0</v>
      </c>
      <c r="I2214" s="275">
        <v>0</v>
      </c>
      <c r="J2214" s="357" t="str">
        <f>IFERROR(G2214/#REF!,"-")</f>
        <v>-</v>
      </c>
      <c r="K2214" s="338">
        <f t="shared" ref="K2214:K2216" si="2891">+L2214+M2214</f>
        <v>0</v>
      </c>
      <c r="L2214" s="275">
        <f t="shared" ref="L2214:L2216" si="2892">+H2214+L2110</f>
        <v>0</v>
      </c>
      <c r="M2214" s="276">
        <f t="shared" ref="M2214:M2216" si="2893">+I2214+M2110</f>
        <v>0</v>
      </c>
      <c r="N2214" s="342" t="str">
        <f t="shared" ref="N2214:N2217" si="2894">IFERROR(K2214/E2214,"-")</f>
        <v>-</v>
      </c>
      <c r="O2214" s="352" t="str">
        <f t="shared" si="2888"/>
        <v>-</v>
      </c>
    </row>
    <row r="2215" spans="1:15" ht="23.4" x14ac:dyDescent="0.3">
      <c r="A2215" s="277" t="s">
        <v>111</v>
      </c>
      <c r="B2215" s="923"/>
      <c r="C2215" s="298" t="s">
        <v>122</v>
      </c>
      <c r="D2215" s="298"/>
      <c r="E2215" s="279">
        <v>0</v>
      </c>
      <c r="F2215" s="280"/>
      <c r="G2215" s="339">
        <f t="shared" si="2890"/>
        <v>0</v>
      </c>
      <c r="H2215" s="281">
        <v>0</v>
      </c>
      <c r="I2215" s="281">
        <v>0</v>
      </c>
      <c r="J2215" s="358" t="str">
        <f>IFERROR(G2215/#REF!,"-")</f>
        <v>-</v>
      </c>
      <c r="K2215" s="339">
        <f t="shared" si="2891"/>
        <v>0</v>
      </c>
      <c r="L2215" s="281">
        <f t="shared" si="2892"/>
        <v>0</v>
      </c>
      <c r="M2215" s="251">
        <f t="shared" si="2893"/>
        <v>0</v>
      </c>
      <c r="N2215" s="343" t="str">
        <f t="shared" si="2894"/>
        <v>-</v>
      </c>
      <c r="O2215" s="264" t="str">
        <f t="shared" si="2888"/>
        <v>-</v>
      </c>
    </row>
    <row r="2216" spans="1:15" ht="24" thickBot="1" x14ac:dyDescent="0.35">
      <c r="A2216" s="277" t="s">
        <v>111</v>
      </c>
      <c r="B2216" s="924"/>
      <c r="C2216" s="299" t="s">
        <v>128</v>
      </c>
      <c r="D2216" s="299"/>
      <c r="E2216" s="283">
        <v>0</v>
      </c>
      <c r="F2216" s="284"/>
      <c r="G2216" s="340">
        <f t="shared" si="2890"/>
        <v>0</v>
      </c>
      <c r="H2216" s="285">
        <v>0</v>
      </c>
      <c r="I2216" s="285">
        <v>0</v>
      </c>
      <c r="J2216" s="359" t="str">
        <f>IFERROR(G2216/#REF!,"-")</f>
        <v>-</v>
      </c>
      <c r="K2216" s="340">
        <f t="shared" si="2891"/>
        <v>0</v>
      </c>
      <c r="L2216" s="285">
        <f t="shared" si="2892"/>
        <v>0</v>
      </c>
      <c r="M2216" s="286">
        <f t="shared" si="2893"/>
        <v>0</v>
      </c>
      <c r="N2216" s="344" t="str">
        <f t="shared" si="2894"/>
        <v>-</v>
      </c>
      <c r="O2216" s="353" t="str">
        <f t="shared" si="2888"/>
        <v>-</v>
      </c>
    </row>
    <row r="2217" spans="1:15" ht="24" thickBot="1" x14ac:dyDescent="0.35">
      <c r="A2217" s="277" t="s">
        <v>111</v>
      </c>
      <c r="B2217" s="907" t="s">
        <v>50</v>
      </c>
      <c r="C2217" s="907"/>
      <c r="D2217" s="925"/>
      <c r="E2217" s="326">
        <f t="shared" ref="E2217" si="2895">SUM(E2214:E2216)</f>
        <v>0</v>
      </c>
      <c r="F2217" s="289">
        <v>50000</v>
      </c>
      <c r="G2217" s="326">
        <f>SUM(G2214:G2216)</f>
        <v>0</v>
      </c>
      <c r="H2217" s="327">
        <f t="shared" ref="H2217:I2217" si="2896">SUM(H2214:H2216)</f>
        <v>0</v>
      </c>
      <c r="I2217" s="327">
        <f t="shared" si="2896"/>
        <v>0</v>
      </c>
      <c r="J2217" s="351" t="str">
        <f>IFERROR(G2217/#REF!,"-")</f>
        <v>-</v>
      </c>
      <c r="K2217" s="326">
        <f t="shared" ref="K2217:M2217" si="2897">SUM(K2214:K2216)</f>
        <v>0</v>
      </c>
      <c r="L2217" s="327">
        <f t="shared" si="2897"/>
        <v>0</v>
      </c>
      <c r="M2217" s="328">
        <f t="shared" si="2897"/>
        <v>0</v>
      </c>
      <c r="N2217" s="345" t="str">
        <f t="shared" si="2894"/>
        <v>-</v>
      </c>
      <c r="O2217" s="351" t="str">
        <f t="shared" si="2888"/>
        <v>-</v>
      </c>
    </row>
    <row r="2218" spans="1:15" ht="24" thickBot="1" x14ac:dyDescent="0.35">
      <c r="A2218" s="277" t="s">
        <v>111</v>
      </c>
      <c r="B2218" s="926" t="s">
        <v>21</v>
      </c>
      <c r="C2218" s="927"/>
      <c r="D2218" s="928"/>
      <c r="E2218" s="332">
        <f>+E2193+E2201+E2209+E2213+E2217</f>
        <v>5774600</v>
      </c>
      <c r="F2218" s="333">
        <f>+F2193+F2201+F2209+F2213+F2217</f>
        <v>355000</v>
      </c>
      <c r="G2218" s="332">
        <f>+G2193+G2201+G2209+G2213+G2217</f>
        <v>232855</v>
      </c>
      <c r="H2218" s="330">
        <f>+H2193+H2201+H2209+H2213+H2217</f>
        <v>300144</v>
      </c>
      <c r="I2218" s="330">
        <f>+I2193+I2201+I2209+I2213+I2217</f>
        <v>445</v>
      </c>
      <c r="J2218" s="355" t="str">
        <f>IFERROR(G2218/#REF!,"-")</f>
        <v>-</v>
      </c>
      <c r="K2218" s="332">
        <f>+K2193+K2201+K2209+K2213+K2217</f>
        <v>3350746</v>
      </c>
      <c r="L2218" s="330">
        <f>+L2193+L2201+L2209+L2213+L2217</f>
        <v>3338403</v>
      </c>
      <c r="M2218" s="331">
        <f>+M2193+M2201+M2209+M2213+M2217</f>
        <v>12343</v>
      </c>
      <c r="N2218" s="347">
        <f>IFERROR(K2218/E2218,"-")</f>
        <v>0.58025594846396289</v>
      </c>
      <c r="O2218" s="355">
        <f t="shared" si="2888"/>
        <v>3.6836573109391164E-3</v>
      </c>
    </row>
    <row r="2219" spans="1:15" ht="23.4" x14ac:dyDescent="0.3">
      <c r="A2219" s="277" t="s">
        <v>111</v>
      </c>
      <c r="B2219" s="922" t="s">
        <v>22</v>
      </c>
      <c r="C2219" s="272" t="s">
        <v>133</v>
      </c>
      <c r="D2219" s="272"/>
      <c r="E2219" s="273">
        <v>0</v>
      </c>
      <c r="F2219" s="274"/>
      <c r="G2219" s="338">
        <f t="shared" ref="G2219:G2222" si="2898">+H2219+I2219</f>
        <v>0</v>
      </c>
      <c r="H2219" s="275">
        <v>0</v>
      </c>
      <c r="I2219" s="275">
        <v>0</v>
      </c>
      <c r="J2219" s="357" t="str">
        <f>IFERROR(G2219/#REF!,"-")</f>
        <v>-</v>
      </c>
      <c r="K2219" s="338">
        <f t="shared" ref="K2219:K2222" si="2899">+L2219+M2219</f>
        <v>0</v>
      </c>
      <c r="L2219" s="275">
        <f t="shared" ref="L2219:L2222" si="2900">+H2219+L2115</f>
        <v>0</v>
      </c>
      <c r="M2219" s="276">
        <f t="shared" ref="M2219:M2222" si="2901">+I2219+M2115</f>
        <v>0</v>
      </c>
      <c r="N2219" s="342" t="str">
        <f t="shared" ref="N2219:N2233" si="2902">IFERROR(K2219/E2219,"-")</f>
        <v>-</v>
      </c>
      <c r="O2219" s="352" t="str">
        <f t="shared" si="2888"/>
        <v>-</v>
      </c>
    </row>
    <row r="2220" spans="1:15" ht="23.4" x14ac:dyDescent="0.3">
      <c r="A2220" s="277" t="s">
        <v>111</v>
      </c>
      <c r="B2220" s="923"/>
      <c r="C2220" s="301" t="s">
        <v>291</v>
      </c>
      <c r="D2220" s="301" t="s">
        <v>196</v>
      </c>
      <c r="E2220" s="279">
        <v>0</v>
      </c>
      <c r="F2220" s="280"/>
      <c r="G2220" s="339">
        <f t="shared" si="2898"/>
        <v>0</v>
      </c>
      <c r="H2220" s="281">
        <v>0</v>
      </c>
      <c r="I2220" s="281">
        <v>0</v>
      </c>
      <c r="J2220" s="358" t="str">
        <f>IFERROR(G2220/#REF!,"-")</f>
        <v>-</v>
      </c>
      <c r="K2220" s="339">
        <f t="shared" si="2899"/>
        <v>0</v>
      </c>
      <c r="L2220" s="281">
        <f t="shared" si="2900"/>
        <v>0</v>
      </c>
      <c r="M2220" s="251">
        <f t="shared" si="2901"/>
        <v>0</v>
      </c>
      <c r="N2220" s="343" t="str">
        <f t="shared" si="2902"/>
        <v>-</v>
      </c>
      <c r="O2220" s="264" t="str">
        <f t="shared" si="2888"/>
        <v>-</v>
      </c>
    </row>
    <row r="2221" spans="1:15" ht="23.4" x14ac:dyDescent="0.3">
      <c r="A2221" s="277" t="s">
        <v>111</v>
      </c>
      <c r="B2221" s="923"/>
      <c r="C2221" s="301" t="s">
        <v>473</v>
      </c>
      <c r="D2221" s="301" t="s">
        <v>196</v>
      </c>
      <c r="E2221" s="279">
        <v>1000000</v>
      </c>
      <c r="F2221" s="280"/>
      <c r="G2221" s="339">
        <f t="shared" si="2898"/>
        <v>63526</v>
      </c>
      <c r="H2221" s="281">
        <v>63360</v>
      </c>
      <c r="I2221" s="281">
        <v>166</v>
      </c>
      <c r="J2221" s="358" t="str">
        <f>IFERROR(G2221/#REF!,"-")</f>
        <v>-</v>
      </c>
      <c r="K2221" s="339">
        <f t="shared" si="2899"/>
        <v>458158</v>
      </c>
      <c r="L2221" s="281">
        <f t="shared" si="2900"/>
        <v>457380</v>
      </c>
      <c r="M2221" s="251">
        <f t="shared" si="2901"/>
        <v>778</v>
      </c>
      <c r="N2221" s="343">
        <f t="shared" si="2902"/>
        <v>0.45815800000000001</v>
      </c>
      <c r="O2221" s="264">
        <f t="shared" si="2888"/>
        <v>1.6981041474775078E-3</v>
      </c>
    </row>
    <row r="2222" spans="1:15" ht="24" thickBot="1" x14ac:dyDescent="0.35">
      <c r="A2222" s="277" t="s">
        <v>111</v>
      </c>
      <c r="B2222" s="924"/>
      <c r="C2222" s="282" t="s">
        <v>197</v>
      </c>
      <c r="D2222" s="282" t="s">
        <v>100</v>
      </c>
      <c r="E2222" s="283">
        <v>0</v>
      </c>
      <c r="F2222" s="284"/>
      <c r="G2222" s="340">
        <f t="shared" si="2898"/>
        <v>0</v>
      </c>
      <c r="H2222" s="285">
        <v>0</v>
      </c>
      <c r="I2222" s="285">
        <v>0</v>
      </c>
      <c r="J2222" s="359" t="str">
        <f>IFERROR(G2222/#REF!,"-")</f>
        <v>-</v>
      </c>
      <c r="K2222" s="340">
        <f t="shared" si="2899"/>
        <v>0</v>
      </c>
      <c r="L2222" s="285">
        <f t="shared" si="2900"/>
        <v>0</v>
      </c>
      <c r="M2222" s="286">
        <f t="shared" si="2901"/>
        <v>0</v>
      </c>
      <c r="N2222" s="344" t="str">
        <f t="shared" si="2902"/>
        <v>-</v>
      </c>
      <c r="O2222" s="353" t="str">
        <f t="shared" si="2888"/>
        <v>-</v>
      </c>
    </row>
    <row r="2223" spans="1:15" ht="24" thickBot="1" x14ac:dyDescent="0.35">
      <c r="A2223" s="277" t="s">
        <v>111</v>
      </c>
      <c r="B2223" s="906" t="s">
        <v>51</v>
      </c>
      <c r="C2223" s="907"/>
      <c r="D2223" s="908"/>
      <c r="E2223" s="288">
        <f>SUM(E2219:E2222)</f>
        <v>1000000</v>
      </c>
      <c r="F2223" s="289">
        <v>80000</v>
      </c>
      <c r="G2223" s="326">
        <f>SUM(G2219:G2222)</f>
        <v>63526</v>
      </c>
      <c r="H2223" s="327">
        <f t="shared" ref="H2223:I2223" si="2903">SUM(H2219:H2222)</f>
        <v>63360</v>
      </c>
      <c r="I2223" s="327">
        <f t="shared" si="2903"/>
        <v>166</v>
      </c>
      <c r="J2223" s="351" t="str">
        <f>IFERROR(G2223/#REF!,"-")</f>
        <v>-</v>
      </c>
      <c r="K2223" s="326">
        <f t="shared" ref="K2223:M2223" si="2904">SUM(K2219:K2222)</f>
        <v>458158</v>
      </c>
      <c r="L2223" s="327">
        <f t="shared" si="2904"/>
        <v>457380</v>
      </c>
      <c r="M2223" s="328">
        <f t="shared" si="2904"/>
        <v>778</v>
      </c>
      <c r="N2223" s="345">
        <f t="shared" si="2902"/>
        <v>0.45815800000000001</v>
      </c>
      <c r="O2223" s="351">
        <f t="shared" si="2888"/>
        <v>1.6981041474775078E-3</v>
      </c>
    </row>
    <row r="2224" spans="1:15" ht="23.4" x14ac:dyDescent="0.3">
      <c r="A2224" s="277" t="s">
        <v>111</v>
      </c>
      <c r="B2224" s="922" t="s">
        <v>23</v>
      </c>
      <c r="C2224" s="302" t="s">
        <v>348</v>
      </c>
      <c r="D2224" s="302" t="s">
        <v>263</v>
      </c>
      <c r="E2224" s="273">
        <v>0</v>
      </c>
      <c r="F2224" s="274"/>
      <c r="G2224" s="338">
        <f t="shared" ref="G2224:G2231" si="2905">+H2224+I2224</f>
        <v>0</v>
      </c>
      <c r="H2224" s="275">
        <v>0</v>
      </c>
      <c r="I2224" s="275">
        <v>0</v>
      </c>
      <c r="J2224" s="357" t="str">
        <f>IFERROR(G2224/#REF!,"-")</f>
        <v>-</v>
      </c>
      <c r="K2224" s="338">
        <f t="shared" ref="K2224:K2231" si="2906">+L2224+M2224</f>
        <v>0</v>
      </c>
      <c r="L2224" s="275">
        <f t="shared" ref="L2224:L2231" si="2907">+H2224+L2120</f>
        <v>0</v>
      </c>
      <c r="M2224" s="276">
        <f t="shared" ref="M2224:M2231" si="2908">+I2224+M2120</f>
        <v>0</v>
      </c>
      <c r="N2224" s="342" t="str">
        <f t="shared" si="2902"/>
        <v>-</v>
      </c>
      <c r="O2224" s="352" t="str">
        <f t="shared" si="2888"/>
        <v>-</v>
      </c>
    </row>
    <row r="2225" spans="1:15" ht="23.4" x14ac:dyDescent="0.3">
      <c r="A2225" s="277" t="s">
        <v>111</v>
      </c>
      <c r="B2225" s="923"/>
      <c r="C2225" s="278" t="s">
        <v>24</v>
      </c>
      <c r="D2225" s="278" t="s">
        <v>263</v>
      </c>
      <c r="E2225" s="279">
        <v>0</v>
      </c>
      <c r="F2225" s="280"/>
      <c r="G2225" s="339">
        <f t="shared" si="2905"/>
        <v>0</v>
      </c>
      <c r="H2225" s="281">
        <v>0</v>
      </c>
      <c r="I2225" s="281">
        <v>0</v>
      </c>
      <c r="J2225" s="358" t="str">
        <f>IFERROR(G2225/#REF!,"-")</f>
        <v>-</v>
      </c>
      <c r="K2225" s="339">
        <f t="shared" si="2906"/>
        <v>113483</v>
      </c>
      <c r="L2225" s="281">
        <f t="shared" si="2907"/>
        <v>112404</v>
      </c>
      <c r="M2225" s="251">
        <f t="shared" si="2908"/>
        <v>1079</v>
      </c>
      <c r="N2225" s="343" t="str">
        <f t="shared" si="2902"/>
        <v>-</v>
      </c>
      <c r="O2225" s="264">
        <f t="shared" si="2888"/>
        <v>9.508032040041239E-3</v>
      </c>
    </row>
    <row r="2226" spans="1:15" ht="23.4" x14ac:dyDescent="0.3">
      <c r="A2226" s="277" t="s">
        <v>111</v>
      </c>
      <c r="B2226" s="923"/>
      <c r="C2226" s="278" t="s">
        <v>261</v>
      </c>
      <c r="D2226" s="278" t="s">
        <v>263</v>
      </c>
      <c r="E2226" s="279">
        <v>0</v>
      </c>
      <c r="F2226" s="280"/>
      <c r="G2226" s="339">
        <f t="shared" si="2905"/>
        <v>0</v>
      </c>
      <c r="H2226" s="281">
        <v>0</v>
      </c>
      <c r="I2226" s="281">
        <v>0</v>
      </c>
      <c r="J2226" s="358" t="str">
        <f>IFERROR(G2226/#REF!,"-")</f>
        <v>-</v>
      </c>
      <c r="K2226" s="339">
        <f t="shared" si="2906"/>
        <v>11048</v>
      </c>
      <c r="L2226" s="281">
        <f t="shared" si="2907"/>
        <v>10901</v>
      </c>
      <c r="M2226" s="251">
        <f t="shared" si="2908"/>
        <v>147</v>
      </c>
      <c r="N2226" s="343" t="str">
        <f t="shared" si="2902"/>
        <v>-</v>
      </c>
      <c r="O2226" s="264">
        <f t="shared" si="2888"/>
        <v>1.330557566980449E-2</v>
      </c>
    </row>
    <row r="2227" spans="1:15" ht="23.4" x14ac:dyDescent="0.3">
      <c r="A2227" s="277" t="s">
        <v>111</v>
      </c>
      <c r="B2227" s="923"/>
      <c r="C2227" s="278" t="s">
        <v>262</v>
      </c>
      <c r="D2227" s="278" t="s">
        <v>263</v>
      </c>
      <c r="E2227" s="279">
        <v>0</v>
      </c>
      <c r="F2227" s="280"/>
      <c r="G2227" s="339">
        <f t="shared" si="2905"/>
        <v>0</v>
      </c>
      <c r="H2227" s="281">
        <v>0</v>
      </c>
      <c r="I2227" s="281">
        <v>0</v>
      </c>
      <c r="J2227" s="358" t="str">
        <f>IFERROR(G2227/#REF!,"-")</f>
        <v>-</v>
      </c>
      <c r="K2227" s="339">
        <f t="shared" si="2906"/>
        <v>7672</v>
      </c>
      <c r="L2227" s="281">
        <f t="shared" si="2907"/>
        <v>7612</v>
      </c>
      <c r="M2227" s="251">
        <f t="shared" si="2908"/>
        <v>60</v>
      </c>
      <c r="N2227" s="343" t="str">
        <f t="shared" si="2902"/>
        <v>-</v>
      </c>
      <c r="O2227" s="264">
        <f t="shared" si="2888"/>
        <v>7.8206465067778945E-3</v>
      </c>
    </row>
    <row r="2228" spans="1:15" ht="23.4" x14ac:dyDescent="0.3">
      <c r="A2228" s="277" t="s">
        <v>111</v>
      </c>
      <c r="B2228" s="923"/>
      <c r="C2228" s="301" t="s">
        <v>264</v>
      </c>
      <c r="D2228" s="278" t="s">
        <v>263</v>
      </c>
      <c r="E2228" s="279">
        <v>0</v>
      </c>
      <c r="F2228" s="280"/>
      <c r="G2228" s="339">
        <f t="shared" si="2905"/>
        <v>0</v>
      </c>
      <c r="H2228" s="281">
        <v>0</v>
      </c>
      <c r="I2228" s="281">
        <v>0</v>
      </c>
      <c r="J2228" s="358" t="str">
        <f>IFERROR(G2228/#REF!,"-")</f>
        <v>-</v>
      </c>
      <c r="K2228" s="339">
        <f t="shared" si="2906"/>
        <v>0</v>
      </c>
      <c r="L2228" s="281">
        <f t="shared" si="2907"/>
        <v>0</v>
      </c>
      <c r="M2228" s="251">
        <f t="shared" si="2908"/>
        <v>0</v>
      </c>
      <c r="N2228" s="343" t="str">
        <f t="shared" si="2902"/>
        <v>-</v>
      </c>
      <c r="O2228" s="264" t="str">
        <f t="shared" si="2888"/>
        <v>-</v>
      </c>
    </row>
    <row r="2229" spans="1:15" ht="23.4" x14ac:dyDescent="0.3">
      <c r="A2229" s="277" t="s">
        <v>111</v>
      </c>
      <c r="B2229" s="923"/>
      <c r="C2229" s="301" t="s">
        <v>265</v>
      </c>
      <c r="D2229" s="278" t="s">
        <v>263</v>
      </c>
      <c r="E2229" s="279">
        <v>0</v>
      </c>
      <c r="F2229" s="280"/>
      <c r="G2229" s="339">
        <f t="shared" si="2905"/>
        <v>0</v>
      </c>
      <c r="H2229" s="281">
        <v>0</v>
      </c>
      <c r="I2229" s="281">
        <v>0</v>
      </c>
      <c r="J2229" s="358" t="str">
        <f>IFERROR(G2229/#REF!,"-")</f>
        <v>-</v>
      </c>
      <c r="K2229" s="339">
        <f t="shared" si="2906"/>
        <v>0</v>
      </c>
      <c r="L2229" s="281">
        <f t="shared" si="2907"/>
        <v>0</v>
      </c>
      <c r="M2229" s="251">
        <f t="shared" si="2908"/>
        <v>0</v>
      </c>
      <c r="N2229" s="343" t="str">
        <f t="shared" si="2902"/>
        <v>-</v>
      </c>
      <c r="O2229" s="264" t="str">
        <f t="shared" si="2888"/>
        <v>-</v>
      </c>
    </row>
    <row r="2230" spans="1:15" ht="23.4" x14ac:dyDescent="0.3">
      <c r="A2230" s="277" t="s">
        <v>111</v>
      </c>
      <c r="B2230" s="923"/>
      <c r="C2230" s="301" t="s">
        <v>266</v>
      </c>
      <c r="D2230" s="278" t="s">
        <v>268</v>
      </c>
      <c r="E2230" s="279">
        <v>0</v>
      </c>
      <c r="F2230" s="280"/>
      <c r="G2230" s="339">
        <f t="shared" si="2905"/>
        <v>0</v>
      </c>
      <c r="H2230" s="281">
        <v>0</v>
      </c>
      <c r="I2230" s="281">
        <v>0</v>
      </c>
      <c r="J2230" s="358" t="str">
        <f>IFERROR(G2230/#REF!,"-")</f>
        <v>-</v>
      </c>
      <c r="K2230" s="339">
        <f t="shared" si="2906"/>
        <v>10464</v>
      </c>
      <c r="L2230" s="281">
        <f t="shared" si="2907"/>
        <v>10417</v>
      </c>
      <c r="M2230" s="251">
        <f t="shared" si="2908"/>
        <v>47</v>
      </c>
      <c r="N2230" s="343" t="str">
        <f t="shared" si="2902"/>
        <v>-</v>
      </c>
      <c r="O2230" s="264">
        <f t="shared" si="2888"/>
        <v>4.491590214067278E-3</v>
      </c>
    </row>
    <row r="2231" spans="1:15" ht="24" thickBot="1" x14ac:dyDescent="0.35">
      <c r="A2231" s="277" t="s">
        <v>111</v>
      </c>
      <c r="B2231" s="924"/>
      <c r="C2231" s="301" t="s">
        <v>267</v>
      </c>
      <c r="D2231" s="278" t="s">
        <v>263</v>
      </c>
      <c r="E2231" s="283">
        <v>0</v>
      </c>
      <c r="F2231" s="284"/>
      <c r="G2231" s="340">
        <f t="shared" si="2905"/>
        <v>0</v>
      </c>
      <c r="H2231" s="285">
        <v>0</v>
      </c>
      <c r="I2231" s="285">
        <v>0</v>
      </c>
      <c r="J2231" s="359" t="str">
        <f>IFERROR(G2231/#REF!,"-")</f>
        <v>-</v>
      </c>
      <c r="K2231" s="340">
        <f t="shared" si="2906"/>
        <v>14088</v>
      </c>
      <c r="L2231" s="285">
        <f t="shared" si="2907"/>
        <v>14000</v>
      </c>
      <c r="M2231" s="286">
        <f t="shared" si="2908"/>
        <v>88</v>
      </c>
      <c r="N2231" s="344" t="str">
        <f t="shared" si="2902"/>
        <v>-</v>
      </c>
      <c r="O2231" s="353">
        <f t="shared" si="2888"/>
        <v>6.2464508801817146E-3</v>
      </c>
    </row>
    <row r="2232" spans="1:15" ht="24" thickBot="1" x14ac:dyDescent="0.35">
      <c r="A2232" s="277" t="s">
        <v>111</v>
      </c>
      <c r="B2232" s="906" t="s">
        <v>52</v>
      </c>
      <c r="C2232" s="907"/>
      <c r="D2232" s="908"/>
      <c r="E2232" s="288">
        <v>157500</v>
      </c>
      <c r="F2232" s="289">
        <v>14000</v>
      </c>
      <c r="G2232" s="326">
        <f>SUM(G2224:G2231)</f>
        <v>0</v>
      </c>
      <c r="H2232" s="327">
        <f t="shared" ref="H2232:I2232" si="2909">SUM(H2224:H2231)</f>
        <v>0</v>
      </c>
      <c r="I2232" s="327">
        <f t="shared" si="2909"/>
        <v>0</v>
      </c>
      <c r="J2232" s="351" t="str">
        <f>IFERROR(G2232/#REF!,"-")</f>
        <v>-</v>
      </c>
      <c r="K2232" s="326">
        <f>SUM(K2224:K2231)</f>
        <v>156755</v>
      </c>
      <c r="L2232" s="327">
        <f t="shared" ref="L2232:M2232" si="2910">SUM(L2224:L2231)</f>
        <v>155334</v>
      </c>
      <c r="M2232" s="328">
        <f t="shared" si="2910"/>
        <v>1421</v>
      </c>
      <c r="N2232" s="345">
        <f t="shared" si="2902"/>
        <v>0.9952698412698413</v>
      </c>
      <c r="O2232" s="351">
        <f t="shared" si="2888"/>
        <v>9.0651015916557685E-3</v>
      </c>
    </row>
    <row r="2233" spans="1:15" ht="24" thickBot="1" x14ac:dyDescent="0.35">
      <c r="A2233" s="277" t="s">
        <v>111</v>
      </c>
      <c r="B2233" s="926" t="s">
        <v>25</v>
      </c>
      <c r="C2233" s="927"/>
      <c r="D2233" s="928"/>
      <c r="E2233" s="332">
        <f t="shared" ref="E2233:F2233" si="2911">+E2223+E2232</f>
        <v>1157500</v>
      </c>
      <c r="F2233" s="333">
        <f t="shared" si="2911"/>
        <v>94000</v>
      </c>
      <c r="G2233" s="332">
        <f>+G2223+G2232</f>
        <v>63526</v>
      </c>
      <c r="H2233" s="330">
        <f t="shared" ref="H2233:I2233" si="2912">+H2223+H2232</f>
        <v>63360</v>
      </c>
      <c r="I2233" s="330">
        <f t="shared" si="2912"/>
        <v>166</v>
      </c>
      <c r="J2233" s="355" t="str">
        <f>IFERROR(G2233/#REF!,"-")</f>
        <v>-</v>
      </c>
      <c r="K2233" s="332">
        <f t="shared" ref="K2233" si="2913">+K2223+K2232</f>
        <v>614913</v>
      </c>
      <c r="L2233" s="330">
        <f>+L2223+L2232</f>
        <v>612714</v>
      </c>
      <c r="M2233" s="331">
        <f t="shared" ref="M2233" si="2914">+M2223+M2232</f>
        <v>2199</v>
      </c>
      <c r="N2233" s="347">
        <f t="shared" si="2902"/>
        <v>0.53124233261339093</v>
      </c>
      <c r="O2233" s="355">
        <f t="shared" si="2888"/>
        <v>3.5761156456279183E-3</v>
      </c>
    </row>
    <row r="2234" spans="1:15" ht="24" thickBot="1" x14ac:dyDescent="0.35">
      <c r="A2234" s="277" t="s">
        <v>111</v>
      </c>
      <c r="B2234" s="900" t="s">
        <v>181</v>
      </c>
      <c r="C2234" s="901"/>
      <c r="D2234" s="902"/>
      <c r="E2234" s="336">
        <f>+E2218+E2233</f>
        <v>6932100</v>
      </c>
      <c r="F2234" s="337">
        <f t="shared" ref="F2234:I2234" si="2915">+F2218+F2233</f>
        <v>449000</v>
      </c>
      <c r="G2234" s="336">
        <f t="shared" si="2915"/>
        <v>296381</v>
      </c>
      <c r="H2234" s="334">
        <f t="shared" si="2915"/>
        <v>363504</v>
      </c>
      <c r="I2234" s="334">
        <f t="shared" si="2915"/>
        <v>611</v>
      </c>
      <c r="J2234" s="356" t="str">
        <f>IFERROR(G2234/#REF!,"-")</f>
        <v>-</v>
      </c>
      <c r="K2234" s="336">
        <f>+K2218+K2233</f>
        <v>3965659</v>
      </c>
      <c r="L2234" s="334">
        <f t="shared" ref="L2234:M2234" si="2916">+L2218+L2233</f>
        <v>3951117</v>
      </c>
      <c r="M2234" s="335">
        <f t="shared" si="2916"/>
        <v>14542</v>
      </c>
      <c r="N2234" s="348">
        <f>IFERROR(K2234/E2234,"-")</f>
        <v>0.5720718108509687</v>
      </c>
      <c r="O2234" s="356">
        <f t="shared" si="2888"/>
        <v>3.6669819568450036E-3</v>
      </c>
    </row>
    <row r="2235" spans="1:15" ht="23.4" x14ac:dyDescent="0.3">
      <c r="A2235" s="271" t="s">
        <v>109</v>
      </c>
      <c r="B2235" s="929" t="s">
        <v>26</v>
      </c>
      <c r="C2235" s="303" t="s">
        <v>334</v>
      </c>
      <c r="D2235" s="303" t="s">
        <v>192</v>
      </c>
      <c r="E2235" s="273">
        <v>0</v>
      </c>
      <c r="F2235" s="274"/>
      <c r="G2235" s="338">
        <f t="shared" ref="G2235:G2243" si="2917">+H2235+I2235</f>
        <v>0</v>
      </c>
      <c r="H2235" s="275">
        <v>0</v>
      </c>
      <c r="I2235" s="275">
        <v>0</v>
      </c>
      <c r="J2235" s="357" t="str">
        <f>IFERROR(G2235/#REF!,"-")</f>
        <v>-</v>
      </c>
      <c r="K2235" s="338">
        <f t="shared" ref="K2235:K2243" si="2918">+L2235+M2235</f>
        <v>326708</v>
      </c>
      <c r="L2235" s="275">
        <f t="shared" ref="L2235:L2243" si="2919">+H2235+L2131</f>
        <v>322218</v>
      </c>
      <c r="M2235" s="276">
        <f t="shared" ref="M2235:M2243" si="2920">+I2235+M2131</f>
        <v>4490</v>
      </c>
      <c r="N2235" s="342" t="str">
        <f t="shared" ref="N2235:N2236" si="2921">IFERROR(K2235/E2235,"-")</f>
        <v>-</v>
      </c>
      <c r="O2235" s="352">
        <f t="shared" si="2888"/>
        <v>1.3743159028857574E-2</v>
      </c>
    </row>
    <row r="2236" spans="1:15" ht="23.4" x14ac:dyDescent="0.3">
      <c r="A2236" s="277" t="s">
        <v>109</v>
      </c>
      <c r="B2236" s="929"/>
      <c r="C2236" s="304" t="s">
        <v>199</v>
      </c>
      <c r="D2236" s="304" t="s">
        <v>115</v>
      </c>
      <c r="E2236" s="279">
        <v>0</v>
      </c>
      <c r="F2236" s="280"/>
      <c r="G2236" s="339">
        <f t="shared" si="2917"/>
        <v>0</v>
      </c>
      <c r="H2236" s="281">
        <v>0</v>
      </c>
      <c r="I2236" s="281">
        <v>0</v>
      </c>
      <c r="J2236" s="358" t="str">
        <f>IFERROR(G2236/#REF!,"-")</f>
        <v>-</v>
      </c>
      <c r="K2236" s="339">
        <f t="shared" si="2918"/>
        <v>0</v>
      </c>
      <c r="L2236" s="281">
        <f t="shared" si="2919"/>
        <v>0</v>
      </c>
      <c r="M2236" s="251">
        <f t="shared" si="2920"/>
        <v>0</v>
      </c>
      <c r="N2236" s="343" t="str">
        <f t="shared" si="2921"/>
        <v>-</v>
      </c>
      <c r="O2236" s="264" t="str">
        <f t="shared" si="2888"/>
        <v>-</v>
      </c>
    </row>
    <row r="2237" spans="1:15" ht="23.4" x14ac:dyDescent="0.3">
      <c r="A2237" s="277" t="s">
        <v>109</v>
      </c>
      <c r="B2237" s="929"/>
      <c r="C2237" s="305" t="s">
        <v>27</v>
      </c>
      <c r="D2237" s="305" t="s">
        <v>394</v>
      </c>
      <c r="E2237" s="283">
        <v>0</v>
      </c>
      <c r="F2237" s="284"/>
      <c r="G2237" s="339">
        <f t="shared" si="2917"/>
        <v>0</v>
      </c>
      <c r="H2237" s="285">
        <v>0</v>
      </c>
      <c r="I2237" s="285">
        <v>0</v>
      </c>
      <c r="J2237" s="359" t="str">
        <f>IFERROR(G2237/#REF!,"-")</f>
        <v>-</v>
      </c>
      <c r="K2237" s="339">
        <f t="shared" si="2918"/>
        <v>20305</v>
      </c>
      <c r="L2237" s="285">
        <f t="shared" si="2919"/>
        <v>19890</v>
      </c>
      <c r="M2237" s="286">
        <f t="shared" si="2920"/>
        <v>415</v>
      </c>
      <c r="N2237" s="287"/>
      <c r="O2237" s="264">
        <f t="shared" si="2888"/>
        <v>2.0438315685791675E-2</v>
      </c>
    </row>
    <row r="2238" spans="1:15" ht="23.4" x14ac:dyDescent="0.3">
      <c r="A2238" s="277" t="s">
        <v>109</v>
      </c>
      <c r="B2238" s="929"/>
      <c r="C2238" s="305" t="s">
        <v>27</v>
      </c>
      <c r="D2238" s="305" t="s">
        <v>259</v>
      </c>
      <c r="E2238" s="283">
        <v>0</v>
      </c>
      <c r="F2238" s="284"/>
      <c r="G2238" s="339">
        <f t="shared" si="2917"/>
        <v>0</v>
      </c>
      <c r="H2238" s="285">
        <v>0</v>
      </c>
      <c r="I2238" s="285">
        <v>0</v>
      </c>
      <c r="J2238" s="359" t="str">
        <f>IFERROR(G2238/#REF!,"-")</f>
        <v>-</v>
      </c>
      <c r="K2238" s="339">
        <f t="shared" si="2918"/>
        <v>77402</v>
      </c>
      <c r="L2238" s="285">
        <f t="shared" si="2919"/>
        <v>75582</v>
      </c>
      <c r="M2238" s="286">
        <f t="shared" si="2920"/>
        <v>1820</v>
      </c>
      <c r="N2238" s="287"/>
      <c r="O2238" s="264">
        <f t="shared" si="2888"/>
        <v>2.3513604299630501E-2</v>
      </c>
    </row>
    <row r="2239" spans="1:15" ht="23.4" x14ac:dyDescent="0.3">
      <c r="A2239" s="277" t="s">
        <v>109</v>
      </c>
      <c r="B2239" s="929"/>
      <c r="C2239" s="305" t="s">
        <v>27</v>
      </c>
      <c r="D2239" s="305" t="s">
        <v>310</v>
      </c>
      <c r="E2239" s="283">
        <v>0</v>
      </c>
      <c r="F2239" s="284"/>
      <c r="G2239" s="339">
        <f t="shared" si="2917"/>
        <v>32677</v>
      </c>
      <c r="H2239" s="285">
        <v>31824</v>
      </c>
      <c r="I2239" s="285">
        <v>853</v>
      </c>
      <c r="J2239" s="359" t="str">
        <f>IFERROR(G2239/#REF!,"-")</f>
        <v>-</v>
      </c>
      <c r="K2239" s="339">
        <f t="shared" si="2918"/>
        <v>41110</v>
      </c>
      <c r="L2239" s="285">
        <f t="shared" si="2919"/>
        <v>39780</v>
      </c>
      <c r="M2239" s="286">
        <f t="shared" si="2920"/>
        <v>1330</v>
      </c>
      <c r="N2239" s="287"/>
      <c r="O2239" s="264">
        <f t="shared" si="2888"/>
        <v>3.23522257358307E-2</v>
      </c>
    </row>
    <row r="2240" spans="1:15" ht="23.4" x14ac:dyDescent="0.3">
      <c r="A2240" s="277"/>
      <c r="B2240" s="929"/>
      <c r="C2240" s="305" t="s">
        <v>393</v>
      </c>
      <c r="D2240" s="305" t="s">
        <v>192</v>
      </c>
      <c r="E2240" s="283">
        <v>0</v>
      </c>
      <c r="F2240" s="284"/>
      <c r="G2240" s="340">
        <f t="shared" si="2917"/>
        <v>0</v>
      </c>
      <c r="H2240" s="285">
        <v>0</v>
      </c>
      <c r="I2240" s="285">
        <v>0</v>
      </c>
      <c r="J2240" s="359" t="str">
        <f>IFERROR(G2240/#REF!,"-")</f>
        <v>-</v>
      </c>
      <c r="K2240" s="340">
        <f t="shared" si="2918"/>
        <v>0</v>
      </c>
      <c r="L2240" s="285">
        <f t="shared" si="2919"/>
        <v>0</v>
      </c>
      <c r="M2240" s="286">
        <f t="shared" si="2920"/>
        <v>0</v>
      </c>
      <c r="N2240" s="287"/>
      <c r="O2240" s="264" t="str">
        <f t="shared" si="2888"/>
        <v>-</v>
      </c>
    </row>
    <row r="2241" spans="1:15" ht="23.4" x14ac:dyDescent="0.3">
      <c r="A2241" s="277"/>
      <c r="B2241" s="929"/>
      <c r="C2241" s="305" t="s">
        <v>325</v>
      </c>
      <c r="D2241" s="305" t="s">
        <v>101</v>
      </c>
      <c r="E2241" s="283">
        <v>0</v>
      </c>
      <c r="F2241" s="284"/>
      <c r="G2241" s="340">
        <f t="shared" si="2917"/>
        <v>0</v>
      </c>
      <c r="H2241" s="285">
        <v>0</v>
      </c>
      <c r="I2241" s="285">
        <v>0</v>
      </c>
      <c r="J2241" s="359" t="str">
        <f>IFERROR(G2241/#REF!,"-")</f>
        <v>-</v>
      </c>
      <c r="K2241" s="340">
        <f t="shared" si="2918"/>
        <v>7956</v>
      </c>
      <c r="L2241" s="285">
        <f t="shared" si="2919"/>
        <v>7956</v>
      </c>
      <c r="M2241" s="286">
        <f t="shared" si="2920"/>
        <v>0</v>
      </c>
      <c r="N2241" s="287"/>
      <c r="O2241" s="264">
        <f t="shared" si="2888"/>
        <v>0</v>
      </c>
    </row>
    <row r="2242" spans="1:15" ht="23.4" x14ac:dyDescent="0.3">
      <c r="A2242" s="277"/>
      <c r="B2242" s="929"/>
      <c r="C2242" s="305" t="s">
        <v>325</v>
      </c>
      <c r="D2242" s="305" t="s">
        <v>394</v>
      </c>
      <c r="E2242" s="283">
        <v>0</v>
      </c>
      <c r="F2242" s="284"/>
      <c r="G2242" s="340">
        <f t="shared" si="2917"/>
        <v>0</v>
      </c>
      <c r="H2242" s="285">
        <v>0</v>
      </c>
      <c r="I2242" s="285">
        <v>0</v>
      </c>
      <c r="J2242" s="359" t="str">
        <f>IFERROR(G2242/#REF!,"-")</f>
        <v>-</v>
      </c>
      <c r="K2242" s="340">
        <f t="shared" si="2918"/>
        <v>720648</v>
      </c>
      <c r="L2242" s="285">
        <f t="shared" si="2919"/>
        <v>712062</v>
      </c>
      <c r="M2242" s="286">
        <f t="shared" si="2920"/>
        <v>8586</v>
      </c>
      <c r="N2242" s="287"/>
      <c r="O2242" s="264">
        <f t="shared" si="2888"/>
        <v>1.1914277150564492E-2</v>
      </c>
    </row>
    <row r="2243" spans="1:15" ht="24" thickBot="1" x14ac:dyDescent="0.35">
      <c r="A2243" s="277" t="s">
        <v>109</v>
      </c>
      <c r="B2243" s="929"/>
      <c r="C2243" s="306" t="s">
        <v>326</v>
      </c>
      <c r="D2243" s="305" t="s">
        <v>324</v>
      </c>
      <c r="E2243" s="283">
        <v>0</v>
      </c>
      <c r="F2243" s="284"/>
      <c r="G2243" s="340">
        <f t="shared" si="2917"/>
        <v>7956</v>
      </c>
      <c r="H2243" s="285">
        <v>7956</v>
      </c>
      <c r="I2243" s="285">
        <v>0</v>
      </c>
      <c r="J2243" s="359" t="str">
        <f>IFERROR(G2243/#REF!,"-")</f>
        <v>-</v>
      </c>
      <c r="K2243" s="340">
        <f t="shared" si="2918"/>
        <v>15912</v>
      </c>
      <c r="L2243" s="285">
        <f t="shared" si="2919"/>
        <v>15912</v>
      </c>
      <c r="M2243" s="286">
        <f t="shared" si="2920"/>
        <v>0</v>
      </c>
      <c r="N2243" s="344" t="str">
        <f t="shared" ref="N2243:N2248" si="2922">IFERROR(K2243/E2243,"-")</f>
        <v>-</v>
      </c>
      <c r="O2243" s="353">
        <f t="shared" si="2888"/>
        <v>0</v>
      </c>
    </row>
    <row r="2244" spans="1:15" ht="24" thickBot="1" x14ac:dyDescent="0.35">
      <c r="A2244" s="277" t="s">
        <v>109</v>
      </c>
      <c r="B2244" s="930"/>
      <c r="C2244" s="307"/>
      <c r="D2244" s="308" t="s">
        <v>55</v>
      </c>
      <c r="E2244" s="288">
        <v>0</v>
      </c>
      <c r="F2244" s="289"/>
      <c r="G2244" s="326">
        <f>SUM(G2235:G2243)</f>
        <v>40633</v>
      </c>
      <c r="H2244" s="327">
        <f>SUM(H2235:H2243)</f>
        <v>39780</v>
      </c>
      <c r="I2244" s="327">
        <f>SUM(I2235:I2243)</f>
        <v>853</v>
      </c>
      <c r="J2244" s="351" t="str">
        <f>IFERROR(G2244/#REF!,"-")</f>
        <v>-</v>
      </c>
      <c r="K2244" s="326">
        <f>SUM(K2235:K2243)</f>
        <v>1210041</v>
      </c>
      <c r="L2244" s="327">
        <f>SUM(L2235:L2243)</f>
        <v>1193400</v>
      </c>
      <c r="M2244" s="328">
        <f>SUM(M2235:M2243)</f>
        <v>16641</v>
      </c>
      <c r="N2244" s="345" t="str">
        <f t="shared" si="2922"/>
        <v>-</v>
      </c>
      <c r="O2244" s="351">
        <f t="shared" si="2888"/>
        <v>1.3752426570669919E-2</v>
      </c>
    </row>
    <row r="2245" spans="1:15" ht="23.4" x14ac:dyDescent="0.3">
      <c r="A2245" s="277" t="s">
        <v>109</v>
      </c>
      <c r="B2245" s="931" t="s">
        <v>28</v>
      </c>
      <c r="C2245" s="305" t="s">
        <v>27</v>
      </c>
      <c r="D2245" s="303" t="s">
        <v>310</v>
      </c>
      <c r="E2245" s="273">
        <v>0</v>
      </c>
      <c r="F2245" s="274"/>
      <c r="G2245" s="338">
        <f t="shared" ref="G2245:G2247" si="2923">+H2245+I2245</f>
        <v>0</v>
      </c>
      <c r="H2245" s="275">
        <v>0</v>
      </c>
      <c r="I2245" s="275">
        <v>0</v>
      </c>
      <c r="J2245" s="357" t="str">
        <f>IFERROR(G2245/#REF!,"-")</f>
        <v>-</v>
      </c>
      <c r="K2245" s="338">
        <f t="shared" ref="K2245:K2247" si="2924">+L2245+M2245</f>
        <v>144790</v>
      </c>
      <c r="L2245" s="275">
        <f t="shared" ref="L2245:L2247" si="2925">+H2245+L2141</f>
        <v>143208</v>
      </c>
      <c r="M2245" s="276">
        <f t="shared" ref="M2245:M2247" si="2926">+I2245+M2141</f>
        <v>1582</v>
      </c>
      <c r="N2245" s="342" t="str">
        <f t="shared" si="2922"/>
        <v>-</v>
      </c>
      <c r="O2245" s="352">
        <f t="shared" si="2888"/>
        <v>1.0926168934318668E-2</v>
      </c>
    </row>
    <row r="2246" spans="1:15" ht="23.4" x14ac:dyDescent="0.3">
      <c r="A2246" s="277" t="s">
        <v>109</v>
      </c>
      <c r="B2246" s="929"/>
      <c r="C2246" s="305" t="s">
        <v>27</v>
      </c>
      <c r="D2246" s="305" t="s">
        <v>394</v>
      </c>
      <c r="E2246" s="279">
        <v>0</v>
      </c>
      <c r="F2246" s="280"/>
      <c r="G2246" s="339">
        <f t="shared" si="2923"/>
        <v>0</v>
      </c>
      <c r="H2246" s="281">
        <v>0</v>
      </c>
      <c r="I2246" s="281">
        <v>0</v>
      </c>
      <c r="J2246" s="358" t="str">
        <f>IFERROR(G2246/#REF!,"-")</f>
        <v>-</v>
      </c>
      <c r="K2246" s="339">
        <f t="shared" si="2924"/>
        <v>390451</v>
      </c>
      <c r="L2246" s="281">
        <f t="shared" si="2925"/>
        <v>385866</v>
      </c>
      <c r="M2246" s="251">
        <f t="shared" si="2926"/>
        <v>4585</v>
      </c>
      <c r="N2246" s="343" t="str">
        <f t="shared" si="2922"/>
        <v>-</v>
      </c>
      <c r="O2246" s="264">
        <f t="shared" si="2888"/>
        <v>1.174283072651882E-2</v>
      </c>
    </row>
    <row r="2247" spans="1:15" ht="24" thickBot="1" x14ac:dyDescent="0.35">
      <c r="A2247" s="277" t="s">
        <v>109</v>
      </c>
      <c r="B2247" s="929"/>
      <c r="C2247" s="305" t="s">
        <v>27</v>
      </c>
      <c r="D2247" s="306" t="s">
        <v>259</v>
      </c>
      <c r="E2247" s="283">
        <v>0</v>
      </c>
      <c r="F2247" s="284"/>
      <c r="G2247" s="340">
        <f t="shared" si="2923"/>
        <v>0</v>
      </c>
      <c r="H2247" s="285">
        <v>0</v>
      </c>
      <c r="I2247" s="285">
        <v>0</v>
      </c>
      <c r="J2247" s="359" t="str">
        <f>IFERROR(G2247/#REF!,"-")</f>
        <v>-</v>
      </c>
      <c r="K2247" s="340">
        <f t="shared" si="2924"/>
        <v>459409</v>
      </c>
      <c r="L2247" s="285">
        <f t="shared" si="2925"/>
        <v>453492</v>
      </c>
      <c r="M2247" s="286">
        <f t="shared" si="2926"/>
        <v>5917</v>
      </c>
      <c r="N2247" s="344" t="str">
        <f t="shared" si="2922"/>
        <v>-</v>
      </c>
      <c r="O2247" s="353">
        <f t="shared" si="2888"/>
        <v>1.2879590952724044E-2</v>
      </c>
    </row>
    <row r="2248" spans="1:15" ht="24" thickBot="1" x14ac:dyDescent="0.35">
      <c r="A2248" s="277" t="s">
        <v>109</v>
      </c>
      <c r="B2248" s="929"/>
      <c r="C2248" s="310"/>
      <c r="D2248" s="311" t="s">
        <v>55</v>
      </c>
      <c r="E2248" s="312">
        <v>0</v>
      </c>
      <c r="F2248" s="313"/>
      <c r="G2248" s="372">
        <f>SUM(G2245:G2247)</f>
        <v>0</v>
      </c>
      <c r="H2248" s="371">
        <f t="shared" ref="H2248:I2248" si="2927">SUM(H2245:H2247)</f>
        <v>0</v>
      </c>
      <c r="I2248" s="371">
        <f t="shared" si="2927"/>
        <v>0</v>
      </c>
      <c r="J2248" s="362" t="str">
        <f>IFERROR(G2248/#REF!,"-")</f>
        <v>-</v>
      </c>
      <c r="K2248" s="372">
        <f>SUM(K2245:K2247)</f>
        <v>994650</v>
      </c>
      <c r="L2248" s="371">
        <f>SUM(L2245:L2247)</f>
        <v>982566</v>
      </c>
      <c r="M2248" s="373">
        <f t="shared" ref="M2248" si="2928">SUM(M2245:M2247)</f>
        <v>12084</v>
      </c>
      <c r="N2248" s="361" t="str">
        <f t="shared" si="2922"/>
        <v>-</v>
      </c>
      <c r="O2248" s="362">
        <f t="shared" si="2888"/>
        <v>1.2148997134670486E-2</v>
      </c>
    </row>
    <row r="2249" spans="1:15" ht="24" thickBot="1" x14ac:dyDescent="0.35">
      <c r="A2249" s="886" t="s">
        <v>109</v>
      </c>
      <c r="B2249" s="932" t="s">
        <v>171</v>
      </c>
      <c r="C2249" s="933"/>
      <c r="D2249" s="934"/>
      <c r="E2249" s="314">
        <v>2167000</v>
      </c>
      <c r="F2249" s="315">
        <v>80000</v>
      </c>
      <c r="G2249" s="375">
        <f>+G2244+G2248</f>
        <v>40633</v>
      </c>
      <c r="H2249" s="374">
        <f t="shared" ref="H2249:I2249" si="2929">+H2244+H2248</f>
        <v>39780</v>
      </c>
      <c r="I2249" s="374">
        <f t="shared" si="2929"/>
        <v>853</v>
      </c>
      <c r="J2249" s="364" t="str">
        <f>IFERROR(G2249/#REF!,"-")</f>
        <v>-</v>
      </c>
      <c r="K2249" s="375">
        <f>+K2244+K2248</f>
        <v>2204691</v>
      </c>
      <c r="L2249" s="374">
        <f>+L2244+L2248</f>
        <v>2175966</v>
      </c>
      <c r="M2249" s="376">
        <f t="shared" ref="M2249" si="2930">+M2244+M2248</f>
        <v>28725</v>
      </c>
      <c r="N2249" s="363">
        <f>IFERROR(K2249/E2249,"-")</f>
        <v>1.0173931702814951</v>
      </c>
      <c r="O2249" s="364">
        <f t="shared" si="2888"/>
        <v>1.3029036722152901E-2</v>
      </c>
    </row>
    <row r="2250" spans="1:15" ht="23.4" x14ac:dyDescent="0.3">
      <c r="A2250" s="277" t="s">
        <v>109</v>
      </c>
      <c r="B2250" s="929" t="s">
        <v>30</v>
      </c>
      <c r="C2250" s="309" t="s">
        <v>396</v>
      </c>
      <c r="D2250" s="303" t="s">
        <v>193</v>
      </c>
      <c r="E2250" s="273">
        <v>0</v>
      </c>
      <c r="F2250" s="274"/>
      <c r="G2250" s="338">
        <f t="shared" ref="G2250:G2252" si="2931">+H2250+I2250</f>
        <v>0</v>
      </c>
      <c r="H2250" s="275">
        <v>0</v>
      </c>
      <c r="I2250" s="275">
        <v>0</v>
      </c>
      <c r="J2250" s="357" t="str">
        <f>IFERROR(G2250/#REF!,"-")</f>
        <v>-</v>
      </c>
      <c r="K2250" s="338">
        <f t="shared" ref="K2250:K2252" si="2932">+L2250+M2250</f>
        <v>0</v>
      </c>
      <c r="L2250" s="275">
        <f t="shared" ref="L2250:L2252" si="2933">+H2250+L2146</f>
        <v>0</v>
      </c>
      <c r="M2250" s="276">
        <f t="shared" ref="M2250:M2252" si="2934">+I2250+M2146</f>
        <v>0</v>
      </c>
      <c r="N2250" s="342" t="str">
        <f t="shared" ref="N2250:N2260" si="2935">IFERROR(K2250/E2250,"-")</f>
        <v>-</v>
      </c>
      <c r="O2250" s="352" t="str">
        <f t="shared" si="2888"/>
        <v>-</v>
      </c>
    </row>
    <row r="2251" spans="1:15" ht="23.4" x14ac:dyDescent="0.3">
      <c r="A2251" s="277" t="s">
        <v>109</v>
      </c>
      <c r="B2251" s="929"/>
      <c r="C2251" s="309" t="s">
        <v>395</v>
      </c>
      <c r="D2251" s="309" t="s">
        <v>324</v>
      </c>
      <c r="E2251" s="279">
        <v>0</v>
      </c>
      <c r="F2251" s="280"/>
      <c r="G2251" s="339">
        <f t="shared" si="2931"/>
        <v>0</v>
      </c>
      <c r="H2251" s="281">
        <v>0</v>
      </c>
      <c r="I2251" s="281">
        <v>0</v>
      </c>
      <c r="J2251" s="358" t="str">
        <f>IFERROR(G2251/#REF!,"-")</f>
        <v>-</v>
      </c>
      <c r="K2251" s="339">
        <f t="shared" si="2932"/>
        <v>0</v>
      </c>
      <c r="L2251" s="281">
        <f t="shared" si="2933"/>
        <v>0</v>
      </c>
      <c r="M2251" s="251">
        <f t="shared" si="2934"/>
        <v>0</v>
      </c>
      <c r="N2251" s="343" t="str">
        <f t="shared" si="2935"/>
        <v>-</v>
      </c>
      <c r="O2251" s="264" t="str">
        <f t="shared" si="2888"/>
        <v>-</v>
      </c>
    </row>
    <row r="2252" spans="1:15" ht="24" thickBot="1" x14ac:dyDescent="0.35">
      <c r="A2252" s="277" t="s">
        <v>109</v>
      </c>
      <c r="B2252" s="929"/>
      <c r="C2252" s="306" t="s">
        <v>327</v>
      </c>
      <c r="D2252" s="306" t="s">
        <v>491</v>
      </c>
      <c r="E2252" s="283">
        <v>0</v>
      </c>
      <c r="F2252" s="284"/>
      <c r="G2252" s="340">
        <f t="shared" si="2931"/>
        <v>34306</v>
      </c>
      <c r="H2252" s="285">
        <v>33696</v>
      </c>
      <c r="I2252" s="285">
        <v>610</v>
      </c>
      <c r="J2252" s="359" t="str">
        <f>IFERROR(G2252/#REF!,"-")</f>
        <v>-</v>
      </c>
      <c r="K2252" s="340">
        <f t="shared" si="2932"/>
        <v>106045</v>
      </c>
      <c r="L2252" s="285">
        <f t="shared" si="2933"/>
        <v>102960</v>
      </c>
      <c r="M2252" s="286">
        <f t="shared" si="2934"/>
        <v>3085</v>
      </c>
      <c r="N2252" s="344" t="str">
        <f t="shared" si="2935"/>
        <v>-</v>
      </c>
      <c r="O2252" s="353">
        <f t="shared" si="2888"/>
        <v>2.9091423452307981E-2</v>
      </c>
    </row>
    <row r="2253" spans="1:15" ht="24" thickBot="1" x14ac:dyDescent="0.35">
      <c r="A2253" s="277" t="s">
        <v>109</v>
      </c>
      <c r="B2253" s="929"/>
      <c r="C2253" s="307"/>
      <c r="D2253" s="308" t="s">
        <v>53</v>
      </c>
      <c r="E2253" s="288">
        <v>0</v>
      </c>
      <c r="F2253" s="289"/>
      <c r="G2253" s="326">
        <f>SUM(G2250:G2252)</f>
        <v>34306</v>
      </c>
      <c r="H2253" s="327">
        <f t="shared" ref="H2253:I2253" si="2936">SUM(H2250:H2252)</f>
        <v>33696</v>
      </c>
      <c r="I2253" s="327">
        <f t="shared" si="2936"/>
        <v>610</v>
      </c>
      <c r="J2253" s="351" t="str">
        <f>IFERROR(G2253/#REF!,"-")</f>
        <v>-</v>
      </c>
      <c r="K2253" s="326">
        <f t="shared" ref="K2253" si="2937">SUM(K2250:K2252)</f>
        <v>106045</v>
      </c>
      <c r="L2253" s="327">
        <f>SUM(L2250:L2252)</f>
        <v>102960</v>
      </c>
      <c r="M2253" s="328">
        <f t="shared" ref="M2253" si="2938">SUM(M2250:M2252)</f>
        <v>3085</v>
      </c>
      <c r="N2253" s="345" t="str">
        <f t="shared" si="2935"/>
        <v>-</v>
      </c>
      <c r="O2253" s="351">
        <f t="shared" si="2888"/>
        <v>2.9091423452307981E-2</v>
      </c>
    </row>
    <row r="2254" spans="1:15" ht="23.4" x14ac:dyDescent="0.3">
      <c r="A2254" s="277" t="s">
        <v>109</v>
      </c>
      <c r="B2254" s="929"/>
      <c r="C2254" s="303" t="s">
        <v>352</v>
      </c>
      <c r="D2254" s="303"/>
      <c r="E2254" s="273">
        <v>0</v>
      </c>
      <c r="F2254" s="274"/>
      <c r="G2254" s="338">
        <f t="shared" ref="G2254:G2256" si="2939">+H2254+I2254</f>
        <v>0</v>
      </c>
      <c r="H2254" s="275">
        <v>0</v>
      </c>
      <c r="I2254" s="275">
        <v>0</v>
      </c>
      <c r="J2254" s="357" t="str">
        <f>IFERROR(G2254/#REF!,"-")</f>
        <v>-</v>
      </c>
      <c r="K2254" s="338">
        <f t="shared" ref="K2254:K2256" si="2940">+L2254+M2254</f>
        <v>0</v>
      </c>
      <c r="L2254" s="275">
        <f t="shared" ref="L2254:L2256" si="2941">+H2254+L2150</f>
        <v>0</v>
      </c>
      <c r="M2254" s="276">
        <f t="shared" ref="M2254:M2256" si="2942">+I2254+M2150</f>
        <v>0</v>
      </c>
      <c r="N2254" s="342" t="str">
        <f t="shared" si="2935"/>
        <v>-</v>
      </c>
      <c r="O2254" s="352" t="str">
        <f t="shared" si="2888"/>
        <v>-</v>
      </c>
    </row>
    <row r="2255" spans="1:15" ht="23.4" x14ac:dyDescent="0.3">
      <c r="A2255" s="277" t="s">
        <v>109</v>
      </c>
      <c r="B2255" s="929"/>
      <c r="C2255" s="309" t="s">
        <v>397</v>
      </c>
      <c r="D2255" s="309" t="s">
        <v>259</v>
      </c>
      <c r="E2255" s="279">
        <v>0</v>
      </c>
      <c r="F2255" s="280"/>
      <c r="G2255" s="339">
        <f t="shared" si="2939"/>
        <v>0</v>
      </c>
      <c r="H2255" s="281">
        <v>0</v>
      </c>
      <c r="I2255" s="281">
        <v>0</v>
      </c>
      <c r="J2255" s="358" t="str">
        <f>IFERROR(G2255/#REF!,"-")</f>
        <v>-</v>
      </c>
      <c r="K2255" s="339">
        <f t="shared" si="2940"/>
        <v>493341</v>
      </c>
      <c r="L2255" s="281">
        <f t="shared" si="2941"/>
        <v>481104</v>
      </c>
      <c r="M2255" s="251">
        <f t="shared" si="2942"/>
        <v>12237</v>
      </c>
      <c r="N2255" s="343" t="str">
        <f t="shared" si="2935"/>
        <v>-</v>
      </c>
      <c r="O2255" s="264">
        <f t="shared" si="2888"/>
        <v>2.4804344256812227E-2</v>
      </c>
    </row>
    <row r="2256" spans="1:15" ht="24" thickBot="1" x14ac:dyDescent="0.35">
      <c r="A2256" s="277" t="s">
        <v>109</v>
      </c>
      <c r="B2256" s="929"/>
      <c r="C2256" s="306" t="s">
        <v>146</v>
      </c>
      <c r="D2256" s="306"/>
      <c r="E2256" s="283">
        <v>0</v>
      </c>
      <c r="F2256" s="284"/>
      <c r="G2256" s="340">
        <f t="shared" si="2939"/>
        <v>0</v>
      </c>
      <c r="H2256" s="285">
        <v>0</v>
      </c>
      <c r="I2256" s="285">
        <v>0</v>
      </c>
      <c r="J2256" s="359" t="str">
        <f>IFERROR(G2256/#REF!,"-")</f>
        <v>-</v>
      </c>
      <c r="K2256" s="340">
        <f t="shared" si="2940"/>
        <v>0</v>
      </c>
      <c r="L2256" s="285">
        <f t="shared" si="2941"/>
        <v>0</v>
      </c>
      <c r="M2256" s="286">
        <f t="shared" si="2942"/>
        <v>0</v>
      </c>
      <c r="N2256" s="344" t="str">
        <f t="shared" si="2935"/>
        <v>-</v>
      </c>
      <c r="O2256" s="353" t="str">
        <f t="shared" si="2888"/>
        <v>-</v>
      </c>
    </row>
    <row r="2257" spans="1:15" ht="24" thickBot="1" x14ac:dyDescent="0.35">
      <c r="A2257" s="277" t="s">
        <v>109</v>
      </c>
      <c r="B2257" s="929"/>
      <c r="C2257" s="310"/>
      <c r="D2257" s="311" t="s">
        <v>54</v>
      </c>
      <c r="E2257" s="312">
        <v>0</v>
      </c>
      <c r="F2257" s="313"/>
      <c r="G2257" s="372">
        <f>SUM(G2254:G2256)</f>
        <v>0</v>
      </c>
      <c r="H2257" s="371">
        <f t="shared" ref="H2257:I2257" si="2943">SUM(H2254:H2256)</f>
        <v>0</v>
      </c>
      <c r="I2257" s="371">
        <f t="shared" si="2943"/>
        <v>0</v>
      </c>
      <c r="J2257" s="362" t="str">
        <f>IFERROR(G2257/#REF!,"-")</f>
        <v>-</v>
      </c>
      <c r="K2257" s="372">
        <f t="shared" ref="K2257:M2257" si="2944">SUM(K2254:K2256)</f>
        <v>493341</v>
      </c>
      <c r="L2257" s="371">
        <f t="shared" si="2944"/>
        <v>481104</v>
      </c>
      <c r="M2257" s="373">
        <f t="shared" si="2944"/>
        <v>12237</v>
      </c>
      <c r="N2257" s="361" t="str">
        <f t="shared" si="2935"/>
        <v>-</v>
      </c>
      <c r="O2257" s="362">
        <f t="shared" si="2888"/>
        <v>2.4804344256812227E-2</v>
      </c>
    </row>
    <row r="2258" spans="1:15" ht="24" thickBot="1" x14ac:dyDescent="0.35">
      <c r="A2258" s="277" t="s">
        <v>109</v>
      </c>
      <c r="B2258" s="932" t="s">
        <v>172</v>
      </c>
      <c r="C2258" s="933"/>
      <c r="D2258" s="934"/>
      <c r="E2258" s="314">
        <v>649600</v>
      </c>
      <c r="F2258" s="315">
        <v>50000</v>
      </c>
      <c r="G2258" s="375">
        <f>+G2253+G2257</f>
        <v>34306</v>
      </c>
      <c r="H2258" s="374">
        <f t="shared" ref="H2258:I2258" si="2945">+H2253+H2257</f>
        <v>33696</v>
      </c>
      <c r="I2258" s="374">
        <f t="shared" si="2945"/>
        <v>610</v>
      </c>
      <c r="J2258" s="364" t="str">
        <f>IFERROR(G2258/#REF!,"-")</f>
        <v>-</v>
      </c>
      <c r="K2258" s="375">
        <f t="shared" ref="K2258:M2258" si="2946">+K2253+K2257</f>
        <v>599386</v>
      </c>
      <c r="L2258" s="374">
        <f t="shared" si="2946"/>
        <v>584064</v>
      </c>
      <c r="M2258" s="376">
        <f t="shared" si="2946"/>
        <v>15322</v>
      </c>
      <c r="N2258" s="363">
        <f t="shared" si="2935"/>
        <v>0.92270012315270933</v>
      </c>
      <c r="O2258" s="364">
        <f t="shared" si="2888"/>
        <v>2.5562825958564264E-2</v>
      </c>
    </row>
    <row r="2259" spans="1:15" ht="24" thickBot="1" x14ac:dyDescent="0.35">
      <c r="A2259" s="277" t="s">
        <v>109</v>
      </c>
      <c r="B2259" s="616" t="s">
        <v>32</v>
      </c>
      <c r="C2259" s="883"/>
      <c r="D2259" s="316" t="s">
        <v>32</v>
      </c>
      <c r="E2259" s="293">
        <v>0</v>
      </c>
      <c r="F2259" s="294">
        <v>110000</v>
      </c>
      <c r="G2259" s="341">
        <f t="shared" ref="G2259" si="2947">+H2259+I2259</f>
        <v>0</v>
      </c>
      <c r="H2259" s="295">
        <v>0</v>
      </c>
      <c r="I2259" s="295">
        <v>0</v>
      </c>
      <c r="J2259" s="360" t="str">
        <f>IFERROR(G2259/#REF!,"-")</f>
        <v>-</v>
      </c>
      <c r="K2259" s="341">
        <f>+L2259+M2259</f>
        <v>0</v>
      </c>
      <c r="L2259" s="295">
        <f>+H2259+L2155</f>
        <v>0</v>
      </c>
      <c r="M2259" s="296">
        <f>+I2259+M2155</f>
        <v>0</v>
      </c>
      <c r="N2259" s="346" t="str">
        <f t="shared" si="2935"/>
        <v>-</v>
      </c>
      <c r="O2259" s="354" t="str">
        <f t="shared" si="2888"/>
        <v>-</v>
      </c>
    </row>
    <row r="2260" spans="1:15" ht="24" thickBot="1" x14ac:dyDescent="0.35">
      <c r="A2260" s="277" t="s">
        <v>109</v>
      </c>
      <c r="B2260" s="926" t="s">
        <v>21</v>
      </c>
      <c r="C2260" s="927"/>
      <c r="D2260" s="928"/>
      <c r="E2260" s="332">
        <f>+E2249+E2258+E2259</f>
        <v>2816600</v>
      </c>
      <c r="F2260" s="333">
        <f t="shared" ref="F2260" si="2948">+F2249+F2258+F2259</f>
        <v>240000</v>
      </c>
      <c r="G2260" s="332">
        <f>+G2249+G2258+G2259</f>
        <v>74939</v>
      </c>
      <c r="H2260" s="330">
        <f t="shared" ref="H2260:I2260" si="2949">+H2249+H2258+H2259</f>
        <v>73476</v>
      </c>
      <c r="I2260" s="330">
        <f t="shared" si="2949"/>
        <v>1463</v>
      </c>
      <c r="J2260" s="355" t="str">
        <f>IFERROR(G2260/#REF!,"-")</f>
        <v>-</v>
      </c>
      <c r="K2260" s="332">
        <f>+K2249+K2258+K2259</f>
        <v>2804077</v>
      </c>
      <c r="L2260" s="330">
        <f>+L2249+L2258+L2259</f>
        <v>2760030</v>
      </c>
      <c r="M2260" s="331">
        <f t="shared" ref="M2260" si="2950">+M2249+M2258+M2259</f>
        <v>44047</v>
      </c>
      <c r="N2260" s="347">
        <f t="shared" si="2935"/>
        <v>0.99555385926294115</v>
      </c>
      <c r="O2260" s="355">
        <f t="shared" si="2888"/>
        <v>1.5708199168567766E-2</v>
      </c>
    </row>
    <row r="2261" spans="1:15" ht="24" thickBot="1" x14ac:dyDescent="0.35">
      <c r="A2261" s="277" t="s">
        <v>109</v>
      </c>
      <c r="B2261" s="900" t="s">
        <v>180</v>
      </c>
      <c r="C2261" s="901"/>
      <c r="D2261" s="902"/>
      <c r="E2261" s="336">
        <f>+E2260</f>
        <v>2816600</v>
      </c>
      <c r="F2261" s="337">
        <f t="shared" ref="F2261:I2261" si="2951">+F2260</f>
        <v>240000</v>
      </c>
      <c r="G2261" s="336">
        <f t="shared" si="2951"/>
        <v>74939</v>
      </c>
      <c r="H2261" s="334">
        <f t="shared" si="2951"/>
        <v>73476</v>
      </c>
      <c r="I2261" s="334">
        <f t="shared" si="2951"/>
        <v>1463</v>
      </c>
      <c r="J2261" s="356" t="str">
        <f>+J2260</f>
        <v>-</v>
      </c>
      <c r="K2261" s="336">
        <f>+K2260</f>
        <v>2804077</v>
      </c>
      <c r="L2261" s="334">
        <f t="shared" ref="L2261" si="2952">+L2260</f>
        <v>2760030</v>
      </c>
      <c r="M2261" s="335">
        <f>+M2260</f>
        <v>44047</v>
      </c>
      <c r="N2261" s="348">
        <f t="shared" ref="N2261:O2261" si="2953">+N2260</f>
        <v>0.99555385926294115</v>
      </c>
      <c r="O2261" s="356">
        <f t="shared" si="2953"/>
        <v>1.5708199168567766E-2</v>
      </c>
    </row>
    <row r="2262" spans="1:15" ht="23.4" x14ac:dyDescent="0.3">
      <c r="A2262" s="271" t="s">
        <v>110</v>
      </c>
      <c r="B2262" s="903" t="s">
        <v>33</v>
      </c>
      <c r="C2262" s="317" t="s">
        <v>121</v>
      </c>
      <c r="D2262" s="317"/>
      <c r="E2262" s="273">
        <v>0</v>
      </c>
      <c r="F2262" s="274"/>
      <c r="G2262" s="338">
        <f t="shared" ref="G2262:G2264" si="2954">+H2262+I2262</f>
        <v>0</v>
      </c>
      <c r="H2262" s="275">
        <v>0</v>
      </c>
      <c r="I2262" s="275">
        <v>0</v>
      </c>
      <c r="J2262" s="357" t="str">
        <f>IFERROR(G2262/#REF!,"-")</f>
        <v>-</v>
      </c>
      <c r="K2262" s="338">
        <f t="shared" ref="K2262:K2264" si="2955">+L2262+M2262</f>
        <v>0</v>
      </c>
      <c r="L2262" s="275">
        <f t="shared" ref="L2262:L2264" si="2956">+H2262+L2158</f>
        <v>0</v>
      </c>
      <c r="M2262" s="276">
        <f t="shared" ref="M2262:M2264" si="2957">+I2262+M2158</f>
        <v>0</v>
      </c>
      <c r="N2262" s="342" t="str">
        <f t="shared" ref="N2262:N2269" si="2958">IFERROR(K2262/E2262,"-")</f>
        <v>-</v>
      </c>
      <c r="O2262" s="352" t="str">
        <f t="shared" ref="O2262:O2287" si="2959">IFERROR(M2262/K2262,"-")</f>
        <v>-</v>
      </c>
    </row>
    <row r="2263" spans="1:15" ht="23.4" x14ac:dyDescent="0.3">
      <c r="A2263" s="277" t="s">
        <v>110</v>
      </c>
      <c r="B2263" s="904"/>
      <c r="C2263" s="318" t="s">
        <v>274</v>
      </c>
      <c r="D2263" s="318"/>
      <c r="E2263" s="279">
        <v>0</v>
      </c>
      <c r="F2263" s="280"/>
      <c r="G2263" s="339">
        <f t="shared" si="2954"/>
        <v>0</v>
      </c>
      <c r="H2263" s="281">
        <v>0</v>
      </c>
      <c r="I2263" s="281">
        <v>0</v>
      </c>
      <c r="J2263" s="358" t="str">
        <f>IFERROR(G2263/#REF!,"-")</f>
        <v>-</v>
      </c>
      <c r="K2263" s="339">
        <f t="shared" si="2955"/>
        <v>10252</v>
      </c>
      <c r="L2263" s="281">
        <f t="shared" si="2956"/>
        <v>9280</v>
      </c>
      <c r="M2263" s="251">
        <f t="shared" si="2957"/>
        <v>972</v>
      </c>
      <c r="N2263" s="343" t="str">
        <f t="shared" si="2958"/>
        <v>-</v>
      </c>
      <c r="O2263" s="264">
        <f t="shared" si="2959"/>
        <v>9.4810768630511119E-2</v>
      </c>
    </row>
    <row r="2264" spans="1:15" ht="24" thickBot="1" x14ac:dyDescent="0.35">
      <c r="A2264" s="277" t="s">
        <v>110</v>
      </c>
      <c r="B2264" s="905"/>
      <c r="C2264" s="319" t="s">
        <v>34</v>
      </c>
      <c r="D2264" s="319"/>
      <c r="E2264" s="283">
        <v>0</v>
      </c>
      <c r="F2264" s="284"/>
      <c r="G2264" s="340">
        <f t="shared" si="2954"/>
        <v>0</v>
      </c>
      <c r="H2264" s="285">
        <v>0</v>
      </c>
      <c r="I2264" s="285">
        <v>0</v>
      </c>
      <c r="J2264" s="359" t="str">
        <f>IFERROR(G2264/#REF!,"-")</f>
        <v>-</v>
      </c>
      <c r="K2264" s="340">
        <f t="shared" si="2955"/>
        <v>0</v>
      </c>
      <c r="L2264" s="285">
        <f t="shared" si="2956"/>
        <v>0</v>
      </c>
      <c r="M2264" s="286">
        <f t="shared" si="2957"/>
        <v>0</v>
      </c>
      <c r="N2264" s="344" t="str">
        <f t="shared" si="2958"/>
        <v>-</v>
      </c>
      <c r="O2264" s="353" t="str">
        <f t="shared" si="2959"/>
        <v>-</v>
      </c>
    </row>
    <row r="2265" spans="1:15" ht="24" thickBot="1" x14ac:dyDescent="0.35">
      <c r="A2265" s="277" t="s">
        <v>110</v>
      </c>
      <c r="B2265" s="906" t="s">
        <v>35</v>
      </c>
      <c r="C2265" s="907"/>
      <c r="D2265" s="908"/>
      <c r="E2265" s="288">
        <v>83700</v>
      </c>
      <c r="F2265" s="289"/>
      <c r="G2265" s="326">
        <f>SUM(G2262:G2264)</f>
        <v>0</v>
      </c>
      <c r="H2265" s="327">
        <f t="shared" ref="H2265:I2265" si="2960">SUM(H2262:H2264)</f>
        <v>0</v>
      </c>
      <c r="I2265" s="327">
        <f t="shared" si="2960"/>
        <v>0</v>
      </c>
      <c r="J2265" s="351" t="str">
        <f>IFERROR(G2265/#REF!,"-")</f>
        <v>-</v>
      </c>
      <c r="K2265" s="326">
        <f t="shared" ref="K2265:M2265" si="2961">SUM(K2262:K2264)</f>
        <v>10252</v>
      </c>
      <c r="L2265" s="327">
        <f t="shared" si="2961"/>
        <v>9280</v>
      </c>
      <c r="M2265" s="328">
        <f t="shared" si="2961"/>
        <v>972</v>
      </c>
      <c r="N2265" s="345">
        <f t="shared" si="2958"/>
        <v>0.12248506571087216</v>
      </c>
      <c r="O2265" s="351">
        <f t="shared" si="2959"/>
        <v>9.4810768630511119E-2</v>
      </c>
    </row>
    <row r="2266" spans="1:15" ht="23.4" x14ac:dyDescent="0.3">
      <c r="A2266" s="277" t="s">
        <v>110</v>
      </c>
      <c r="B2266" s="903" t="s">
        <v>36</v>
      </c>
      <c r="C2266" s="317" t="s">
        <v>121</v>
      </c>
      <c r="D2266" s="317"/>
      <c r="E2266" s="273">
        <v>0</v>
      </c>
      <c r="F2266" s="274"/>
      <c r="G2266" s="338">
        <f t="shared" ref="G2266:G2269" si="2962">+H2266+I2266</f>
        <v>0</v>
      </c>
      <c r="H2266" s="275">
        <v>0</v>
      </c>
      <c r="I2266" s="275">
        <v>0</v>
      </c>
      <c r="J2266" s="357" t="str">
        <f>IFERROR(G2266/#REF!,"-")</f>
        <v>-</v>
      </c>
      <c r="K2266" s="338">
        <f t="shared" ref="K2266:K2269" si="2963">+L2266+M2266</f>
        <v>0</v>
      </c>
      <c r="L2266" s="275">
        <f t="shared" ref="L2266:L2269" si="2964">+H2266+L2162</f>
        <v>0</v>
      </c>
      <c r="M2266" s="276">
        <f t="shared" ref="M2266:M2269" si="2965">+I2266+M2162</f>
        <v>0</v>
      </c>
      <c r="N2266" s="342" t="str">
        <f t="shared" si="2958"/>
        <v>-</v>
      </c>
      <c r="O2266" s="352" t="str">
        <f t="shared" si="2959"/>
        <v>-</v>
      </c>
    </row>
    <row r="2267" spans="1:15" ht="23.4" x14ac:dyDescent="0.3">
      <c r="A2267" s="277" t="s">
        <v>110</v>
      </c>
      <c r="B2267" s="904"/>
      <c r="C2267" s="318" t="s">
        <v>274</v>
      </c>
      <c r="D2267" s="318"/>
      <c r="E2267" s="279">
        <v>0</v>
      </c>
      <c r="F2267" s="280"/>
      <c r="G2267" s="339">
        <f t="shared" si="2962"/>
        <v>0</v>
      </c>
      <c r="H2267" s="281">
        <v>0</v>
      </c>
      <c r="I2267" s="281">
        <v>0</v>
      </c>
      <c r="J2267" s="358" t="str">
        <f>IFERROR(G2267/#REF!,"-")</f>
        <v>-</v>
      </c>
      <c r="K2267" s="339">
        <f t="shared" si="2963"/>
        <v>68200</v>
      </c>
      <c r="L2267" s="281">
        <f t="shared" si="2964"/>
        <v>66462</v>
      </c>
      <c r="M2267" s="251">
        <f t="shared" si="2965"/>
        <v>1738</v>
      </c>
      <c r="N2267" s="343" t="str">
        <f t="shared" si="2958"/>
        <v>-</v>
      </c>
      <c r="O2267" s="264">
        <f t="shared" si="2959"/>
        <v>2.5483870967741934E-2</v>
      </c>
    </row>
    <row r="2268" spans="1:15" ht="23.4" x14ac:dyDescent="0.3">
      <c r="A2268" s="277" t="s">
        <v>110</v>
      </c>
      <c r="B2268" s="904"/>
      <c r="C2268" s="318" t="s">
        <v>201</v>
      </c>
      <c r="D2268" s="318"/>
      <c r="E2268" s="279">
        <v>0</v>
      </c>
      <c r="F2268" s="280"/>
      <c r="G2268" s="339">
        <f t="shared" si="2962"/>
        <v>0</v>
      </c>
      <c r="H2268" s="281">
        <v>0</v>
      </c>
      <c r="I2268" s="281">
        <v>0</v>
      </c>
      <c r="J2268" s="358" t="str">
        <f>IFERROR(G2268/#REF!,"-")</f>
        <v>-</v>
      </c>
      <c r="K2268" s="339">
        <f t="shared" si="2963"/>
        <v>0</v>
      </c>
      <c r="L2268" s="281">
        <f t="shared" si="2964"/>
        <v>0</v>
      </c>
      <c r="M2268" s="251">
        <f t="shared" si="2965"/>
        <v>0</v>
      </c>
      <c r="N2268" s="343" t="str">
        <f t="shared" si="2958"/>
        <v>-</v>
      </c>
      <c r="O2268" s="264" t="str">
        <f t="shared" si="2959"/>
        <v>-</v>
      </c>
    </row>
    <row r="2269" spans="1:15" ht="24" thickBot="1" x14ac:dyDescent="0.35">
      <c r="A2269" s="277" t="s">
        <v>110</v>
      </c>
      <c r="B2269" s="905"/>
      <c r="C2269" s="319" t="s">
        <v>37</v>
      </c>
      <c r="D2269" s="319"/>
      <c r="E2269" s="283">
        <v>0</v>
      </c>
      <c r="F2269" s="284"/>
      <c r="G2269" s="340">
        <f t="shared" si="2962"/>
        <v>0</v>
      </c>
      <c r="H2269" s="285">
        <v>0</v>
      </c>
      <c r="I2269" s="285">
        <v>0</v>
      </c>
      <c r="J2269" s="359" t="str">
        <f>IFERROR(G2269/#REF!,"-")</f>
        <v>-</v>
      </c>
      <c r="K2269" s="340">
        <f t="shared" si="2963"/>
        <v>0</v>
      </c>
      <c r="L2269" s="285">
        <f t="shared" si="2964"/>
        <v>0</v>
      </c>
      <c r="M2269" s="286">
        <f t="shared" si="2965"/>
        <v>0</v>
      </c>
      <c r="N2269" s="344" t="str">
        <f t="shared" si="2958"/>
        <v>-</v>
      </c>
      <c r="O2269" s="353" t="str">
        <f t="shared" si="2959"/>
        <v>-</v>
      </c>
    </row>
    <row r="2270" spans="1:15" ht="24" thickBot="1" x14ac:dyDescent="0.35">
      <c r="A2270" s="277" t="s">
        <v>110</v>
      </c>
      <c r="B2270" s="906" t="s">
        <v>38</v>
      </c>
      <c r="C2270" s="907"/>
      <c r="D2270" s="908"/>
      <c r="E2270" s="288">
        <v>10300</v>
      </c>
      <c r="F2270" s="289">
        <v>6500</v>
      </c>
      <c r="G2270" s="326">
        <f>SUM(G2266:G2269)</f>
        <v>0</v>
      </c>
      <c r="H2270" s="327">
        <f t="shared" ref="H2270:I2270" si="2966">SUM(H2266:H2269)</f>
        <v>0</v>
      </c>
      <c r="I2270" s="327">
        <f t="shared" si="2966"/>
        <v>0</v>
      </c>
      <c r="J2270" s="351" t="str">
        <f>IFERROR(G2270/#REF!,"-")</f>
        <v>-</v>
      </c>
      <c r="K2270" s="326">
        <f t="shared" ref="K2270:M2270" si="2967">SUM(K2266:K2269)</f>
        <v>68200</v>
      </c>
      <c r="L2270" s="327">
        <f t="shared" si="2967"/>
        <v>66462</v>
      </c>
      <c r="M2270" s="328">
        <f t="shared" si="2967"/>
        <v>1738</v>
      </c>
      <c r="N2270" s="345">
        <f>IFERROR(K2270/E2270,"-")</f>
        <v>6.6213592233009706</v>
      </c>
      <c r="O2270" s="351">
        <f t="shared" si="2959"/>
        <v>2.5483870967741934E-2</v>
      </c>
    </row>
    <row r="2271" spans="1:15" ht="23.4" x14ac:dyDescent="0.3">
      <c r="A2271" s="277" t="s">
        <v>110</v>
      </c>
      <c r="B2271" s="903" t="s">
        <v>39</v>
      </c>
      <c r="C2271" s="320" t="s">
        <v>124</v>
      </c>
      <c r="D2271" s="320"/>
      <c r="E2271" s="273">
        <v>0</v>
      </c>
      <c r="F2271" s="274"/>
      <c r="G2271" s="338">
        <f t="shared" ref="G2271:G2272" si="2968">+H2271+I2271</f>
        <v>0</v>
      </c>
      <c r="H2271" s="275">
        <v>0</v>
      </c>
      <c r="I2271" s="275">
        <v>0</v>
      </c>
      <c r="J2271" s="357" t="str">
        <f>IFERROR(G2271/#REF!,"-")</f>
        <v>-</v>
      </c>
      <c r="K2271" s="338">
        <f t="shared" ref="K2271:K2272" si="2969">+L2271+M2271</f>
        <v>0</v>
      </c>
      <c r="L2271" s="275">
        <f t="shared" ref="L2271:L2272" si="2970">+H2271+L2167</f>
        <v>0</v>
      </c>
      <c r="M2271" s="276">
        <f t="shared" ref="M2271:M2272" si="2971">+I2271+M2167</f>
        <v>0</v>
      </c>
      <c r="N2271" s="342" t="str">
        <f t="shared" ref="N2271:N2287" si="2972">IFERROR(K2271/E2271,"-")</f>
        <v>-</v>
      </c>
      <c r="O2271" s="352" t="str">
        <f t="shared" si="2959"/>
        <v>-</v>
      </c>
    </row>
    <row r="2272" spans="1:15" ht="24" thickBot="1" x14ac:dyDescent="0.35">
      <c r="A2272" s="277" t="s">
        <v>110</v>
      </c>
      <c r="B2272" s="905"/>
      <c r="C2272" s="290" t="s">
        <v>140</v>
      </c>
      <c r="D2272" s="290"/>
      <c r="E2272" s="283">
        <v>0</v>
      </c>
      <c r="F2272" s="284"/>
      <c r="G2272" s="340">
        <f t="shared" si="2968"/>
        <v>4401</v>
      </c>
      <c r="H2272" s="285">
        <v>4000</v>
      </c>
      <c r="I2272" s="285">
        <v>401</v>
      </c>
      <c r="J2272" s="359" t="str">
        <f>IFERROR(G2272/#REF!,"-")</f>
        <v>-</v>
      </c>
      <c r="K2272" s="340">
        <f t="shared" si="2969"/>
        <v>22718</v>
      </c>
      <c r="L2272" s="285">
        <f t="shared" si="2970"/>
        <v>20514</v>
      </c>
      <c r="M2272" s="286">
        <f t="shared" si="2971"/>
        <v>2204</v>
      </c>
      <c r="N2272" s="344" t="str">
        <f t="shared" si="2972"/>
        <v>-</v>
      </c>
      <c r="O2272" s="353">
        <f t="shared" si="2959"/>
        <v>9.7015582357601896E-2</v>
      </c>
    </row>
    <row r="2273" spans="1:15" ht="24" thickBot="1" x14ac:dyDescent="0.35">
      <c r="A2273" s="886" t="s">
        <v>110</v>
      </c>
      <c r="B2273" s="906" t="s">
        <v>40</v>
      </c>
      <c r="C2273" s="907"/>
      <c r="D2273" s="908"/>
      <c r="E2273" s="288">
        <v>30000</v>
      </c>
      <c r="F2273" s="289">
        <v>2800</v>
      </c>
      <c r="G2273" s="326">
        <f>SUM(G2271:G2272)</f>
        <v>4401</v>
      </c>
      <c r="H2273" s="327">
        <f t="shared" ref="H2273:I2273" si="2973">SUM(H2271:H2272)</f>
        <v>4000</v>
      </c>
      <c r="I2273" s="327">
        <f t="shared" si="2973"/>
        <v>401</v>
      </c>
      <c r="J2273" s="351" t="str">
        <f>IFERROR(G2273/#REF!,"-")</f>
        <v>-</v>
      </c>
      <c r="K2273" s="326">
        <f t="shared" ref="K2273:M2273" si="2974">SUM(K2271:K2272)</f>
        <v>22718</v>
      </c>
      <c r="L2273" s="327">
        <f t="shared" si="2974"/>
        <v>20514</v>
      </c>
      <c r="M2273" s="328">
        <f t="shared" si="2974"/>
        <v>2204</v>
      </c>
      <c r="N2273" s="345">
        <f t="shared" si="2972"/>
        <v>0.75726666666666664</v>
      </c>
      <c r="O2273" s="351">
        <f t="shared" si="2959"/>
        <v>9.7015582357601896E-2</v>
      </c>
    </row>
    <row r="2274" spans="1:15" ht="23.4" x14ac:dyDescent="0.3">
      <c r="A2274" s="277" t="s">
        <v>110</v>
      </c>
      <c r="B2274" s="903" t="s">
        <v>41</v>
      </c>
      <c r="C2274" s="272" t="s">
        <v>346</v>
      </c>
      <c r="D2274" s="272"/>
      <c r="E2274" s="273">
        <v>0</v>
      </c>
      <c r="F2274" s="321"/>
      <c r="G2274" s="338">
        <f t="shared" ref="G2274:G2278" si="2975">+H2274+I2274</f>
        <v>35528</v>
      </c>
      <c r="H2274" s="275">
        <v>35280</v>
      </c>
      <c r="I2274" s="275">
        <v>248</v>
      </c>
      <c r="J2274" s="377" t="str">
        <f>IFERROR(G2274/#REF!,"-")</f>
        <v>-</v>
      </c>
      <c r="K2274" s="338">
        <f t="shared" ref="K2274:K2278" si="2976">+L2274+M2274</f>
        <v>465644</v>
      </c>
      <c r="L2274" s="275">
        <f t="shared" ref="L2274:L2278" si="2977">+H2274+L2170</f>
        <v>461580</v>
      </c>
      <c r="M2274" s="276">
        <f t="shared" ref="M2274:M2278" si="2978">+I2274+M2170</f>
        <v>4064</v>
      </c>
      <c r="N2274" s="365" t="str">
        <f t="shared" si="2972"/>
        <v>-</v>
      </c>
      <c r="O2274" s="366">
        <f t="shared" si="2959"/>
        <v>8.7276975543548289E-3</v>
      </c>
    </row>
    <row r="2275" spans="1:15" ht="23.4" x14ac:dyDescent="0.3">
      <c r="A2275" s="277" t="s">
        <v>110</v>
      </c>
      <c r="B2275" s="904"/>
      <c r="C2275" s="272" t="s">
        <v>347</v>
      </c>
      <c r="D2275" s="278"/>
      <c r="E2275" s="279">
        <v>0</v>
      </c>
      <c r="F2275" s="322"/>
      <c r="G2275" s="339">
        <f t="shared" si="2975"/>
        <v>0</v>
      </c>
      <c r="H2275" s="281">
        <v>0</v>
      </c>
      <c r="I2275" s="281">
        <v>0</v>
      </c>
      <c r="J2275" s="378" t="str">
        <f>IFERROR(G2275/#REF!,"-")</f>
        <v>-</v>
      </c>
      <c r="K2275" s="339">
        <f t="shared" si="2976"/>
        <v>0</v>
      </c>
      <c r="L2275" s="281">
        <f t="shared" si="2977"/>
        <v>0</v>
      </c>
      <c r="M2275" s="251">
        <f t="shared" si="2978"/>
        <v>0</v>
      </c>
      <c r="N2275" s="367" t="str">
        <f t="shared" si="2972"/>
        <v>-</v>
      </c>
      <c r="O2275" s="368" t="str">
        <f t="shared" si="2959"/>
        <v>-</v>
      </c>
    </row>
    <row r="2276" spans="1:15" ht="23.4" x14ac:dyDescent="0.3">
      <c r="A2276" s="277" t="s">
        <v>110</v>
      </c>
      <c r="B2276" s="904"/>
      <c r="C2276" s="278" t="s">
        <v>423</v>
      </c>
      <c r="D2276" s="278"/>
      <c r="E2276" s="279">
        <v>0</v>
      </c>
      <c r="F2276" s="322"/>
      <c r="G2276" s="339">
        <f t="shared" si="2975"/>
        <v>0</v>
      </c>
      <c r="H2276" s="281">
        <v>0</v>
      </c>
      <c r="I2276" s="281">
        <v>0</v>
      </c>
      <c r="J2276" s="378" t="str">
        <f>IFERROR(G2276/#REF!,"-")</f>
        <v>-</v>
      </c>
      <c r="K2276" s="339">
        <f t="shared" si="2976"/>
        <v>34536</v>
      </c>
      <c r="L2276" s="281">
        <f t="shared" si="2977"/>
        <v>33960</v>
      </c>
      <c r="M2276" s="251">
        <f t="shared" si="2978"/>
        <v>576</v>
      </c>
      <c r="N2276" s="367" t="str">
        <f t="shared" si="2972"/>
        <v>-</v>
      </c>
      <c r="O2276" s="368">
        <f t="shared" si="2959"/>
        <v>1.6678248783877692E-2</v>
      </c>
    </row>
    <row r="2277" spans="1:15" ht="23.4" x14ac:dyDescent="0.3">
      <c r="A2277" s="277" t="s">
        <v>110</v>
      </c>
      <c r="B2277" s="904"/>
      <c r="C2277" s="278" t="s">
        <v>166</v>
      </c>
      <c r="D2277" s="278"/>
      <c r="E2277" s="279">
        <v>0</v>
      </c>
      <c r="F2277" s="322"/>
      <c r="G2277" s="339">
        <f t="shared" si="2975"/>
        <v>0</v>
      </c>
      <c r="H2277" s="281">
        <v>0</v>
      </c>
      <c r="I2277" s="281">
        <v>0</v>
      </c>
      <c r="J2277" s="378" t="str">
        <f>IFERROR(G2277/#REF!,"-")</f>
        <v>-</v>
      </c>
      <c r="K2277" s="339">
        <f t="shared" si="2976"/>
        <v>0</v>
      </c>
      <c r="L2277" s="281">
        <f t="shared" si="2977"/>
        <v>0</v>
      </c>
      <c r="M2277" s="251">
        <f t="shared" si="2978"/>
        <v>0</v>
      </c>
      <c r="N2277" s="367" t="str">
        <f t="shared" si="2972"/>
        <v>-</v>
      </c>
      <c r="O2277" s="368" t="str">
        <f t="shared" si="2959"/>
        <v>-</v>
      </c>
    </row>
    <row r="2278" spans="1:15" ht="24" thickBot="1" x14ac:dyDescent="0.35">
      <c r="A2278" s="277" t="s">
        <v>110</v>
      </c>
      <c r="B2278" s="905"/>
      <c r="C2278" s="282" t="s">
        <v>167</v>
      </c>
      <c r="D2278" s="282"/>
      <c r="E2278" s="283">
        <v>0</v>
      </c>
      <c r="F2278" s="323"/>
      <c r="G2278" s="340">
        <f t="shared" si="2975"/>
        <v>0</v>
      </c>
      <c r="H2278" s="285">
        <v>0</v>
      </c>
      <c r="I2278" s="285">
        <v>0</v>
      </c>
      <c r="J2278" s="379" t="str">
        <f>IFERROR(G2278/#REF!,"-")</f>
        <v>-</v>
      </c>
      <c r="K2278" s="340">
        <f t="shared" si="2976"/>
        <v>0</v>
      </c>
      <c r="L2278" s="285">
        <f t="shared" si="2977"/>
        <v>0</v>
      </c>
      <c r="M2278" s="286">
        <f t="shared" si="2978"/>
        <v>0</v>
      </c>
      <c r="N2278" s="369" t="str">
        <f t="shared" si="2972"/>
        <v>-</v>
      </c>
      <c r="O2278" s="370" t="str">
        <f t="shared" si="2959"/>
        <v>-</v>
      </c>
    </row>
    <row r="2279" spans="1:15" ht="24" thickBot="1" x14ac:dyDescent="0.35">
      <c r="A2279" s="277" t="s">
        <v>110</v>
      </c>
      <c r="B2279" s="906" t="s">
        <v>42</v>
      </c>
      <c r="C2279" s="907"/>
      <c r="D2279" s="908"/>
      <c r="E2279" s="326">
        <v>610600</v>
      </c>
      <c r="F2279" s="289">
        <v>25000</v>
      </c>
      <c r="G2279" s="326">
        <f>SUM(G2275:G2278)</f>
        <v>0</v>
      </c>
      <c r="H2279" s="327">
        <f>SUM(H2274:H2278)</f>
        <v>35280</v>
      </c>
      <c r="I2279" s="327">
        <f t="shared" ref="I2279" si="2979">SUM(I2275:I2278)</f>
        <v>0</v>
      </c>
      <c r="J2279" s="351" t="str">
        <f>IFERROR(G2279/#REF!,"-")</f>
        <v>-</v>
      </c>
      <c r="K2279" s="326">
        <f>SUM(K2274:K2278)</f>
        <v>500180</v>
      </c>
      <c r="L2279" s="327">
        <f>SUM(L2274:L2278)</f>
        <v>495540</v>
      </c>
      <c r="M2279" s="328">
        <f>SUM(M2274:M2278)</f>
        <v>4640</v>
      </c>
      <c r="N2279" s="345">
        <f t="shared" si="2972"/>
        <v>0.81916148051097282</v>
      </c>
      <c r="O2279" s="351">
        <f t="shared" si="2959"/>
        <v>9.2766604022551883E-3</v>
      </c>
    </row>
    <row r="2280" spans="1:15" ht="23.4" x14ac:dyDescent="0.3">
      <c r="A2280" s="277" t="s">
        <v>110</v>
      </c>
      <c r="B2280" s="903" t="s">
        <v>43</v>
      </c>
      <c r="C2280" s="272" t="s">
        <v>204</v>
      </c>
      <c r="D2280" s="272"/>
      <c r="E2280" s="273">
        <v>0</v>
      </c>
      <c r="F2280" s="274"/>
      <c r="G2280" s="338">
        <f t="shared" ref="G2280:G2282" si="2980">+H2280+I2280</f>
        <v>0</v>
      </c>
      <c r="H2280" s="275">
        <v>0</v>
      </c>
      <c r="I2280" s="275">
        <v>0</v>
      </c>
      <c r="J2280" s="357" t="str">
        <f>IFERROR(G2280/#REF!,"-")</f>
        <v>-</v>
      </c>
      <c r="K2280" s="338">
        <f t="shared" ref="K2280:K2282" si="2981">+L2280+M2280</f>
        <v>0</v>
      </c>
      <c r="L2280" s="275">
        <f t="shared" ref="L2280:L2282" si="2982">+H2280+L2176</f>
        <v>0</v>
      </c>
      <c r="M2280" s="276">
        <f t="shared" ref="M2280:M2282" si="2983">+I2280+M2176</f>
        <v>0</v>
      </c>
      <c r="N2280" s="342" t="str">
        <f t="shared" si="2972"/>
        <v>-</v>
      </c>
      <c r="O2280" s="352" t="str">
        <f t="shared" si="2959"/>
        <v>-</v>
      </c>
    </row>
    <row r="2281" spans="1:15" ht="23.4" x14ac:dyDescent="0.3">
      <c r="A2281" s="277" t="s">
        <v>110</v>
      </c>
      <c r="B2281" s="904"/>
      <c r="C2281" s="278" t="s">
        <v>168</v>
      </c>
      <c r="D2281" s="278"/>
      <c r="E2281" s="279">
        <v>0</v>
      </c>
      <c r="F2281" s="280"/>
      <c r="G2281" s="339">
        <f t="shared" si="2980"/>
        <v>0</v>
      </c>
      <c r="H2281" s="281">
        <v>0</v>
      </c>
      <c r="I2281" s="281">
        <v>0</v>
      </c>
      <c r="J2281" s="378" t="str">
        <f>IFERROR(G2281/#REF!,"-")</f>
        <v>-</v>
      </c>
      <c r="K2281" s="339">
        <f t="shared" si="2981"/>
        <v>0</v>
      </c>
      <c r="L2281" s="281">
        <f t="shared" si="2982"/>
        <v>0</v>
      </c>
      <c r="M2281" s="251">
        <f t="shared" si="2983"/>
        <v>0</v>
      </c>
      <c r="N2281" s="367" t="str">
        <f t="shared" si="2972"/>
        <v>-</v>
      </c>
      <c r="O2281" s="368" t="str">
        <f t="shared" si="2959"/>
        <v>-</v>
      </c>
    </row>
    <row r="2282" spans="1:15" ht="24" thickBot="1" x14ac:dyDescent="0.35">
      <c r="A2282" s="277" t="s">
        <v>110</v>
      </c>
      <c r="B2282" s="905"/>
      <c r="C2282" s="282" t="s">
        <v>204</v>
      </c>
      <c r="D2282" s="282"/>
      <c r="E2282" s="283">
        <v>0</v>
      </c>
      <c r="F2282" s="284"/>
      <c r="G2282" s="340">
        <f t="shared" si="2980"/>
        <v>0</v>
      </c>
      <c r="H2282" s="285">
        <v>0</v>
      </c>
      <c r="I2282" s="285">
        <v>0</v>
      </c>
      <c r="J2282" s="379" t="str">
        <f>IFERROR(G2282/#REF!,"-")</f>
        <v>-</v>
      </c>
      <c r="K2282" s="340">
        <f t="shared" si="2981"/>
        <v>0</v>
      </c>
      <c r="L2282" s="285">
        <f t="shared" si="2982"/>
        <v>0</v>
      </c>
      <c r="M2282" s="286">
        <f t="shared" si="2983"/>
        <v>0</v>
      </c>
      <c r="N2282" s="369" t="str">
        <f t="shared" si="2972"/>
        <v>-</v>
      </c>
      <c r="O2282" s="370" t="str">
        <f t="shared" si="2959"/>
        <v>-</v>
      </c>
    </row>
    <row r="2283" spans="1:15" ht="24" thickBot="1" x14ac:dyDescent="0.35">
      <c r="A2283" s="277" t="s">
        <v>110</v>
      </c>
      <c r="B2283" s="909" t="s">
        <v>44</v>
      </c>
      <c r="C2283" s="910"/>
      <c r="D2283" s="911"/>
      <c r="E2283" s="326">
        <v>0</v>
      </c>
      <c r="F2283" s="289"/>
      <c r="G2283" s="326">
        <f>SUM(G2280:G2282)</f>
        <v>0</v>
      </c>
      <c r="H2283" s="327">
        <f t="shared" ref="H2283:I2283" si="2984">SUM(H2280:H2282)</f>
        <v>0</v>
      </c>
      <c r="I2283" s="327">
        <f t="shared" si="2984"/>
        <v>0</v>
      </c>
      <c r="J2283" s="351" t="str">
        <f>IFERROR(G2283/#REF!,"-")</f>
        <v>-</v>
      </c>
      <c r="K2283" s="326">
        <f t="shared" ref="K2283:M2283" si="2985">SUM(K2280:K2282)</f>
        <v>0</v>
      </c>
      <c r="L2283" s="327">
        <f t="shared" si="2985"/>
        <v>0</v>
      </c>
      <c r="M2283" s="328">
        <f t="shared" si="2985"/>
        <v>0</v>
      </c>
      <c r="N2283" s="345" t="str">
        <f t="shared" si="2972"/>
        <v>-</v>
      </c>
      <c r="O2283" s="351" t="str">
        <f t="shared" si="2959"/>
        <v>-</v>
      </c>
    </row>
    <row r="2284" spans="1:15" ht="23.4" x14ac:dyDescent="0.3">
      <c r="A2284" s="277" t="s">
        <v>110</v>
      </c>
      <c r="B2284" s="903" t="s">
        <v>45</v>
      </c>
      <c r="C2284" s="272" t="s">
        <v>169</v>
      </c>
      <c r="D2284" s="272"/>
      <c r="E2284" s="273">
        <v>0</v>
      </c>
      <c r="F2284" s="274"/>
      <c r="G2284" s="338">
        <f t="shared" ref="G2284:G2285" si="2986">+H2284+I2284</f>
        <v>0</v>
      </c>
      <c r="H2284" s="275">
        <v>0</v>
      </c>
      <c r="I2284" s="275">
        <v>0</v>
      </c>
      <c r="J2284" s="377" t="str">
        <f>IFERROR(G2284/#REF!,"-")</f>
        <v>-</v>
      </c>
      <c r="K2284" s="338">
        <f t="shared" ref="K2284:K2285" si="2987">+L2284+M2284</f>
        <v>0</v>
      </c>
      <c r="L2284" s="275">
        <f t="shared" ref="L2284:L2285" si="2988">+H2284+L2180</f>
        <v>0</v>
      </c>
      <c r="M2284" s="276">
        <f t="shared" ref="M2284:M2285" si="2989">+I2284+M2180</f>
        <v>0</v>
      </c>
      <c r="N2284" s="365" t="str">
        <f t="shared" si="2972"/>
        <v>-</v>
      </c>
      <c r="O2284" s="366" t="str">
        <f t="shared" si="2959"/>
        <v>-</v>
      </c>
    </row>
    <row r="2285" spans="1:15" ht="24" thickBot="1" x14ac:dyDescent="0.35">
      <c r="A2285" s="277" t="s">
        <v>110</v>
      </c>
      <c r="B2285" s="905"/>
      <c r="C2285" s="282" t="s">
        <v>170</v>
      </c>
      <c r="D2285" s="282"/>
      <c r="E2285" s="283">
        <v>0</v>
      </c>
      <c r="F2285" s="284"/>
      <c r="G2285" s="340">
        <f t="shared" si="2986"/>
        <v>0</v>
      </c>
      <c r="H2285" s="285">
        <v>0</v>
      </c>
      <c r="I2285" s="285">
        <v>0</v>
      </c>
      <c r="J2285" s="379" t="str">
        <f>IFERROR(G2285/#REF!,"-")</f>
        <v>-</v>
      </c>
      <c r="K2285" s="340">
        <f t="shared" si="2987"/>
        <v>0</v>
      </c>
      <c r="L2285" s="285">
        <f t="shared" si="2988"/>
        <v>0</v>
      </c>
      <c r="M2285" s="286">
        <f t="shared" si="2989"/>
        <v>0</v>
      </c>
      <c r="N2285" s="369" t="str">
        <f t="shared" si="2972"/>
        <v>-</v>
      </c>
      <c r="O2285" s="370" t="str">
        <f t="shared" si="2959"/>
        <v>-</v>
      </c>
    </row>
    <row r="2286" spans="1:15" ht="24" thickBot="1" x14ac:dyDescent="0.35">
      <c r="A2286" s="277" t="s">
        <v>110</v>
      </c>
      <c r="B2286" s="909" t="s">
        <v>46</v>
      </c>
      <c r="C2286" s="910"/>
      <c r="D2286" s="911"/>
      <c r="E2286" s="288">
        <v>11100</v>
      </c>
      <c r="F2286" s="289">
        <v>25000</v>
      </c>
      <c r="G2286" s="326">
        <f>SUM(G2284:G2285)</f>
        <v>0</v>
      </c>
      <c r="H2286" s="327">
        <f t="shared" ref="H2286:I2286" si="2990">SUM(H2284:H2285)</f>
        <v>0</v>
      </c>
      <c r="I2286" s="327">
        <f t="shared" si="2990"/>
        <v>0</v>
      </c>
      <c r="J2286" s="351" t="str">
        <f>IFERROR(G2286/#REF!,"-")</f>
        <v>-</v>
      </c>
      <c r="K2286" s="326">
        <f t="shared" ref="K2286:M2286" si="2991">SUM(K2284:K2285)</f>
        <v>0</v>
      </c>
      <c r="L2286" s="327">
        <f t="shared" si="2991"/>
        <v>0</v>
      </c>
      <c r="M2286" s="328">
        <f t="shared" si="2991"/>
        <v>0</v>
      </c>
      <c r="N2286" s="345">
        <f t="shared" si="2972"/>
        <v>0</v>
      </c>
      <c r="O2286" s="351" t="str">
        <f t="shared" si="2959"/>
        <v>-</v>
      </c>
    </row>
    <row r="2287" spans="1:15" ht="24" thickBot="1" x14ac:dyDescent="0.35">
      <c r="A2287" s="277" t="s">
        <v>110</v>
      </c>
      <c r="B2287" s="912" t="s">
        <v>25</v>
      </c>
      <c r="C2287" s="913"/>
      <c r="D2287" s="914"/>
      <c r="E2287" s="332">
        <f t="shared" ref="E2287:F2287" si="2992">+E2265+E2270+E2273+E2279+E2283+E2286</f>
        <v>745700</v>
      </c>
      <c r="F2287" s="333">
        <f t="shared" si="2992"/>
        <v>59300</v>
      </c>
      <c r="G2287" s="332">
        <f>+G2265+G2270+G2273+G2279+G2283+G2286</f>
        <v>4401</v>
      </c>
      <c r="H2287" s="330">
        <f>+H2265+H2270+H2273+H2279+H2283+H2286</f>
        <v>39280</v>
      </c>
      <c r="I2287" s="330">
        <f t="shared" ref="I2287" si="2993">+I2265+I2270+I2273+I2279+I2283+I2286</f>
        <v>401</v>
      </c>
      <c r="J2287" s="355" t="str">
        <f>IFERROR(G2287/#REF!,"-")</f>
        <v>-</v>
      </c>
      <c r="K2287" s="332">
        <f>+K2265+K2270+K2273+K2279+K2283+K2286</f>
        <v>601350</v>
      </c>
      <c r="L2287" s="330">
        <f t="shared" ref="L2287:M2287" si="2994">+L2265+L2270+L2273+L2279+L2283+L2286</f>
        <v>591796</v>
      </c>
      <c r="M2287" s="331">
        <f t="shared" si="2994"/>
        <v>9554</v>
      </c>
      <c r="N2287" s="347">
        <f t="shared" si="2972"/>
        <v>0.80642349470296371</v>
      </c>
      <c r="O2287" s="355">
        <f t="shared" si="2959"/>
        <v>1.5887586264238796E-2</v>
      </c>
    </row>
    <row r="2288" spans="1:15" ht="24" thickBot="1" x14ac:dyDescent="0.35">
      <c r="A2288" s="324" t="s">
        <v>110</v>
      </c>
      <c r="B2288" s="901" t="s">
        <v>182</v>
      </c>
      <c r="C2288" s="901"/>
      <c r="D2288" s="902"/>
      <c r="E2288" s="336">
        <f>+E2287</f>
        <v>745700</v>
      </c>
      <c r="F2288" s="337">
        <f t="shared" ref="F2288:O2288" si="2995">+F2287</f>
        <v>59300</v>
      </c>
      <c r="G2288" s="336">
        <f t="shared" si="2995"/>
        <v>4401</v>
      </c>
      <c r="H2288" s="334">
        <f t="shared" si="2995"/>
        <v>39280</v>
      </c>
      <c r="I2288" s="334">
        <f t="shared" si="2995"/>
        <v>401</v>
      </c>
      <c r="J2288" s="356" t="str">
        <f t="shared" si="2995"/>
        <v>-</v>
      </c>
      <c r="K2288" s="336">
        <f t="shared" si="2995"/>
        <v>601350</v>
      </c>
      <c r="L2288" s="334">
        <f t="shared" si="2995"/>
        <v>591796</v>
      </c>
      <c r="M2288" s="335">
        <f t="shared" si="2995"/>
        <v>9554</v>
      </c>
      <c r="N2288" s="348">
        <f t="shared" si="2995"/>
        <v>0.80642349470296371</v>
      </c>
      <c r="O2288" s="356">
        <f t="shared" si="2995"/>
        <v>1.5887586264238796E-2</v>
      </c>
    </row>
    <row r="2289" spans="1:15" ht="24.6" thickBot="1" x14ac:dyDescent="0.35">
      <c r="A2289" s="325"/>
      <c r="B2289" s="915" t="s">
        <v>183</v>
      </c>
      <c r="C2289" s="916"/>
      <c r="D2289" s="917"/>
      <c r="E2289" s="380">
        <f>+E2234+E2261+E2288</f>
        <v>10494400</v>
      </c>
      <c r="F2289" s="380">
        <f>+F2234+F2261+F2288</f>
        <v>748300</v>
      </c>
      <c r="G2289" s="380">
        <f>+G2234+G2261+G2288</f>
        <v>375721</v>
      </c>
      <c r="H2289" s="380">
        <f>+H2234+H2261+H2288</f>
        <v>476260</v>
      </c>
      <c r="I2289" s="380">
        <f>+I2234+I2261+I2288</f>
        <v>2475</v>
      </c>
      <c r="J2289" s="381" t="str">
        <f>IFERROR(G2289/#REF!,"-")</f>
        <v>-</v>
      </c>
      <c r="K2289" s="380">
        <f>+K2234+K2261+K2288</f>
        <v>7371086</v>
      </c>
      <c r="L2289" s="380">
        <f>+L2234+L2261+L2288</f>
        <v>7302943</v>
      </c>
      <c r="M2289" s="380">
        <f>+M2234+M2261+M2288</f>
        <v>68143</v>
      </c>
      <c r="N2289" s="381">
        <f>IFERROR(K2289/E2289,"-")</f>
        <v>0.7023827946333282</v>
      </c>
      <c r="O2289" s="381">
        <f>IFERROR(M2289/K2289,"-")</f>
        <v>9.2446350510630316E-3</v>
      </c>
    </row>
    <row r="2290" spans="1:15" ht="23.4" x14ac:dyDescent="0.3">
      <c r="A2290" s="935" t="s">
        <v>1</v>
      </c>
      <c r="B2290" s="938" t="s">
        <v>2</v>
      </c>
      <c r="C2290" s="941" t="s">
        <v>3</v>
      </c>
      <c r="D2290" s="941" t="s">
        <v>93</v>
      </c>
      <c r="E2290" s="944" t="s">
        <v>4</v>
      </c>
      <c r="F2290" s="945"/>
      <c r="G2290" s="945"/>
      <c r="H2290" s="945"/>
      <c r="I2290" s="945"/>
      <c r="J2290" s="945"/>
      <c r="K2290" s="945"/>
      <c r="L2290" s="945"/>
      <c r="M2290" s="945"/>
      <c r="N2290" s="945"/>
      <c r="O2290" s="946"/>
    </row>
    <row r="2291" spans="1:15" ht="23.4" x14ac:dyDescent="0.3">
      <c r="A2291" s="936"/>
      <c r="B2291" s="939"/>
      <c r="C2291" s="942"/>
      <c r="D2291" s="942"/>
      <c r="E2291" s="947" t="s">
        <v>7</v>
      </c>
      <c r="F2291" s="949" t="s">
        <v>116</v>
      </c>
      <c r="G2291" s="951">
        <v>44530</v>
      </c>
      <c r="H2291" s="952"/>
      <c r="I2291" s="952"/>
      <c r="J2291" s="953"/>
      <c r="K2291" s="954" t="s">
        <v>8</v>
      </c>
      <c r="L2291" s="955"/>
      <c r="M2291" s="956"/>
      <c r="N2291" s="957" t="s">
        <v>174</v>
      </c>
      <c r="O2291" s="959" t="s">
        <v>173</v>
      </c>
    </row>
    <row r="2292" spans="1:15" ht="41.4" thickBot="1" x14ac:dyDescent="0.35">
      <c r="A2292" s="937"/>
      <c r="B2292" s="940"/>
      <c r="C2292" s="943"/>
      <c r="D2292" s="943"/>
      <c r="E2292" s="948"/>
      <c r="F2292" s="950"/>
      <c r="G2292" s="462" t="s">
        <v>13</v>
      </c>
      <c r="H2292" s="463" t="s">
        <v>14</v>
      </c>
      <c r="I2292" s="463" t="s">
        <v>15</v>
      </c>
      <c r="J2292" s="464" t="s">
        <v>175</v>
      </c>
      <c r="K2292" s="462" t="s">
        <v>13</v>
      </c>
      <c r="L2292" s="463" t="s">
        <v>14</v>
      </c>
      <c r="M2292" s="465" t="s">
        <v>15</v>
      </c>
      <c r="N2292" s="958"/>
      <c r="O2292" s="960"/>
    </row>
    <row r="2293" spans="1:15" ht="23.4" x14ac:dyDescent="0.3">
      <c r="A2293" s="271" t="s">
        <v>111</v>
      </c>
      <c r="B2293" s="922" t="s">
        <v>16</v>
      </c>
      <c r="C2293" s="272" t="s">
        <v>186</v>
      </c>
      <c r="D2293" s="272" t="s">
        <v>184</v>
      </c>
      <c r="E2293" s="273">
        <v>0</v>
      </c>
      <c r="F2293" s="274"/>
      <c r="G2293" s="338">
        <f>+H2293+I2293</f>
        <v>0</v>
      </c>
      <c r="H2293" s="275">
        <v>0</v>
      </c>
      <c r="I2293" s="275">
        <v>0</v>
      </c>
      <c r="J2293" s="357" t="str">
        <f>IFERROR(G2293/#REF!,"-")</f>
        <v>-</v>
      </c>
      <c r="K2293" s="468">
        <f>+L2293+M2293</f>
        <v>0</v>
      </c>
      <c r="L2293" s="469">
        <f>+H2293+L2189</f>
        <v>0</v>
      </c>
      <c r="M2293" s="469">
        <f>+I2293+M2189</f>
        <v>0</v>
      </c>
      <c r="N2293" s="342" t="str">
        <f>IFERROR(K2293/E2293,"-")</f>
        <v>-</v>
      </c>
      <c r="O2293" s="349" t="str">
        <f t="shared" ref="O2293:O2294" si="2996">IFERROR(M2293/K2293,"-")</f>
        <v>-</v>
      </c>
    </row>
    <row r="2294" spans="1:15" ht="23.4" x14ac:dyDescent="0.3">
      <c r="A2294" s="277" t="s">
        <v>111</v>
      </c>
      <c r="B2294" s="923"/>
      <c r="C2294" s="278" t="s">
        <v>190</v>
      </c>
      <c r="D2294" s="278" t="s">
        <v>101</v>
      </c>
      <c r="E2294" s="279">
        <v>0</v>
      </c>
      <c r="F2294" s="280"/>
      <c r="G2294" s="339">
        <f t="shared" ref="G2294:G2296" si="2997">+H2294+I2294</f>
        <v>0</v>
      </c>
      <c r="H2294" s="281">
        <v>0</v>
      </c>
      <c r="I2294" s="281">
        <v>0</v>
      </c>
      <c r="J2294" s="358" t="str">
        <f>IFERROR(G2294/#REF!,"-")</f>
        <v>-</v>
      </c>
      <c r="K2294" s="339">
        <f t="shared" ref="K2294:K2296" si="2998">+L2294+M2294</f>
        <v>0</v>
      </c>
      <c r="L2294" s="281">
        <f t="shared" ref="L2294:L2296" si="2999">+H2294+L2190</f>
        <v>0</v>
      </c>
      <c r="M2294" s="442">
        <f t="shared" ref="M2294:M2296" si="3000">+I2294+M2190</f>
        <v>0</v>
      </c>
      <c r="N2294" s="343" t="str">
        <f t="shared" ref="N2294:N2296" si="3001">IFERROR(K2294/E2294,"-")</f>
        <v>-</v>
      </c>
      <c r="O2294" s="268" t="str">
        <f t="shared" si="2996"/>
        <v>-</v>
      </c>
    </row>
    <row r="2295" spans="1:15" ht="23.4" x14ac:dyDescent="0.3">
      <c r="A2295" s="277" t="s">
        <v>111</v>
      </c>
      <c r="B2295" s="923"/>
      <c r="C2295" s="278" t="s">
        <v>187</v>
      </c>
      <c r="D2295" s="278" t="s">
        <v>185</v>
      </c>
      <c r="E2295" s="279">
        <v>0</v>
      </c>
      <c r="F2295" s="280"/>
      <c r="G2295" s="339">
        <f t="shared" si="2997"/>
        <v>0</v>
      </c>
      <c r="H2295" s="281">
        <v>0</v>
      </c>
      <c r="I2295" s="281">
        <v>0</v>
      </c>
      <c r="J2295" s="358" t="str">
        <f>IFERROR(G2295/#REF!,"-")</f>
        <v>-</v>
      </c>
      <c r="K2295" s="339">
        <f t="shared" si="2998"/>
        <v>0</v>
      </c>
      <c r="L2295" s="281">
        <f t="shared" si="2999"/>
        <v>0</v>
      </c>
      <c r="M2295" s="442">
        <f t="shared" si="3000"/>
        <v>0</v>
      </c>
      <c r="N2295" s="343" t="str">
        <f t="shared" si="3001"/>
        <v>-</v>
      </c>
      <c r="O2295" s="268" t="str">
        <f>IFERROR(M2295/K2295,"-")</f>
        <v>-</v>
      </c>
    </row>
    <row r="2296" spans="1:15" ht="24" thickBot="1" x14ac:dyDescent="0.35">
      <c r="A2296" s="277" t="s">
        <v>111</v>
      </c>
      <c r="B2296" s="924"/>
      <c r="C2296" s="282" t="s">
        <v>255</v>
      </c>
      <c r="D2296" s="282" t="s">
        <v>256</v>
      </c>
      <c r="E2296" s="283">
        <v>0</v>
      </c>
      <c r="F2296" s="284"/>
      <c r="G2296" s="340">
        <f t="shared" si="2997"/>
        <v>0</v>
      </c>
      <c r="H2296" s="285">
        <v>0</v>
      </c>
      <c r="I2296" s="285">
        <v>0</v>
      </c>
      <c r="J2296" s="359" t="str">
        <f>IFERROR(G2296/#REF!,"-")</f>
        <v>-</v>
      </c>
      <c r="K2296" s="471">
        <f t="shared" si="2998"/>
        <v>105704</v>
      </c>
      <c r="L2296" s="472">
        <f t="shared" si="2999"/>
        <v>104016</v>
      </c>
      <c r="M2296" s="473">
        <f t="shared" si="3000"/>
        <v>1688</v>
      </c>
      <c r="N2296" s="344" t="str">
        <f t="shared" si="3001"/>
        <v>-</v>
      </c>
      <c r="O2296" s="350">
        <f t="shared" ref="O2296:O2314" si="3002">IFERROR(M2296/K2296,"-")</f>
        <v>1.5969121319912207E-2</v>
      </c>
    </row>
    <row r="2297" spans="1:15" ht="24" thickBot="1" x14ac:dyDescent="0.35">
      <c r="A2297" s="277" t="s">
        <v>111</v>
      </c>
      <c r="B2297" s="906" t="s">
        <v>47</v>
      </c>
      <c r="C2297" s="907"/>
      <c r="D2297" s="908"/>
      <c r="E2297" s="326">
        <v>144600</v>
      </c>
      <c r="F2297" s="289">
        <v>15000</v>
      </c>
      <c r="G2297" s="326">
        <f>SUM(G2293:G2296)</f>
        <v>0</v>
      </c>
      <c r="H2297" s="327">
        <f t="shared" ref="H2297:I2297" si="3003">SUM(H2293:H2296)</f>
        <v>0</v>
      </c>
      <c r="I2297" s="327">
        <f t="shared" si="3003"/>
        <v>0</v>
      </c>
      <c r="J2297" s="351" t="str">
        <f>IFERROR(G2297/#REF!,"-")</f>
        <v>-</v>
      </c>
      <c r="K2297" s="326">
        <f t="shared" ref="K2297:M2297" si="3004">SUM(K2293:K2296)</f>
        <v>105704</v>
      </c>
      <c r="L2297" s="327">
        <f>SUM(L2293:L2296)</f>
        <v>104016</v>
      </c>
      <c r="M2297" s="328">
        <f t="shared" si="3004"/>
        <v>1688</v>
      </c>
      <c r="N2297" s="345">
        <f>IFERROR(K2297/E2297,"-")</f>
        <v>0.7310096818810512</v>
      </c>
      <c r="O2297" s="351">
        <f t="shared" si="3002"/>
        <v>1.5969121319912207E-2</v>
      </c>
    </row>
    <row r="2298" spans="1:15" ht="23.4" x14ac:dyDescent="0.3">
      <c r="A2298" s="277" t="s">
        <v>111</v>
      </c>
      <c r="B2298" s="922" t="s">
        <v>17</v>
      </c>
      <c r="C2298" s="272" t="s">
        <v>331</v>
      </c>
      <c r="D2298" s="272"/>
      <c r="E2298" s="273">
        <v>0</v>
      </c>
      <c r="F2298" s="274"/>
      <c r="G2298" s="338">
        <f t="shared" ref="G2298:G2304" si="3005">+H2298+I2298</f>
        <v>0</v>
      </c>
      <c r="H2298" s="275">
        <v>0</v>
      </c>
      <c r="I2298" s="275">
        <v>0</v>
      </c>
      <c r="J2298" s="357" t="str">
        <f>IFERROR(G2298/#REF!,"-")</f>
        <v>-</v>
      </c>
      <c r="K2298" s="468">
        <f t="shared" ref="K2298:K2304" si="3006">+L2298+M2298</f>
        <v>0</v>
      </c>
      <c r="L2298" s="469">
        <f t="shared" ref="L2298:L2304" si="3007">+H2298+L2194</f>
        <v>0</v>
      </c>
      <c r="M2298" s="470">
        <f t="shared" ref="M2298:M2304" si="3008">+I2298+M2194</f>
        <v>0</v>
      </c>
      <c r="N2298" s="342" t="str">
        <f t="shared" ref="N2298:N2304" si="3009">IFERROR(K2298/E2298,"-")</f>
        <v>-</v>
      </c>
      <c r="O2298" s="352" t="str">
        <f t="shared" si="3002"/>
        <v>-</v>
      </c>
    </row>
    <row r="2299" spans="1:15" ht="23.4" x14ac:dyDescent="0.3">
      <c r="A2299" s="277" t="s">
        <v>111</v>
      </c>
      <c r="B2299" s="923"/>
      <c r="C2299" s="278" t="s">
        <v>421</v>
      </c>
      <c r="D2299" s="278" t="s">
        <v>257</v>
      </c>
      <c r="E2299" s="279">
        <v>0</v>
      </c>
      <c r="F2299" s="280"/>
      <c r="G2299" s="339">
        <f t="shared" si="3005"/>
        <v>0</v>
      </c>
      <c r="H2299" s="281">
        <v>0</v>
      </c>
      <c r="I2299" s="281">
        <v>0</v>
      </c>
      <c r="J2299" s="358" t="str">
        <f>IFERROR(G2299/#REF!,"-")</f>
        <v>-</v>
      </c>
      <c r="K2299" s="339">
        <f t="shared" si="3006"/>
        <v>1241211</v>
      </c>
      <c r="L2299" s="281">
        <f t="shared" si="3007"/>
        <v>1237319</v>
      </c>
      <c r="M2299" s="442">
        <f t="shared" si="3008"/>
        <v>3892</v>
      </c>
      <c r="N2299" s="343" t="str">
        <f t="shared" si="3009"/>
        <v>-</v>
      </c>
      <c r="O2299" s="264">
        <f t="shared" si="3002"/>
        <v>3.1356473637439565E-3</v>
      </c>
    </row>
    <row r="2300" spans="1:15" ht="23.4" x14ac:dyDescent="0.3">
      <c r="A2300" s="277" t="s">
        <v>111</v>
      </c>
      <c r="B2300" s="923"/>
      <c r="C2300" s="278" t="s">
        <v>290</v>
      </c>
      <c r="D2300" s="278" t="s">
        <v>205</v>
      </c>
      <c r="E2300" s="279">
        <v>0</v>
      </c>
      <c r="F2300" s="280"/>
      <c r="G2300" s="339">
        <f t="shared" si="3005"/>
        <v>0</v>
      </c>
      <c r="H2300" s="281">
        <v>0</v>
      </c>
      <c r="I2300" s="281">
        <v>0</v>
      </c>
      <c r="J2300" s="358" t="str">
        <f>IFERROR(G2300/#REF!,"-")</f>
        <v>-</v>
      </c>
      <c r="K2300" s="339">
        <f t="shared" si="3006"/>
        <v>0</v>
      </c>
      <c r="L2300" s="281">
        <f t="shared" si="3007"/>
        <v>0</v>
      </c>
      <c r="M2300" s="442">
        <f t="shared" si="3008"/>
        <v>0</v>
      </c>
      <c r="N2300" s="343" t="str">
        <f t="shared" si="3009"/>
        <v>-</v>
      </c>
      <c r="O2300" s="264" t="str">
        <f t="shared" si="3002"/>
        <v>-</v>
      </c>
    </row>
    <row r="2301" spans="1:15" ht="23.4" x14ac:dyDescent="0.3">
      <c r="A2301" s="277" t="s">
        <v>111</v>
      </c>
      <c r="B2301" s="923"/>
      <c r="C2301" s="278" t="s">
        <v>330</v>
      </c>
      <c r="D2301" s="278" t="s">
        <v>206</v>
      </c>
      <c r="E2301" s="279">
        <v>0</v>
      </c>
      <c r="F2301" s="280"/>
      <c r="G2301" s="339">
        <f t="shared" si="3005"/>
        <v>0</v>
      </c>
      <c r="H2301" s="281">
        <v>0</v>
      </c>
      <c r="I2301" s="281">
        <v>0</v>
      </c>
      <c r="J2301" s="358" t="str">
        <f>IFERROR(G2301/#REF!,"-")</f>
        <v>-</v>
      </c>
      <c r="K2301" s="339">
        <f t="shared" si="3006"/>
        <v>1836</v>
      </c>
      <c r="L2301" s="281">
        <f t="shared" si="3007"/>
        <v>1836</v>
      </c>
      <c r="M2301" s="442">
        <f t="shared" si="3008"/>
        <v>0</v>
      </c>
      <c r="N2301" s="343" t="str">
        <f t="shared" si="3009"/>
        <v>-</v>
      </c>
      <c r="O2301" s="264">
        <f t="shared" si="3002"/>
        <v>0</v>
      </c>
    </row>
    <row r="2302" spans="1:15" ht="23.4" x14ac:dyDescent="0.3">
      <c r="A2302" s="277" t="s">
        <v>111</v>
      </c>
      <c r="B2302" s="923"/>
      <c r="C2302" s="278" t="s">
        <v>377</v>
      </c>
      <c r="D2302" s="278" t="s">
        <v>371</v>
      </c>
      <c r="E2302" s="279">
        <v>0</v>
      </c>
      <c r="F2302" s="280"/>
      <c r="G2302" s="339">
        <f t="shared" si="3005"/>
        <v>0</v>
      </c>
      <c r="H2302" s="281">
        <v>0</v>
      </c>
      <c r="I2302" s="281">
        <v>0</v>
      </c>
      <c r="J2302" s="358" t="str">
        <f>IFERROR(G2302/#REF!,"-")</f>
        <v>-</v>
      </c>
      <c r="K2302" s="339">
        <f t="shared" si="3006"/>
        <v>10610</v>
      </c>
      <c r="L2302" s="281">
        <f t="shared" si="3007"/>
        <v>10610</v>
      </c>
      <c r="M2302" s="442">
        <f t="shared" si="3008"/>
        <v>0</v>
      </c>
      <c r="N2302" s="343" t="str">
        <f t="shared" si="3009"/>
        <v>-</v>
      </c>
      <c r="O2302" s="264">
        <f t="shared" si="3002"/>
        <v>0</v>
      </c>
    </row>
    <row r="2303" spans="1:15" ht="23.4" x14ac:dyDescent="0.3">
      <c r="A2303" s="277" t="s">
        <v>111</v>
      </c>
      <c r="B2303" s="923"/>
      <c r="C2303" s="278" t="s">
        <v>443</v>
      </c>
      <c r="D2303" s="278" t="s">
        <v>207</v>
      </c>
      <c r="E2303" s="279">
        <v>0</v>
      </c>
      <c r="F2303" s="280"/>
      <c r="G2303" s="339">
        <f t="shared" si="3005"/>
        <v>220735</v>
      </c>
      <c r="H2303" s="281">
        <f>104040+116280</f>
        <v>220320</v>
      </c>
      <c r="I2303" s="281">
        <f>299+116</f>
        <v>415</v>
      </c>
      <c r="J2303" s="358" t="str">
        <f>IFERROR(G2303/#REF!,"-")</f>
        <v>-</v>
      </c>
      <c r="K2303" s="339">
        <f t="shared" si="3006"/>
        <v>1147107</v>
      </c>
      <c r="L2303" s="281">
        <f t="shared" si="3007"/>
        <v>1144440</v>
      </c>
      <c r="M2303" s="442">
        <f t="shared" si="3008"/>
        <v>2667</v>
      </c>
      <c r="N2303" s="343" t="str">
        <f t="shared" si="3009"/>
        <v>-</v>
      </c>
      <c r="O2303" s="264">
        <f t="shared" si="3002"/>
        <v>2.3249792739474173E-3</v>
      </c>
    </row>
    <row r="2304" spans="1:15" ht="24" thickBot="1" x14ac:dyDescent="0.35">
      <c r="A2304" s="277" t="s">
        <v>111</v>
      </c>
      <c r="B2304" s="924"/>
      <c r="C2304" s="282" t="s">
        <v>416</v>
      </c>
      <c r="D2304" s="282" t="s">
        <v>257</v>
      </c>
      <c r="E2304" s="283">
        <v>0</v>
      </c>
      <c r="F2304" s="284"/>
      <c r="G2304" s="340">
        <f t="shared" si="3005"/>
        <v>0</v>
      </c>
      <c r="H2304" s="285">
        <v>0</v>
      </c>
      <c r="I2304" s="285">
        <v>0</v>
      </c>
      <c r="J2304" s="359" t="str">
        <f>IFERROR(G2304/#REF!,"-")</f>
        <v>-</v>
      </c>
      <c r="K2304" s="471">
        <f t="shared" si="3006"/>
        <v>73650</v>
      </c>
      <c r="L2304" s="472">
        <f t="shared" si="3007"/>
        <v>73440</v>
      </c>
      <c r="M2304" s="473">
        <f t="shared" si="3008"/>
        <v>210</v>
      </c>
      <c r="N2304" s="344" t="str">
        <f t="shared" si="3009"/>
        <v>-</v>
      </c>
      <c r="O2304" s="353">
        <f t="shared" si="3002"/>
        <v>2.8513238289205704E-3</v>
      </c>
    </row>
    <row r="2305" spans="1:15" ht="24" thickBot="1" x14ac:dyDescent="0.35">
      <c r="A2305" s="277" t="s">
        <v>111</v>
      </c>
      <c r="B2305" s="906" t="s">
        <v>48</v>
      </c>
      <c r="C2305" s="907"/>
      <c r="D2305" s="908"/>
      <c r="E2305" s="326">
        <v>3480000</v>
      </c>
      <c r="F2305" s="289">
        <v>100000</v>
      </c>
      <c r="G2305" s="326">
        <f>SUM(G2298:G2304)</f>
        <v>220735</v>
      </c>
      <c r="H2305" s="327">
        <f t="shared" ref="H2305:I2305" si="3010">SUM(H2298:H2304)</f>
        <v>220320</v>
      </c>
      <c r="I2305" s="327">
        <f t="shared" si="3010"/>
        <v>415</v>
      </c>
      <c r="J2305" s="351" t="str">
        <f>IFERROR(G2305/#REF!,"-")</f>
        <v>-</v>
      </c>
      <c r="K2305" s="326">
        <f>SUM(K2298:K2304)</f>
        <v>2474414</v>
      </c>
      <c r="L2305" s="327">
        <f>SUM(L2298:L2304)</f>
        <v>2467645</v>
      </c>
      <c r="M2305" s="328">
        <f t="shared" ref="M2305" si="3011">SUM(M2298:M2304)</f>
        <v>6769</v>
      </c>
      <c r="N2305" s="345">
        <f>IFERROR(K2305/E2305,"-")</f>
        <v>0.71103850574712646</v>
      </c>
      <c r="O2305" s="351">
        <f t="shared" si="3002"/>
        <v>2.7355971959421503E-3</v>
      </c>
    </row>
    <row r="2306" spans="1:15" ht="23.4" x14ac:dyDescent="0.3">
      <c r="A2306" s="277" t="s">
        <v>111</v>
      </c>
      <c r="B2306" s="922" t="s">
        <v>18</v>
      </c>
      <c r="C2306" s="272" t="s">
        <v>359</v>
      </c>
      <c r="D2306" s="272" t="s">
        <v>99</v>
      </c>
      <c r="E2306" s="273">
        <v>0</v>
      </c>
      <c r="F2306" s="274"/>
      <c r="G2306" s="338">
        <f t="shared" ref="G2306:G2312" si="3012">+H2306+I2306</f>
        <v>0</v>
      </c>
      <c r="H2306" s="275">
        <v>0</v>
      </c>
      <c r="I2306" s="275">
        <v>0</v>
      </c>
      <c r="J2306" s="357" t="str">
        <f>IFERROR(G2306/#REF!,"-")</f>
        <v>-</v>
      </c>
      <c r="K2306" s="338">
        <f t="shared" ref="K2306:K2312" si="3013">+L2306+M2306</f>
        <v>0</v>
      </c>
      <c r="L2306" s="275">
        <f t="shared" ref="L2306:L2312" si="3014">+H2306+L2202</f>
        <v>0</v>
      </c>
      <c r="M2306" s="276">
        <f t="shared" ref="M2306:M2312" si="3015">+I2306+M2202</f>
        <v>0</v>
      </c>
      <c r="N2306" s="342" t="str">
        <f t="shared" ref="N2306:N2313" si="3016">IFERROR(K2306/E2306,"-")</f>
        <v>-</v>
      </c>
      <c r="O2306" s="352" t="str">
        <f t="shared" si="3002"/>
        <v>-</v>
      </c>
    </row>
    <row r="2307" spans="1:15" ht="23.4" x14ac:dyDescent="0.3">
      <c r="A2307" s="277" t="s">
        <v>111</v>
      </c>
      <c r="B2307" s="923"/>
      <c r="C2307" s="278" t="s">
        <v>258</v>
      </c>
      <c r="D2307" s="278" t="s">
        <v>259</v>
      </c>
      <c r="E2307" s="279">
        <v>0</v>
      </c>
      <c r="F2307" s="280"/>
      <c r="G2307" s="339">
        <f t="shared" si="3012"/>
        <v>0</v>
      </c>
      <c r="H2307" s="281">
        <v>0</v>
      </c>
      <c r="I2307" s="281">
        <v>0</v>
      </c>
      <c r="J2307" s="358" t="str">
        <f>IFERROR(G2307/#REF!,"-")</f>
        <v>-</v>
      </c>
      <c r="K2307" s="339">
        <f t="shared" si="3013"/>
        <v>0</v>
      </c>
      <c r="L2307" s="281">
        <f t="shared" si="3014"/>
        <v>0</v>
      </c>
      <c r="M2307" s="251">
        <f t="shared" si="3015"/>
        <v>0</v>
      </c>
      <c r="N2307" s="343" t="str">
        <f t="shared" si="3016"/>
        <v>-</v>
      </c>
      <c r="O2307" s="264" t="str">
        <f t="shared" si="3002"/>
        <v>-</v>
      </c>
    </row>
    <row r="2308" spans="1:15" ht="23.4" x14ac:dyDescent="0.3">
      <c r="A2308" s="277" t="s">
        <v>111</v>
      </c>
      <c r="B2308" s="923"/>
      <c r="C2308" s="278" t="s">
        <v>123</v>
      </c>
      <c r="D2308" s="278"/>
      <c r="E2308" s="279">
        <v>0</v>
      </c>
      <c r="F2308" s="280"/>
      <c r="G2308" s="339">
        <f t="shared" si="3012"/>
        <v>0</v>
      </c>
      <c r="H2308" s="281">
        <v>0</v>
      </c>
      <c r="I2308" s="281">
        <v>0</v>
      </c>
      <c r="J2308" s="358" t="str">
        <f>IFERROR(G2308/#REF!,"-")</f>
        <v>-</v>
      </c>
      <c r="K2308" s="339">
        <f t="shared" si="3013"/>
        <v>0</v>
      </c>
      <c r="L2308" s="281">
        <f t="shared" si="3014"/>
        <v>0</v>
      </c>
      <c r="M2308" s="251">
        <f t="shared" si="3015"/>
        <v>0</v>
      </c>
      <c r="N2308" s="343" t="str">
        <f t="shared" si="3016"/>
        <v>-</v>
      </c>
      <c r="O2308" s="264" t="str">
        <f t="shared" si="3002"/>
        <v>-</v>
      </c>
    </row>
    <row r="2309" spans="1:15" ht="23.4" x14ac:dyDescent="0.3">
      <c r="A2309" s="277" t="s">
        <v>111</v>
      </c>
      <c r="B2309" s="923"/>
      <c r="C2309" s="278" t="s">
        <v>130</v>
      </c>
      <c r="D2309" s="278"/>
      <c r="E2309" s="279">
        <v>0</v>
      </c>
      <c r="F2309" s="280"/>
      <c r="G2309" s="339">
        <f t="shared" si="3012"/>
        <v>0</v>
      </c>
      <c r="H2309" s="281">
        <v>0</v>
      </c>
      <c r="I2309" s="281">
        <v>0</v>
      </c>
      <c r="J2309" s="358" t="str">
        <f>IFERROR(G2309/#REF!,"-")</f>
        <v>-</v>
      </c>
      <c r="K2309" s="339">
        <f t="shared" si="3013"/>
        <v>0</v>
      </c>
      <c r="L2309" s="281">
        <f t="shared" si="3014"/>
        <v>0</v>
      </c>
      <c r="M2309" s="251">
        <f t="shared" si="3015"/>
        <v>0</v>
      </c>
      <c r="N2309" s="343" t="str">
        <f t="shared" si="3016"/>
        <v>-</v>
      </c>
      <c r="O2309" s="264" t="str">
        <f t="shared" si="3002"/>
        <v>-</v>
      </c>
    </row>
    <row r="2310" spans="1:15" ht="23.4" x14ac:dyDescent="0.3">
      <c r="A2310" s="277" t="s">
        <v>111</v>
      </c>
      <c r="B2310" s="923"/>
      <c r="C2310" s="278" t="s">
        <v>191</v>
      </c>
      <c r="D2310" s="278" t="s">
        <v>192</v>
      </c>
      <c r="E2310" s="279">
        <v>0</v>
      </c>
      <c r="F2310" s="280"/>
      <c r="G2310" s="339">
        <f t="shared" si="3012"/>
        <v>0</v>
      </c>
      <c r="H2310" s="281">
        <v>0</v>
      </c>
      <c r="I2310" s="281">
        <v>0</v>
      </c>
      <c r="J2310" s="358" t="str">
        <f>IFERROR(G2310/#REF!,"-")</f>
        <v>-</v>
      </c>
      <c r="K2310" s="339">
        <f t="shared" si="3013"/>
        <v>0</v>
      </c>
      <c r="L2310" s="281">
        <f t="shared" si="3014"/>
        <v>0</v>
      </c>
      <c r="M2310" s="251">
        <f t="shared" si="3015"/>
        <v>0</v>
      </c>
      <c r="N2310" s="343" t="str">
        <f t="shared" si="3016"/>
        <v>-</v>
      </c>
      <c r="O2310" s="264" t="str">
        <f t="shared" si="3002"/>
        <v>-</v>
      </c>
    </row>
    <row r="2311" spans="1:15" ht="23.4" x14ac:dyDescent="0.3">
      <c r="A2311" s="277" t="s">
        <v>111</v>
      </c>
      <c r="B2311" s="923"/>
      <c r="C2311" s="278" t="s">
        <v>194</v>
      </c>
      <c r="D2311" s="278" t="s">
        <v>193</v>
      </c>
      <c r="E2311" s="279">
        <v>0</v>
      </c>
      <c r="F2311" s="280"/>
      <c r="G2311" s="339">
        <f t="shared" si="3012"/>
        <v>0</v>
      </c>
      <c r="H2311" s="281">
        <v>0</v>
      </c>
      <c r="I2311" s="281">
        <v>0</v>
      </c>
      <c r="J2311" s="358" t="str">
        <f>IFERROR(G2311/#REF!,"-")</f>
        <v>-</v>
      </c>
      <c r="K2311" s="339">
        <f t="shared" si="3013"/>
        <v>0</v>
      </c>
      <c r="L2311" s="281">
        <f t="shared" si="3014"/>
        <v>0</v>
      </c>
      <c r="M2311" s="251">
        <f t="shared" si="3015"/>
        <v>0</v>
      </c>
      <c r="N2311" s="343" t="str">
        <f t="shared" si="3016"/>
        <v>-</v>
      </c>
      <c r="O2311" s="264" t="str">
        <f t="shared" si="3002"/>
        <v>-</v>
      </c>
    </row>
    <row r="2312" spans="1:15" ht="24" thickBot="1" x14ac:dyDescent="0.35">
      <c r="A2312" s="277" t="s">
        <v>111</v>
      </c>
      <c r="B2312" s="924"/>
      <c r="C2312" s="290" t="s">
        <v>195</v>
      </c>
      <c r="D2312" s="290" t="s">
        <v>115</v>
      </c>
      <c r="E2312" s="283">
        <v>0</v>
      </c>
      <c r="F2312" s="284"/>
      <c r="G2312" s="340">
        <f t="shared" si="3012"/>
        <v>0</v>
      </c>
      <c r="H2312" s="285">
        <v>0</v>
      </c>
      <c r="I2312" s="285">
        <v>0</v>
      </c>
      <c r="J2312" s="359" t="str">
        <f>IFERROR(G2312/#REF!,"-")</f>
        <v>-</v>
      </c>
      <c r="K2312" s="340">
        <f t="shared" si="3013"/>
        <v>0</v>
      </c>
      <c r="L2312" s="285">
        <f t="shared" si="3014"/>
        <v>0</v>
      </c>
      <c r="M2312" s="286">
        <f t="shared" si="3015"/>
        <v>0</v>
      </c>
      <c r="N2312" s="344" t="str">
        <f t="shared" si="3016"/>
        <v>-</v>
      </c>
      <c r="O2312" s="353" t="str">
        <f t="shared" si="3002"/>
        <v>-</v>
      </c>
    </row>
    <row r="2313" spans="1:15" ht="24" thickBot="1" x14ac:dyDescent="0.35">
      <c r="A2313" s="277" t="s">
        <v>111</v>
      </c>
      <c r="B2313" s="906" t="s">
        <v>29</v>
      </c>
      <c r="C2313" s="907"/>
      <c r="D2313" s="908"/>
      <c r="E2313" s="326">
        <f t="shared" ref="E2313" si="3017">SUM(E2306:E2312)</f>
        <v>0</v>
      </c>
      <c r="F2313" s="289">
        <v>80000</v>
      </c>
      <c r="G2313" s="326">
        <f>SUM(G2306:G2312)</f>
        <v>0</v>
      </c>
      <c r="H2313" s="327">
        <f t="shared" ref="H2313:I2313" si="3018">SUM(H2306:H2312)</f>
        <v>0</v>
      </c>
      <c r="I2313" s="327">
        <f t="shared" si="3018"/>
        <v>0</v>
      </c>
      <c r="J2313" s="351" t="str">
        <f>IFERROR(G2313/#REF!,"-")</f>
        <v>-</v>
      </c>
      <c r="K2313" s="326">
        <f t="shared" ref="K2313:M2313" si="3019">SUM(K2306:K2312)</f>
        <v>0</v>
      </c>
      <c r="L2313" s="327">
        <f t="shared" si="3019"/>
        <v>0</v>
      </c>
      <c r="M2313" s="328">
        <f t="shared" si="3019"/>
        <v>0</v>
      </c>
      <c r="N2313" s="345" t="str">
        <f t="shared" si="3016"/>
        <v>-</v>
      </c>
      <c r="O2313" s="351" t="str">
        <f t="shared" si="3002"/>
        <v>-</v>
      </c>
    </row>
    <row r="2314" spans="1:15" ht="23.4" x14ac:dyDescent="0.3">
      <c r="A2314" s="252" t="s">
        <v>111</v>
      </c>
      <c r="B2314" s="918" t="s">
        <v>19</v>
      </c>
      <c r="C2314" s="757" t="s">
        <v>260</v>
      </c>
      <c r="D2314" s="771" t="s">
        <v>192</v>
      </c>
      <c r="E2314" s="540">
        <v>2000000</v>
      </c>
      <c r="F2314" s="470">
        <v>110000</v>
      </c>
      <c r="G2314" s="770">
        <f t="shared" ref="G2314:G2316" si="3020">+H2314+I2314</f>
        <v>0</v>
      </c>
      <c r="H2314" s="469">
        <v>0</v>
      </c>
      <c r="I2314" s="469">
        <v>0</v>
      </c>
      <c r="J2314" s="544" t="str">
        <f>IFERROR(G2314/#REF!,"-")</f>
        <v>-</v>
      </c>
      <c r="K2314" s="468">
        <f>+L2314+M2314</f>
        <v>329781</v>
      </c>
      <c r="L2314" s="469">
        <f t="shared" ref="L2314:L2315" si="3021">+H2314+L2210</f>
        <v>328118</v>
      </c>
      <c r="M2314" s="470">
        <f t="shared" ref="M2314:M2315" si="3022">+I2314+M2210</f>
        <v>1663</v>
      </c>
      <c r="N2314" s="775">
        <f>IFERROR(K2314/E2314,"-")</f>
        <v>0.1648905</v>
      </c>
      <c r="O2314" s="776">
        <f t="shared" si="3002"/>
        <v>5.0427404853524002E-3</v>
      </c>
    </row>
    <row r="2315" spans="1:15" ht="23.4" x14ac:dyDescent="0.3">
      <c r="A2315" s="252"/>
      <c r="B2315" s="919"/>
      <c r="C2315" s="302" t="s">
        <v>458</v>
      </c>
      <c r="D2315" s="772"/>
      <c r="E2315" s="755">
        <v>0</v>
      </c>
      <c r="F2315" s="441">
        <v>110000</v>
      </c>
      <c r="G2315" s="756">
        <f t="shared" si="3020"/>
        <v>76288</v>
      </c>
      <c r="H2315" s="275">
        <v>76032</v>
      </c>
      <c r="I2315" s="275">
        <v>256</v>
      </c>
      <c r="J2315" s="357" t="str">
        <f>IFERROR(G2315/#REF!,"-")</f>
        <v>-</v>
      </c>
      <c r="K2315" s="341">
        <f>+L2315+M2315</f>
        <v>737870</v>
      </c>
      <c r="L2315" s="295">
        <f t="shared" si="3021"/>
        <v>734976</v>
      </c>
      <c r="M2315" s="774">
        <f t="shared" si="3022"/>
        <v>2894</v>
      </c>
      <c r="N2315" s="346" t="str">
        <f t="shared" ref="N2315:N2316" si="3023">IFERROR(K2315/E2315,"-")</f>
        <v>-</v>
      </c>
      <c r="O2315" s="753">
        <f>IFERROR(M2315/K2315,"-")</f>
        <v>3.9221000989334166E-3</v>
      </c>
    </row>
    <row r="2316" spans="1:15" ht="24" thickBot="1" x14ac:dyDescent="0.35">
      <c r="A2316" s="252"/>
      <c r="B2316" s="920"/>
      <c r="C2316" s="679" t="s">
        <v>417</v>
      </c>
      <c r="D2316" s="773"/>
      <c r="E2316" s="472">
        <v>150000</v>
      </c>
      <c r="F2316" s="473">
        <v>110000</v>
      </c>
      <c r="G2316" s="607">
        <f t="shared" si="3020"/>
        <v>0</v>
      </c>
      <c r="H2316" s="285">
        <v>0</v>
      </c>
      <c r="I2316" s="285">
        <v>0</v>
      </c>
      <c r="J2316" s="359"/>
      <c r="K2316" s="471">
        <f>+L2316+M2316</f>
        <v>0</v>
      </c>
      <c r="L2316" s="472">
        <f>+H2316+L2212</f>
        <v>0</v>
      </c>
      <c r="M2316" s="473">
        <f>+I2316+M2212</f>
        <v>0</v>
      </c>
      <c r="N2316" s="344">
        <f t="shared" si="3023"/>
        <v>0</v>
      </c>
      <c r="O2316" s="680" t="str">
        <f t="shared" ref="O2316:O2364" si="3024">IFERROR(M2316/K2316,"-")</f>
        <v>-</v>
      </c>
    </row>
    <row r="2317" spans="1:15" ht="24" thickBot="1" x14ac:dyDescent="0.35">
      <c r="A2317" s="277" t="s">
        <v>111</v>
      </c>
      <c r="B2317" s="921" t="s">
        <v>49</v>
      </c>
      <c r="C2317" s="907"/>
      <c r="D2317" s="908"/>
      <c r="E2317" s="326">
        <f>SUM(E2314:E2316)</f>
        <v>2150000</v>
      </c>
      <c r="F2317" s="329">
        <f t="shared" ref="F2317" si="3025">SUM(F2314)</f>
        <v>110000</v>
      </c>
      <c r="G2317" s="326">
        <f>SUM(G2314)</f>
        <v>0</v>
      </c>
      <c r="H2317" s="327">
        <f>SUM(H2314:H2316)</f>
        <v>76032</v>
      </c>
      <c r="I2317" s="327">
        <f>SUM(I2314:I2316)</f>
        <v>256</v>
      </c>
      <c r="J2317" s="351" t="str">
        <f>IFERROR(G2317/#REF!,"-")</f>
        <v>-</v>
      </c>
      <c r="K2317" s="681">
        <f>SUM(K2314:K2315)</f>
        <v>1067651</v>
      </c>
      <c r="L2317" s="327">
        <f>SUM(L2314:L2315)</f>
        <v>1063094</v>
      </c>
      <c r="M2317" s="328">
        <f>SUM(M2314:M2315)</f>
        <v>4557</v>
      </c>
      <c r="N2317" s="345">
        <f>IFERROR(K2317/E2317,"-")</f>
        <v>0.49658186046511626</v>
      </c>
      <c r="O2317" s="351">
        <f t="shared" si="3024"/>
        <v>4.2682487067403109E-3</v>
      </c>
    </row>
    <row r="2318" spans="1:15" ht="23.4" x14ac:dyDescent="0.3">
      <c r="A2318" s="277" t="s">
        <v>111</v>
      </c>
      <c r="B2318" s="922" t="s">
        <v>20</v>
      </c>
      <c r="C2318" s="297" t="s">
        <v>370</v>
      </c>
      <c r="D2318" s="297" t="s">
        <v>324</v>
      </c>
      <c r="E2318" s="273">
        <v>0</v>
      </c>
      <c r="F2318" s="274"/>
      <c r="G2318" s="338">
        <f t="shared" ref="G2318:G2320" si="3026">+H2318+I2318</f>
        <v>0</v>
      </c>
      <c r="H2318" s="275">
        <v>0</v>
      </c>
      <c r="I2318" s="275">
        <v>0</v>
      </c>
      <c r="J2318" s="357" t="str">
        <f>IFERROR(G2318/#REF!,"-")</f>
        <v>-</v>
      </c>
      <c r="K2318" s="338">
        <f t="shared" ref="K2318:K2320" si="3027">+L2318+M2318</f>
        <v>0</v>
      </c>
      <c r="L2318" s="275">
        <f t="shared" ref="L2318:L2320" si="3028">+H2318+L2214</f>
        <v>0</v>
      </c>
      <c r="M2318" s="276">
        <f t="shared" ref="M2318:M2320" si="3029">+I2318+M2214</f>
        <v>0</v>
      </c>
      <c r="N2318" s="342" t="str">
        <f t="shared" ref="N2318:N2321" si="3030">IFERROR(K2318/E2318,"-")</f>
        <v>-</v>
      </c>
      <c r="O2318" s="352" t="str">
        <f t="shared" si="3024"/>
        <v>-</v>
      </c>
    </row>
    <row r="2319" spans="1:15" ht="23.4" x14ac:dyDescent="0.3">
      <c r="A2319" s="277" t="s">
        <v>111</v>
      </c>
      <c r="B2319" s="923"/>
      <c r="C2319" s="298" t="s">
        <v>122</v>
      </c>
      <c r="D2319" s="298"/>
      <c r="E2319" s="279">
        <v>0</v>
      </c>
      <c r="F2319" s="280"/>
      <c r="G2319" s="339">
        <f t="shared" si="3026"/>
        <v>0</v>
      </c>
      <c r="H2319" s="281">
        <v>0</v>
      </c>
      <c r="I2319" s="281">
        <v>0</v>
      </c>
      <c r="J2319" s="358" t="str">
        <f>IFERROR(G2319/#REF!,"-")</f>
        <v>-</v>
      </c>
      <c r="K2319" s="339">
        <f t="shared" si="3027"/>
        <v>0</v>
      </c>
      <c r="L2319" s="281">
        <f t="shared" si="3028"/>
        <v>0</v>
      </c>
      <c r="M2319" s="251">
        <f t="shared" si="3029"/>
        <v>0</v>
      </c>
      <c r="N2319" s="343" t="str">
        <f t="shared" si="3030"/>
        <v>-</v>
      </c>
      <c r="O2319" s="264" t="str">
        <f t="shared" si="3024"/>
        <v>-</v>
      </c>
    </row>
    <row r="2320" spans="1:15" ht="24" thickBot="1" x14ac:dyDescent="0.35">
      <c r="A2320" s="277" t="s">
        <v>111</v>
      </c>
      <c r="B2320" s="924"/>
      <c r="C2320" s="299" t="s">
        <v>128</v>
      </c>
      <c r="D2320" s="299"/>
      <c r="E2320" s="283">
        <v>0</v>
      </c>
      <c r="F2320" s="284"/>
      <c r="G2320" s="340">
        <f t="shared" si="3026"/>
        <v>0</v>
      </c>
      <c r="H2320" s="285">
        <v>0</v>
      </c>
      <c r="I2320" s="285">
        <v>0</v>
      </c>
      <c r="J2320" s="359" t="str">
        <f>IFERROR(G2320/#REF!,"-")</f>
        <v>-</v>
      </c>
      <c r="K2320" s="340">
        <f t="shared" si="3027"/>
        <v>0</v>
      </c>
      <c r="L2320" s="285">
        <f t="shared" si="3028"/>
        <v>0</v>
      </c>
      <c r="M2320" s="286">
        <f t="shared" si="3029"/>
        <v>0</v>
      </c>
      <c r="N2320" s="344" t="str">
        <f t="shared" si="3030"/>
        <v>-</v>
      </c>
      <c r="O2320" s="353" t="str">
        <f t="shared" si="3024"/>
        <v>-</v>
      </c>
    </row>
    <row r="2321" spans="1:15" ht="24" thickBot="1" x14ac:dyDescent="0.35">
      <c r="A2321" s="277" t="s">
        <v>111</v>
      </c>
      <c r="B2321" s="907" t="s">
        <v>50</v>
      </c>
      <c r="C2321" s="907"/>
      <c r="D2321" s="925"/>
      <c r="E2321" s="326">
        <f t="shared" ref="E2321" si="3031">SUM(E2318:E2320)</f>
        <v>0</v>
      </c>
      <c r="F2321" s="289">
        <v>50000</v>
      </c>
      <c r="G2321" s="326">
        <f>SUM(G2318:G2320)</f>
        <v>0</v>
      </c>
      <c r="H2321" s="327">
        <f t="shared" ref="H2321:I2321" si="3032">SUM(H2318:H2320)</f>
        <v>0</v>
      </c>
      <c r="I2321" s="327">
        <f t="shared" si="3032"/>
        <v>0</v>
      </c>
      <c r="J2321" s="351" t="str">
        <f>IFERROR(G2321/#REF!,"-")</f>
        <v>-</v>
      </c>
      <c r="K2321" s="326">
        <f t="shared" ref="K2321:M2321" si="3033">SUM(K2318:K2320)</f>
        <v>0</v>
      </c>
      <c r="L2321" s="327">
        <f t="shared" si="3033"/>
        <v>0</v>
      </c>
      <c r="M2321" s="328">
        <f t="shared" si="3033"/>
        <v>0</v>
      </c>
      <c r="N2321" s="345" t="str">
        <f t="shared" si="3030"/>
        <v>-</v>
      </c>
      <c r="O2321" s="351" t="str">
        <f t="shared" si="3024"/>
        <v>-</v>
      </c>
    </row>
    <row r="2322" spans="1:15" ht="24" thickBot="1" x14ac:dyDescent="0.35">
      <c r="A2322" s="277" t="s">
        <v>111</v>
      </c>
      <c r="B2322" s="926" t="s">
        <v>21</v>
      </c>
      <c r="C2322" s="927"/>
      <c r="D2322" s="928"/>
      <c r="E2322" s="332">
        <f>+E2297+E2305+E2313+E2317+E2321</f>
        <v>5774600</v>
      </c>
      <c r="F2322" s="333">
        <f>+F2297+F2305+F2313+F2317+F2321</f>
        <v>355000</v>
      </c>
      <c r="G2322" s="332">
        <f>+G2297+G2305+G2313+G2317+G2321</f>
        <v>220735</v>
      </c>
      <c r="H2322" s="330">
        <f>+H2297+H2305+H2313+H2317+H2321</f>
        <v>296352</v>
      </c>
      <c r="I2322" s="330">
        <f>+I2297+I2305+I2313+I2317+I2321</f>
        <v>671</v>
      </c>
      <c r="J2322" s="355" t="str">
        <f>IFERROR(G2322/#REF!,"-")</f>
        <v>-</v>
      </c>
      <c r="K2322" s="332">
        <f>+K2297+K2305+K2313+K2317+K2321</f>
        <v>3647769</v>
      </c>
      <c r="L2322" s="330">
        <f>+L2297+L2305+L2313+L2317+L2321</f>
        <v>3634755</v>
      </c>
      <c r="M2322" s="331">
        <f>+M2297+M2305+M2313+M2317+M2321</f>
        <v>13014</v>
      </c>
      <c r="N2322" s="347">
        <f>IFERROR(K2322/E2322,"-")</f>
        <v>0.63169206525127286</v>
      </c>
      <c r="O2322" s="355">
        <f t="shared" si="3024"/>
        <v>3.5676601232150391E-3</v>
      </c>
    </row>
    <row r="2323" spans="1:15" ht="23.4" x14ac:dyDescent="0.3">
      <c r="A2323" s="277" t="s">
        <v>111</v>
      </c>
      <c r="B2323" s="922" t="s">
        <v>22</v>
      </c>
      <c r="C2323" s="272" t="s">
        <v>133</v>
      </c>
      <c r="D2323" s="272"/>
      <c r="E2323" s="273">
        <v>0</v>
      </c>
      <c r="F2323" s="274"/>
      <c r="G2323" s="338">
        <f t="shared" ref="G2323:G2326" si="3034">+H2323+I2323</f>
        <v>0</v>
      </c>
      <c r="H2323" s="275">
        <v>0</v>
      </c>
      <c r="I2323" s="275">
        <v>0</v>
      </c>
      <c r="J2323" s="357" t="str">
        <f>IFERROR(G2323/#REF!,"-")</f>
        <v>-</v>
      </c>
      <c r="K2323" s="338">
        <f t="shared" ref="K2323:K2326" si="3035">+L2323+M2323</f>
        <v>0</v>
      </c>
      <c r="L2323" s="275">
        <f t="shared" ref="L2323:L2326" si="3036">+H2323+L2219</f>
        <v>0</v>
      </c>
      <c r="M2323" s="276">
        <f t="shared" ref="M2323:M2326" si="3037">+I2323+M2219</f>
        <v>0</v>
      </c>
      <c r="N2323" s="342" t="str">
        <f t="shared" ref="N2323:N2337" si="3038">IFERROR(K2323/E2323,"-")</f>
        <v>-</v>
      </c>
      <c r="O2323" s="352" t="str">
        <f t="shared" si="3024"/>
        <v>-</v>
      </c>
    </row>
    <row r="2324" spans="1:15" ht="23.4" x14ac:dyDescent="0.3">
      <c r="A2324" s="277" t="s">
        <v>111</v>
      </c>
      <c r="B2324" s="923"/>
      <c r="C2324" s="301" t="s">
        <v>291</v>
      </c>
      <c r="D2324" s="301" t="s">
        <v>196</v>
      </c>
      <c r="E2324" s="279">
        <v>0</v>
      </c>
      <c r="F2324" s="280"/>
      <c r="G2324" s="339">
        <f t="shared" si="3034"/>
        <v>0</v>
      </c>
      <c r="H2324" s="281">
        <v>0</v>
      </c>
      <c r="I2324" s="281">
        <v>0</v>
      </c>
      <c r="J2324" s="358" t="str">
        <f>IFERROR(G2324/#REF!,"-")</f>
        <v>-</v>
      </c>
      <c r="K2324" s="339">
        <f t="shared" si="3035"/>
        <v>0</v>
      </c>
      <c r="L2324" s="281">
        <f t="shared" si="3036"/>
        <v>0</v>
      </c>
      <c r="M2324" s="251">
        <f t="shared" si="3037"/>
        <v>0</v>
      </c>
      <c r="N2324" s="343" t="str">
        <f t="shared" si="3038"/>
        <v>-</v>
      </c>
      <c r="O2324" s="264" t="str">
        <f t="shared" si="3024"/>
        <v>-</v>
      </c>
    </row>
    <row r="2325" spans="1:15" ht="23.4" x14ac:dyDescent="0.3">
      <c r="A2325" s="277" t="s">
        <v>111</v>
      </c>
      <c r="B2325" s="923"/>
      <c r="C2325" s="301" t="s">
        <v>473</v>
      </c>
      <c r="D2325" s="301" t="s">
        <v>196</v>
      </c>
      <c r="E2325" s="279">
        <v>1000000</v>
      </c>
      <c r="F2325" s="280"/>
      <c r="G2325" s="339">
        <f t="shared" si="3034"/>
        <v>69387</v>
      </c>
      <c r="H2325" s="281">
        <v>69300</v>
      </c>
      <c r="I2325" s="281">
        <v>87</v>
      </c>
      <c r="J2325" s="358" t="str">
        <f>IFERROR(G2325/#REF!,"-")</f>
        <v>-</v>
      </c>
      <c r="K2325" s="339">
        <f t="shared" si="3035"/>
        <v>527545</v>
      </c>
      <c r="L2325" s="281">
        <f t="shared" si="3036"/>
        <v>526680</v>
      </c>
      <c r="M2325" s="251">
        <f t="shared" si="3037"/>
        <v>865</v>
      </c>
      <c r="N2325" s="343">
        <f t="shared" si="3038"/>
        <v>0.52754500000000004</v>
      </c>
      <c r="O2325" s="264">
        <f t="shared" si="3024"/>
        <v>1.6396705494318021E-3</v>
      </c>
    </row>
    <row r="2326" spans="1:15" ht="24" thickBot="1" x14ac:dyDescent="0.35">
      <c r="A2326" s="277" t="s">
        <v>111</v>
      </c>
      <c r="B2326" s="924"/>
      <c r="C2326" s="282" t="s">
        <v>197</v>
      </c>
      <c r="D2326" s="282" t="s">
        <v>100</v>
      </c>
      <c r="E2326" s="283">
        <v>0</v>
      </c>
      <c r="F2326" s="284"/>
      <c r="G2326" s="340">
        <f t="shared" si="3034"/>
        <v>0</v>
      </c>
      <c r="H2326" s="285">
        <v>0</v>
      </c>
      <c r="I2326" s="285">
        <v>0</v>
      </c>
      <c r="J2326" s="359" t="str">
        <f>IFERROR(G2326/#REF!,"-")</f>
        <v>-</v>
      </c>
      <c r="K2326" s="340">
        <f t="shared" si="3035"/>
        <v>0</v>
      </c>
      <c r="L2326" s="285">
        <f t="shared" si="3036"/>
        <v>0</v>
      </c>
      <c r="M2326" s="286">
        <f t="shared" si="3037"/>
        <v>0</v>
      </c>
      <c r="N2326" s="344" t="str">
        <f t="shared" si="3038"/>
        <v>-</v>
      </c>
      <c r="O2326" s="353" t="str">
        <f t="shared" si="3024"/>
        <v>-</v>
      </c>
    </row>
    <row r="2327" spans="1:15" ht="24" thickBot="1" x14ac:dyDescent="0.35">
      <c r="A2327" s="277" t="s">
        <v>111</v>
      </c>
      <c r="B2327" s="906" t="s">
        <v>51</v>
      </c>
      <c r="C2327" s="907"/>
      <c r="D2327" s="908"/>
      <c r="E2327" s="288">
        <f>SUM(E2323:E2326)</f>
        <v>1000000</v>
      </c>
      <c r="F2327" s="289">
        <v>80000</v>
      </c>
      <c r="G2327" s="326">
        <f>SUM(G2323:G2326)</f>
        <v>69387</v>
      </c>
      <c r="H2327" s="327">
        <f t="shared" ref="H2327:I2327" si="3039">SUM(H2323:H2326)</f>
        <v>69300</v>
      </c>
      <c r="I2327" s="327">
        <f t="shared" si="3039"/>
        <v>87</v>
      </c>
      <c r="J2327" s="351" t="str">
        <f>IFERROR(G2327/#REF!,"-")</f>
        <v>-</v>
      </c>
      <c r="K2327" s="326">
        <f t="shared" ref="K2327:M2327" si="3040">SUM(K2323:K2326)</f>
        <v>527545</v>
      </c>
      <c r="L2327" s="327">
        <f t="shared" si="3040"/>
        <v>526680</v>
      </c>
      <c r="M2327" s="328">
        <f t="shared" si="3040"/>
        <v>865</v>
      </c>
      <c r="N2327" s="345">
        <f t="shared" si="3038"/>
        <v>0.52754500000000004</v>
      </c>
      <c r="O2327" s="351">
        <f t="shared" si="3024"/>
        <v>1.6396705494318021E-3</v>
      </c>
    </row>
    <row r="2328" spans="1:15" ht="23.4" x14ac:dyDescent="0.3">
      <c r="A2328" s="277" t="s">
        <v>111</v>
      </c>
      <c r="B2328" s="922" t="s">
        <v>23</v>
      </c>
      <c r="C2328" s="302" t="s">
        <v>348</v>
      </c>
      <c r="D2328" s="302" t="s">
        <v>263</v>
      </c>
      <c r="E2328" s="273">
        <v>0</v>
      </c>
      <c r="F2328" s="274"/>
      <c r="G2328" s="338">
        <f t="shared" ref="G2328:G2335" si="3041">+H2328+I2328</f>
        <v>0</v>
      </c>
      <c r="H2328" s="275">
        <v>0</v>
      </c>
      <c r="I2328" s="275">
        <v>0</v>
      </c>
      <c r="J2328" s="357" t="str">
        <f>IFERROR(G2328/#REF!,"-")</f>
        <v>-</v>
      </c>
      <c r="K2328" s="338">
        <f t="shared" ref="K2328:K2335" si="3042">+L2328+M2328</f>
        <v>0</v>
      </c>
      <c r="L2328" s="275">
        <f t="shared" ref="L2328:L2335" si="3043">+H2328+L2224</f>
        <v>0</v>
      </c>
      <c r="M2328" s="276">
        <f t="shared" ref="M2328:M2335" si="3044">+I2328+M2224</f>
        <v>0</v>
      </c>
      <c r="N2328" s="342" t="str">
        <f t="shared" si="3038"/>
        <v>-</v>
      </c>
      <c r="O2328" s="352" t="str">
        <f t="shared" si="3024"/>
        <v>-</v>
      </c>
    </row>
    <row r="2329" spans="1:15" ht="23.4" x14ac:dyDescent="0.3">
      <c r="A2329" s="277" t="s">
        <v>111</v>
      </c>
      <c r="B2329" s="923"/>
      <c r="C2329" s="278" t="s">
        <v>24</v>
      </c>
      <c r="D2329" s="278" t="s">
        <v>263</v>
      </c>
      <c r="E2329" s="279">
        <v>0</v>
      </c>
      <c r="F2329" s="280"/>
      <c r="G2329" s="339">
        <f t="shared" si="3041"/>
        <v>0</v>
      </c>
      <c r="H2329" s="281">
        <v>0</v>
      </c>
      <c r="I2329" s="281">
        <v>0</v>
      </c>
      <c r="J2329" s="358" t="str">
        <f>IFERROR(G2329/#REF!,"-")</f>
        <v>-</v>
      </c>
      <c r="K2329" s="339">
        <f t="shared" si="3042"/>
        <v>113483</v>
      </c>
      <c r="L2329" s="281">
        <f t="shared" si="3043"/>
        <v>112404</v>
      </c>
      <c r="M2329" s="251">
        <f t="shared" si="3044"/>
        <v>1079</v>
      </c>
      <c r="N2329" s="343" t="str">
        <f t="shared" si="3038"/>
        <v>-</v>
      </c>
      <c r="O2329" s="264">
        <f t="shared" si="3024"/>
        <v>9.508032040041239E-3</v>
      </c>
    </row>
    <row r="2330" spans="1:15" ht="23.4" x14ac:dyDescent="0.3">
      <c r="A2330" s="277" t="s">
        <v>111</v>
      </c>
      <c r="B2330" s="923"/>
      <c r="C2330" s="278" t="s">
        <v>261</v>
      </c>
      <c r="D2330" s="278" t="s">
        <v>263</v>
      </c>
      <c r="E2330" s="279">
        <v>0</v>
      </c>
      <c r="F2330" s="280"/>
      <c r="G2330" s="339">
        <f t="shared" si="3041"/>
        <v>0</v>
      </c>
      <c r="H2330" s="281">
        <v>0</v>
      </c>
      <c r="I2330" s="281">
        <v>0</v>
      </c>
      <c r="J2330" s="358" t="str">
        <f>IFERROR(G2330/#REF!,"-")</f>
        <v>-</v>
      </c>
      <c r="K2330" s="339">
        <f t="shared" si="3042"/>
        <v>11048</v>
      </c>
      <c r="L2330" s="281">
        <f t="shared" si="3043"/>
        <v>10901</v>
      </c>
      <c r="M2330" s="251">
        <f t="shared" si="3044"/>
        <v>147</v>
      </c>
      <c r="N2330" s="343" t="str">
        <f t="shared" si="3038"/>
        <v>-</v>
      </c>
      <c r="O2330" s="264">
        <f t="shared" si="3024"/>
        <v>1.330557566980449E-2</v>
      </c>
    </row>
    <row r="2331" spans="1:15" ht="23.4" x14ac:dyDescent="0.3">
      <c r="A2331" s="277" t="s">
        <v>111</v>
      </c>
      <c r="B2331" s="923"/>
      <c r="C2331" s="278" t="s">
        <v>262</v>
      </c>
      <c r="D2331" s="278" t="s">
        <v>263</v>
      </c>
      <c r="E2331" s="279">
        <v>0</v>
      </c>
      <c r="F2331" s="280"/>
      <c r="G2331" s="339">
        <f t="shared" si="3041"/>
        <v>0</v>
      </c>
      <c r="H2331" s="281">
        <v>0</v>
      </c>
      <c r="I2331" s="281">
        <v>0</v>
      </c>
      <c r="J2331" s="358" t="str">
        <f>IFERROR(G2331/#REF!,"-")</f>
        <v>-</v>
      </c>
      <c r="K2331" s="339">
        <f t="shared" si="3042"/>
        <v>7672</v>
      </c>
      <c r="L2331" s="281">
        <f t="shared" si="3043"/>
        <v>7612</v>
      </c>
      <c r="M2331" s="251">
        <f t="shared" si="3044"/>
        <v>60</v>
      </c>
      <c r="N2331" s="343" t="str">
        <f t="shared" si="3038"/>
        <v>-</v>
      </c>
      <c r="O2331" s="264">
        <f t="shared" si="3024"/>
        <v>7.8206465067778945E-3</v>
      </c>
    </row>
    <row r="2332" spans="1:15" ht="23.4" x14ac:dyDescent="0.3">
      <c r="A2332" s="277" t="s">
        <v>111</v>
      </c>
      <c r="B2332" s="923"/>
      <c r="C2332" s="301" t="s">
        <v>264</v>
      </c>
      <c r="D2332" s="278" t="s">
        <v>263</v>
      </c>
      <c r="E2332" s="279">
        <v>0</v>
      </c>
      <c r="F2332" s="280"/>
      <c r="G2332" s="339">
        <f t="shared" si="3041"/>
        <v>0</v>
      </c>
      <c r="H2332" s="281">
        <v>0</v>
      </c>
      <c r="I2332" s="281">
        <v>0</v>
      </c>
      <c r="J2332" s="358" t="str">
        <f>IFERROR(G2332/#REF!,"-")</f>
        <v>-</v>
      </c>
      <c r="K2332" s="339">
        <f t="shared" si="3042"/>
        <v>0</v>
      </c>
      <c r="L2332" s="281">
        <f t="shared" si="3043"/>
        <v>0</v>
      </c>
      <c r="M2332" s="251">
        <f t="shared" si="3044"/>
        <v>0</v>
      </c>
      <c r="N2332" s="343" t="str">
        <f t="shared" si="3038"/>
        <v>-</v>
      </c>
      <c r="O2332" s="264" t="str">
        <f t="shared" si="3024"/>
        <v>-</v>
      </c>
    </row>
    <row r="2333" spans="1:15" ht="23.4" x14ac:dyDescent="0.3">
      <c r="A2333" s="277" t="s">
        <v>111</v>
      </c>
      <c r="B2333" s="923"/>
      <c r="C2333" s="301" t="s">
        <v>265</v>
      </c>
      <c r="D2333" s="278" t="s">
        <v>263</v>
      </c>
      <c r="E2333" s="279">
        <v>0</v>
      </c>
      <c r="F2333" s="280"/>
      <c r="G2333" s="339">
        <f t="shared" si="3041"/>
        <v>0</v>
      </c>
      <c r="H2333" s="281">
        <v>0</v>
      </c>
      <c r="I2333" s="281">
        <v>0</v>
      </c>
      <c r="J2333" s="358" t="str">
        <f>IFERROR(G2333/#REF!,"-")</f>
        <v>-</v>
      </c>
      <c r="K2333" s="339">
        <f t="shared" si="3042"/>
        <v>0</v>
      </c>
      <c r="L2333" s="281">
        <f t="shared" si="3043"/>
        <v>0</v>
      </c>
      <c r="M2333" s="251">
        <f t="shared" si="3044"/>
        <v>0</v>
      </c>
      <c r="N2333" s="343" t="str">
        <f t="shared" si="3038"/>
        <v>-</v>
      </c>
      <c r="O2333" s="264" t="str">
        <f t="shared" si="3024"/>
        <v>-</v>
      </c>
    </row>
    <row r="2334" spans="1:15" ht="23.4" x14ac:dyDescent="0.3">
      <c r="A2334" s="277" t="s">
        <v>111</v>
      </c>
      <c r="B2334" s="923"/>
      <c r="C2334" s="301" t="s">
        <v>266</v>
      </c>
      <c r="D2334" s="278" t="s">
        <v>268</v>
      </c>
      <c r="E2334" s="279">
        <v>0</v>
      </c>
      <c r="F2334" s="280"/>
      <c r="G2334" s="339">
        <f t="shared" si="3041"/>
        <v>0</v>
      </c>
      <c r="H2334" s="281">
        <v>0</v>
      </c>
      <c r="I2334" s="281">
        <v>0</v>
      </c>
      <c r="J2334" s="358" t="str">
        <f>IFERROR(G2334/#REF!,"-")</f>
        <v>-</v>
      </c>
      <c r="K2334" s="339">
        <f t="shared" si="3042"/>
        <v>10464</v>
      </c>
      <c r="L2334" s="281">
        <f t="shared" si="3043"/>
        <v>10417</v>
      </c>
      <c r="M2334" s="251">
        <f t="shared" si="3044"/>
        <v>47</v>
      </c>
      <c r="N2334" s="343" t="str">
        <f t="shared" si="3038"/>
        <v>-</v>
      </c>
      <c r="O2334" s="264">
        <f t="shared" si="3024"/>
        <v>4.491590214067278E-3</v>
      </c>
    </row>
    <row r="2335" spans="1:15" ht="24" thickBot="1" x14ac:dyDescent="0.35">
      <c r="A2335" s="277" t="s">
        <v>111</v>
      </c>
      <c r="B2335" s="924"/>
      <c r="C2335" s="301" t="s">
        <v>267</v>
      </c>
      <c r="D2335" s="278" t="s">
        <v>263</v>
      </c>
      <c r="E2335" s="283">
        <v>0</v>
      </c>
      <c r="F2335" s="284"/>
      <c r="G2335" s="340">
        <f t="shared" si="3041"/>
        <v>0</v>
      </c>
      <c r="H2335" s="285">
        <v>0</v>
      </c>
      <c r="I2335" s="285">
        <v>0</v>
      </c>
      <c r="J2335" s="359" t="str">
        <f>IFERROR(G2335/#REF!,"-")</f>
        <v>-</v>
      </c>
      <c r="K2335" s="340">
        <f t="shared" si="3042"/>
        <v>14088</v>
      </c>
      <c r="L2335" s="285">
        <f t="shared" si="3043"/>
        <v>14000</v>
      </c>
      <c r="M2335" s="286">
        <f t="shared" si="3044"/>
        <v>88</v>
      </c>
      <c r="N2335" s="344" t="str">
        <f t="shared" si="3038"/>
        <v>-</v>
      </c>
      <c r="O2335" s="353">
        <f t="shared" si="3024"/>
        <v>6.2464508801817146E-3</v>
      </c>
    </row>
    <row r="2336" spans="1:15" ht="24" thickBot="1" x14ac:dyDescent="0.35">
      <c r="A2336" s="277" t="s">
        <v>111</v>
      </c>
      <c r="B2336" s="906" t="s">
        <v>52</v>
      </c>
      <c r="C2336" s="907"/>
      <c r="D2336" s="908"/>
      <c r="E2336" s="288">
        <v>157500</v>
      </c>
      <c r="F2336" s="289">
        <v>14000</v>
      </c>
      <c r="G2336" s="326">
        <f>SUM(G2328:G2335)</f>
        <v>0</v>
      </c>
      <c r="H2336" s="327">
        <f t="shared" ref="H2336:I2336" si="3045">SUM(H2328:H2335)</f>
        <v>0</v>
      </c>
      <c r="I2336" s="327">
        <f t="shared" si="3045"/>
        <v>0</v>
      </c>
      <c r="J2336" s="351" t="str">
        <f>IFERROR(G2336/#REF!,"-")</f>
        <v>-</v>
      </c>
      <c r="K2336" s="326">
        <f>SUM(K2328:K2335)</f>
        <v>156755</v>
      </c>
      <c r="L2336" s="327">
        <f>SUM(L2328:L2335)</f>
        <v>155334</v>
      </c>
      <c r="M2336" s="328">
        <f t="shared" ref="M2336" si="3046">SUM(M2328:M2335)</f>
        <v>1421</v>
      </c>
      <c r="N2336" s="345">
        <f t="shared" si="3038"/>
        <v>0.9952698412698413</v>
      </c>
      <c r="O2336" s="351">
        <f t="shared" si="3024"/>
        <v>9.0651015916557685E-3</v>
      </c>
    </row>
    <row r="2337" spans="1:15" ht="24" thickBot="1" x14ac:dyDescent="0.35">
      <c r="A2337" s="277" t="s">
        <v>111</v>
      </c>
      <c r="B2337" s="926" t="s">
        <v>25</v>
      </c>
      <c r="C2337" s="927"/>
      <c r="D2337" s="928"/>
      <c r="E2337" s="332">
        <f t="shared" ref="E2337:F2337" si="3047">+E2327+E2336</f>
        <v>1157500</v>
      </c>
      <c r="F2337" s="333">
        <f t="shared" si="3047"/>
        <v>94000</v>
      </c>
      <c r="G2337" s="332">
        <f>+G2327+G2336</f>
        <v>69387</v>
      </c>
      <c r="H2337" s="330">
        <f t="shared" ref="H2337:I2337" si="3048">+H2327+H2336</f>
        <v>69300</v>
      </c>
      <c r="I2337" s="330">
        <f t="shared" si="3048"/>
        <v>87</v>
      </c>
      <c r="J2337" s="355" t="str">
        <f>IFERROR(G2337/#REF!,"-")</f>
        <v>-</v>
      </c>
      <c r="K2337" s="332">
        <f t="shared" ref="K2337" si="3049">+K2327+K2336</f>
        <v>684300</v>
      </c>
      <c r="L2337" s="330">
        <f>+L2327+L2336</f>
        <v>682014</v>
      </c>
      <c r="M2337" s="331">
        <f t="shared" ref="M2337" si="3050">+M2327+M2336</f>
        <v>2286</v>
      </c>
      <c r="N2337" s="347">
        <f t="shared" si="3038"/>
        <v>0.59118790496760254</v>
      </c>
      <c r="O2337" s="355">
        <f t="shared" si="3024"/>
        <v>3.3406400701446732E-3</v>
      </c>
    </row>
    <row r="2338" spans="1:15" ht="24" thickBot="1" x14ac:dyDescent="0.35">
      <c r="A2338" s="277" t="s">
        <v>111</v>
      </c>
      <c r="B2338" s="900" t="s">
        <v>181</v>
      </c>
      <c r="C2338" s="901"/>
      <c r="D2338" s="902"/>
      <c r="E2338" s="336">
        <f>+E2322+E2337</f>
        <v>6932100</v>
      </c>
      <c r="F2338" s="337">
        <f t="shared" ref="F2338:I2338" si="3051">+F2322+F2337</f>
        <v>449000</v>
      </c>
      <c r="G2338" s="336">
        <f t="shared" si="3051"/>
        <v>290122</v>
      </c>
      <c r="H2338" s="334">
        <f t="shared" si="3051"/>
        <v>365652</v>
      </c>
      <c r="I2338" s="334">
        <f t="shared" si="3051"/>
        <v>758</v>
      </c>
      <c r="J2338" s="356" t="str">
        <f>IFERROR(G2338/#REF!,"-")</f>
        <v>-</v>
      </c>
      <c r="K2338" s="336">
        <f>+K2322+K2337</f>
        <v>4332069</v>
      </c>
      <c r="L2338" s="334">
        <f>+L2322+L2337</f>
        <v>4316769</v>
      </c>
      <c r="M2338" s="335">
        <f t="shared" ref="M2338" si="3052">+M2322+M2337</f>
        <v>15300</v>
      </c>
      <c r="N2338" s="348">
        <f>IFERROR(K2338/E2338,"-")</f>
        <v>0.62492880945168128</v>
      </c>
      <c r="O2338" s="356">
        <f t="shared" si="3024"/>
        <v>3.5317997012512957E-3</v>
      </c>
    </row>
    <row r="2339" spans="1:15" ht="23.4" x14ac:dyDescent="0.3">
      <c r="A2339" s="271" t="s">
        <v>109</v>
      </c>
      <c r="B2339" s="929" t="s">
        <v>26</v>
      </c>
      <c r="C2339" s="303" t="s">
        <v>334</v>
      </c>
      <c r="D2339" s="303" t="s">
        <v>192</v>
      </c>
      <c r="E2339" s="273">
        <v>0</v>
      </c>
      <c r="F2339" s="274"/>
      <c r="G2339" s="338">
        <f t="shared" ref="G2339:G2347" si="3053">+H2339+I2339</f>
        <v>0</v>
      </c>
      <c r="H2339" s="275">
        <v>0</v>
      </c>
      <c r="I2339" s="275">
        <v>0</v>
      </c>
      <c r="J2339" s="357" t="str">
        <f>IFERROR(G2339/#REF!,"-")</f>
        <v>-</v>
      </c>
      <c r="K2339" s="338">
        <f t="shared" ref="K2339:K2347" si="3054">+L2339+M2339</f>
        <v>326708</v>
      </c>
      <c r="L2339" s="275">
        <f t="shared" ref="L2339:L2347" si="3055">+H2339+L2235</f>
        <v>322218</v>
      </c>
      <c r="M2339" s="276">
        <f t="shared" ref="M2339:M2347" si="3056">+I2339+M2235</f>
        <v>4490</v>
      </c>
      <c r="N2339" s="342" t="str">
        <f t="shared" ref="N2339:N2340" si="3057">IFERROR(K2339/E2339,"-")</f>
        <v>-</v>
      </c>
      <c r="O2339" s="352">
        <f t="shared" si="3024"/>
        <v>1.3743159028857574E-2</v>
      </c>
    </row>
    <row r="2340" spans="1:15" ht="23.4" x14ac:dyDescent="0.3">
      <c r="A2340" s="277" t="s">
        <v>109</v>
      </c>
      <c r="B2340" s="929"/>
      <c r="C2340" s="304" t="s">
        <v>199</v>
      </c>
      <c r="D2340" s="304" t="s">
        <v>115</v>
      </c>
      <c r="E2340" s="279">
        <v>0</v>
      </c>
      <c r="F2340" s="280"/>
      <c r="G2340" s="339">
        <f t="shared" si="3053"/>
        <v>0</v>
      </c>
      <c r="H2340" s="281">
        <v>0</v>
      </c>
      <c r="I2340" s="281">
        <v>0</v>
      </c>
      <c r="J2340" s="358" t="str">
        <f>IFERROR(G2340/#REF!,"-")</f>
        <v>-</v>
      </c>
      <c r="K2340" s="339">
        <f t="shared" si="3054"/>
        <v>0</v>
      </c>
      <c r="L2340" s="281">
        <f t="shared" si="3055"/>
        <v>0</v>
      </c>
      <c r="M2340" s="251">
        <f t="shared" si="3056"/>
        <v>0</v>
      </c>
      <c r="N2340" s="343" t="str">
        <f t="shared" si="3057"/>
        <v>-</v>
      </c>
      <c r="O2340" s="264" t="str">
        <f t="shared" si="3024"/>
        <v>-</v>
      </c>
    </row>
    <row r="2341" spans="1:15" ht="23.4" x14ac:dyDescent="0.3">
      <c r="A2341" s="277" t="s">
        <v>109</v>
      </c>
      <c r="B2341" s="929"/>
      <c r="C2341" s="305" t="s">
        <v>27</v>
      </c>
      <c r="D2341" s="305" t="s">
        <v>394</v>
      </c>
      <c r="E2341" s="283">
        <v>0</v>
      </c>
      <c r="F2341" s="284"/>
      <c r="G2341" s="339">
        <f t="shared" si="3053"/>
        <v>0</v>
      </c>
      <c r="H2341" s="285">
        <v>0</v>
      </c>
      <c r="I2341" s="285">
        <v>0</v>
      </c>
      <c r="J2341" s="359" t="str">
        <f>IFERROR(G2341/#REF!,"-")</f>
        <v>-</v>
      </c>
      <c r="K2341" s="339">
        <f t="shared" si="3054"/>
        <v>20305</v>
      </c>
      <c r="L2341" s="285">
        <f t="shared" si="3055"/>
        <v>19890</v>
      </c>
      <c r="M2341" s="286">
        <f t="shared" si="3056"/>
        <v>415</v>
      </c>
      <c r="N2341" s="287"/>
      <c r="O2341" s="264">
        <f t="shared" si="3024"/>
        <v>2.0438315685791675E-2</v>
      </c>
    </row>
    <row r="2342" spans="1:15" ht="23.4" x14ac:dyDescent="0.3">
      <c r="A2342" s="277" t="s">
        <v>109</v>
      </c>
      <c r="B2342" s="929"/>
      <c r="C2342" s="305" t="s">
        <v>27</v>
      </c>
      <c r="D2342" s="305" t="s">
        <v>259</v>
      </c>
      <c r="E2342" s="283">
        <v>0</v>
      </c>
      <c r="F2342" s="284"/>
      <c r="G2342" s="339">
        <f t="shared" si="3053"/>
        <v>0</v>
      </c>
      <c r="H2342" s="285">
        <v>0</v>
      </c>
      <c r="I2342" s="285">
        <v>0</v>
      </c>
      <c r="J2342" s="359" t="str">
        <f>IFERROR(G2342/#REF!,"-")</f>
        <v>-</v>
      </c>
      <c r="K2342" s="339">
        <f t="shared" si="3054"/>
        <v>77402</v>
      </c>
      <c r="L2342" s="285">
        <f t="shared" si="3055"/>
        <v>75582</v>
      </c>
      <c r="M2342" s="286">
        <f t="shared" si="3056"/>
        <v>1820</v>
      </c>
      <c r="N2342" s="287"/>
      <c r="O2342" s="264">
        <f t="shared" si="3024"/>
        <v>2.3513604299630501E-2</v>
      </c>
    </row>
    <row r="2343" spans="1:15" ht="23.4" x14ac:dyDescent="0.3">
      <c r="A2343" s="277" t="s">
        <v>109</v>
      </c>
      <c r="B2343" s="929"/>
      <c r="C2343" s="305" t="s">
        <v>27</v>
      </c>
      <c r="D2343" s="305" t="s">
        <v>310</v>
      </c>
      <c r="E2343" s="283">
        <v>0</v>
      </c>
      <c r="F2343" s="284"/>
      <c r="G2343" s="339">
        <f t="shared" si="3053"/>
        <v>0</v>
      </c>
      <c r="H2343" s="285">
        <v>0</v>
      </c>
      <c r="I2343" s="285">
        <v>0</v>
      </c>
      <c r="J2343" s="359" t="str">
        <f>IFERROR(G2343/#REF!,"-")</f>
        <v>-</v>
      </c>
      <c r="K2343" s="339">
        <f t="shared" si="3054"/>
        <v>41110</v>
      </c>
      <c r="L2343" s="285">
        <f t="shared" si="3055"/>
        <v>39780</v>
      </c>
      <c r="M2343" s="286">
        <f t="shared" si="3056"/>
        <v>1330</v>
      </c>
      <c r="N2343" s="287"/>
      <c r="O2343" s="264">
        <f t="shared" si="3024"/>
        <v>3.23522257358307E-2</v>
      </c>
    </row>
    <row r="2344" spans="1:15" ht="23.4" x14ac:dyDescent="0.3">
      <c r="A2344" s="277"/>
      <c r="B2344" s="929"/>
      <c r="C2344" s="305" t="s">
        <v>393</v>
      </c>
      <c r="D2344" s="305" t="s">
        <v>192</v>
      </c>
      <c r="E2344" s="283">
        <v>0</v>
      </c>
      <c r="F2344" s="284"/>
      <c r="G2344" s="340">
        <f t="shared" si="3053"/>
        <v>0</v>
      </c>
      <c r="H2344" s="285">
        <v>0</v>
      </c>
      <c r="I2344" s="285">
        <v>0</v>
      </c>
      <c r="J2344" s="359" t="str">
        <f>IFERROR(G2344/#REF!,"-")</f>
        <v>-</v>
      </c>
      <c r="K2344" s="340">
        <f t="shared" si="3054"/>
        <v>0</v>
      </c>
      <c r="L2344" s="285">
        <f t="shared" si="3055"/>
        <v>0</v>
      </c>
      <c r="M2344" s="286">
        <f t="shared" si="3056"/>
        <v>0</v>
      </c>
      <c r="N2344" s="287"/>
      <c r="O2344" s="264" t="str">
        <f t="shared" si="3024"/>
        <v>-</v>
      </c>
    </row>
    <row r="2345" spans="1:15" ht="23.4" x14ac:dyDescent="0.3">
      <c r="A2345" s="277"/>
      <c r="B2345" s="929"/>
      <c r="C2345" s="305" t="s">
        <v>325</v>
      </c>
      <c r="D2345" s="305" t="s">
        <v>101</v>
      </c>
      <c r="E2345" s="283">
        <v>0</v>
      </c>
      <c r="F2345" s="284"/>
      <c r="G2345" s="340">
        <f t="shared" si="3053"/>
        <v>0</v>
      </c>
      <c r="H2345" s="285">
        <v>0</v>
      </c>
      <c r="I2345" s="285">
        <v>0</v>
      </c>
      <c r="J2345" s="359" t="str">
        <f>IFERROR(G2345/#REF!,"-")</f>
        <v>-</v>
      </c>
      <c r="K2345" s="340">
        <f t="shared" si="3054"/>
        <v>7956</v>
      </c>
      <c r="L2345" s="285">
        <f t="shared" si="3055"/>
        <v>7956</v>
      </c>
      <c r="M2345" s="286">
        <f t="shared" si="3056"/>
        <v>0</v>
      </c>
      <c r="N2345" s="287"/>
      <c r="O2345" s="264">
        <f t="shared" si="3024"/>
        <v>0</v>
      </c>
    </row>
    <row r="2346" spans="1:15" ht="23.4" x14ac:dyDescent="0.3">
      <c r="A2346" s="277"/>
      <c r="B2346" s="929"/>
      <c r="C2346" s="305" t="s">
        <v>325</v>
      </c>
      <c r="D2346" s="305" t="s">
        <v>394</v>
      </c>
      <c r="E2346" s="283">
        <v>0</v>
      </c>
      <c r="F2346" s="284"/>
      <c r="G2346" s="340">
        <f t="shared" si="3053"/>
        <v>0</v>
      </c>
      <c r="H2346" s="285">
        <v>0</v>
      </c>
      <c r="I2346" s="285">
        <v>0</v>
      </c>
      <c r="J2346" s="359" t="str">
        <f>IFERROR(G2346/#REF!,"-")</f>
        <v>-</v>
      </c>
      <c r="K2346" s="340">
        <f t="shared" si="3054"/>
        <v>720648</v>
      </c>
      <c r="L2346" s="285">
        <f t="shared" si="3055"/>
        <v>712062</v>
      </c>
      <c r="M2346" s="286">
        <f t="shared" si="3056"/>
        <v>8586</v>
      </c>
      <c r="N2346" s="287"/>
      <c r="O2346" s="264">
        <f t="shared" si="3024"/>
        <v>1.1914277150564492E-2</v>
      </c>
    </row>
    <row r="2347" spans="1:15" ht="24" thickBot="1" x14ac:dyDescent="0.35">
      <c r="A2347" s="277" t="s">
        <v>109</v>
      </c>
      <c r="B2347" s="929"/>
      <c r="C2347" s="306" t="s">
        <v>326</v>
      </c>
      <c r="D2347" s="305" t="s">
        <v>324</v>
      </c>
      <c r="E2347" s="283">
        <v>0</v>
      </c>
      <c r="F2347" s="284"/>
      <c r="G2347" s="340">
        <f t="shared" si="3053"/>
        <v>16392</v>
      </c>
      <c r="H2347" s="285">
        <v>15912</v>
      </c>
      <c r="I2347" s="285">
        <v>480</v>
      </c>
      <c r="J2347" s="359" t="str">
        <f>IFERROR(G2347/#REF!,"-")</f>
        <v>-</v>
      </c>
      <c r="K2347" s="340">
        <f t="shared" si="3054"/>
        <v>32304</v>
      </c>
      <c r="L2347" s="285">
        <f t="shared" si="3055"/>
        <v>31824</v>
      </c>
      <c r="M2347" s="286">
        <f t="shared" si="3056"/>
        <v>480</v>
      </c>
      <c r="N2347" s="344" t="str">
        <f t="shared" ref="N2347:N2352" si="3058">IFERROR(K2347/E2347,"-")</f>
        <v>-</v>
      </c>
      <c r="O2347" s="353">
        <f t="shared" si="3024"/>
        <v>1.4858841010401188E-2</v>
      </c>
    </row>
    <row r="2348" spans="1:15" ht="24" thickBot="1" x14ac:dyDescent="0.35">
      <c r="A2348" s="277" t="s">
        <v>109</v>
      </c>
      <c r="B2348" s="930"/>
      <c r="C2348" s="307"/>
      <c r="D2348" s="308" t="s">
        <v>55</v>
      </c>
      <c r="E2348" s="288">
        <v>0</v>
      </c>
      <c r="F2348" s="289"/>
      <c r="G2348" s="326">
        <f>SUM(G2339:G2347)</f>
        <v>16392</v>
      </c>
      <c r="H2348" s="327">
        <f>SUM(H2339:H2347)</f>
        <v>15912</v>
      </c>
      <c r="I2348" s="327">
        <f>SUM(I2339:I2347)</f>
        <v>480</v>
      </c>
      <c r="J2348" s="351" t="str">
        <f>IFERROR(G2348/#REF!,"-")</f>
        <v>-</v>
      </c>
      <c r="K2348" s="326">
        <f>SUM(K2339:K2347)</f>
        <v>1226433</v>
      </c>
      <c r="L2348" s="327">
        <f>SUM(L2339:L2347)</f>
        <v>1209312</v>
      </c>
      <c r="M2348" s="328">
        <f>SUM(M2339:M2347)</f>
        <v>17121</v>
      </c>
      <c r="N2348" s="345" t="str">
        <f t="shared" si="3058"/>
        <v>-</v>
      </c>
      <c r="O2348" s="351">
        <f t="shared" si="3024"/>
        <v>1.3959996184055712E-2</v>
      </c>
    </row>
    <row r="2349" spans="1:15" ht="23.4" x14ac:dyDescent="0.3">
      <c r="A2349" s="277" t="s">
        <v>109</v>
      </c>
      <c r="B2349" s="931" t="s">
        <v>28</v>
      </c>
      <c r="C2349" s="305" t="s">
        <v>27</v>
      </c>
      <c r="D2349" s="303" t="s">
        <v>310</v>
      </c>
      <c r="E2349" s="273">
        <v>0</v>
      </c>
      <c r="F2349" s="274"/>
      <c r="G2349" s="338">
        <f t="shared" ref="G2349:G2351" si="3059">+H2349+I2349</f>
        <v>92952</v>
      </c>
      <c r="H2349" s="275">
        <f>59670+31824</f>
        <v>91494</v>
      </c>
      <c r="I2349" s="275">
        <f>966+492</f>
        <v>1458</v>
      </c>
      <c r="J2349" s="357" t="str">
        <f>IFERROR(G2349/#REF!,"-")</f>
        <v>-</v>
      </c>
      <c r="K2349" s="338">
        <f t="shared" ref="K2349:K2351" si="3060">+L2349+M2349</f>
        <v>237742</v>
      </c>
      <c r="L2349" s="275">
        <f t="shared" ref="L2349:L2351" si="3061">+H2349+L2245</f>
        <v>234702</v>
      </c>
      <c r="M2349" s="276">
        <f t="shared" ref="M2349:M2351" si="3062">+I2349+M2245</f>
        <v>3040</v>
      </c>
      <c r="N2349" s="342" t="str">
        <f t="shared" si="3058"/>
        <v>-</v>
      </c>
      <c r="O2349" s="352">
        <f t="shared" si="3024"/>
        <v>1.2786970749804409E-2</v>
      </c>
    </row>
    <row r="2350" spans="1:15" ht="23.4" x14ac:dyDescent="0.3">
      <c r="A2350" s="277" t="s">
        <v>109</v>
      </c>
      <c r="B2350" s="929"/>
      <c r="C2350" s="305" t="s">
        <v>27</v>
      </c>
      <c r="D2350" s="305" t="s">
        <v>394</v>
      </c>
      <c r="E2350" s="279">
        <v>0</v>
      </c>
      <c r="F2350" s="280"/>
      <c r="G2350" s="339">
        <f t="shared" si="3059"/>
        <v>0</v>
      </c>
      <c r="H2350" s="281">
        <v>0</v>
      </c>
      <c r="I2350" s="281">
        <v>0</v>
      </c>
      <c r="J2350" s="358" t="str">
        <f>IFERROR(G2350/#REF!,"-")</f>
        <v>-</v>
      </c>
      <c r="K2350" s="339">
        <f t="shared" si="3060"/>
        <v>390451</v>
      </c>
      <c r="L2350" s="281">
        <f t="shared" si="3061"/>
        <v>385866</v>
      </c>
      <c r="M2350" s="251">
        <f t="shared" si="3062"/>
        <v>4585</v>
      </c>
      <c r="N2350" s="343" t="str">
        <f t="shared" si="3058"/>
        <v>-</v>
      </c>
      <c r="O2350" s="264">
        <f t="shared" si="3024"/>
        <v>1.174283072651882E-2</v>
      </c>
    </row>
    <row r="2351" spans="1:15" ht="24" thickBot="1" x14ac:dyDescent="0.35">
      <c r="A2351" s="277" t="s">
        <v>109</v>
      </c>
      <c r="B2351" s="929"/>
      <c r="C2351" s="305" t="s">
        <v>27</v>
      </c>
      <c r="D2351" s="306" t="s">
        <v>259</v>
      </c>
      <c r="E2351" s="283">
        <v>0</v>
      </c>
      <c r="F2351" s="284"/>
      <c r="G2351" s="340">
        <f t="shared" si="3059"/>
        <v>3978</v>
      </c>
      <c r="H2351" s="285">
        <v>3978</v>
      </c>
      <c r="I2351" s="285">
        <v>0</v>
      </c>
      <c r="J2351" s="359" t="str">
        <f>IFERROR(G2351/#REF!,"-")</f>
        <v>-</v>
      </c>
      <c r="K2351" s="340">
        <f t="shared" si="3060"/>
        <v>463387</v>
      </c>
      <c r="L2351" s="285">
        <f t="shared" si="3061"/>
        <v>457470</v>
      </c>
      <c r="M2351" s="286">
        <f t="shared" si="3062"/>
        <v>5917</v>
      </c>
      <c r="N2351" s="344" t="str">
        <f t="shared" si="3058"/>
        <v>-</v>
      </c>
      <c r="O2351" s="353">
        <f t="shared" si="3024"/>
        <v>1.2769024594992955E-2</v>
      </c>
    </row>
    <row r="2352" spans="1:15" ht="24" thickBot="1" x14ac:dyDescent="0.35">
      <c r="A2352" s="277" t="s">
        <v>109</v>
      </c>
      <c r="B2352" s="929"/>
      <c r="C2352" s="310"/>
      <c r="D2352" s="311" t="s">
        <v>55</v>
      </c>
      <c r="E2352" s="312">
        <v>0</v>
      </c>
      <c r="F2352" s="313"/>
      <c r="G2352" s="372">
        <f>SUM(G2349:G2351)</f>
        <v>96930</v>
      </c>
      <c r="H2352" s="371">
        <f t="shared" ref="H2352:I2352" si="3063">SUM(H2349:H2351)</f>
        <v>95472</v>
      </c>
      <c r="I2352" s="371">
        <f t="shared" si="3063"/>
        <v>1458</v>
      </c>
      <c r="J2352" s="362" t="str">
        <f>IFERROR(G2352/#REF!,"-")</f>
        <v>-</v>
      </c>
      <c r="K2352" s="372">
        <f>SUM(K2349:K2351)</f>
        <v>1091580</v>
      </c>
      <c r="L2352" s="371">
        <f>SUM(L2349:L2351)</f>
        <v>1078038</v>
      </c>
      <c r="M2352" s="373">
        <f t="shared" ref="M2352" si="3064">SUM(M2349:M2351)</f>
        <v>13542</v>
      </c>
      <c r="N2352" s="361" t="str">
        <f t="shared" si="3058"/>
        <v>-</v>
      </c>
      <c r="O2352" s="362">
        <f t="shared" si="3024"/>
        <v>1.2405870389710328E-2</v>
      </c>
    </row>
    <row r="2353" spans="1:15" ht="24" thickBot="1" x14ac:dyDescent="0.35">
      <c r="A2353" s="894" t="s">
        <v>109</v>
      </c>
      <c r="B2353" s="932" t="s">
        <v>171</v>
      </c>
      <c r="C2353" s="933"/>
      <c r="D2353" s="934"/>
      <c r="E2353" s="314">
        <v>2167000</v>
      </c>
      <c r="F2353" s="315">
        <v>80000</v>
      </c>
      <c r="G2353" s="375">
        <f>+G2348+G2352</f>
        <v>113322</v>
      </c>
      <c r="H2353" s="374">
        <f t="shared" ref="H2353:I2353" si="3065">+H2348+H2352</f>
        <v>111384</v>
      </c>
      <c r="I2353" s="374">
        <f t="shared" si="3065"/>
        <v>1938</v>
      </c>
      <c r="J2353" s="364" t="str">
        <f>IFERROR(G2353/#REF!,"-")</f>
        <v>-</v>
      </c>
      <c r="K2353" s="375">
        <f>+K2348+K2352</f>
        <v>2318013</v>
      </c>
      <c r="L2353" s="374">
        <f>+L2348+L2352</f>
        <v>2287350</v>
      </c>
      <c r="M2353" s="376">
        <f t="shared" ref="M2353" si="3066">+M2348+M2352</f>
        <v>30663</v>
      </c>
      <c r="N2353" s="363">
        <f>IFERROR(K2353/E2353,"-")</f>
        <v>1.0696875865251501</v>
      </c>
      <c r="O2353" s="364">
        <f t="shared" si="3024"/>
        <v>1.3228139790415325E-2</v>
      </c>
    </row>
    <row r="2354" spans="1:15" ht="23.4" x14ac:dyDescent="0.3">
      <c r="A2354" s="277" t="s">
        <v>109</v>
      </c>
      <c r="B2354" s="929" t="s">
        <v>30</v>
      </c>
      <c r="C2354" s="309" t="s">
        <v>396</v>
      </c>
      <c r="D2354" s="303" t="s">
        <v>193</v>
      </c>
      <c r="E2354" s="273">
        <v>0</v>
      </c>
      <c r="F2354" s="274"/>
      <c r="G2354" s="338">
        <f t="shared" ref="G2354:G2356" si="3067">+H2354+I2354</f>
        <v>0</v>
      </c>
      <c r="H2354" s="275">
        <v>0</v>
      </c>
      <c r="I2354" s="275">
        <v>0</v>
      </c>
      <c r="J2354" s="357" t="str">
        <f>IFERROR(G2354/#REF!,"-")</f>
        <v>-</v>
      </c>
      <c r="K2354" s="338">
        <f t="shared" ref="K2354:K2356" si="3068">+L2354+M2354</f>
        <v>0</v>
      </c>
      <c r="L2354" s="275">
        <f t="shared" ref="L2354:L2356" si="3069">+H2354+L2250</f>
        <v>0</v>
      </c>
      <c r="M2354" s="276">
        <f t="shared" ref="M2354:M2356" si="3070">+I2354+M2250</f>
        <v>0</v>
      </c>
      <c r="N2354" s="342" t="str">
        <f t="shared" ref="N2354:N2364" si="3071">IFERROR(K2354/E2354,"-")</f>
        <v>-</v>
      </c>
      <c r="O2354" s="352" t="str">
        <f t="shared" si="3024"/>
        <v>-</v>
      </c>
    </row>
    <row r="2355" spans="1:15" ht="23.4" x14ac:dyDescent="0.3">
      <c r="A2355" s="277" t="s">
        <v>109</v>
      </c>
      <c r="B2355" s="929"/>
      <c r="C2355" s="309" t="s">
        <v>395</v>
      </c>
      <c r="D2355" s="309" t="s">
        <v>324</v>
      </c>
      <c r="E2355" s="279">
        <v>0</v>
      </c>
      <c r="F2355" s="280"/>
      <c r="G2355" s="339">
        <f t="shared" si="3067"/>
        <v>0</v>
      </c>
      <c r="H2355" s="281">
        <v>0</v>
      </c>
      <c r="I2355" s="281">
        <v>0</v>
      </c>
      <c r="J2355" s="358" t="str">
        <f>IFERROR(G2355/#REF!,"-")</f>
        <v>-</v>
      </c>
      <c r="K2355" s="339">
        <f t="shared" si="3068"/>
        <v>0</v>
      </c>
      <c r="L2355" s="281">
        <f t="shared" si="3069"/>
        <v>0</v>
      </c>
      <c r="M2355" s="251">
        <f t="shared" si="3070"/>
        <v>0</v>
      </c>
      <c r="N2355" s="343" t="str">
        <f t="shared" si="3071"/>
        <v>-</v>
      </c>
      <c r="O2355" s="264" t="str">
        <f t="shared" si="3024"/>
        <v>-</v>
      </c>
    </row>
    <row r="2356" spans="1:15" ht="24" thickBot="1" x14ac:dyDescent="0.35">
      <c r="A2356" s="277" t="s">
        <v>109</v>
      </c>
      <c r="B2356" s="929"/>
      <c r="C2356" s="306" t="s">
        <v>327</v>
      </c>
      <c r="D2356" s="306" t="s">
        <v>491</v>
      </c>
      <c r="E2356" s="283">
        <v>0</v>
      </c>
      <c r="F2356" s="284"/>
      <c r="G2356" s="340">
        <f t="shared" si="3067"/>
        <v>50112</v>
      </c>
      <c r="H2356" s="285">
        <v>48672</v>
      </c>
      <c r="I2356" s="285">
        <v>1440</v>
      </c>
      <c r="J2356" s="359" t="str">
        <f>IFERROR(G2356/#REF!,"-")</f>
        <v>-</v>
      </c>
      <c r="K2356" s="340">
        <f t="shared" si="3068"/>
        <v>156157</v>
      </c>
      <c r="L2356" s="285">
        <f t="shared" si="3069"/>
        <v>151632</v>
      </c>
      <c r="M2356" s="286">
        <f t="shared" si="3070"/>
        <v>4525</v>
      </c>
      <c r="N2356" s="344" t="str">
        <f t="shared" si="3071"/>
        <v>-</v>
      </c>
      <c r="O2356" s="353">
        <f t="shared" si="3024"/>
        <v>2.8977247257567704E-2</v>
      </c>
    </row>
    <row r="2357" spans="1:15" ht="24" thickBot="1" x14ac:dyDescent="0.35">
      <c r="A2357" s="277" t="s">
        <v>109</v>
      </c>
      <c r="B2357" s="929"/>
      <c r="C2357" s="307"/>
      <c r="D2357" s="308" t="s">
        <v>53</v>
      </c>
      <c r="E2357" s="288">
        <v>0</v>
      </c>
      <c r="F2357" s="289"/>
      <c r="G2357" s="326">
        <f>SUM(G2354:G2356)</f>
        <v>50112</v>
      </c>
      <c r="H2357" s="327">
        <f t="shared" ref="H2357:I2357" si="3072">SUM(H2354:H2356)</f>
        <v>48672</v>
      </c>
      <c r="I2357" s="327">
        <f t="shared" si="3072"/>
        <v>1440</v>
      </c>
      <c r="J2357" s="351" t="str">
        <f>IFERROR(G2357/#REF!,"-")</f>
        <v>-</v>
      </c>
      <c r="K2357" s="326">
        <f t="shared" ref="K2357" si="3073">SUM(K2354:K2356)</f>
        <v>156157</v>
      </c>
      <c r="L2357" s="327">
        <f>SUM(L2354:L2356)</f>
        <v>151632</v>
      </c>
      <c r="M2357" s="328">
        <f t="shared" ref="M2357" si="3074">SUM(M2354:M2356)</f>
        <v>4525</v>
      </c>
      <c r="N2357" s="345" t="str">
        <f t="shared" si="3071"/>
        <v>-</v>
      </c>
      <c r="O2357" s="351">
        <f t="shared" si="3024"/>
        <v>2.8977247257567704E-2</v>
      </c>
    </row>
    <row r="2358" spans="1:15" ht="23.4" x14ac:dyDescent="0.3">
      <c r="A2358" s="277" t="s">
        <v>109</v>
      </c>
      <c r="B2358" s="929"/>
      <c r="C2358" s="303" t="s">
        <v>352</v>
      </c>
      <c r="D2358" s="303"/>
      <c r="E2358" s="273">
        <v>0</v>
      </c>
      <c r="F2358" s="274"/>
      <c r="G2358" s="338">
        <f t="shared" ref="G2358:G2360" si="3075">+H2358+I2358</f>
        <v>0</v>
      </c>
      <c r="H2358" s="275">
        <v>0</v>
      </c>
      <c r="I2358" s="275">
        <v>0</v>
      </c>
      <c r="J2358" s="357" t="str">
        <f>IFERROR(G2358/#REF!,"-")</f>
        <v>-</v>
      </c>
      <c r="K2358" s="338">
        <f t="shared" ref="K2358:K2360" si="3076">+L2358+M2358</f>
        <v>0</v>
      </c>
      <c r="L2358" s="275">
        <f t="shared" ref="L2358:L2360" si="3077">+H2358+L2254</f>
        <v>0</v>
      </c>
      <c r="M2358" s="276">
        <f t="shared" ref="M2358:M2360" si="3078">+I2358+M2254</f>
        <v>0</v>
      </c>
      <c r="N2358" s="342" t="str">
        <f t="shared" si="3071"/>
        <v>-</v>
      </c>
      <c r="O2358" s="352" t="str">
        <f t="shared" si="3024"/>
        <v>-</v>
      </c>
    </row>
    <row r="2359" spans="1:15" ht="23.4" x14ac:dyDescent="0.3">
      <c r="A2359" s="277" t="s">
        <v>109</v>
      </c>
      <c r="B2359" s="929"/>
      <c r="C2359" s="309" t="s">
        <v>397</v>
      </c>
      <c r="D2359" s="309" t="s">
        <v>259</v>
      </c>
      <c r="E2359" s="279">
        <v>0</v>
      </c>
      <c r="F2359" s="280"/>
      <c r="G2359" s="339">
        <f t="shared" si="3075"/>
        <v>0</v>
      </c>
      <c r="H2359" s="281">
        <v>0</v>
      </c>
      <c r="I2359" s="281">
        <v>0</v>
      </c>
      <c r="J2359" s="358" t="str">
        <f>IFERROR(G2359/#REF!,"-")</f>
        <v>-</v>
      </c>
      <c r="K2359" s="339">
        <f t="shared" si="3076"/>
        <v>493341</v>
      </c>
      <c r="L2359" s="281">
        <f t="shared" si="3077"/>
        <v>481104</v>
      </c>
      <c r="M2359" s="251">
        <f t="shared" si="3078"/>
        <v>12237</v>
      </c>
      <c r="N2359" s="343" t="str">
        <f t="shared" si="3071"/>
        <v>-</v>
      </c>
      <c r="O2359" s="264">
        <f t="shared" si="3024"/>
        <v>2.4804344256812227E-2</v>
      </c>
    </row>
    <row r="2360" spans="1:15" ht="24" thickBot="1" x14ac:dyDescent="0.35">
      <c r="A2360" s="277" t="s">
        <v>109</v>
      </c>
      <c r="B2360" s="929"/>
      <c r="C2360" s="306" t="s">
        <v>146</v>
      </c>
      <c r="D2360" s="306"/>
      <c r="E2360" s="283">
        <v>0</v>
      </c>
      <c r="F2360" s="284"/>
      <c r="G2360" s="340">
        <f t="shared" si="3075"/>
        <v>0</v>
      </c>
      <c r="H2360" s="285">
        <v>0</v>
      </c>
      <c r="I2360" s="285">
        <v>0</v>
      </c>
      <c r="J2360" s="359" t="str">
        <f>IFERROR(G2360/#REF!,"-")</f>
        <v>-</v>
      </c>
      <c r="K2360" s="340">
        <f t="shared" si="3076"/>
        <v>0</v>
      </c>
      <c r="L2360" s="285">
        <f t="shared" si="3077"/>
        <v>0</v>
      </c>
      <c r="M2360" s="286">
        <f t="shared" si="3078"/>
        <v>0</v>
      </c>
      <c r="N2360" s="344" t="str">
        <f t="shared" si="3071"/>
        <v>-</v>
      </c>
      <c r="O2360" s="353" t="str">
        <f t="shared" si="3024"/>
        <v>-</v>
      </c>
    </row>
    <row r="2361" spans="1:15" ht="24" thickBot="1" x14ac:dyDescent="0.35">
      <c r="A2361" s="277" t="s">
        <v>109</v>
      </c>
      <c r="B2361" s="929"/>
      <c r="C2361" s="310"/>
      <c r="D2361" s="311" t="s">
        <v>54</v>
      </c>
      <c r="E2361" s="312">
        <v>0</v>
      </c>
      <c r="F2361" s="313"/>
      <c r="G2361" s="372">
        <f>SUM(G2358:G2360)</f>
        <v>0</v>
      </c>
      <c r="H2361" s="371">
        <f t="shared" ref="H2361:I2361" si="3079">SUM(H2358:H2360)</f>
        <v>0</v>
      </c>
      <c r="I2361" s="371">
        <f t="shared" si="3079"/>
        <v>0</v>
      </c>
      <c r="J2361" s="362" t="str">
        <f>IFERROR(G2361/#REF!,"-")</f>
        <v>-</v>
      </c>
      <c r="K2361" s="372">
        <f t="shared" ref="K2361:M2361" si="3080">SUM(K2358:K2360)</f>
        <v>493341</v>
      </c>
      <c r="L2361" s="371">
        <f t="shared" si="3080"/>
        <v>481104</v>
      </c>
      <c r="M2361" s="373">
        <f t="shared" si="3080"/>
        <v>12237</v>
      </c>
      <c r="N2361" s="361" t="str">
        <f t="shared" si="3071"/>
        <v>-</v>
      </c>
      <c r="O2361" s="362">
        <f t="shared" si="3024"/>
        <v>2.4804344256812227E-2</v>
      </c>
    </row>
    <row r="2362" spans="1:15" ht="24" thickBot="1" x14ac:dyDescent="0.35">
      <c r="A2362" s="277" t="s">
        <v>109</v>
      </c>
      <c r="B2362" s="932" t="s">
        <v>172</v>
      </c>
      <c r="C2362" s="933"/>
      <c r="D2362" s="934"/>
      <c r="E2362" s="314">
        <v>649600</v>
      </c>
      <c r="F2362" s="315">
        <v>50000</v>
      </c>
      <c r="G2362" s="375">
        <f>+G2357+G2361</f>
        <v>50112</v>
      </c>
      <c r="H2362" s="374">
        <f t="shared" ref="H2362:I2362" si="3081">+H2357+H2361</f>
        <v>48672</v>
      </c>
      <c r="I2362" s="374">
        <f t="shared" si="3081"/>
        <v>1440</v>
      </c>
      <c r="J2362" s="364" t="str">
        <f>IFERROR(G2362/#REF!,"-")</f>
        <v>-</v>
      </c>
      <c r="K2362" s="375">
        <f t="shared" ref="K2362:M2362" si="3082">+K2357+K2361</f>
        <v>649498</v>
      </c>
      <c r="L2362" s="374">
        <f>+L2357+L2361</f>
        <v>632736</v>
      </c>
      <c r="M2362" s="376">
        <f t="shared" si="3082"/>
        <v>16762</v>
      </c>
      <c r="N2362" s="363">
        <f t="shared" si="3071"/>
        <v>0.99984298029556651</v>
      </c>
      <c r="O2362" s="364">
        <f t="shared" si="3024"/>
        <v>2.5807623734022275E-2</v>
      </c>
    </row>
    <row r="2363" spans="1:15" ht="24" thickBot="1" x14ac:dyDescent="0.35">
      <c r="A2363" s="277" t="s">
        <v>109</v>
      </c>
      <c r="B2363" s="616" t="s">
        <v>32</v>
      </c>
      <c r="C2363" s="888"/>
      <c r="D2363" s="316" t="s">
        <v>32</v>
      </c>
      <c r="E2363" s="293">
        <v>0</v>
      </c>
      <c r="F2363" s="294">
        <v>110000</v>
      </c>
      <c r="G2363" s="341">
        <f t="shared" ref="G2363" si="3083">+H2363+I2363</f>
        <v>0</v>
      </c>
      <c r="H2363" s="295">
        <v>0</v>
      </c>
      <c r="I2363" s="295">
        <v>0</v>
      </c>
      <c r="J2363" s="360" t="str">
        <f>IFERROR(G2363/#REF!,"-")</f>
        <v>-</v>
      </c>
      <c r="K2363" s="341">
        <f>+L2363+M2363</f>
        <v>0</v>
      </c>
      <c r="L2363" s="295">
        <f>+H2363+L2259</f>
        <v>0</v>
      </c>
      <c r="M2363" s="296">
        <f>+I2363+M2259</f>
        <v>0</v>
      </c>
      <c r="N2363" s="346" t="str">
        <f t="shared" si="3071"/>
        <v>-</v>
      </c>
      <c r="O2363" s="354" t="str">
        <f t="shared" si="3024"/>
        <v>-</v>
      </c>
    </row>
    <row r="2364" spans="1:15" ht="24" thickBot="1" x14ac:dyDescent="0.35">
      <c r="A2364" s="277" t="s">
        <v>109</v>
      </c>
      <c r="B2364" s="926" t="s">
        <v>21</v>
      </c>
      <c r="C2364" s="927"/>
      <c r="D2364" s="928"/>
      <c r="E2364" s="332">
        <f>+E2353+E2362+E2363</f>
        <v>2816600</v>
      </c>
      <c r="F2364" s="333">
        <f t="shared" ref="F2364" si="3084">+F2353+F2362+F2363</f>
        <v>240000</v>
      </c>
      <c r="G2364" s="332">
        <f>+G2353+G2362+G2363</f>
        <v>163434</v>
      </c>
      <c r="H2364" s="330">
        <f t="shared" ref="H2364:I2364" si="3085">+H2353+H2362+H2363</f>
        <v>160056</v>
      </c>
      <c r="I2364" s="330">
        <f t="shared" si="3085"/>
        <v>3378</v>
      </c>
      <c r="J2364" s="355" t="str">
        <f>IFERROR(G2364/#REF!,"-")</f>
        <v>-</v>
      </c>
      <c r="K2364" s="332">
        <f>+K2353+K2362+K2363</f>
        <v>2967511</v>
      </c>
      <c r="L2364" s="330">
        <f>+L2353+L2362+L2363</f>
        <v>2920086</v>
      </c>
      <c r="M2364" s="331">
        <f t="shared" ref="M2364" si="3086">+M2353+M2362+M2363</f>
        <v>47425</v>
      </c>
      <c r="N2364" s="347">
        <f t="shared" si="3071"/>
        <v>1.0535791379677626</v>
      </c>
      <c r="O2364" s="355">
        <f t="shared" si="3024"/>
        <v>1.598140664011018E-2</v>
      </c>
    </row>
    <row r="2365" spans="1:15" ht="24" thickBot="1" x14ac:dyDescent="0.35">
      <c r="A2365" s="277" t="s">
        <v>109</v>
      </c>
      <c r="B2365" s="900" t="s">
        <v>180</v>
      </c>
      <c r="C2365" s="901"/>
      <c r="D2365" s="902"/>
      <c r="E2365" s="336">
        <f>+E2364</f>
        <v>2816600</v>
      </c>
      <c r="F2365" s="337">
        <f t="shared" ref="F2365:I2365" si="3087">+F2364</f>
        <v>240000</v>
      </c>
      <c r="G2365" s="336">
        <f t="shared" si="3087"/>
        <v>163434</v>
      </c>
      <c r="H2365" s="334">
        <f t="shared" si="3087"/>
        <v>160056</v>
      </c>
      <c r="I2365" s="334">
        <f t="shared" si="3087"/>
        <v>3378</v>
      </c>
      <c r="J2365" s="356" t="str">
        <f>+J2364</f>
        <v>-</v>
      </c>
      <c r="K2365" s="336">
        <f>+K2364</f>
        <v>2967511</v>
      </c>
      <c r="L2365" s="334">
        <f>+L2364</f>
        <v>2920086</v>
      </c>
      <c r="M2365" s="335">
        <f>+M2364</f>
        <v>47425</v>
      </c>
      <c r="N2365" s="348">
        <f t="shared" ref="N2365:O2365" si="3088">+N2364</f>
        <v>1.0535791379677626</v>
      </c>
      <c r="O2365" s="356">
        <f t="shared" si="3088"/>
        <v>1.598140664011018E-2</v>
      </c>
    </row>
    <row r="2366" spans="1:15" ht="23.4" x14ac:dyDescent="0.3">
      <c r="A2366" s="271" t="s">
        <v>110</v>
      </c>
      <c r="B2366" s="903" t="s">
        <v>33</v>
      </c>
      <c r="C2366" s="317" t="s">
        <v>121</v>
      </c>
      <c r="D2366" s="317"/>
      <c r="E2366" s="273">
        <v>0</v>
      </c>
      <c r="F2366" s="274"/>
      <c r="G2366" s="338">
        <f t="shared" ref="G2366:G2368" si="3089">+H2366+I2366</f>
        <v>0</v>
      </c>
      <c r="H2366" s="275">
        <v>0</v>
      </c>
      <c r="I2366" s="275">
        <v>0</v>
      </c>
      <c r="J2366" s="357" t="str">
        <f>IFERROR(G2366/#REF!,"-")</f>
        <v>-</v>
      </c>
      <c r="K2366" s="338">
        <f t="shared" ref="K2366:K2368" si="3090">+L2366+M2366</f>
        <v>0</v>
      </c>
      <c r="L2366" s="275">
        <f t="shared" ref="L2366:L2368" si="3091">+H2366+L2262</f>
        <v>0</v>
      </c>
      <c r="M2366" s="276">
        <f t="shared" ref="M2366:M2368" si="3092">+I2366+M2262</f>
        <v>0</v>
      </c>
      <c r="N2366" s="342" t="str">
        <f t="shared" ref="N2366:N2373" si="3093">IFERROR(K2366/E2366,"-")</f>
        <v>-</v>
      </c>
      <c r="O2366" s="352" t="str">
        <f t="shared" ref="O2366:O2391" si="3094">IFERROR(M2366/K2366,"-")</f>
        <v>-</v>
      </c>
    </row>
    <row r="2367" spans="1:15" ht="23.4" x14ac:dyDescent="0.3">
      <c r="A2367" s="277" t="s">
        <v>110</v>
      </c>
      <c r="B2367" s="904"/>
      <c r="C2367" s="318" t="s">
        <v>274</v>
      </c>
      <c r="D2367" s="318"/>
      <c r="E2367" s="279">
        <v>0</v>
      </c>
      <c r="F2367" s="280"/>
      <c r="G2367" s="339">
        <f t="shared" si="3089"/>
        <v>0</v>
      </c>
      <c r="H2367" s="281">
        <v>0</v>
      </c>
      <c r="I2367" s="281">
        <v>0</v>
      </c>
      <c r="J2367" s="358" t="str">
        <f>IFERROR(G2367/#REF!,"-")</f>
        <v>-</v>
      </c>
      <c r="K2367" s="339">
        <f t="shared" si="3090"/>
        <v>10252</v>
      </c>
      <c r="L2367" s="281">
        <f t="shared" si="3091"/>
        <v>9280</v>
      </c>
      <c r="M2367" s="251">
        <f t="shared" si="3092"/>
        <v>972</v>
      </c>
      <c r="N2367" s="343" t="str">
        <f t="shared" si="3093"/>
        <v>-</v>
      </c>
      <c r="O2367" s="264">
        <f t="shared" si="3094"/>
        <v>9.4810768630511119E-2</v>
      </c>
    </row>
    <row r="2368" spans="1:15" ht="24" thickBot="1" x14ac:dyDescent="0.35">
      <c r="A2368" s="277" t="s">
        <v>110</v>
      </c>
      <c r="B2368" s="905"/>
      <c r="C2368" s="319" t="s">
        <v>34</v>
      </c>
      <c r="D2368" s="319"/>
      <c r="E2368" s="283">
        <v>0</v>
      </c>
      <c r="F2368" s="284"/>
      <c r="G2368" s="340">
        <f t="shared" si="3089"/>
        <v>0</v>
      </c>
      <c r="H2368" s="285">
        <v>0</v>
      </c>
      <c r="I2368" s="285">
        <v>0</v>
      </c>
      <c r="J2368" s="359" t="str">
        <f>IFERROR(G2368/#REF!,"-")</f>
        <v>-</v>
      </c>
      <c r="K2368" s="340">
        <f t="shared" si="3090"/>
        <v>0</v>
      </c>
      <c r="L2368" s="285">
        <f t="shared" si="3091"/>
        <v>0</v>
      </c>
      <c r="M2368" s="286">
        <f t="shared" si="3092"/>
        <v>0</v>
      </c>
      <c r="N2368" s="344" t="str">
        <f t="shared" si="3093"/>
        <v>-</v>
      </c>
      <c r="O2368" s="353" t="str">
        <f t="shared" si="3094"/>
        <v>-</v>
      </c>
    </row>
    <row r="2369" spans="1:15" ht="24" thickBot="1" x14ac:dyDescent="0.35">
      <c r="A2369" s="277" t="s">
        <v>110</v>
      </c>
      <c r="B2369" s="906" t="s">
        <v>35</v>
      </c>
      <c r="C2369" s="907"/>
      <c r="D2369" s="908"/>
      <c r="E2369" s="288">
        <v>83700</v>
      </c>
      <c r="F2369" s="289"/>
      <c r="G2369" s="326">
        <f>SUM(G2366:G2368)</f>
        <v>0</v>
      </c>
      <c r="H2369" s="327">
        <f t="shared" ref="H2369:I2369" si="3095">SUM(H2366:H2368)</f>
        <v>0</v>
      </c>
      <c r="I2369" s="327">
        <f t="shared" si="3095"/>
        <v>0</v>
      </c>
      <c r="J2369" s="351" t="str">
        <f>IFERROR(G2369/#REF!,"-")</f>
        <v>-</v>
      </c>
      <c r="K2369" s="326">
        <f t="shared" ref="K2369:M2369" si="3096">SUM(K2366:K2368)</f>
        <v>10252</v>
      </c>
      <c r="L2369" s="327">
        <f t="shared" si="3096"/>
        <v>9280</v>
      </c>
      <c r="M2369" s="328">
        <f t="shared" si="3096"/>
        <v>972</v>
      </c>
      <c r="N2369" s="345">
        <f t="shared" si="3093"/>
        <v>0.12248506571087216</v>
      </c>
      <c r="O2369" s="351">
        <f t="shared" si="3094"/>
        <v>9.4810768630511119E-2</v>
      </c>
    </row>
    <row r="2370" spans="1:15" ht="23.4" x14ac:dyDescent="0.3">
      <c r="A2370" s="277" t="s">
        <v>110</v>
      </c>
      <c r="B2370" s="903" t="s">
        <v>36</v>
      </c>
      <c r="C2370" s="317" t="s">
        <v>121</v>
      </c>
      <c r="D2370" s="317"/>
      <c r="E2370" s="273">
        <v>0</v>
      </c>
      <c r="F2370" s="274"/>
      <c r="G2370" s="338">
        <f t="shared" ref="G2370:G2373" si="3097">+H2370+I2370</f>
        <v>0</v>
      </c>
      <c r="H2370" s="275">
        <v>0</v>
      </c>
      <c r="I2370" s="275">
        <v>0</v>
      </c>
      <c r="J2370" s="357" t="str">
        <f>IFERROR(G2370/#REF!,"-")</f>
        <v>-</v>
      </c>
      <c r="K2370" s="338">
        <f t="shared" ref="K2370:K2373" si="3098">+L2370+M2370</f>
        <v>0</v>
      </c>
      <c r="L2370" s="275">
        <f t="shared" ref="L2370:L2373" si="3099">+H2370+L2266</f>
        <v>0</v>
      </c>
      <c r="M2370" s="276">
        <f t="shared" ref="M2370:M2373" si="3100">+I2370+M2266</f>
        <v>0</v>
      </c>
      <c r="N2370" s="342" t="str">
        <f t="shared" si="3093"/>
        <v>-</v>
      </c>
      <c r="O2370" s="352" t="str">
        <f t="shared" si="3094"/>
        <v>-</v>
      </c>
    </row>
    <row r="2371" spans="1:15" ht="23.4" x14ac:dyDescent="0.3">
      <c r="A2371" s="277" t="s">
        <v>110</v>
      </c>
      <c r="B2371" s="904"/>
      <c r="C2371" s="318" t="s">
        <v>274</v>
      </c>
      <c r="D2371" s="318"/>
      <c r="E2371" s="279">
        <v>0</v>
      </c>
      <c r="F2371" s="280"/>
      <c r="G2371" s="339">
        <f t="shared" si="3097"/>
        <v>0</v>
      </c>
      <c r="H2371" s="281">
        <v>0</v>
      </c>
      <c r="I2371" s="281">
        <v>0</v>
      </c>
      <c r="J2371" s="358" t="str">
        <f>IFERROR(G2371/#REF!,"-")</f>
        <v>-</v>
      </c>
      <c r="K2371" s="339">
        <f t="shared" si="3098"/>
        <v>68200</v>
      </c>
      <c r="L2371" s="281">
        <f t="shared" si="3099"/>
        <v>66462</v>
      </c>
      <c r="M2371" s="251">
        <f t="shared" si="3100"/>
        <v>1738</v>
      </c>
      <c r="N2371" s="343" t="str">
        <f t="shared" si="3093"/>
        <v>-</v>
      </c>
      <c r="O2371" s="264">
        <f t="shared" si="3094"/>
        <v>2.5483870967741934E-2</v>
      </c>
    </row>
    <row r="2372" spans="1:15" ht="23.4" x14ac:dyDescent="0.3">
      <c r="A2372" s="277" t="s">
        <v>110</v>
      </c>
      <c r="B2372" s="904"/>
      <c r="C2372" s="318" t="s">
        <v>201</v>
      </c>
      <c r="D2372" s="318"/>
      <c r="E2372" s="279">
        <v>0</v>
      </c>
      <c r="F2372" s="280"/>
      <c r="G2372" s="339">
        <f t="shared" si="3097"/>
        <v>0</v>
      </c>
      <c r="H2372" s="281">
        <v>0</v>
      </c>
      <c r="I2372" s="281">
        <v>0</v>
      </c>
      <c r="J2372" s="358" t="str">
        <f>IFERROR(G2372/#REF!,"-")</f>
        <v>-</v>
      </c>
      <c r="K2372" s="339">
        <f t="shared" si="3098"/>
        <v>0</v>
      </c>
      <c r="L2372" s="281">
        <f t="shared" si="3099"/>
        <v>0</v>
      </c>
      <c r="M2372" s="251">
        <f t="shared" si="3100"/>
        <v>0</v>
      </c>
      <c r="N2372" s="343" t="str">
        <f t="shared" si="3093"/>
        <v>-</v>
      </c>
      <c r="O2372" s="264" t="str">
        <f t="shared" si="3094"/>
        <v>-</v>
      </c>
    </row>
    <row r="2373" spans="1:15" ht="24" thickBot="1" x14ac:dyDescent="0.35">
      <c r="A2373" s="277" t="s">
        <v>110</v>
      </c>
      <c r="B2373" s="905"/>
      <c r="C2373" s="319" t="s">
        <v>37</v>
      </c>
      <c r="D2373" s="319"/>
      <c r="E2373" s="283">
        <v>0</v>
      </c>
      <c r="F2373" s="284"/>
      <c r="G2373" s="340">
        <f t="shared" si="3097"/>
        <v>0</v>
      </c>
      <c r="H2373" s="285">
        <v>0</v>
      </c>
      <c r="I2373" s="285">
        <v>0</v>
      </c>
      <c r="J2373" s="359" t="str">
        <f>IFERROR(G2373/#REF!,"-")</f>
        <v>-</v>
      </c>
      <c r="K2373" s="340">
        <f t="shared" si="3098"/>
        <v>0</v>
      </c>
      <c r="L2373" s="285">
        <f t="shared" si="3099"/>
        <v>0</v>
      </c>
      <c r="M2373" s="286">
        <f t="shared" si="3100"/>
        <v>0</v>
      </c>
      <c r="N2373" s="344" t="str">
        <f t="shared" si="3093"/>
        <v>-</v>
      </c>
      <c r="O2373" s="353" t="str">
        <f t="shared" si="3094"/>
        <v>-</v>
      </c>
    </row>
    <row r="2374" spans="1:15" ht="24" thickBot="1" x14ac:dyDescent="0.35">
      <c r="A2374" s="277" t="s">
        <v>110</v>
      </c>
      <c r="B2374" s="906" t="s">
        <v>38</v>
      </c>
      <c r="C2374" s="907"/>
      <c r="D2374" s="908"/>
      <c r="E2374" s="288">
        <v>10300</v>
      </c>
      <c r="F2374" s="289">
        <v>6500</v>
      </c>
      <c r="G2374" s="326">
        <f>SUM(G2370:G2373)</f>
        <v>0</v>
      </c>
      <c r="H2374" s="327">
        <f t="shared" ref="H2374:I2374" si="3101">SUM(H2370:H2373)</f>
        <v>0</v>
      </c>
      <c r="I2374" s="327">
        <f t="shared" si="3101"/>
        <v>0</v>
      </c>
      <c r="J2374" s="351" t="str">
        <f>IFERROR(G2374/#REF!,"-")</f>
        <v>-</v>
      </c>
      <c r="K2374" s="326">
        <f t="shared" ref="K2374:M2374" si="3102">SUM(K2370:K2373)</f>
        <v>68200</v>
      </c>
      <c r="L2374" s="327">
        <f t="shared" si="3102"/>
        <v>66462</v>
      </c>
      <c r="M2374" s="328">
        <f t="shared" si="3102"/>
        <v>1738</v>
      </c>
      <c r="N2374" s="345">
        <f>IFERROR(K2374/E2374,"-")</f>
        <v>6.6213592233009706</v>
      </c>
      <c r="O2374" s="351">
        <f t="shared" si="3094"/>
        <v>2.5483870967741934E-2</v>
      </c>
    </row>
    <row r="2375" spans="1:15" ht="23.4" x14ac:dyDescent="0.3">
      <c r="A2375" s="277" t="s">
        <v>110</v>
      </c>
      <c r="B2375" s="903" t="s">
        <v>39</v>
      </c>
      <c r="C2375" s="320" t="s">
        <v>124</v>
      </c>
      <c r="D2375" s="320"/>
      <c r="E2375" s="273">
        <v>0</v>
      </c>
      <c r="F2375" s="274"/>
      <c r="G2375" s="338">
        <f t="shared" ref="G2375:G2376" si="3103">+H2375+I2375</f>
        <v>0</v>
      </c>
      <c r="H2375" s="275">
        <v>0</v>
      </c>
      <c r="I2375" s="275">
        <v>0</v>
      </c>
      <c r="J2375" s="357" t="str">
        <f>IFERROR(G2375/#REF!,"-")</f>
        <v>-</v>
      </c>
      <c r="K2375" s="338">
        <f t="shared" ref="K2375:K2376" si="3104">+L2375+M2375</f>
        <v>0</v>
      </c>
      <c r="L2375" s="275">
        <f t="shared" ref="L2375:L2376" si="3105">+H2375+L2271</f>
        <v>0</v>
      </c>
      <c r="M2375" s="276">
        <f t="shared" ref="M2375:M2376" si="3106">+I2375+M2271</f>
        <v>0</v>
      </c>
      <c r="N2375" s="342" t="str">
        <f t="shared" ref="N2375:N2391" si="3107">IFERROR(K2375/E2375,"-")</f>
        <v>-</v>
      </c>
      <c r="O2375" s="352" t="str">
        <f t="shared" si="3094"/>
        <v>-</v>
      </c>
    </row>
    <row r="2376" spans="1:15" ht="24" thickBot="1" x14ac:dyDescent="0.35">
      <c r="A2376" s="277" t="s">
        <v>110</v>
      </c>
      <c r="B2376" s="905"/>
      <c r="C2376" s="290" t="s">
        <v>140</v>
      </c>
      <c r="D2376" s="290"/>
      <c r="E2376" s="283">
        <v>0</v>
      </c>
      <c r="F2376" s="284"/>
      <c r="G2376" s="340">
        <f t="shared" si="3103"/>
        <v>8845</v>
      </c>
      <c r="H2376" s="285">
        <v>8800</v>
      </c>
      <c r="I2376" s="285">
        <v>45</v>
      </c>
      <c r="J2376" s="359" t="str">
        <f>IFERROR(G2376/#REF!,"-")</f>
        <v>-</v>
      </c>
      <c r="K2376" s="340">
        <f t="shared" si="3104"/>
        <v>31563</v>
      </c>
      <c r="L2376" s="285">
        <f t="shared" si="3105"/>
        <v>29314</v>
      </c>
      <c r="M2376" s="286">
        <f t="shared" si="3106"/>
        <v>2249</v>
      </c>
      <c r="N2376" s="344" t="str">
        <f t="shared" si="3107"/>
        <v>-</v>
      </c>
      <c r="O2376" s="353">
        <f t="shared" si="3094"/>
        <v>7.1254316763298797E-2</v>
      </c>
    </row>
    <row r="2377" spans="1:15" ht="24" thickBot="1" x14ac:dyDescent="0.35">
      <c r="A2377" s="894" t="s">
        <v>110</v>
      </c>
      <c r="B2377" s="906" t="s">
        <v>40</v>
      </c>
      <c r="C2377" s="907"/>
      <c r="D2377" s="908"/>
      <c r="E2377" s="288">
        <v>30000</v>
      </c>
      <c r="F2377" s="289">
        <v>2800</v>
      </c>
      <c r="G2377" s="326">
        <f>SUM(G2375:G2376)</f>
        <v>8845</v>
      </c>
      <c r="H2377" s="327">
        <f t="shared" ref="H2377:I2377" si="3108">SUM(H2375:H2376)</f>
        <v>8800</v>
      </c>
      <c r="I2377" s="327">
        <f t="shared" si="3108"/>
        <v>45</v>
      </c>
      <c r="J2377" s="351" t="str">
        <f>IFERROR(G2377/#REF!,"-")</f>
        <v>-</v>
      </c>
      <c r="K2377" s="326">
        <f t="shared" ref="K2377:M2377" si="3109">SUM(K2375:K2376)</f>
        <v>31563</v>
      </c>
      <c r="L2377" s="327">
        <f t="shared" si="3109"/>
        <v>29314</v>
      </c>
      <c r="M2377" s="328">
        <f t="shared" si="3109"/>
        <v>2249</v>
      </c>
      <c r="N2377" s="345">
        <f t="shared" si="3107"/>
        <v>1.0521</v>
      </c>
      <c r="O2377" s="351">
        <f t="shared" si="3094"/>
        <v>7.1254316763298797E-2</v>
      </c>
    </row>
    <row r="2378" spans="1:15" ht="23.4" x14ac:dyDescent="0.3">
      <c r="A2378" s="277" t="s">
        <v>110</v>
      </c>
      <c r="B2378" s="903" t="s">
        <v>41</v>
      </c>
      <c r="C2378" s="272" t="s">
        <v>346</v>
      </c>
      <c r="D2378" s="272"/>
      <c r="E2378" s="273">
        <v>0</v>
      </c>
      <c r="F2378" s="321"/>
      <c r="G2378" s="338">
        <f t="shared" ref="G2378:G2382" si="3110">+H2378+I2378</f>
        <v>48080</v>
      </c>
      <c r="H2378" s="275">
        <v>47640</v>
      </c>
      <c r="I2378" s="275">
        <v>440</v>
      </c>
      <c r="J2378" s="377" t="str">
        <f>IFERROR(G2378/#REF!,"-")</f>
        <v>-</v>
      </c>
      <c r="K2378" s="338">
        <f t="shared" ref="K2378:K2382" si="3111">+L2378+M2378</f>
        <v>513724</v>
      </c>
      <c r="L2378" s="275">
        <f t="shared" ref="L2378:L2382" si="3112">+H2378+L2274</f>
        <v>509220</v>
      </c>
      <c r="M2378" s="276">
        <f t="shared" ref="M2378:M2382" si="3113">+I2378+M2274</f>
        <v>4504</v>
      </c>
      <c r="N2378" s="365" t="str">
        <f t="shared" si="3107"/>
        <v>-</v>
      </c>
      <c r="O2378" s="366">
        <f t="shared" si="3094"/>
        <v>8.7673536762931069E-3</v>
      </c>
    </row>
    <row r="2379" spans="1:15" ht="23.4" x14ac:dyDescent="0.3">
      <c r="A2379" s="277" t="s">
        <v>110</v>
      </c>
      <c r="B2379" s="904"/>
      <c r="C2379" s="272" t="s">
        <v>347</v>
      </c>
      <c r="D2379" s="278"/>
      <c r="E2379" s="279">
        <v>0</v>
      </c>
      <c r="F2379" s="322"/>
      <c r="G2379" s="339">
        <f t="shared" si="3110"/>
        <v>0</v>
      </c>
      <c r="H2379" s="281">
        <v>0</v>
      </c>
      <c r="I2379" s="281">
        <v>0</v>
      </c>
      <c r="J2379" s="378" t="str">
        <f>IFERROR(G2379/#REF!,"-")</f>
        <v>-</v>
      </c>
      <c r="K2379" s="339">
        <f t="shared" si="3111"/>
        <v>0</v>
      </c>
      <c r="L2379" s="281">
        <f t="shared" si="3112"/>
        <v>0</v>
      </c>
      <c r="M2379" s="251">
        <f t="shared" si="3113"/>
        <v>0</v>
      </c>
      <c r="N2379" s="367" t="str">
        <f t="shared" si="3107"/>
        <v>-</v>
      </c>
      <c r="O2379" s="368" t="str">
        <f t="shared" si="3094"/>
        <v>-</v>
      </c>
    </row>
    <row r="2380" spans="1:15" ht="23.4" x14ac:dyDescent="0.3">
      <c r="A2380" s="277" t="s">
        <v>110</v>
      </c>
      <c r="B2380" s="904"/>
      <c r="C2380" s="278" t="s">
        <v>423</v>
      </c>
      <c r="D2380" s="278"/>
      <c r="E2380" s="279">
        <v>0</v>
      </c>
      <c r="F2380" s="322"/>
      <c r="G2380" s="339">
        <f t="shared" si="3110"/>
        <v>0</v>
      </c>
      <c r="H2380" s="281">
        <v>0</v>
      </c>
      <c r="I2380" s="281">
        <v>0</v>
      </c>
      <c r="J2380" s="378" t="str">
        <f>IFERROR(G2380/#REF!,"-")</f>
        <v>-</v>
      </c>
      <c r="K2380" s="339">
        <f t="shared" si="3111"/>
        <v>34536</v>
      </c>
      <c r="L2380" s="281">
        <f t="shared" si="3112"/>
        <v>33960</v>
      </c>
      <c r="M2380" s="251">
        <f t="shared" si="3113"/>
        <v>576</v>
      </c>
      <c r="N2380" s="367" t="str">
        <f t="shared" si="3107"/>
        <v>-</v>
      </c>
      <c r="O2380" s="368">
        <f t="shared" si="3094"/>
        <v>1.6678248783877692E-2</v>
      </c>
    </row>
    <row r="2381" spans="1:15" ht="23.4" x14ac:dyDescent="0.3">
      <c r="A2381" s="277" t="s">
        <v>110</v>
      </c>
      <c r="B2381" s="904"/>
      <c r="C2381" s="278" t="s">
        <v>166</v>
      </c>
      <c r="D2381" s="278"/>
      <c r="E2381" s="279">
        <v>0</v>
      </c>
      <c r="F2381" s="322"/>
      <c r="G2381" s="339">
        <f t="shared" si="3110"/>
        <v>0</v>
      </c>
      <c r="H2381" s="281">
        <v>0</v>
      </c>
      <c r="I2381" s="281">
        <v>0</v>
      </c>
      <c r="J2381" s="378" t="str">
        <f>IFERROR(G2381/#REF!,"-")</f>
        <v>-</v>
      </c>
      <c r="K2381" s="339">
        <f t="shared" si="3111"/>
        <v>0</v>
      </c>
      <c r="L2381" s="281">
        <f t="shared" si="3112"/>
        <v>0</v>
      </c>
      <c r="M2381" s="251">
        <f t="shared" si="3113"/>
        <v>0</v>
      </c>
      <c r="N2381" s="367" t="str">
        <f t="shared" si="3107"/>
        <v>-</v>
      </c>
      <c r="O2381" s="368" t="str">
        <f t="shared" si="3094"/>
        <v>-</v>
      </c>
    </row>
    <row r="2382" spans="1:15" ht="24" thickBot="1" x14ac:dyDescent="0.35">
      <c r="A2382" s="277" t="s">
        <v>110</v>
      </c>
      <c r="B2382" s="905"/>
      <c r="C2382" s="282" t="s">
        <v>167</v>
      </c>
      <c r="D2382" s="282"/>
      <c r="E2382" s="283">
        <v>0</v>
      </c>
      <c r="F2382" s="323"/>
      <c r="G2382" s="340">
        <f t="shared" si="3110"/>
        <v>0</v>
      </c>
      <c r="H2382" s="285">
        <v>0</v>
      </c>
      <c r="I2382" s="285">
        <v>0</v>
      </c>
      <c r="J2382" s="379" t="str">
        <f>IFERROR(G2382/#REF!,"-")</f>
        <v>-</v>
      </c>
      <c r="K2382" s="340">
        <f t="shared" si="3111"/>
        <v>0</v>
      </c>
      <c r="L2382" s="285">
        <f t="shared" si="3112"/>
        <v>0</v>
      </c>
      <c r="M2382" s="286">
        <f t="shared" si="3113"/>
        <v>0</v>
      </c>
      <c r="N2382" s="369" t="str">
        <f t="shared" si="3107"/>
        <v>-</v>
      </c>
      <c r="O2382" s="370" t="str">
        <f t="shared" si="3094"/>
        <v>-</v>
      </c>
    </row>
    <row r="2383" spans="1:15" ht="24" thickBot="1" x14ac:dyDescent="0.35">
      <c r="A2383" s="277" t="s">
        <v>110</v>
      </c>
      <c r="B2383" s="906" t="s">
        <v>42</v>
      </c>
      <c r="C2383" s="907"/>
      <c r="D2383" s="908"/>
      <c r="E2383" s="326">
        <v>610600</v>
      </c>
      <c r="F2383" s="289">
        <v>25000</v>
      </c>
      <c r="G2383" s="326">
        <f>SUM(G2379:G2382)</f>
        <v>0</v>
      </c>
      <c r="H2383" s="327">
        <f>SUM(H2378:H2382)</f>
        <v>47640</v>
      </c>
      <c r="I2383" s="327">
        <f t="shared" ref="I2383" si="3114">SUM(I2379:I2382)</f>
        <v>0</v>
      </c>
      <c r="J2383" s="351" t="str">
        <f>IFERROR(G2383/#REF!,"-")</f>
        <v>-</v>
      </c>
      <c r="K2383" s="326">
        <f>SUM(K2378:K2382)</f>
        <v>548260</v>
      </c>
      <c r="L2383" s="327">
        <f>SUM(L2378:L2382)</f>
        <v>543180</v>
      </c>
      <c r="M2383" s="328">
        <f>SUM(M2378:M2382)</f>
        <v>5080</v>
      </c>
      <c r="N2383" s="345">
        <f t="shared" si="3107"/>
        <v>0.89790370127743202</v>
      </c>
      <c r="O2383" s="351">
        <f t="shared" si="3094"/>
        <v>9.2656768686389668E-3</v>
      </c>
    </row>
    <row r="2384" spans="1:15" ht="23.4" x14ac:dyDescent="0.3">
      <c r="A2384" s="277" t="s">
        <v>110</v>
      </c>
      <c r="B2384" s="903" t="s">
        <v>43</v>
      </c>
      <c r="C2384" s="272" t="s">
        <v>204</v>
      </c>
      <c r="D2384" s="272"/>
      <c r="E2384" s="273">
        <v>0</v>
      </c>
      <c r="F2384" s="274"/>
      <c r="G2384" s="338">
        <f t="shared" ref="G2384:G2386" si="3115">+H2384+I2384</f>
        <v>0</v>
      </c>
      <c r="H2384" s="275">
        <v>0</v>
      </c>
      <c r="I2384" s="275">
        <v>0</v>
      </c>
      <c r="J2384" s="357" t="str">
        <f>IFERROR(G2384/#REF!,"-")</f>
        <v>-</v>
      </c>
      <c r="K2384" s="338">
        <f t="shared" ref="K2384:K2386" si="3116">+L2384+M2384</f>
        <v>0</v>
      </c>
      <c r="L2384" s="275">
        <f t="shared" ref="L2384:L2386" si="3117">+H2384+L2280</f>
        <v>0</v>
      </c>
      <c r="M2384" s="276">
        <f t="shared" ref="M2384:M2386" si="3118">+I2384+M2280</f>
        <v>0</v>
      </c>
      <c r="N2384" s="342" t="str">
        <f t="shared" si="3107"/>
        <v>-</v>
      </c>
      <c r="O2384" s="352" t="str">
        <f t="shared" si="3094"/>
        <v>-</v>
      </c>
    </row>
    <row r="2385" spans="1:15" ht="23.4" x14ac:dyDescent="0.3">
      <c r="A2385" s="277" t="s">
        <v>110</v>
      </c>
      <c r="B2385" s="904"/>
      <c r="C2385" s="278" t="s">
        <v>168</v>
      </c>
      <c r="D2385" s="278"/>
      <c r="E2385" s="279">
        <v>0</v>
      </c>
      <c r="F2385" s="280"/>
      <c r="G2385" s="339">
        <f t="shared" si="3115"/>
        <v>0</v>
      </c>
      <c r="H2385" s="281">
        <v>0</v>
      </c>
      <c r="I2385" s="281">
        <v>0</v>
      </c>
      <c r="J2385" s="378" t="str">
        <f>IFERROR(G2385/#REF!,"-")</f>
        <v>-</v>
      </c>
      <c r="K2385" s="339">
        <f t="shared" si="3116"/>
        <v>0</v>
      </c>
      <c r="L2385" s="281">
        <f t="shared" si="3117"/>
        <v>0</v>
      </c>
      <c r="M2385" s="251">
        <f t="shared" si="3118"/>
        <v>0</v>
      </c>
      <c r="N2385" s="367" t="str">
        <f t="shared" si="3107"/>
        <v>-</v>
      </c>
      <c r="O2385" s="368" t="str">
        <f t="shared" si="3094"/>
        <v>-</v>
      </c>
    </row>
    <row r="2386" spans="1:15" ht="24" thickBot="1" x14ac:dyDescent="0.35">
      <c r="A2386" s="277" t="s">
        <v>110</v>
      </c>
      <c r="B2386" s="905"/>
      <c r="C2386" s="282" t="s">
        <v>204</v>
      </c>
      <c r="D2386" s="282"/>
      <c r="E2386" s="283">
        <v>0</v>
      </c>
      <c r="F2386" s="284"/>
      <c r="G2386" s="340">
        <f t="shared" si="3115"/>
        <v>0</v>
      </c>
      <c r="H2386" s="285">
        <v>0</v>
      </c>
      <c r="I2386" s="285">
        <v>0</v>
      </c>
      <c r="J2386" s="379" t="str">
        <f>IFERROR(G2386/#REF!,"-")</f>
        <v>-</v>
      </c>
      <c r="K2386" s="340">
        <f t="shared" si="3116"/>
        <v>0</v>
      </c>
      <c r="L2386" s="285">
        <f t="shared" si="3117"/>
        <v>0</v>
      </c>
      <c r="M2386" s="286">
        <f t="shared" si="3118"/>
        <v>0</v>
      </c>
      <c r="N2386" s="369" t="str">
        <f t="shared" si="3107"/>
        <v>-</v>
      </c>
      <c r="O2386" s="370" t="str">
        <f t="shared" si="3094"/>
        <v>-</v>
      </c>
    </row>
    <row r="2387" spans="1:15" ht="24" thickBot="1" x14ac:dyDescent="0.35">
      <c r="A2387" s="277" t="s">
        <v>110</v>
      </c>
      <c r="B2387" s="909" t="s">
        <v>44</v>
      </c>
      <c r="C2387" s="910"/>
      <c r="D2387" s="911"/>
      <c r="E2387" s="326">
        <v>0</v>
      </c>
      <c r="F2387" s="289"/>
      <c r="G2387" s="326">
        <f>SUM(G2384:G2386)</f>
        <v>0</v>
      </c>
      <c r="H2387" s="327">
        <f t="shared" ref="H2387:I2387" si="3119">SUM(H2384:H2386)</f>
        <v>0</v>
      </c>
      <c r="I2387" s="327">
        <f t="shared" si="3119"/>
        <v>0</v>
      </c>
      <c r="J2387" s="351" t="str">
        <f>IFERROR(G2387/#REF!,"-")</f>
        <v>-</v>
      </c>
      <c r="K2387" s="326">
        <f t="shared" ref="K2387:M2387" si="3120">SUM(K2384:K2386)</f>
        <v>0</v>
      </c>
      <c r="L2387" s="327">
        <f t="shared" si="3120"/>
        <v>0</v>
      </c>
      <c r="M2387" s="328">
        <f t="shared" si="3120"/>
        <v>0</v>
      </c>
      <c r="N2387" s="345" t="str">
        <f t="shared" si="3107"/>
        <v>-</v>
      </c>
      <c r="O2387" s="351" t="str">
        <f t="shared" si="3094"/>
        <v>-</v>
      </c>
    </row>
    <row r="2388" spans="1:15" ht="23.4" x14ac:dyDescent="0.3">
      <c r="A2388" s="277" t="s">
        <v>110</v>
      </c>
      <c r="B2388" s="903" t="s">
        <v>45</v>
      </c>
      <c r="C2388" s="272" t="s">
        <v>169</v>
      </c>
      <c r="D2388" s="272"/>
      <c r="E2388" s="273">
        <v>0</v>
      </c>
      <c r="F2388" s="274"/>
      <c r="G2388" s="338">
        <f t="shared" ref="G2388:G2389" si="3121">+H2388+I2388</f>
        <v>0</v>
      </c>
      <c r="H2388" s="275">
        <v>0</v>
      </c>
      <c r="I2388" s="275">
        <v>0</v>
      </c>
      <c r="J2388" s="377" t="str">
        <f>IFERROR(G2388/#REF!,"-")</f>
        <v>-</v>
      </c>
      <c r="K2388" s="338">
        <f t="shared" ref="K2388:K2389" si="3122">+L2388+M2388</f>
        <v>0</v>
      </c>
      <c r="L2388" s="275">
        <f t="shared" ref="L2388:L2389" si="3123">+H2388+L2284</f>
        <v>0</v>
      </c>
      <c r="M2388" s="276">
        <f t="shared" ref="M2388:M2389" si="3124">+I2388+M2284</f>
        <v>0</v>
      </c>
      <c r="N2388" s="365" t="str">
        <f t="shared" si="3107"/>
        <v>-</v>
      </c>
      <c r="O2388" s="366" t="str">
        <f t="shared" si="3094"/>
        <v>-</v>
      </c>
    </row>
    <row r="2389" spans="1:15" ht="24" thickBot="1" x14ac:dyDescent="0.35">
      <c r="A2389" s="277" t="s">
        <v>110</v>
      </c>
      <c r="B2389" s="905"/>
      <c r="C2389" s="282" t="s">
        <v>170</v>
      </c>
      <c r="D2389" s="282"/>
      <c r="E2389" s="283">
        <v>0</v>
      </c>
      <c r="F2389" s="284"/>
      <c r="G2389" s="340">
        <f t="shared" si="3121"/>
        <v>0</v>
      </c>
      <c r="H2389" s="285">
        <v>0</v>
      </c>
      <c r="I2389" s="285">
        <v>0</v>
      </c>
      <c r="J2389" s="379" t="str">
        <f>IFERROR(G2389/#REF!,"-")</f>
        <v>-</v>
      </c>
      <c r="K2389" s="340">
        <f t="shared" si="3122"/>
        <v>0</v>
      </c>
      <c r="L2389" s="285">
        <f t="shared" si="3123"/>
        <v>0</v>
      </c>
      <c r="M2389" s="286">
        <f t="shared" si="3124"/>
        <v>0</v>
      </c>
      <c r="N2389" s="369" t="str">
        <f t="shared" si="3107"/>
        <v>-</v>
      </c>
      <c r="O2389" s="370" t="str">
        <f t="shared" si="3094"/>
        <v>-</v>
      </c>
    </row>
    <row r="2390" spans="1:15" ht="24" thickBot="1" x14ac:dyDescent="0.35">
      <c r="A2390" s="277" t="s">
        <v>110</v>
      </c>
      <c r="B2390" s="909" t="s">
        <v>46</v>
      </c>
      <c r="C2390" s="910"/>
      <c r="D2390" s="911"/>
      <c r="E2390" s="288">
        <v>11100</v>
      </c>
      <c r="F2390" s="289">
        <v>25000</v>
      </c>
      <c r="G2390" s="326">
        <f>SUM(G2388:G2389)</f>
        <v>0</v>
      </c>
      <c r="H2390" s="327">
        <f t="shared" ref="H2390:I2390" si="3125">SUM(H2388:H2389)</f>
        <v>0</v>
      </c>
      <c r="I2390" s="327">
        <f t="shared" si="3125"/>
        <v>0</v>
      </c>
      <c r="J2390" s="351" t="str">
        <f>IFERROR(G2390/#REF!,"-")</f>
        <v>-</v>
      </c>
      <c r="K2390" s="326">
        <f t="shared" ref="K2390:M2390" si="3126">SUM(K2388:K2389)</f>
        <v>0</v>
      </c>
      <c r="L2390" s="327">
        <f t="shared" si="3126"/>
        <v>0</v>
      </c>
      <c r="M2390" s="328">
        <f t="shared" si="3126"/>
        <v>0</v>
      </c>
      <c r="N2390" s="345">
        <f t="shared" si="3107"/>
        <v>0</v>
      </c>
      <c r="O2390" s="351" t="str">
        <f t="shared" si="3094"/>
        <v>-</v>
      </c>
    </row>
    <row r="2391" spans="1:15" ht="24" thickBot="1" x14ac:dyDescent="0.35">
      <c r="A2391" s="277" t="s">
        <v>110</v>
      </c>
      <c r="B2391" s="912" t="s">
        <v>25</v>
      </c>
      <c r="C2391" s="913"/>
      <c r="D2391" s="914"/>
      <c r="E2391" s="332">
        <f t="shared" ref="E2391:F2391" si="3127">+E2369+E2374+E2377+E2383+E2387+E2390</f>
        <v>745700</v>
      </c>
      <c r="F2391" s="333">
        <f t="shared" si="3127"/>
        <v>59300</v>
      </c>
      <c r="G2391" s="332">
        <f>+G2369+G2374+G2377+G2383+G2387+G2390</f>
        <v>8845</v>
      </c>
      <c r="H2391" s="330">
        <f>+H2369+H2374+H2377+H2383+H2387+H2390</f>
        <v>56440</v>
      </c>
      <c r="I2391" s="330">
        <f t="shared" ref="I2391" si="3128">+I2369+I2374+I2377+I2383+I2387+I2390</f>
        <v>45</v>
      </c>
      <c r="J2391" s="355" t="str">
        <f>IFERROR(G2391/#REF!,"-")</f>
        <v>-</v>
      </c>
      <c r="K2391" s="332">
        <f>+K2369+K2374+K2377+K2383+K2387+K2390</f>
        <v>658275</v>
      </c>
      <c r="L2391" s="330">
        <f t="shared" ref="L2391:M2391" si="3129">+L2369+L2374+L2377+L2383+L2387+L2390</f>
        <v>648236</v>
      </c>
      <c r="M2391" s="331">
        <f t="shared" si="3129"/>
        <v>10039</v>
      </c>
      <c r="N2391" s="347">
        <f t="shared" si="3107"/>
        <v>0.88276116400697335</v>
      </c>
      <c r="O2391" s="355">
        <f t="shared" si="3094"/>
        <v>1.5250465231096426E-2</v>
      </c>
    </row>
    <row r="2392" spans="1:15" ht="24" thickBot="1" x14ac:dyDescent="0.35">
      <c r="A2392" s="324" t="s">
        <v>110</v>
      </c>
      <c r="B2392" s="901" t="s">
        <v>182</v>
      </c>
      <c r="C2392" s="901"/>
      <c r="D2392" s="902"/>
      <c r="E2392" s="336">
        <f>+E2391</f>
        <v>745700</v>
      </c>
      <c r="F2392" s="337">
        <f t="shared" ref="F2392:O2392" si="3130">+F2391</f>
        <v>59300</v>
      </c>
      <c r="G2392" s="336">
        <f t="shared" si="3130"/>
        <v>8845</v>
      </c>
      <c r="H2392" s="334">
        <f t="shared" si="3130"/>
        <v>56440</v>
      </c>
      <c r="I2392" s="334">
        <f t="shared" si="3130"/>
        <v>45</v>
      </c>
      <c r="J2392" s="356" t="str">
        <f t="shared" si="3130"/>
        <v>-</v>
      </c>
      <c r="K2392" s="336">
        <f t="shared" si="3130"/>
        <v>658275</v>
      </c>
      <c r="L2392" s="334">
        <f t="shared" si="3130"/>
        <v>648236</v>
      </c>
      <c r="M2392" s="335">
        <f t="shared" si="3130"/>
        <v>10039</v>
      </c>
      <c r="N2392" s="348">
        <f t="shared" si="3130"/>
        <v>0.88276116400697335</v>
      </c>
      <c r="O2392" s="356">
        <f t="shared" si="3130"/>
        <v>1.5250465231096426E-2</v>
      </c>
    </row>
    <row r="2393" spans="1:15" ht="24.6" thickBot="1" x14ac:dyDescent="0.35">
      <c r="A2393" s="325"/>
      <c r="B2393" s="915" t="s">
        <v>183</v>
      </c>
      <c r="C2393" s="916"/>
      <c r="D2393" s="917"/>
      <c r="E2393" s="380">
        <f>+E2338+E2365+E2392</f>
        <v>10494400</v>
      </c>
      <c r="F2393" s="380">
        <f>+F2338+F2365+F2392</f>
        <v>748300</v>
      </c>
      <c r="G2393" s="380">
        <f>+G2338+G2365+G2392</f>
        <v>462401</v>
      </c>
      <c r="H2393" s="380">
        <f>+H2338+H2365+H2392</f>
        <v>582148</v>
      </c>
      <c r="I2393" s="380">
        <f>+I2338+I2365+I2392</f>
        <v>4181</v>
      </c>
      <c r="J2393" s="381" t="str">
        <f>IFERROR(G2393/#REF!,"-")</f>
        <v>-</v>
      </c>
      <c r="K2393" s="380">
        <f>+K2338+K2365+K2392</f>
        <v>7957855</v>
      </c>
      <c r="L2393" s="380">
        <f>+L2338+L2365+L2392</f>
        <v>7885091</v>
      </c>
      <c r="M2393" s="380">
        <f>+M2338+M2365+M2392</f>
        <v>72764</v>
      </c>
      <c r="N2393" s="381">
        <f>IFERROR(K2393/E2393,"-")</f>
        <v>0.75829537658179602</v>
      </c>
      <c r="O2393" s="381">
        <f>IFERROR(M2393/K2393,"-")</f>
        <v>9.1436699965003129E-3</v>
      </c>
    </row>
  </sheetData>
  <mergeCells count="1151">
    <mergeCell ref="B2261:D2261"/>
    <mergeCell ref="B2262:B2264"/>
    <mergeCell ref="B2265:D2265"/>
    <mergeCell ref="B2266:B2269"/>
    <mergeCell ref="B2270:D2270"/>
    <mergeCell ref="B2271:B2272"/>
    <mergeCell ref="B2273:D2273"/>
    <mergeCell ref="B2274:B2278"/>
    <mergeCell ref="B2279:D2279"/>
    <mergeCell ref="B2280:B2282"/>
    <mergeCell ref="B2283:D2283"/>
    <mergeCell ref="B2284:B2285"/>
    <mergeCell ref="B2286:D2286"/>
    <mergeCell ref="B2287:D2287"/>
    <mergeCell ref="B2288:D2288"/>
    <mergeCell ref="B2289:D2289"/>
    <mergeCell ref="B2210:B2212"/>
    <mergeCell ref="B2213:D2213"/>
    <mergeCell ref="B2214:B2216"/>
    <mergeCell ref="B2217:D2217"/>
    <mergeCell ref="B2218:D2218"/>
    <mergeCell ref="B2219:B2222"/>
    <mergeCell ref="B2223:D2223"/>
    <mergeCell ref="B2224:B2231"/>
    <mergeCell ref="B2232:D2232"/>
    <mergeCell ref="B2233:D2233"/>
    <mergeCell ref="B2234:D2234"/>
    <mergeCell ref="B2235:B2244"/>
    <mergeCell ref="B2245:B2248"/>
    <mergeCell ref="B2249:D2249"/>
    <mergeCell ref="B2250:B2257"/>
    <mergeCell ref="B2258:D2258"/>
    <mergeCell ref="B2260:D2260"/>
    <mergeCell ref="A2186:A2188"/>
    <mergeCell ref="B2186:B2188"/>
    <mergeCell ref="C2186:C2188"/>
    <mergeCell ref="D2186:D2188"/>
    <mergeCell ref="E2186:O2186"/>
    <mergeCell ref="E2187:E2188"/>
    <mergeCell ref="F2187:F2188"/>
    <mergeCell ref="G2187:J2187"/>
    <mergeCell ref="K2187:M2187"/>
    <mergeCell ref="N2187:N2188"/>
    <mergeCell ref="O2187:O2188"/>
    <mergeCell ref="B2189:B2192"/>
    <mergeCell ref="B2193:D2193"/>
    <mergeCell ref="B2194:B2200"/>
    <mergeCell ref="B2201:D2201"/>
    <mergeCell ref="B2202:B2208"/>
    <mergeCell ref="B2209:D2209"/>
    <mergeCell ref="B2157:D2157"/>
    <mergeCell ref="B2158:B2160"/>
    <mergeCell ref="B2161:D2161"/>
    <mergeCell ref="B2162:B2165"/>
    <mergeCell ref="B2166:D2166"/>
    <mergeCell ref="B2167:B2168"/>
    <mergeCell ref="B2169:D2169"/>
    <mergeCell ref="B2170:B2174"/>
    <mergeCell ref="B2175:D2175"/>
    <mergeCell ref="B2176:B2178"/>
    <mergeCell ref="B2179:D2179"/>
    <mergeCell ref="B2180:B2181"/>
    <mergeCell ref="B2182:D2182"/>
    <mergeCell ref="B2183:D2183"/>
    <mergeCell ref="B2184:D2184"/>
    <mergeCell ref="B2185:D2185"/>
    <mergeCell ref="B2106:B2108"/>
    <mergeCell ref="B2109:D2109"/>
    <mergeCell ref="B2110:B2112"/>
    <mergeCell ref="B2113:D2113"/>
    <mergeCell ref="B2114:D2114"/>
    <mergeCell ref="B2115:B2118"/>
    <mergeCell ref="B2119:D2119"/>
    <mergeCell ref="B2120:B2127"/>
    <mergeCell ref="B2128:D2128"/>
    <mergeCell ref="B2129:D2129"/>
    <mergeCell ref="B2130:D2130"/>
    <mergeCell ref="B2131:B2140"/>
    <mergeCell ref="B2141:B2144"/>
    <mergeCell ref="B2145:D2145"/>
    <mergeCell ref="B2146:B2153"/>
    <mergeCell ref="B2154:D2154"/>
    <mergeCell ref="B2156:D2156"/>
    <mergeCell ref="A2082:A2084"/>
    <mergeCell ref="B2082:B2084"/>
    <mergeCell ref="C2082:C2084"/>
    <mergeCell ref="D2082:D2084"/>
    <mergeCell ref="E2082:O2082"/>
    <mergeCell ref="E2083:E2084"/>
    <mergeCell ref="F2083:F2084"/>
    <mergeCell ref="G2083:J2083"/>
    <mergeCell ref="K2083:M2083"/>
    <mergeCell ref="N2083:N2084"/>
    <mergeCell ref="O2083:O2084"/>
    <mergeCell ref="B2085:B2088"/>
    <mergeCell ref="B2089:D2089"/>
    <mergeCell ref="B2090:B2096"/>
    <mergeCell ref="B2097:D2097"/>
    <mergeCell ref="B2098:B2104"/>
    <mergeCell ref="B2105:D2105"/>
    <mergeCell ref="B2079:D2079"/>
    <mergeCell ref="B2080:D2080"/>
    <mergeCell ref="B2081:D2081"/>
    <mergeCell ref="B2062:D2062"/>
    <mergeCell ref="B2063:B2064"/>
    <mergeCell ref="B2065:D2065"/>
    <mergeCell ref="B2066:B2070"/>
    <mergeCell ref="B2071:D2071"/>
    <mergeCell ref="B2072:B2074"/>
    <mergeCell ref="B2075:D2075"/>
    <mergeCell ref="B2076:B2077"/>
    <mergeCell ref="B2078:D2078"/>
    <mergeCell ref="B2037:B2040"/>
    <mergeCell ref="B2041:D2041"/>
    <mergeCell ref="B2042:B2049"/>
    <mergeCell ref="B2050:D2050"/>
    <mergeCell ref="B2052:D2052"/>
    <mergeCell ref="B2053:D2053"/>
    <mergeCell ref="B2054:B2056"/>
    <mergeCell ref="B2057:D2057"/>
    <mergeCell ref="B2058:B2061"/>
    <mergeCell ref="B2009:D2009"/>
    <mergeCell ref="B2010:D2010"/>
    <mergeCell ref="B2011:B2014"/>
    <mergeCell ref="B2015:D2015"/>
    <mergeCell ref="B2016:B2023"/>
    <mergeCell ref="B2024:D2024"/>
    <mergeCell ref="B2025:D2025"/>
    <mergeCell ref="B2026:D2026"/>
    <mergeCell ref="B2027:B2036"/>
    <mergeCell ref="B1981:B1984"/>
    <mergeCell ref="B1985:D1985"/>
    <mergeCell ref="B1986:B1992"/>
    <mergeCell ref="B1993:D1993"/>
    <mergeCell ref="B1994:B2000"/>
    <mergeCell ref="B2001:D2001"/>
    <mergeCell ref="B2002:B2004"/>
    <mergeCell ref="B2005:D2005"/>
    <mergeCell ref="B2006:B2008"/>
    <mergeCell ref="B1975:D1975"/>
    <mergeCell ref="B1976:D1976"/>
    <mergeCell ref="B1977:D1977"/>
    <mergeCell ref="A1978:A1980"/>
    <mergeCell ref="B1978:B1980"/>
    <mergeCell ref="C1978:C1980"/>
    <mergeCell ref="D1978:D1980"/>
    <mergeCell ref="E1978:O1978"/>
    <mergeCell ref="E1979:E1980"/>
    <mergeCell ref="F1979:F1980"/>
    <mergeCell ref="G1979:J1979"/>
    <mergeCell ref="K1979:M1979"/>
    <mergeCell ref="N1979:N1980"/>
    <mergeCell ref="O1979:O1980"/>
    <mergeCell ref="B1958:D1958"/>
    <mergeCell ref="B1959:B1960"/>
    <mergeCell ref="B1961:D1961"/>
    <mergeCell ref="B1962:B1966"/>
    <mergeCell ref="B1967:D1967"/>
    <mergeCell ref="B1968:B1970"/>
    <mergeCell ref="B1971:D1971"/>
    <mergeCell ref="B1972:B1973"/>
    <mergeCell ref="B1974:D1974"/>
    <mergeCell ref="B1933:B1936"/>
    <mergeCell ref="B1937:D1937"/>
    <mergeCell ref="B1938:B1945"/>
    <mergeCell ref="B1946:D1946"/>
    <mergeCell ref="B1948:D1948"/>
    <mergeCell ref="B1949:D1949"/>
    <mergeCell ref="B1950:B1952"/>
    <mergeCell ref="B1953:D1953"/>
    <mergeCell ref="B1954:B1957"/>
    <mergeCell ref="B1905:D1905"/>
    <mergeCell ref="B1906:D1906"/>
    <mergeCell ref="B1907:B1910"/>
    <mergeCell ref="B1911:D1911"/>
    <mergeCell ref="B1912:B1919"/>
    <mergeCell ref="B1920:D1920"/>
    <mergeCell ref="B1921:D1921"/>
    <mergeCell ref="B1922:D1922"/>
    <mergeCell ref="B1923:B1932"/>
    <mergeCell ref="B1877:B1880"/>
    <mergeCell ref="B1881:D1881"/>
    <mergeCell ref="B1882:B1888"/>
    <mergeCell ref="B1889:D1889"/>
    <mergeCell ref="B1890:B1896"/>
    <mergeCell ref="B1897:D1897"/>
    <mergeCell ref="B1898:B1900"/>
    <mergeCell ref="B1901:D1901"/>
    <mergeCell ref="B1902:B1904"/>
    <mergeCell ref="A1874:A1876"/>
    <mergeCell ref="B1874:B1876"/>
    <mergeCell ref="C1874:C1876"/>
    <mergeCell ref="D1874:D1876"/>
    <mergeCell ref="E1874:O1874"/>
    <mergeCell ref="E1875:E1876"/>
    <mergeCell ref="F1875:F1876"/>
    <mergeCell ref="G1875:J1875"/>
    <mergeCell ref="K1875:M1875"/>
    <mergeCell ref="N1875:N1876"/>
    <mergeCell ref="O1875:O1876"/>
    <mergeCell ref="B1871:D1871"/>
    <mergeCell ref="B1872:D1872"/>
    <mergeCell ref="B1873:D1873"/>
    <mergeCell ref="B1854:D1854"/>
    <mergeCell ref="B1855:B1856"/>
    <mergeCell ref="B1857:D1857"/>
    <mergeCell ref="B1858:B1862"/>
    <mergeCell ref="B1863:D1863"/>
    <mergeCell ref="B1864:B1866"/>
    <mergeCell ref="B1867:D1867"/>
    <mergeCell ref="B1868:B1869"/>
    <mergeCell ref="B1870:D1870"/>
    <mergeCell ref="B1829:B1832"/>
    <mergeCell ref="B1833:D1833"/>
    <mergeCell ref="B1834:B1841"/>
    <mergeCell ref="B1842:D1842"/>
    <mergeCell ref="B1844:D1844"/>
    <mergeCell ref="B1845:D1845"/>
    <mergeCell ref="B1846:B1848"/>
    <mergeCell ref="B1849:D1849"/>
    <mergeCell ref="B1850:B1853"/>
    <mergeCell ref="B1801:D1801"/>
    <mergeCell ref="B1802:D1802"/>
    <mergeCell ref="B1803:B1806"/>
    <mergeCell ref="B1807:D1807"/>
    <mergeCell ref="B1808:B1815"/>
    <mergeCell ref="B1816:D1816"/>
    <mergeCell ref="B1817:D1817"/>
    <mergeCell ref="B1818:D1818"/>
    <mergeCell ref="B1819:B1828"/>
    <mergeCell ref="B1773:B1776"/>
    <mergeCell ref="B1777:D1777"/>
    <mergeCell ref="B1778:B1784"/>
    <mergeCell ref="B1785:D1785"/>
    <mergeCell ref="B1786:B1792"/>
    <mergeCell ref="B1793:D1793"/>
    <mergeCell ref="B1794:B1796"/>
    <mergeCell ref="B1797:D1797"/>
    <mergeCell ref="B1798:B1800"/>
    <mergeCell ref="A1770:A1772"/>
    <mergeCell ref="B1770:B1772"/>
    <mergeCell ref="C1770:C1772"/>
    <mergeCell ref="D1770:D1772"/>
    <mergeCell ref="E1770:O1770"/>
    <mergeCell ref="E1771:E1772"/>
    <mergeCell ref="F1771:F1772"/>
    <mergeCell ref="G1771:J1771"/>
    <mergeCell ref="K1771:M1771"/>
    <mergeCell ref="N1771:N1772"/>
    <mergeCell ref="O1771:O1772"/>
    <mergeCell ref="B1663:D1663"/>
    <mergeCell ref="B1664:D1664"/>
    <mergeCell ref="B1665:D1665"/>
    <mergeCell ref="B1646:D1646"/>
    <mergeCell ref="B1647:B1648"/>
    <mergeCell ref="B1649:D1649"/>
    <mergeCell ref="B1650:B1654"/>
    <mergeCell ref="B1655:D1655"/>
    <mergeCell ref="B1656:B1658"/>
    <mergeCell ref="B1659:D1659"/>
    <mergeCell ref="B1660:B1661"/>
    <mergeCell ref="B1662:D1662"/>
    <mergeCell ref="A1666:A1668"/>
    <mergeCell ref="B1666:B1668"/>
    <mergeCell ref="C1666:C1668"/>
    <mergeCell ref="D1666:D1668"/>
    <mergeCell ref="E1666:O1666"/>
    <mergeCell ref="E1667:E1668"/>
    <mergeCell ref="F1667:F1668"/>
    <mergeCell ref="G1667:J1667"/>
    <mergeCell ref="K1667:M1667"/>
    <mergeCell ref="B1621:B1624"/>
    <mergeCell ref="B1625:D1625"/>
    <mergeCell ref="B1626:B1633"/>
    <mergeCell ref="B1634:D1634"/>
    <mergeCell ref="B1636:D1636"/>
    <mergeCell ref="B1637:D1637"/>
    <mergeCell ref="B1638:B1640"/>
    <mergeCell ref="B1641:D1641"/>
    <mergeCell ref="B1642:B1645"/>
    <mergeCell ref="B1593:D1593"/>
    <mergeCell ref="B1594:D1594"/>
    <mergeCell ref="B1595:B1598"/>
    <mergeCell ref="B1599:D1599"/>
    <mergeCell ref="B1600:B1607"/>
    <mergeCell ref="B1608:D1608"/>
    <mergeCell ref="B1609:D1609"/>
    <mergeCell ref="B1610:D1610"/>
    <mergeCell ref="B1611:B1620"/>
    <mergeCell ref="B1565:B1568"/>
    <mergeCell ref="B1569:D1569"/>
    <mergeCell ref="B1570:B1576"/>
    <mergeCell ref="B1577:D1577"/>
    <mergeCell ref="B1578:B1584"/>
    <mergeCell ref="B1585:D1585"/>
    <mergeCell ref="B1586:B1588"/>
    <mergeCell ref="B1589:D1589"/>
    <mergeCell ref="B1590:B1592"/>
    <mergeCell ref="A1562:A1564"/>
    <mergeCell ref="B1562:B1564"/>
    <mergeCell ref="C1562:C1564"/>
    <mergeCell ref="D1562:D1564"/>
    <mergeCell ref="E1562:O1562"/>
    <mergeCell ref="E1563:E1564"/>
    <mergeCell ref="F1563:F1564"/>
    <mergeCell ref="G1563:J1563"/>
    <mergeCell ref="K1563:M1563"/>
    <mergeCell ref="N1563:N1564"/>
    <mergeCell ref="O1563:O1564"/>
    <mergeCell ref="B1045:B1048"/>
    <mergeCell ref="B1049:D1049"/>
    <mergeCell ref="B1050:B1056"/>
    <mergeCell ref="B1057:D1057"/>
    <mergeCell ref="B1058:B1064"/>
    <mergeCell ref="B1065:D1065"/>
    <mergeCell ref="B1066:B1068"/>
    <mergeCell ref="B1069:D1069"/>
    <mergeCell ref="B1070:B1072"/>
    <mergeCell ref="B1073:D1073"/>
    <mergeCell ref="B1074:D1074"/>
    <mergeCell ref="B1385:D1385"/>
    <mergeCell ref="B1386:D1386"/>
    <mergeCell ref="B1387:B1390"/>
    <mergeCell ref="B1391:D1391"/>
    <mergeCell ref="B1392:B1399"/>
    <mergeCell ref="B1400:D1400"/>
    <mergeCell ref="B1357:B1360"/>
    <mergeCell ref="B1361:D1361"/>
    <mergeCell ref="B1362:B1368"/>
    <mergeCell ref="B1369:D1369"/>
    <mergeCell ref="B1370:B1376"/>
    <mergeCell ref="B1377:D1377"/>
    <mergeCell ref="B1378:B1380"/>
    <mergeCell ref="B1381:D1381"/>
    <mergeCell ref="B1382:B1384"/>
    <mergeCell ref="B1079:D1079"/>
    <mergeCell ref="B1080:B1087"/>
    <mergeCell ref="B1088:D1088"/>
    <mergeCell ref="B1089:D1089"/>
    <mergeCell ref="B1090:D1090"/>
    <mergeCell ref="B1091:B1100"/>
    <mergeCell ref="B1039:D1039"/>
    <mergeCell ref="B1040:D1040"/>
    <mergeCell ref="B1041:D1041"/>
    <mergeCell ref="B1022:D1022"/>
    <mergeCell ref="B1023:B1024"/>
    <mergeCell ref="B1025:D1025"/>
    <mergeCell ref="B1026:B1030"/>
    <mergeCell ref="B1031:D1031"/>
    <mergeCell ref="B1032:B1034"/>
    <mergeCell ref="B1035:D1035"/>
    <mergeCell ref="B1036:B1037"/>
    <mergeCell ref="B1038:D1038"/>
    <mergeCell ref="E1042:O1042"/>
    <mergeCell ref="E1043:E1044"/>
    <mergeCell ref="F1043:F1044"/>
    <mergeCell ref="G1043:J1043"/>
    <mergeCell ref="K1043:M1043"/>
    <mergeCell ref="N1043:N1044"/>
    <mergeCell ref="O1043:O1044"/>
    <mergeCell ref="B997:B1000"/>
    <mergeCell ref="B1001:D1001"/>
    <mergeCell ref="B1002:B1009"/>
    <mergeCell ref="B1010:D1010"/>
    <mergeCell ref="B1012:D1012"/>
    <mergeCell ref="B1013:D1013"/>
    <mergeCell ref="B1014:B1016"/>
    <mergeCell ref="B1017:D1017"/>
    <mergeCell ref="B1018:B1021"/>
    <mergeCell ref="B969:D969"/>
    <mergeCell ref="B970:D970"/>
    <mergeCell ref="B971:B974"/>
    <mergeCell ref="B975:D975"/>
    <mergeCell ref="B976:B983"/>
    <mergeCell ref="B984:D984"/>
    <mergeCell ref="B985:D985"/>
    <mergeCell ref="B986:D986"/>
    <mergeCell ref="B987:B996"/>
    <mergeCell ref="B941:B944"/>
    <mergeCell ref="B945:D945"/>
    <mergeCell ref="B946:B952"/>
    <mergeCell ref="B953:D953"/>
    <mergeCell ref="B954:B960"/>
    <mergeCell ref="B961:D961"/>
    <mergeCell ref="B962:B964"/>
    <mergeCell ref="B965:D965"/>
    <mergeCell ref="B966:B968"/>
    <mergeCell ref="A938:A940"/>
    <mergeCell ref="B938:B940"/>
    <mergeCell ref="C938:C940"/>
    <mergeCell ref="D938:D940"/>
    <mergeCell ref="E938:O938"/>
    <mergeCell ref="E939:E940"/>
    <mergeCell ref="F939:F940"/>
    <mergeCell ref="G939:J939"/>
    <mergeCell ref="K939:M939"/>
    <mergeCell ref="N939:N940"/>
    <mergeCell ref="O939:O940"/>
    <mergeCell ref="B935:D935"/>
    <mergeCell ref="B936:D936"/>
    <mergeCell ref="B937:D937"/>
    <mergeCell ref="B918:D918"/>
    <mergeCell ref="B919:B920"/>
    <mergeCell ref="B921:D921"/>
    <mergeCell ref="B922:B926"/>
    <mergeCell ref="B927:D927"/>
    <mergeCell ref="B928:B930"/>
    <mergeCell ref="B931:D931"/>
    <mergeCell ref="B932:B933"/>
    <mergeCell ref="B934:D934"/>
    <mergeCell ref="B893:B896"/>
    <mergeCell ref="B897:D897"/>
    <mergeCell ref="B898:B905"/>
    <mergeCell ref="B906:D906"/>
    <mergeCell ref="B908:D908"/>
    <mergeCell ref="B909:D909"/>
    <mergeCell ref="B910:B912"/>
    <mergeCell ref="B913:D913"/>
    <mergeCell ref="B914:B917"/>
    <mergeCell ref="B865:D865"/>
    <mergeCell ref="B866:D866"/>
    <mergeCell ref="B867:B870"/>
    <mergeCell ref="B871:D871"/>
    <mergeCell ref="B872:B879"/>
    <mergeCell ref="B880:D880"/>
    <mergeCell ref="B881:D881"/>
    <mergeCell ref="B882:D882"/>
    <mergeCell ref="B883:B892"/>
    <mergeCell ref="B838:B841"/>
    <mergeCell ref="B842:D842"/>
    <mergeCell ref="B843:B849"/>
    <mergeCell ref="B850:D850"/>
    <mergeCell ref="B851:B857"/>
    <mergeCell ref="B858:D858"/>
    <mergeCell ref="B859:B860"/>
    <mergeCell ref="B861:D861"/>
    <mergeCell ref="B862:B864"/>
    <mergeCell ref="A835:A837"/>
    <mergeCell ref="B835:B837"/>
    <mergeCell ref="C835:C837"/>
    <mergeCell ref="D835:D837"/>
    <mergeCell ref="E835:O835"/>
    <mergeCell ref="E836:E837"/>
    <mergeCell ref="F836:F837"/>
    <mergeCell ref="G836:J836"/>
    <mergeCell ref="K836:M836"/>
    <mergeCell ref="N836:N837"/>
    <mergeCell ref="O836:O837"/>
    <mergeCell ref="B832:D832"/>
    <mergeCell ref="B833:D833"/>
    <mergeCell ref="B834:D834"/>
    <mergeCell ref="B815:D815"/>
    <mergeCell ref="B816:B817"/>
    <mergeCell ref="B818:D818"/>
    <mergeCell ref="B819:B823"/>
    <mergeCell ref="B824:D824"/>
    <mergeCell ref="B825:B827"/>
    <mergeCell ref="B828:D828"/>
    <mergeCell ref="B829:B830"/>
    <mergeCell ref="B831:D831"/>
    <mergeCell ref="B790:B793"/>
    <mergeCell ref="B794:D794"/>
    <mergeCell ref="B795:B802"/>
    <mergeCell ref="B803:D803"/>
    <mergeCell ref="B805:D805"/>
    <mergeCell ref="B806:D806"/>
    <mergeCell ref="B807:B809"/>
    <mergeCell ref="B810:D810"/>
    <mergeCell ref="B811:B814"/>
    <mergeCell ref="B762:D762"/>
    <mergeCell ref="B763:D763"/>
    <mergeCell ref="B764:B767"/>
    <mergeCell ref="B768:D768"/>
    <mergeCell ref="B769:B776"/>
    <mergeCell ref="B777:D777"/>
    <mergeCell ref="B778:D778"/>
    <mergeCell ref="B779:D779"/>
    <mergeCell ref="B780:B789"/>
    <mergeCell ref="B747:D747"/>
    <mergeCell ref="B748:B754"/>
    <mergeCell ref="B755:D755"/>
    <mergeCell ref="B756:B757"/>
    <mergeCell ref="B758:D758"/>
    <mergeCell ref="B759:B761"/>
    <mergeCell ref="A732:A734"/>
    <mergeCell ref="B732:B734"/>
    <mergeCell ref="C732:C734"/>
    <mergeCell ref="D732:D734"/>
    <mergeCell ref="E732:O732"/>
    <mergeCell ref="E733:E734"/>
    <mergeCell ref="F733:F734"/>
    <mergeCell ref="G733:J733"/>
    <mergeCell ref="K733:M733"/>
    <mergeCell ref="N733:N734"/>
    <mergeCell ref="O733:O734"/>
    <mergeCell ref="E629:O629"/>
    <mergeCell ref="E630:E631"/>
    <mergeCell ref="F630:F631"/>
    <mergeCell ref="G630:J630"/>
    <mergeCell ref="K630:M630"/>
    <mergeCell ref="N630:N631"/>
    <mergeCell ref="B721:D721"/>
    <mergeCell ref="B722:B724"/>
    <mergeCell ref="B725:D725"/>
    <mergeCell ref="B726:B727"/>
    <mergeCell ref="B728:D728"/>
    <mergeCell ref="B687:B690"/>
    <mergeCell ref="B691:D691"/>
    <mergeCell ref="B692:B699"/>
    <mergeCell ref="B700:D700"/>
    <mergeCell ref="B702:D702"/>
    <mergeCell ref="B703:D703"/>
    <mergeCell ref="B704:B706"/>
    <mergeCell ref="B707:D707"/>
    <mergeCell ref="B708:B711"/>
    <mergeCell ref="B459:D459"/>
    <mergeCell ref="B460:B467"/>
    <mergeCell ref="B468:D468"/>
    <mergeCell ref="A423:A425"/>
    <mergeCell ref="B423:B425"/>
    <mergeCell ref="C423:C425"/>
    <mergeCell ref="D423:D425"/>
    <mergeCell ref="E423:O423"/>
    <mergeCell ref="E424:E425"/>
    <mergeCell ref="F424:F425"/>
    <mergeCell ref="G424:J424"/>
    <mergeCell ref="K424:M424"/>
    <mergeCell ref="B659:D659"/>
    <mergeCell ref="B660:D660"/>
    <mergeCell ref="B661:B664"/>
    <mergeCell ref="B665:D665"/>
    <mergeCell ref="B666:B673"/>
    <mergeCell ref="B469:D469"/>
    <mergeCell ref="B470:D470"/>
    <mergeCell ref="B471:B480"/>
    <mergeCell ref="B481:B484"/>
    <mergeCell ref="B485:D485"/>
    <mergeCell ref="B486:B493"/>
    <mergeCell ref="B494:D494"/>
    <mergeCell ref="B496:D496"/>
    <mergeCell ref="B497:D497"/>
    <mergeCell ref="B498:B500"/>
    <mergeCell ref="B501:D501"/>
    <mergeCell ref="B502:B505"/>
    <mergeCell ref="B523:D523"/>
    <mergeCell ref="B524:D524"/>
    <mergeCell ref="B525:D525"/>
    <mergeCell ref="B344:B345"/>
    <mergeCell ref="B346:D346"/>
    <mergeCell ref="B347:B349"/>
    <mergeCell ref="O630:O631"/>
    <mergeCell ref="B420:D420"/>
    <mergeCell ref="B421:D421"/>
    <mergeCell ref="B422:D422"/>
    <mergeCell ref="B403:D403"/>
    <mergeCell ref="B404:B405"/>
    <mergeCell ref="B406:D406"/>
    <mergeCell ref="B407:B411"/>
    <mergeCell ref="B412:D412"/>
    <mergeCell ref="B413:B415"/>
    <mergeCell ref="B416:D416"/>
    <mergeCell ref="B417:B418"/>
    <mergeCell ref="B419:D419"/>
    <mergeCell ref="B378:B381"/>
    <mergeCell ref="B382:D382"/>
    <mergeCell ref="B383:B390"/>
    <mergeCell ref="B391:D391"/>
    <mergeCell ref="B393:D393"/>
    <mergeCell ref="B394:D394"/>
    <mergeCell ref="B395:B397"/>
    <mergeCell ref="B398:D398"/>
    <mergeCell ref="B399:B402"/>
    <mergeCell ref="B446:D446"/>
    <mergeCell ref="B447:B448"/>
    <mergeCell ref="B449:D449"/>
    <mergeCell ref="B450:B452"/>
    <mergeCell ref="B453:D453"/>
    <mergeCell ref="B454:D454"/>
    <mergeCell ref="B455:B458"/>
    <mergeCell ref="A320:A322"/>
    <mergeCell ref="B320:B322"/>
    <mergeCell ref="C320:C322"/>
    <mergeCell ref="D320:D322"/>
    <mergeCell ref="E320:O320"/>
    <mergeCell ref="E321:E322"/>
    <mergeCell ref="F321:F322"/>
    <mergeCell ref="G321:J321"/>
    <mergeCell ref="K321:M321"/>
    <mergeCell ref="N321:N322"/>
    <mergeCell ref="O321:O322"/>
    <mergeCell ref="B213:D213"/>
    <mergeCell ref="B214:D214"/>
    <mergeCell ref="B215:D215"/>
    <mergeCell ref="B216:D216"/>
    <mergeCell ref="B201:B205"/>
    <mergeCell ref="B206:D206"/>
    <mergeCell ref="B207:B209"/>
    <mergeCell ref="B210:D210"/>
    <mergeCell ref="B211:B212"/>
    <mergeCell ref="B220:B223"/>
    <mergeCell ref="B224:D224"/>
    <mergeCell ref="B225:B231"/>
    <mergeCell ref="B232:D232"/>
    <mergeCell ref="B233:B239"/>
    <mergeCell ref="B240:D240"/>
    <mergeCell ref="B241:B242"/>
    <mergeCell ref="B243:D243"/>
    <mergeCell ref="B244:B246"/>
    <mergeCell ref="B247:D247"/>
    <mergeCell ref="B248:D248"/>
    <mergeCell ref="B249:B252"/>
    <mergeCell ref="B192:D192"/>
    <mergeCell ref="B193:B196"/>
    <mergeCell ref="B197:D197"/>
    <mergeCell ref="B198:B199"/>
    <mergeCell ref="B200:D200"/>
    <mergeCell ref="B177:B184"/>
    <mergeCell ref="B185:D185"/>
    <mergeCell ref="B187:D187"/>
    <mergeCell ref="B188:D188"/>
    <mergeCell ref="B189:B191"/>
    <mergeCell ref="B69:B72"/>
    <mergeCell ref="B73:D73"/>
    <mergeCell ref="B74:B81"/>
    <mergeCell ref="B82:D82"/>
    <mergeCell ref="B107:D107"/>
    <mergeCell ref="B108:B109"/>
    <mergeCell ref="B110:D110"/>
    <mergeCell ref="B111:D111"/>
    <mergeCell ref="B112:D112"/>
    <mergeCell ref="B160:D160"/>
    <mergeCell ref="B161:D161"/>
    <mergeCell ref="B162:B171"/>
    <mergeCell ref="B172:B175"/>
    <mergeCell ref="B176:D176"/>
    <mergeCell ref="B145:D145"/>
    <mergeCell ref="B146:B149"/>
    <mergeCell ref="B150:D150"/>
    <mergeCell ref="B151:B158"/>
    <mergeCell ref="B159:D159"/>
    <mergeCell ref="B137:D137"/>
    <mergeCell ref="B138:B139"/>
    <mergeCell ref="B140:D140"/>
    <mergeCell ref="B141:B143"/>
    <mergeCell ref="B144:D144"/>
    <mergeCell ref="B117:B120"/>
    <mergeCell ref="B121:D121"/>
    <mergeCell ref="B122:B128"/>
    <mergeCell ref="B129:D129"/>
    <mergeCell ref="B130:B136"/>
    <mergeCell ref="B94:D94"/>
    <mergeCell ref="B84:D84"/>
    <mergeCell ref="B85:D85"/>
    <mergeCell ref="B35:B36"/>
    <mergeCell ref="B14:B17"/>
    <mergeCell ref="B18:D18"/>
    <mergeCell ref="B19:B25"/>
    <mergeCell ref="B26:D26"/>
    <mergeCell ref="B27:B33"/>
    <mergeCell ref="A114:A116"/>
    <mergeCell ref="B114:B116"/>
    <mergeCell ref="C114:C116"/>
    <mergeCell ref="D114:D116"/>
    <mergeCell ref="E114:O114"/>
    <mergeCell ref="E115:E116"/>
    <mergeCell ref="F115:F116"/>
    <mergeCell ref="G115:J115"/>
    <mergeCell ref="K115:M115"/>
    <mergeCell ref="N115:N116"/>
    <mergeCell ref="O115:O116"/>
    <mergeCell ref="B113:D113"/>
    <mergeCell ref="B37:D37"/>
    <mergeCell ref="B38:B40"/>
    <mergeCell ref="B41:D41"/>
    <mergeCell ref="B42:D42"/>
    <mergeCell ref="B43:B46"/>
    <mergeCell ref="B47:D47"/>
    <mergeCell ref="B48:B55"/>
    <mergeCell ref="B56:D56"/>
    <mergeCell ref="B57:D57"/>
    <mergeCell ref="B58:D58"/>
    <mergeCell ref="B59:B68"/>
    <mergeCell ref="A9:O9"/>
    <mergeCell ref="A11:A13"/>
    <mergeCell ref="B11:B13"/>
    <mergeCell ref="C11:C13"/>
    <mergeCell ref="D11:D13"/>
    <mergeCell ref="E11:O11"/>
    <mergeCell ref="E12:E13"/>
    <mergeCell ref="F12:F13"/>
    <mergeCell ref="G12:J12"/>
    <mergeCell ref="K12:M12"/>
    <mergeCell ref="N12:N13"/>
    <mergeCell ref="O12:O13"/>
    <mergeCell ref="A217:A219"/>
    <mergeCell ref="B217:B219"/>
    <mergeCell ref="C217:C219"/>
    <mergeCell ref="D217:D219"/>
    <mergeCell ref="E217:O217"/>
    <mergeCell ref="E218:E219"/>
    <mergeCell ref="F218:F219"/>
    <mergeCell ref="G218:J218"/>
    <mergeCell ref="K218:M218"/>
    <mergeCell ref="N218:N219"/>
    <mergeCell ref="O218:O219"/>
    <mergeCell ref="B95:B96"/>
    <mergeCell ref="B97:D97"/>
    <mergeCell ref="B98:B102"/>
    <mergeCell ref="B103:D103"/>
    <mergeCell ref="B104:B106"/>
    <mergeCell ref="B34:D34"/>
    <mergeCell ref="B86:B88"/>
    <mergeCell ref="B89:D89"/>
    <mergeCell ref="B90:B93"/>
    <mergeCell ref="B253:D253"/>
    <mergeCell ref="B254:B261"/>
    <mergeCell ref="B262:D262"/>
    <mergeCell ref="B263:D263"/>
    <mergeCell ref="B264:D264"/>
    <mergeCell ref="B265:B274"/>
    <mergeCell ref="B275:B278"/>
    <mergeCell ref="B279:D279"/>
    <mergeCell ref="B280:B287"/>
    <mergeCell ref="B288:D288"/>
    <mergeCell ref="B290:D290"/>
    <mergeCell ref="B291:D291"/>
    <mergeCell ref="B292:B294"/>
    <mergeCell ref="B295:D295"/>
    <mergeCell ref="B296:B299"/>
    <mergeCell ref="B317:D317"/>
    <mergeCell ref="B318:D318"/>
    <mergeCell ref="B319:D319"/>
    <mergeCell ref="B300:D300"/>
    <mergeCell ref="B301:B302"/>
    <mergeCell ref="B303:D303"/>
    <mergeCell ref="B304:B308"/>
    <mergeCell ref="B309:D309"/>
    <mergeCell ref="B310:B312"/>
    <mergeCell ref="B313:D313"/>
    <mergeCell ref="B314:B315"/>
    <mergeCell ref="B316:D316"/>
    <mergeCell ref="N424:N425"/>
    <mergeCell ref="O424:O425"/>
    <mergeCell ref="B426:B429"/>
    <mergeCell ref="B430:D430"/>
    <mergeCell ref="B431:B437"/>
    <mergeCell ref="B438:D438"/>
    <mergeCell ref="B439:B445"/>
    <mergeCell ref="B350:D350"/>
    <mergeCell ref="B351:D351"/>
    <mergeCell ref="B352:B355"/>
    <mergeCell ref="B356:D356"/>
    <mergeCell ref="B357:B364"/>
    <mergeCell ref="B365:D365"/>
    <mergeCell ref="B366:D366"/>
    <mergeCell ref="B367:D367"/>
    <mergeCell ref="B368:B377"/>
    <mergeCell ref="B323:B326"/>
    <mergeCell ref="B327:D327"/>
    <mergeCell ref="B328:B334"/>
    <mergeCell ref="B335:D335"/>
    <mergeCell ref="B336:B342"/>
    <mergeCell ref="B343:D343"/>
    <mergeCell ref="B506:D506"/>
    <mergeCell ref="B507:B508"/>
    <mergeCell ref="B509:D509"/>
    <mergeCell ref="B510:B514"/>
    <mergeCell ref="B515:D515"/>
    <mergeCell ref="B516:B518"/>
    <mergeCell ref="B519:D519"/>
    <mergeCell ref="B520:B521"/>
    <mergeCell ref="B522:D522"/>
    <mergeCell ref="A526:A528"/>
    <mergeCell ref="B526:B528"/>
    <mergeCell ref="C526:C528"/>
    <mergeCell ref="D526:D528"/>
    <mergeCell ref="E526:O526"/>
    <mergeCell ref="E527:E528"/>
    <mergeCell ref="F527:F528"/>
    <mergeCell ref="G527:J527"/>
    <mergeCell ref="K527:M527"/>
    <mergeCell ref="N527:N528"/>
    <mergeCell ref="O527:O528"/>
    <mergeCell ref="B529:B532"/>
    <mergeCell ref="B533:D533"/>
    <mergeCell ref="B534:B540"/>
    <mergeCell ref="B541:D541"/>
    <mergeCell ref="B542:B548"/>
    <mergeCell ref="B549:D549"/>
    <mergeCell ref="B550:B551"/>
    <mergeCell ref="B552:D552"/>
    <mergeCell ref="B553:B555"/>
    <mergeCell ref="B556:D556"/>
    <mergeCell ref="B557:D557"/>
    <mergeCell ref="B558:B561"/>
    <mergeCell ref="B562:D562"/>
    <mergeCell ref="B563:B570"/>
    <mergeCell ref="B571:D571"/>
    <mergeCell ref="B572:D572"/>
    <mergeCell ref="B573:D573"/>
    <mergeCell ref="B574:B583"/>
    <mergeCell ref="B584:B587"/>
    <mergeCell ref="B588:D588"/>
    <mergeCell ref="B589:B596"/>
    <mergeCell ref="B597:D597"/>
    <mergeCell ref="B599:D599"/>
    <mergeCell ref="B600:D600"/>
    <mergeCell ref="B601:B603"/>
    <mergeCell ref="B604:D604"/>
    <mergeCell ref="B605:B608"/>
    <mergeCell ref="B626:D626"/>
    <mergeCell ref="B627:D627"/>
    <mergeCell ref="B628:D628"/>
    <mergeCell ref="B609:D609"/>
    <mergeCell ref="B610:B611"/>
    <mergeCell ref="B612:D612"/>
    <mergeCell ref="B613:B617"/>
    <mergeCell ref="B618:D618"/>
    <mergeCell ref="B619:B621"/>
    <mergeCell ref="B622:D622"/>
    <mergeCell ref="B623:B624"/>
    <mergeCell ref="B625:D625"/>
    <mergeCell ref="A1042:A1044"/>
    <mergeCell ref="B1042:B1044"/>
    <mergeCell ref="C1042:C1044"/>
    <mergeCell ref="D1042:D1044"/>
    <mergeCell ref="A629:A631"/>
    <mergeCell ref="B629:B631"/>
    <mergeCell ref="C629:C631"/>
    <mergeCell ref="D629:D631"/>
    <mergeCell ref="B677:B686"/>
    <mergeCell ref="B729:D729"/>
    <mergeCell ref="B730:D730"/>
    <mergeCell ref="B731:D731"/>
    <mergeCell ref="B712:D712"/>
    <mergeCell ref="B713:B714"/>
    <mergeCell ref="B715:D715"/>
    <mergeCell ref="B716:B720"/>
    <mergeCell ref="B1075:B1078"/>
    <mergeCell ref="B674:D674"/>
    <mergeCell ref="B675:D675"/>
    <mergeCell ref="B676:D676"/>
    <mergeCell ref="B632:B635"/>
    <mergeCell ref="B636:D636"/>
    <mergeCell ref="B637:B643"/>
    <mergeCell ref="B644:D644"/>
    <mergeCell ref="B645:B651"/>
    <mergeCell ref="B652:D652"/>
    <mergeCell ref="B653:B654"/>
    <mergeCell ref="B655:D655"/>
    <mergeCell ref="B656:B658"/>
    <mergeCell ref="B735:B738"/>
    <mergeCell ref="B739:D739"/>
    <mergeCell ref="B740:B746"/>
    <mergeCell ref="B1101:B1104"/>
    <mergeCell ref="B1105:D1105"/>
    <mergeCell ref="B1106:B1113"/>
    <mergeCell ref="B1114:D1114"/>
    <mergeCell ref="B1116:D1116"/>
    <mergeCell ref="B1117:D1117"/>
    <mergeCell ref="B1118:B1120"/>
    <mergeCell ref="B1121:D1121"/>
    <mergeCell ref="B1122:B1125"/>
    <mergeCell ref="B1143:D1143"/>
    <mergeCell ref="B1144:D1144"/>
    <mergeCell ref="B1145:D1145"/>
    <mergeCell ref="B1126:D1126"/>
    <mergeCell ref="B1127:B1128"/>
    <mergeCell ref="B1129:D1129"/>
    <mergeCell ref="B1130:B1134"/>
    <mergeCell ref="B1135:D1135"/>
    <mergeCell ref="B1136:B1138"/>
    <mergeCell ref="B1139:D1139"/>
    <mergeCell ref="B1140:B1141"/>
    <mergeCell ref="B1142:D1142"/>
    <mergeCell ref="A1146:A1148"/>
    <mergeCell ref="B1146:B1148"/>
    <mergeCell ref="C1146:C1148"/>
    <mergeCell ref="D1146:D1148"/>
    <mergeCell ref="E1146:O1146"/>
    <mergeCell ref="E1147:E1148"/>
    <mergeCell ref="F1147:F1148"/>
    <mergeCell ref="G1147:J1147"/>
    <mergeCell ref="K1147:M1147"/>
    <mergeCell ref="N1147:N1148"/>
    <mergeCell ref="O1147:O1148"/>
    <mergeCell ref="B1149:B1152"/>
    <mergeCell ref="B1153:D1153"/>
    <mergeCell ref="B1154:B1160"/>
    <mergeCell ref="B1161:D1161"/>
    <mergeCell ref="B1162:B1168"/>
    <mergeCell ref="B1169:D1169"/>
    <mergeCell ref="B1170:B1172"/>
    <mergeCell ref="B1173:D1173"/>
    <mergeCell ref="B1174:B1176"/>
    <mergeCell ref="B1177:D1177"/>
    <mergeCell ref="B1178:D1178"/>
    <mergeCell ref="B1179:B1182"/>
    <mergeCell ref="B1183:D1183"/>
    <mergeCell ref="B1184:B1191"/>
    <mergeCell ref="B1192:D1192"/>
    <mergeCell ref="B1193:D1193"/>
    <mergeCell ref="B1194:D1194"/>
    <mergeCell ref="B1195:B1204"/>
    <mergeCell ref="B1205:B1208"/>
    <mergeCell ref="B1209:D1209"/>
    <mergeCell ref="B1210:B1217"/>
    <mergeCell ref="B1218:D1218"/>
    <mergeCell ref="B1220:D1220"/>
    <mergeCell ref="B1221:D1221"/>
    <mergeCell ref="B1222:B1224"/>
    <mergeCell ref="B1225:D1225"/>
    <mergeCell ref="B1226:B1229"/>
    <mergeCell ref="B1247:D1247"/>
    <mergeCell ref="B1248:D1248"/>
    <mergeCell ref="B1249:D1249"/>
    <mergeCell ref="B1230:D1230"/>
    <mergeCell ref="B1231:B1232"/>
    <mergeCell ref="B1233:D1233"/>
    <mergeCell ref="B1234:B1238"/>
    <mergeCell ref="B1239:D1239"/>
    <mergeCell ref="B1240:B1242"/>
    <mergeCell ref="B1243:D1243"/>
    <mergeCell ref="B1244:B1245"/>
    <mergeCell ref="B1246:D1246"/>
    <mergeCell ref="A1250:A1252"/>
    <mergeCell ref="B1250:B1252"/>
    <mergeCell ref="C1250:C1252"/>
    <mergeCell ref="D1250:D1252"/>
    <mergeCell ref="E1250:O1250"/>
    <mergeCell ref="E1251:E1252"/>
    <mergeCell ref="F1251:F1252"/>
    <mergeCell ref="G1251:J1251"/>
    <mergeCell ref="K1251:M1251"/>
    <mergeCell ref="N1251:N1252"/>
    <mergeCell ref="O1251:O1252"/>
    <mergeCell ref="B1253:B1256"/>
    <mergeCell ref="B1257:D1257"/>
    <mergeCell ref="B1258:B1264"/>
    <mergeCell ref="B1265:D1265"/>
    <mergeCell ref="B1266:B1272"/>
    <mergeCell ref="B1273:D1273"/>
    <mergeCell ref="B1274:B1276"/>
    <mergeCell ref="B1277:D1277"/>
    <mergeCell ref="B1278:B1280"/>
    <mergeCell ref="B1281:D1281"/>
    <mergeCell ref="B1282:D1282"/>
    <mergeCell ref="B1283:B1286"/>
    <mergeCell ref="B1287:D1287"/>
    <mergeCell ref="B1288:B1295"/>
    <mergeCell ref="B1296:D1296"/>
    <mergeCell ref="B1297:D1297"/>
    <mergeCell ref="B1298:D1298"/>
    <mergeCell ref="B1299:B1308"/>
    <mergeCell ref="B1309:B1312"/>
    <mergeCell ref="B1313:D1313"/>
    <mergeCell ref="B1314:B1321"/>
    <mergeCell ref="B1322:D1322"/>
    <mergeCell ref="B1324:D1324"/>
    <mergeCell ref="B1325:D1325"/>
    <mergeCell ref="B1326:B1328"/>
    <mergeCell ref="B1329:D1329"/>
    <mergeCell ref="B1330:B1333"/>
    <mergeCell ref="B1351:D1351"/>
    <mergeCell ref="B1352:D1352"/>
    <mergeCell ref="B1353:D1353"/>
    <mergeCell ref="B1334:D1334"/>
    <mergeCell ref="B1335:B1336"/>
    <mergeCell ref="B1337:D1337"/>
    <mergeCell ref="B1338:B1342"/>
    <mergeCell ref="B1343:D1343"/>
    <mergeCell ref="B1344:B1346"/>
    <mergeCell ref="B1347:D1347"/>
    <mergeCell ref="B1348:B1349"/>
    <mergeCell ref="B1350:D1350"/>
    <mergeCell ref="A1458:A1460"/>
    <mergeCell ref="B1458:B1460"/>
    <mergeCell ref="C1458:C1460"/>
    <mergeCell ref="D1458:D1460"/>
    <mergeCell ref="B1401:D1401"/>
    <mergeCell ref="B1402:D1402"/>
    <mergeCell ref="B1403:B1412"/>
    <mergeCell ref="B1455:D1455"/>
    <mergeCell ref="B1456:D1456"/>
    <mergeCell ref="B1457:D1457"/>
    <mergeCell ref="B1438:D1438"/>
    <mergeCell ref="B1439:B1440"/>
    <mergeCell ref="B1441:D1441"/>
    <mergeCell ref="B1442:B1446"/>
    <mergeCell ref="B1447:D1447"/>
    <mergeCell ref="B1448:B1450"/>
    <mergeCell ref="E1458:O1458"/>
    <mergeCell ref="E1459:E1460"/>
    <mergeCell ref="F1459:F1460"/>
    <mergeCell ref="G1459:J1459"/>
    <mergeCell ref="K1459:M1459"/>
    <mergeCell ref="N1459:N1460"/>
    <mergeCell ref="O1459:O1460"/>
    <mergeCell ref="A1354:A1356"/>
    <mergeCell ref="B1354:B1356"/>
    <mergeCell ref="C1354:C1356"/>
    <mergeCell ref="D1354:D1356"/>
    <mergeCell ref="E1354:O1354"/>
    <mergeCell ref="E1355:E1356"/>
    <mergeCell ref="F1355:F1356"/>
    <mergeCell ref="G1355:J1355"/>
    <mergeCell ref="K1355:M1355"/>
    <mergeCell ref="B1461:B1464"/>
    <mergeCell ref="N1355:N1356"/>
    <mergeCell ref="O1355:O1356"/>
    <mergeCell ref="B1451:D1451"/>
    <mergeCell ref="B1452:B1453"/>
    <mergeCell ref="B1454:D1454"/>
    <mergeCell ref="B1413:B1416"/>
    <mergeCell ref="B1417:D1417"/>
    <mergeCell ref="B1418:B1425"/>
    <mergeCell ref="B1426:D1426"/>
    <mergeCell ref="B1428:D1428"/>
    <mergeCell ref="B1429:D1429"/>
    <mergeCell ref="B1430:B1432"/>
    <mergeCell ref="B1433:D1433"/>
    <mergeCell ref="B1434:B1437"/>
    <mergeCell ref="B1465:D1465"/>
    <mergeCell ref="B1466:B1472"/>
    <mergeCell ref="B1473:D1473"/>
    <mergeCell ref="B1474:B1480"/>
    <mergeCell ref="B1481:D1481"/>
    <mergeCell ref="B1482:B1484"/>
    <mergeCell ref="B1485:D1485"/>
    <mergeCell ref="B1486:B1488"/>
    <mergeCell ref="B1489:D1489"/>
    <mergeCell ref="B1490:D1490"/>
    <mergeCell ref="B1491:B1494"/>
    <mergeCell ref="B1495:D1495"/>
    <mergeCell ref="B1496:B1503"/>
    <mergeCell ref="B1504:D1504"/>
    <mergeCell ref="B1505:D1505"/>
    <mergeCell ref="B1506:D1506"/>
    <mergeCell ref="B1507:B1516"/>
    <mergeCell ref="B1517:B1520"/>
    <mergeCell ref="B1521:D1521"/>
    <mergeCell ref="B1522:B1529"/>
    <mergeCell ref="B1530:D1530"/>
    <mergeCell ref="B1532:D1532"/>
    <mergeCell ref="B1533:D1533"/>
    <mergeCell ref="B1534:B1536"/>
    <mergeCell ref="B1537:D1537"/>
    <mergeCell ref="B1538:B1541"/>
    <mergeCell ref="B1559:D1559"/>
    <mergeCell ref="B1560:D1560"/>
    <mergeCell ref="B1561:D1561"/>
    <mergeCell ref="B1542:D1542"/>
    <mergeCell ref="B1543:B1544"/>
    <mergeCell ref="B1545:D1545"/>
    <mergeCell ref="B1546:B1550"/>
    <mergeCell ref="B1551:D1551"/>
    <mergeCell ref="B1552:B1554"/>
    <mergeCell ref="B1555:D1555"/>
    <mergeCell ref="B1556:B1557"/>
    <mergeCell ref="B1558:D1558"/>
    <mergeCell ref="N1667:N1668"/>
    <mergeCell ref="O1667:O1668"/>
    <mergeCell ref="B1669:B1672"/>
    <mergeCell ref="B1673:D1673"/>
    <mergeCell ref="B1674:B1680"/>
    <mergeCell ref="B1681:D1681"/>
    <mergeCell ref="B1682:B1688"/>
    <mergeCell ref="B1689:D1689"/>
    <mergeCell ref="B1690:B1692"/>
    <mergeCell ref="B1693:D1693"/>
    <mergeCell ref="B1694:B1696"/>
    <mergeCell ref="B1697:D1697"/>
    <mergeCell ref="B1698:D1698"/>
    <mergeCell ref="B1699:B1702"/>
    <mergeCell ref="B1703:D1703"/>
    <mergeCell ref="B1704:B1711"/>
    <mergeCell ref="B1712:D1712"/>
    <mergeCell ref="B1713:D1713"/>
    <mergeCell ref="B1714:D1714"/>
    <mergeCell ref="B1715:B1724"/>
    <mergeCell ref="B1725:B1728"/>
    <mergeCell ref="B1729:D1729"/>
    <mergeCell ref="B1730:B1737"/>
    <mergeCell ref="B1738:D1738"/>
    <mergeCell ref="B1740:D1740"/>
    <mergeCell ref="B1741:D1741"/>
    <mergeCell ref="B1742:B1744"/>
    <mergeCell ref="B1745:D1745"/>
    <mergeCell ref="B1746:B1749"/>
    <mergeCell ref="B1767:D1767"/>
    <mergeCell ref="B1768:D1768"/>
    <mergeCell ref="B1769:D1769"/>
    <mergeCell ref="B1750:D1750"/>
    <mergeCell ref="B1751:B1752"/>
    <mergeCell ref="B1753:D1753"/>
    <mergeCell ref="B1754:B1758"/>
    <mergeCell ref="B1759:D1759"/>
    <mergeCell ref="B1760:B1762"/>
    <mergeCell ref="B1763:D1763"/>
    <mergeCell ref="B1764:B1765"/>
    <mergeCell ref="B1766:D1766"/>
    <mergeCell ref="B2364:D2364"/>
    <mergeCell ref="A2290:A2292"/>
    <mergeCell ref="B2290:B2292"/>
    <mergeCell ref="C2290:C2292"/>
    <mergeCell ref="D2290:D2292"/>
    <mergeCell ref="E2290:O2290"/>
    <mergeCell ref="E2291:E2292"/>
    <mergeCell ref="F2291:F2292"/>
    <mergeCell ref="G2291:J2291"/>
    <mergeCell ref="K2291:M2291"/>
    <mergeCell ref="N2291:N2292"/>
    <mergeCell ref="O2291:O2292"/>
    <mergeCell ref="B2293:B2296"/>
    <mergeCell ref="B2297:D2297"/>
    <mergeCell ref="B2298:B2304"/>
    <mergeCell ref="B2305:D2305"/>
    <mergeCell ref="B2306:B2312"/>
    <mergeCell ref="B2313:D2313"/>
    <mergeCell ref="B2365:D2365"/>
    <mergeCell ref="B2366:B2368"/>
    <mergeCell ref="B2369:D2369"/>
    <mergeCell ref="B2370:B2373"/>
    <mergeCell ref="B2374:D2374"/>
    <mergeCell ref="B2375:B2376"/>
    <mergeCell ref="B2377:D2377"/>
    <mergeCell ref="B2378:B2382"/>
    <mergeCell ref="B2383:D2383"/>
    <mergeCell ref="B2384:B2386"/>
    <mergeCell ref="B2387:D2387"/>
    <mergeCell ref="B2388:B2389"/>
    <mergeCell ref="B2390:D2390"/>
    <mergeCell ref="B2391:D2391"/>
    <mergeCell ref="B2392:D2392"/>
    <mergeCell ref="B2393:D2393"/>
    <mergeCell ref="B2314:B2316"/>
    <mergeCell ref="B2317:D2317"/>
    <mergeCell ref="B2318:B2320"/>
    <mergeCell ref="B2321:D2321"/>
    <mergeCell ref="B2322:D2322"/>
    <mergeCell ref="B2323:B2326"/>
    <mergeCell ref="B2327:D2327"/>
    <mergeCell ref="B2328:B2335"/>
    <mergeCell ref="B2336:D2336"/>
    <mergeCell ref="B2337:D2337"/>
    <mergeCell ref="B2338:D2338"/>
    <mergeCell ref="B2339:B2348"/>
    <mergeCell ref="B2349:B2352"/>
    <mergeCell ref="B2353:D2353"/>
    <mergeCell ref="B2354:B2361"/>
    <mergeCell ref="B2362:D2362"/>
  </mergeCells>
  <pageMargins left="0.19685039370078741" right="0.19685039370078741" top="0.19685039370078741" bottom="0.19685039370078741" header="0.19685039370078741" footer="0.19685039370078741"/>
  <pageSetup paperSize="9" scale="29" orientation="portrait" verticalDpi="300" r:id="rId1"/>
  <rowBreaks count="23" manualBreakCount="23">
    <brk id="10" max="14" man="1"/>
    <brk id="113" max="14" man="1"/>
    <brk id="216" max="14" man="1"/>
    <brk id="319" max="14" man="1"/>
    <brk id="422" max="14" man="1"/>
    <brk id="525" max="14" man="1"/>
    <brk id="628" max="14" man="1"/>
    <brk id="731" max="14" man="1"/>
    <brk id="834" max="14" man="1"/>
    <brk id="937" max="14" man="1"/>
    <brk id="1041" max="14" man="1"/>
    <brk id="1145" max="14" man="1"/>
    <brk id="1249" max="14" man="1"/>
    <brk id="1353" max="14" man="1"/>
    <brk id="1457" max="14" man="1"/>
    <brk id="1561" max="14" man="1"/>
    <brk id="1665" max="14" man="1"/>
    <brk id="1769" max="14" man="1"/>
    <brk id="1873" max="14" man="1"/>
    <brk id="1977" max="14" man="1"/>
    <brk id="2081" max="14" man="1"/>
    <brk id="2185" max="14" man="1"/>
    <brk id="2289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7:L2414"/>
  <sheetViews>
    <sheetView view="pageBreakPreview" topLeftCell="A2298" zoomScale="50" zoomScaleNormal="70" zoomScaleSheetLayoutView="50" workbookViewId="0">
      <pane xSplit="4" topLeftCell="E1" activePane="topRight" state="frozen"/>
      <selection pane="topRight" activeCell="E2104" sqref="E2104"/>
    </sheetView>
  </sheetViews>
  <sheetFormatPr defaultColWidth="9.109375" defaultRowHeight="13.8" x14ac:dyDescent="0.3"/>
  <cols>
    <col min="1" max="1" width="10.109375" style="229" customWidth="1"/>
    <col min="2" max="2" width="14.44140625" style="269" customWidth="1"/>
    <col min="3" max="3" width="83.44140625" style="269" customWidth="1"/>
    <col min="4" max="4" width="44.33203125" style="229" customWidth="1"/>
    <col min="5" max="5" width="14.6640625" style="382" customWidth="1"/>
    <col min="6" max="7" width="33.109375" style="383" customWidth="1"/>
    <col min="8" max="8" width="14.6640625" style="382" customWidth="1"/>
    <col min="9" max="10" width="33.109375" style="383" customWidth="1"/>
    <col min="11" max="11" width="9.109375" style="229"/>
    <col min="12" max="12" width="11.33203125" style="229" bestFit="1" customWidth="1"/>
    <col min="13" max="16384" width="9.109375" style="229"/>
  </cols>
  <sheetData>
    <row r="7" spans="1:10" ht="67.2" customHeight="1" x14ac:dyDescent="0.3">
      <c r="A7" s="220" t="s">
        <v>0</v>
      </c>
    </row>
    <row r="9" spans="1:10" ht="81" customHeight="1" x14ac:dyDescent="0.3">
      <c r="A9" s="961" t="s">
        <v>409</v>
      </c>
      <c r="B9" s="962"/>
      <c r="C9" s="962"/>
      <c r="D9" s="962"/>
      <c r="E9" s="962"/>
      <c r="F9" s="962"/>
      <c r="G9" s="962"/>
      <c r="H9" s="962"/>
      <c r="I9" s="962"/>
      <c r="J9" s="962"/>
    </row>
    <row r="10" spans="1:10" ht="24.6" customHeight="1" thickBot="1" x14ac:dyDescent="0.35">
      <c r="A10" s="230"/>
      <c r="B10" s="230"/>
      <c r="C10" s="230"/>
      <c r="D10" s="230"/>
      <c r="E10" s="384"/>
      <c r="F10" s="384"/>
      <c r="G10" s="384"/>
      <c r="H10" s="384"/>
      <c r="I10" s="384"/>
      <c r="J10" s="384"/>
    </row>
    <row r="11" spans="1:10" ht="23.4" x14ac:dyDescent="0.3">
      <c r="A11" s="935" t="s">
        <v>1</v>
      </c>
      <c r="B11" s="938" t="s">
        <v>2</v>
      </c>
      <c r="C11" s="941" t="s">
        <v>3</v>
      </c>
      <c r="D11" s="941" t="s">
        <v>93</v>
      </c>
      <c r="E11" s="965" t="s">
        <v>176</v>
      </c>
      <c r="F11" s="966"/>
      <c r="G11" s="966"/>
      <c r="H11" s="451"/>
      <c r="I11" s="451"/>
      <c r="J11" s="452"/>
    </row>
    <row r="12" spans="1:10" ht="23.4" x14ac:dyDescent="0.3">
      <c r="A12" s="936"/>
      <c r="B12" s="939"/>
      <c r="C12" s="942"/>
      <c r="D12" s="942"/>
      <c r="E12" s="967" t="s">
        <v>178</v>
      </c>
      <c r="F12" s="968"/>
      <c r="G12" s="969"/>
      <c r="H12" s="967" t="s">
        <v>177</v>
      </c>
      <c r="I12" s="968"/>
      <c r="J12" s="969"/>
    </row>
    <row r="13" spans="1:10" ht="46.8" x14ac:dyDescent="0.3">
      <c r="A13" s="937"/>
      <c r="B13" s="963"/>
      <c r="C13" s="964"/>
      <c r="D13" s="964"/>
      <c r="E13" s="385" t="s">
        <v>179</v>
      </c>
      <c r="F13" s="656" t="s">
        <v>11</v>
      </c>
      <c r="G13" s="657" t="s">
        <v>12</v>
      </c>
      <c r="H13" s="970" t="s">
        <v>179</v>
      </c>
      <c r="I13" s="972" t="s">
        <v>145</v>
      </c>
      <c r="J13" s="974" t="s">
        <v>12</v>
      </c>
    </row>
    <row r="14" spans="1:10" ht="24" thickBot="1" x14ac:dyDescent="0.35">
      <c r="A14" s="937"/>
      <c r="B14" s="940"/>
      <c r="C14" s="943"/>
      <c r="D14" s="943"/>
      <c r="E14" s="976">
        <v>44502</v>
      </c>
      <c r="F14" s="977"/>
      <c r="G14" s="978"/>
      <c r="H14" s="971"/>
      <c r="I14" s="973"/>
      <c r="J14" s="975"/>
    </row>
    <row r="15" spans="1:10" ht="23.4" x14ac:dyDescent="0.3">
      <c r="A15" s="271" t="s">
        <v>111</v>
      </c>
      <c r="B15" s="922" t="s">
        <v>16</v>
      </c>
      <c r="C15" s="272" t="s">
        <v>186</v>
      </c>
      <c r="D15" s="272" t="s">
        <v>184</v>
      </c>
      <c r="E15" s="515">
        <v>81.360699999999994</v>
      </c>
      <c r="F15" s="408">
        <f>IFERROR(E15*'01 Prod Physique Boites'!H14,"-")</f>
        <v>0</v>
      </c>
      <c r="G15" s="408">
        <f>IFERROR(E15*'01 Prod Physique Boites'!L14,"-")</f>
        <v>0</v>
      </c>
      <c r="H15" s="387">
        <v>0</v>
      </c>
      <c r="I15" s="425">
        <f>IFERROR(H15*(F15/E15),"-")</f>
        <v>0</v>
      </c>
      <c r="J15" s="426">
        <f t="shared" ref="J15:J17" si="0">IFERROR(H15*(G15/E15),"-")</f>
        <v>0</v>
      </c>
    </row>
    <row r="16" spans="1:10" ht="23.4" x14ac:dyDescent="0.3">
      <c r="A16" s="277" t="s">
        <v>111</v>
      </c>
      <c r="B16" s="923"/>
      <c r="C16" s="278" t="s">
        <v>190</v>
      </c>
      <c r="D16" s="278" t="s">
        <v>101</v>
      </c>
      <c r="E16" s="516">
        <v>81.360699999999994</v>
      </c>
      <c r="F16" s="408">
        <f>IFERROR(E16*'01 Prod Physique Boites'!H15,"-")</f>
        <v>0</v>
      </c>
      <c r="G16" s="408">
        <f>IFERROR(E16*'01 Prod Physique Boites'!L15,"-")</f>
        <v>0</v>
      </c>
      <c r="H16" s="391">
        <v>0</v>
      </c>
      <c r="I16" s="425">
        <f>IFERROR(H16*(F16/E16),"-")</f>
        <v>0</v>
      </c>
      <c r="J16" s="426">
        <f t="shared" si="0"/>
        <v>0</v>
      </c>
    </row>
    <row r="17" spans="1:10" ht="23.4" x14ac:dyDescent="0.3">
      <c r="A17" s="277" t="s">
        <v>111</v>
      </c>
      <c r="B17" s="923"/>
      <c r="C17" s="278" t="s">
        <v>187</v>
      </c>
      <c r="D17" s="278" t="s">
        <v>185</v>
      </c>
      <c r="E17" s="516">
        <v>55.476900000000001</v>
      </c>
      <c r="F17" s="408">
        <f>IFERROR(E17*'01 Prod Physique Boites'!H16,"-")</f>
        <v>0</v>
      </c>
      <c r="G17" s="408">
        <f>IFERROR(E17*'01 Prod Physique Boites'!L16,"-")</f>
        <v>0</v>
      </c>
      <c r="H17" s="391">
        <v>0</v>
      </c>
      <c r="I17" s="425">
        <f>IFERROR(H17*(F17/E17),"-")</f>
        <v>0</v>
      </c>
      <c r="J17" s="426">
        <f t="shared" si="0"/>
        <v>0</v>
      </c>
    </row>
    <row r="18" spans="1:10" ht="24" thickBot="1" x14ac:dyDescent="0.35">
      <c r="A18" s="277" t="s">
        <v>111</v>
      </c>
      <c r="B18" s="924"/>
      <c r="C18" s="282" t="s">
        <v>289</v>
      </c>
      <c r="D18" s="282" t="s">
        <v>256</v>
      </c>
      <c r="E18" s="512">
        <v>60.703499999999998</v>
      </c>
      <c r="F18" s="408">
        <f>IFERROR(E18*'01 Prod Physique Boites'!H17,"-")</f>
        <v>963485.95199999993</v>
      </c>
      <c r="G18" s="408">
        <f>IFERROR(E18*'01 Prod Physique Boites'!L17,"-")</f>
        <v>963485.95199999993</v>
      </c>
      <c r="H18" s="393">
        <v>111.0883</v>
      </c>
      <c r="I18" s="425">
        <f>IFERROR(H18*(F18/E18),"-")</f>
        <v>1763193.4976000001</v>
      </c>
      <c r="J18" s="426">
        <f>IFERROR(H18*(G18/E18),"-")</f>
        <v>1763193.4976000001</v>
      </c>
    </row>
    <row r="19" spans="1:10" ht="24" thickBot="1" x14ac:dyDescent="0.35">
      <c r="A19" s="277" t="s">
        <v>111</v>
      </c>
      <c r="B19" s="906" t="s">
        <v>47</v>
      </c>
      <c r="C19" s="907"/>
      <c r="D19" s="908"/>
      <c r="E19" s="396"/>
      <c r="F19" s="412">
        <f t="shared" ref="F19:G19" si="1">SUM(F15:F18)</f>
        <v>963485.95199999993</v>
      </c>
      <c r="G19" s="413">
        <f t="shared" si="1"/>
        <v>963485.95199999993</v>
      </c>
      <c r="H19" s="397"/>
      <c r="I19" s="412">
        <f t="shared" ref="I19:J19" si="2">SUM(I15:I18)</f>
        <v>1763193.4976000001</v>
      </c>
      <c r="J19" s="431">
        <f t="shared" si="2"/>
        <v>1763193.4976000001</v>
      </c>
    </row>
    <row r="20" spans="1:10" ht="23.4" x14ac:dyDescent="0.3">
      <c r="A20" s="277" t="s">
        <v>111</v>
      </c>
      <c r="B20" s="922" t="s">
        <v>17</v>
      </c>
      <c r="C20" s="272" t="s">
        <v>331</v>
      </c>
      <c r="D20" s="272"/>
      <c r="E20" s="515">
        <v>12.5275</v>
      </c>
      <c r="F20" s="408">
        <f>IFERROR(E20*'01 Prod Physique Boites'!H19,"-")</f>
        <v>0</v>
      </c>
      <c r="G20" s="408">
        <f>IFERROR(E20*'01 Prod Physique Boites'!L19,"-")</f>
        <v>0</v>
      </c>
      <c r="H20" s="387">
        <v>18.836400000000001</v>
      </c>
      <c r="I20" s="425">
        <f t="shared" ref="I20:I26" si="3">IFERROR(H20*(F20/E20),"-")</f>
        <v>0</v>
      </c>
      <c r="J20" s="426">
        <f t="shared" ref="J20:J26" si="4">IFERROR(H20*(G20/E20),"-")</f>
        <v>0</v>
      </c>
    </row>
    <row r="21" spans="1:10" ht="23.4" x14ac:dyDescent="0.3">
      <c r="A21" s="277" t="s">
        <v>111</v>
      </c>
      <c r="B21" s="923"/>
      <c r="C21" s="278" t="s">
        <v>360</v>
      </c>
      <c r="D21" s="278" t="s">
        <v>257</v>
      </c>
      <c r="E21" s="516">
        <v>13.002700000000001</v>
      </c>
      <c r="F21" s="408">
        <f>IFERROR(E21*'01 Prod Physique Boites'!H20,"-")</f>
        <v>0</v>
      </c>
      <c r="G21" s="408">
        <f>IFERROR(E21*'01 Prod Physique Boites'!L20,"-")</f>
        <v>0</v>
      </c>
      <c r="H21" s="391">
        <v>21.18</v>
      </c>
      <c r="I21" s="427">
        <f t="shared" si="3"/>
        <v>0</v>
      </c>
      <c r="J21" s="428">
        <f t="shared" si="4"/>
        <v>0</v>
      </c>
    </row>
    <row r="22" spans="1:10" ht="23.4" x14ac:dyDescent="0.3">
      <c r="A22" s="277" t="s">
        <v>111</v>
      </c>
      <c r="B22" s="923"/>
      <c r="C22" s="278" t="s">
        <v>392</v>
      </c>
      <c r="D22" s="278" t="s">
        <v>205</v>
      </c>
      <c r="E22" s="516">
        <v>12.9049</v>
      </c>
      <c r="F22" s="408">
        <f>IFERROR(E22*'01 Prod Physique Boites'!H21,"-")</f>
        <v>0</v>
      </c>
      <c r="G22" s="408">
        <f>IFERROR(E22*'01 Prod Physique Boites'!L21,"-")</f>
        <v>0</v>
      </c>
      <c r="H22" s="391">
        <v>20.6602</v>
      </c>
      <c r="I22" s="427">
        <f t="shared" si="3"/>
        <v>0</v>
      </c>
      <c r="J22" s="428">
        <f t="shared" si="4"/>
        <v>0</v>
      </c>
    </row>
    <row r="23" spans="1:10" ht="23.4" x14ac:dyDescent="0.3">
      <c r="A23" s="277" t="s">
        <v>111</v>
      </c>
      <c r="B23" s="923"/>
      <c r="C23" s="278" t="s">
        <v>330</v>
      </c>
      <c r="D23" s="278" t="s">
        <v>206</v>
      </c>
      <c r="E23" s="516">
        <v>13.078200000000001</v>
      </c>
      <c r="F23" s="408">
        <f>IFERROR(E23*'01 Prod Physique Boites'!H22,"-")</f>
        <v>0</v>
      </c>
      <c r="G23" s="408">
        <f>IFERROR(E23*'01 Prod Physique Boites'!L22,"-")</f>
        <v>0</v>
      </c>
      <c r="H23" s="391">
        <v>20.66</v>
      </c>
      <c r="I23" s="427">
        <f t="shared" si="3"/>
        <v>0</v>
      </c>
      <c r="J23" s="428">
        <f t="shared" si="4"/>
        <v>0</v>
      </c>
    </row>
    <row r="24" spans="1:10" ht="23.4" x14ac:dyDescent="0.3">
      <c r="A24" s="277" t="s">
        <v>111</v>
      </c>
      <c r="B24" s="923"/>
      <c r="C24" s="278" t="s">
        <v>377</v>
      </c>
      <c r="D24" s="278" t="s">
        <v>371</v>
      </c>
      <c r="E24" s="516">
        <v>13.1958</v>
      </c>
      <c r="F24" s="408">
        <f>IFERROR(E24*'01 Prod Physique Boites'!H23,"-")</f>
        <v>0</v>
      </c>
      <c r="G24" s="408">
        <f>IFERROR(E24*'01 Prod Physique Boites'!L23,"-")</f>
        <v>0</v>
      </c>
      <c r="H24" s="391">
        <v>21.28</v>
      </c>
      <c r="I24" s="427">
        <f t="shared" si="3"/>
        <v>0</v>
      </c>
      <c r="J24" s="428">
        <f t="shared" si="4"/>
        <v>0</v>
      </c>
    </row>
    <row r="25" spans="1:10" ht="23.4" x14ac:dyDescent="0.3">
      <c r="A25" s="277" t="s">
        <v>111</v>
      </c>
      <c r="B25" s="923"/>
      <c r="C25" s="278" t="s">
        <v>208</v>
      </c>
      <c r="D25" s="278" t="s">
        <v>207</v>
      </c>
      <c r="E25" s="516">
        <v>12.9049</v>
      </c>
      <c r="F25" s="408">
        <f>IFERROR(E25*'01 Prod Physique Boites'!H24,"-")</f>
        <v>0</v>
      </c>
      <c r="G25" s="408">
        <f>IFERROR(E25*'01 Prod Physique Boites'!L24,"-")</f>
        <v>0</v>
      </c>
      <c r="H25" s="391"/>
      <c r="I25" s="427">
        <f t="shared" si="3"/>
        <v>0</v>
      </c>
      <c r="J25" s="428">
        <f t="shared" si="4"/>
        <v>0</v>
      </c>
    </row>
    <row r="26" spans="1:10" ht="24" thickBot="1" x14ac:dyDescent="0.35">
      <c r="A26" s="277" t="s">
        <v>111</v>
      </c>
      <c r="B26" s="924"/>
      <c r="C26" s="282" t="s">
        <v>188</v>
      </c>
      <c r="D26" s="282" t="s">
        <v>189</v>
      </c>
      <c r="E26" s="512">
        <v>13.6509</v>
      </c>
      <c r="F26" s="408">
        <f>IFERROR(E26*'01 Prod Physique Boites'!H25,"-")</f>
        <v>1002522.096</v>
      </c>
      <c r="G26" s="408">
        <f>IFERROR(E26*'01 Prod Physique Boites'!L25,"-")</f>
        <v>1002522.096</v>
      </c>
      <c r="H26" s="393">
        <v>0</v>
      </c>
      <c r="I26" s="429">
        <f t="shared" si="3"/>
        <v>0</v>
      </c>
      <c r="J26" s="430">
        <f t="shared" si="4"/>
        <v>0</v>
      </c>
    </row>
    <row r="27" spans="1:10" ht="24" thickBot="1" x14ac:dyDescent="0.35">
      <c r="A27" s="277" t="s">
        <v>111</v>
      </c>
      <c r="B27" s="906" t="s">
        <v>48</v>
      </c>
      <c r="C27" s="907"/>
      <c r="D27" s="908"/>
      <c r="E27" s="396"/>
      <c r="F27" s="412">
        <f t="shared" ref="F27:G27" si="5">SUM(F20:F26)</f>
        <v>1002522.096</v>
      </c>
      <c r="G27" s="413">
        <f t="shared" si="5"/>
        <v>1002522.096</v>
      </c>
      <c r="H27" s="397"/>
      <c r="I27" s="412">
        <f t="shared" ref="I27" si="6">SUM(I20:I26)</f>
        <v>0</v>
      </c>
      <c r="J27" s="431">
        <f>SUM(J20:J26)</f>
        <v>0</v>
      </c>
    </row>
    <row r="28" spans="1:10" ht="23.4" x14ac:dyDescent="0.3">
      <c r="A28" s="277" t="s">
        <v>111</v>
      </c>
      <c r="B28" s="922" t="s">
        <v>18</v>
      </c>
      <c r="C28" s="272" t="s">
        <v>359</v>
      </c>
      <c r="D28" s="272" t="s">
        <v>99</v>
      </c>
      <c r="E28" s="515">
        <v>17.8202</v>
      </c>
      <c r="F28" s="408">
        <f>IFERROR(E28*'01 Prod Physique Boites'!H27,"-")</f>
        <v>0</v>
      </c>
      <c r="G28" s="409">
        <f>IFERROR(E28*'01 Prod Physique Boites'!L27,"-")</f>
        <v>0</v>
      </c>
      <c r="H28" s="387">
        <v>24.93</v>
      </c>
      <c r="I28" s="425">
        <f t="shared" ref="I28:I34" si="7">IFERROR(H28*(F28/E28),"-")</f>
        <v>0</v>
      </c>
      <c r="J28" s="426">
        <f t="shared" ref="J28:J34" si="8">IFERROR(H28*(G28/E28),"-")</f>
        <v>0</v>
      </c>
    </row>
    <row r="29" spans="1:10" ht="23.4" x14ac:dyDescent="0.3">
      <c r="A29" s="277" t="s">
        <v>111</v>
      </c>
      <c r="B29" s="923"/>
      <c r="C29" s="278" t="s">
        <v>138</v>
      </c>
      <c r="D29" s="278"/>
      <c r="E29" s="516">
        <v>17.8202</v>
      </c>
      <c r="F29" s="408">
        <f>IFERROR(E29*'01 Prod Physique Boites'!H28,"-")</f>
        <v>0</v>
      </c>
      <c r="G29" s="409">
        <f>IFERROR(E29*'01 Prod Physique Boites'!L28,"-")</f>
        <v>0</v>
      </c>
      <c r="H29" s="391">
        <v>0</v>
      </c>
      <c r="I29" s="427">
        <f t="shared" si="7"/>
        <v>0</v>
      </c>
      <c r="J29" s="428">
        <f t="shared" si="8"/>
        <v>0</v>
      </c>
    </row>
    <row r="30" spans="1:10" ht="23.4" x14ac:dyDescent="0.3">
      <c r="A30" s="277" t="s">
        <v>111</v>
      </c>
      <c r="B30" s="923"/>
      <c r="C30" s="278" t="s">
        <v>123</v>
      </c>
      <c r="D30" s="278"/>
      <c r="E30" s="516">
        <v>16.4071</v>
      </c>
      <c r="F30" s="408">
        <f>IFERROR(E30*'01 Prod Physique Boites'!H29,"-")</f>
        <v>0</v>
      </c>
      <c r="G30" s="409">
        <f>IFERROR(E30*'01 Prod Physique Boites'!L29,"-")</f>
        <v>0</v>
      </c>
      <c r="H30" s="391">
        <v>0</v>
      </c>
      <c r="I30" s="427">
        <f t="shared" si="7"/>
        <v>0</v>
      </c>
      <c r="J30" s="428">
        <f t="shared" si="8"/>
        <v>0</v>
      </c>
    </row>
    <row r="31" spans="1:10" ht="23.4" x14ac:dyDescent="0.3">
      <c r="A31" s="277" t="s">
        <v>111</v>
      </c>
      <c r="B31" s="923"/>
      <c r="C31" s="278" t="s">
        <v>130</v>
      </c>
      <c r="D31" s="278"/>
      <c r="E31" s="516">
        <v>17.8202</v>
      </c>
      <c r="F31" s="408">
        <f>IFERROR(E31*'01 Prod Physique Boites'!H30,"-")</f>
        <v>0</v>
      </c>
      <c r="G31" s="409">
        <f>IFERROR(E31*'01 Prod Physique Boites'!L30,"-")</f>
        <v>0</v>
      </c>
      <c r="H31" s="391"/>
      <c r="I31" s="427">
        <f t="shared" si="7"/>
        <v>0</v>
      </c>
      <c r="J31" s="428">
        <f t="shared" si="8"/>
        <v>0</v>
      </c>
    </row>
    <row r="32" spans="1:10" ht="23.4" x14ac:dyDescent="0.3">
      <c r="A32" s="277" t="s">
        <v>111</v>
      </c>
      <c r="B32" s="923"/>
      <c r="C32" s="278" t="s">
        <v>191</v>
      </c>
      <c r="D32" s="278" t="s">
        <v>192</v>
      </c>
      <c r="E32" s="516">
        <v>17.8202</v>
      </c>
      <c r="F32" s="408">
        <f>IFERROR(E32*'01 Prod Physique Boites'!H31,"-")</f>
        <v>0</v>
      </c>
      <c r="G32" s="409">
        <f>IFERROR(E32*'01 Prod Physique Boites'!L31,"-")</f>
        <v>0</v>
      </c>
      <c r="H32" s="391"/>
      <c r="I32" s="427">
        <f t="shared" si="7"/>
        <v>0</v>
      </c>
      <c r="J32" s="428">
        <f t="shared" si="8"/>
        <v>0</v>
      </c>
    </row>
    <row r="33" spans="1:10" ht="23.4" x14ac:dyDescent="0.3">
      <c r="A33" s="277" t="s">
        <v>111</v>
      </c>
      <c r="B33" s="923"/>
      <c r="C33" s="278" t="s">
        <v>194</v>
      </c>
      <c r="D33" s="278" t="s">
        <v>193</v>
      </c>
      <c r="E33" s="516">
        <v>16.7288</v>
      </c>
      <c r="F33" s="408">
        <f>IFERROR(E33*'01 Prod Physique Boites'!H32,"-")</f>
        <v>0</v>
      </c>
      <c r="G33" s="409">
        <f>IFERROR(E33*'01 Prod Physique Boites'!L32,"-")</f>
        <v>0</v>
      </c>
      <c r="H33" s="391"/>
      <c r="I33" s="427">
        <f t="shared" si="7"/>
        <v>0</v>
      </c>
      <c r="J33" s="428">
        <f t="shared" si="8"/>
        <v>0</v>
      </c>
    </row>
    <row r="34" spans="1:10" ht="24" thickBot="1" x14ac:dyDescent="0.35">
      <c r="A34" s="277" t="s">
        <v>111</v>
      </c>
      <c r="B34" s="924"/>
      <c r="C34" s="290" t="s">
        <v>195</v>
      </c>
      <c r="D34" s="290" t="s">
        <v>115</v>
      </c>
      <c r="E34" s="512">
        <v>17.8202</v>
      </c>
      <c r="F34" s="408">
        <f>IFERROR(E34*'01 Prod Physique Boites'!H33,"-")</f>
        <v>0</v>
      </c>
      <c r="G34" s="409">
        <f>IFERROR(E34*'01 Prod Physique Boites'!L33,"-")</f>
        <v>0</v>
      </c>
      <c r="H34" s="393"/>
      <c r="I34" s="429">
        <f t="shared" si="7"/>
        <v>0</v>
      </c>
      <c r="J34" s="430">
        <f t="shared" si="8"/>
        <v>0</v>
      </c>
    </row>
    <row r="35" spans="1:10" ht="24" thickBot="1" x14ac:dyDescent="0.35">
      <c r="A35" s="277" t="s">
        <v>111</v>
      </c>
      <c r="B35" s="906" t="s">
        <v>29</v>
      </c>
      <c r="C35" s="907"/>
      <c r="D35" s="908"/>
      <c r="E35" s="396"/>
      <c r="F35" s="412">
        <f t="shared" ref="F35:G35" si="9">SUM(F28:F34)</f>
        <v>0</v>
      </c>
      <c r="G35" s="413">
        <f t="shared" si="9"/>
        <v>0</v>
      </c>
      <c r="H35" s="397"/>
      <c r="I35" s="412">
        <f t="shared" ref="I35:J35" si="10">SUM(I28:I34)</f>
        <v>0</v>
      </c>
      <c r="J35" s="431">
        <f t="shared" si="10"/>
        <v>0</v>
      </c>
    </row>
    <row r="36" spans="1:10" ht="24" thickBot="1" x14ac:dyDescent="0.35">
      <c r="A36" s="658" t="s">
        <v>111</v>
      </c>
      <c r="B36" s="291" t="s">
        <v>19</v>
      </c>
      <c r="C36" s="292" t="s">
        <v>269</v>
      </c>
      <c r="D36" s="292" t="s">
        <v>192</v>
      </c>
      <c r="E36" s="517">
        <v>12.2659</v>
      </c>
      <c r="F36" s="414">
        <f>IFERROR(E36*'01 Prod Physique Boites'!H35,"-")</f>
        <v>310866.96960000001</v>
      </c>
      <c r="G36" s="415">
        <f>IFERROR(E36*'01 Prod Physique Boites'!L35,"-")</f>
        <v>310866.96960000001</v>
      </c>
      <c r="H36" s="398">
        <v>14.79</v>
      </c>
      <c r="I36" s="432">
        <f>IFERROR(H36*(F36/E36),"-")</f>
        <v>374837.75999999995</v>
      </c>
      <c r="J36" s="433">
        <f>IFERROR(H36*(G36/E36),"-")</f>
        <v>374837.75999999995</v>
      </c>
    </row>
    <row r="37" spans="1:10" ht="24" thickBot="1" x14ac:dyDescent="0.35">
      <c r="A37" s="277" t="s">
        <v>111</v>
      </c>
      <c r="B37" s="906" t="s">
        <v>49</v>
      </c>
      <c r="C37" s="907"/>
      <c r="D37" s="908"/>
      <c r="E37" s="396"/>
      <c r="F37" s="412">
        <f t="shared" ref="F37:G37" si="11">SUM(F36)</f>
        <v>310866.96960000001</v>
      </c>
      <c r="G37" s="413">
        <f t="shared" si="11"/>
        <v>310866.96960000001</v>
      </c>
      <c r="H37" s="397"/>
      <c r="I37" s="412">
        <f t="shared" ref="I37:J37" si="12">SUM(I36)</f>
        <v>374837.75999999995</v>
      </c>
      <c r="J37" s="431">
        <f t="shared" si="12"/>
        <v>374837.75999999995</v>
      </c>
    </row>
    <row r="38" spans="1:10" ht="23.4" x14ac:dyDescent="0.3">
      <c r="A38" s="277" t="s">
        <v>111</v>
      </c>
      <c r="B38" s="922" t="s">
        <v>20</v>
      </c>
      <c r="C38" s="297" t="s">
        <v>370</v>
      </c>
      <c r="D38" s="297" t="s">
        <v>324</v>
      </c>
      <c r="E38" s="515">
        <v>26.032900000000001</v>
      </c>
      <c r="F38" s="408">
        <f>IFERROR(E38*'01 Prod Physique Boites'!H38,"-")</f>
        <v>0</v>
      </c>
      <c r="G38" s="409">
        <f>IFERROR(E38*'01 Prod Physique Boites'!L38,"-")</f>
        <v>0</v>
      </c>
      <c r="H38" s="387">
        <v>36.44</v>
      </c>
      <c r="I38" s="425">
        <f>IFERROR(H38*(F38/E38),"-")</f>
        <v>0</v>
      </c>
      <c r="J38" s="426">
        <f t="shared" ref="J38:J40" si="13">IFERROR(H38*(G38/E38),"-")</f>
        <v>0</v>
      </c>
    </row>
    <row r="39" spans="1:10" ht="23.4" x14ac:dyDescent="0.3">
      <c r="A39" s="277" t="s">
        <v>111</v>
      </c>
      <c r="B39" s="923"/>
      <c r="C39" s="298" t="s">
        <v>122</v>
      </c>
      <c r="D39" s="298"/>
      <c r="E39" s="390">
        <v>24.2607</v>
      </c>
      <c r="F39" s="408">
        <f>IFERROR(E39*'01 Prod Physique Boites'!H39,"-")</f>
        <v>0</v>
      </c>
      <c r="G39" s="409">
        <f>IFERROR(E39*'01 Prod Physique Boites'!L39,"-")</f>
        <v>0</v>
      </c>
      <c r="H39" s="391">
        <v>37.369999999999997</v>
      </c>
      <c r="I39" s="427">
        <f>IFERROR(H39*(F39/E39),"-")</f>
        <v>0</v>
      </c>
      <c r="J39" s="428">
        <f t="shared" si="13"/>
        <v>0</v>
      </c>
    </row>
    <row r="40" spans="1:10" ht="24" thickBot="1" x14ac:dyDescent="0.35">
      <c r="A40" s="277" t="s">
        <v>111</v>
      </c>
      <c r="B40" s="924"/>
      <c r="C40" s="299" t="s">
        <v>128</v>
      </c>
      <c r="D40" s="299"/>
      <c r="E40" s="392">
        <v>26.035799999999998</v>
      </c>
      <c r="F40" s="408">
        <f>IFERROR(E40*'01 Prod Physique Boites'!H40,"-")</f>
        <v>0</v>
      </c>
      <c r="G40" s="409">
        <f>IFERROR(E40*'01 Prod Physique Boites'!L40,"-")</f>
        <v>0</v>
      </c>
      <c r="H40" s="393">
        <v>37.11</v>
      </c>
      <c r="I40" s="429">
        <f>IFERROR(H40*(F40/E40),"-")</f>
        <v>0</v>
      </c>
      <c r="J40" s="430">
        <f t="shared" si="13"/>
        <v>0</v>
      </c>
    </row>
    <row r="41" spans="1:10" ht="24" thickBot="1" x14ac:dyDescent="0.35">
      <c r="A41" s="277" t="s">
        <v>111</v>
      </c>
      <c r="B41" s="907" t="s">
        <v>50</v>
      </c>
      <c r="C41" s="907"/>
      <c r="D41" s="925"/>
      <c r="E41" s="396"/>
      <c r="F41" s="412">
        <f t="shared" ref="F41:G41" si="14">SUM(F38:F40)</f>
        <v>0</v>
      </c>
      <c r="G41" s="413">
        <f t="shared" si="14"/>
        <v>0</v>
      </c>
      <c r="H41" s="397"/>
      <c r="I41" s="412">
        <f t="shared" ref="I41:J41" si="15">SUM(I38:I40)</f>
        <v>0</v>
      </c>
      <c r="J41" s="431">
        <f t="shared" si="15"/>
        <v>0</v>
      </c>
    </row>
    <row r="42" spans="1:10" ht="24" thickBot="1" x14ac:dyDescent="0.35">
      <c r="A42" s="277" t="s">
        <v>111</v>
      </c>
      <c r="B42" s="926" t="s">
        <v>21</v>
      </c>
      <c r="C42" s="927"/>
      <c r="D42" s="928"/>
      <c r="E42" s="399"/>
      <c r="F42" s="416">
        <f>+F19+F27+F35+F37+F41</f>
        <v>2276875.0175999999</v>
      </c>
      <c r="G42" s="417">
        <f>+G19+G27+G35+G37+G41</f>
        <v>2276875.0175999999</v>
      </c>
      <c r="H42" s="400"/>
      <c r="I42" s="416">
        <f t="shared" ref="I42" si="16">+I19+I27+I35+I37+I41</f>
        <v>2138031.2576000001</v>
      </c>
      <c r="J42" s="434">
        <f>+J19+J27+J35+J37+J41</f>
        <v>2138031.2576000001</v>
      </c>
    </row>
    <row r="43" spans="1:10" ht="23.4" x14ac:dyDescent="0.3">
      <c r="A43" s="277" t="s">
        <v>111</v>
      </c>
      <c r="B43" s="922" t="s">
        <v>22</v>
      </c>
      <c r="C43" s="272" t="s">
        <v>133</v>
      </c>
      <c r="D43" s="272"/>
      <c r="E43" s="386">
        <v>22.820599999999999</v>
      </c>
      <c r="F43" s="408">
        <f>IFERROR(E43*'01 Prod Physique Boites'!H43,"-")</f>
        <v>0</v>
      </c>
      <c r="G43" s="409">
        <f>IFERROR(E43*'01 Prod Physique Boites'!L43,"-")</f>
        <v>0</v>
      </c>
      <c r="H43" s="387">
        <v>27.5</v>
      </c>
      <c r="I43" s="425">
        <f>IFERROR(H43*(F43/E43),"-")</f>
        <v>0</v>
      </c>
      <c r="J43" s="426">
        <f t="shared" ref="J43:J46" si="17">IFERROR(H43*(G43/E43),"-")</f>
        <v>0</v>
      </c>
    </row>
    <row r="44" spans="1:10" ht="23.4" x14ac:dyDescent="0.3">
      <c r="A44" s="277" t="s">
        <v>111</v>
      </c>
      <c r="B44" s="923"/>
      <c r="C44" s="301" t="s">
        <v>291</v>
      </c>
      <c r="D44" s="301" t="s">
        <v>196</v>
      </c>
      <c r="E44" s="390">
        <v>23.570699999999999</v>
      </c>
      <c r="F44" s="408">
        <f>IFERROR(E44*'01 Prod Physique Boites'!H44,"-")</f>
        <v>0</v>
      </c>
      <c r="G44" s="409">
        <f>IFERROR(E44*'01 Prod Physique Boites'!L44,"-")</f>
        <v>0</v>
      </c>
      <c r="H44" s="391">
        <v>27.5</v>
      </c>
      <c r="I44" s="427">
        <f>IFERROR(H44*(F44/E44),"-")</f>
        <v>0</v>
      </c>
      <c r="J44" s="428">
        <f t="shared" si="17"/>
        <v>0</v>
      </c>
    </row>
    <row r="45" spans="1:10" ht="23.4" x14ac:dyDescent="0.3">
      <c r="A45" s="277" t="s">
        <v>111</v>
      </c>
      <c r="B45" s="923"/>
      <c r="C45" s="301" t="s">
        <v>198</v>
      </c>
      <c r="D45" s="301" t="s">
        <v>100</v>
      </c>
      <c r="E45" s="390">
        <v>22.238499999999998</v>
      </c>
      <c r="F45" s="408">
        <f>IFERROR(E45*'01 Prod Physique Boites'!H45,"-")</f>
        <v>0</v>
      </c>
      <c r="G45" s="409">
        <f>IFERROR(E45*'01 Prod Physique Boites'!L45,"-")</f>
        <v>0</v>
      </c>
      <c r="H45" s="391">
        <v>24</v>
      </c>
      <c r="I45" s="427">
        <f>IFERROR(H45*(F45/E45),"-")</f>
        <v>0</v>
      </c>
      <c r="J45" s="428">
        <f t="shared" si="17"/>
        <v>0</v>
      </c>
    </row>
    <row r="46" spans="1:10" ht="24" thickBot="1" x14ac:dyDescent="0.35">
      <c r="A46" s="277" t="s">
        <v>111</v>
      </c>
      <c r="B46" s="924"/>
      <c r="C46" s="282" t="s">
        <v>197</v>
      </c>
      <c r="D46" s="282" t="s">
        <v>100</v>
      </c>
      <c r="E46" s="392">
        <v>23.5685</v>
      </c>
      <c r="F46" s="408">
        <f>IFERROR(E46*'01 Prod Physique Boites'!H46,"-")</f>
        <v>0</v>
      </c>
      <c r="G46" s="409">
        <f>IFERROR(E46*'01 Prod Physique Boites'!L46,"-")</f>
        <v>0</v>
      </c>
      <c r="H46" s="393">
        <v>24</v>
      </c>
      <c r="I46" s="429">
        <f>IFERROR(H46*(F46/E46),"-")</f>
        <v>0</v>
      </c>
      <c r="J46" s="430">
        <f t="shared" si="17"/>
        <v>0</v>
      </c>
    </row>
    <row r="47" spans="1:10" ht="24" thickBot="1" x14ac:dyDescent="0.35">
      <c r="A47" s="277" t="s">
        <v>111</v>
      </c>
      <c r="B47" s="906" t="s">
        <v>51</v>
      </c>
      <c r="C47" s="907"/>
      <c r="D47" s="908"/>
      <c r="E47" s="396"/>
      <c r="F47" s="412">
        <f t="shared" ref="F47:G47" si="18">SUM(F43:F46)</f>
        <v>0</v>
      </c>
      <c r="G47" s="413">
        <f t="shared" si="18"/>
        <v>0</v>
      </c>
      <c r="H47" s="397"/>
      <c r="I47" s="412">
        <f t="shared" ref="I47:J47" si="19">SUM(I43:I46)</f>
        <v>0</v>
      </c>
      <c r="J47" s="431">
        <f t="shared" si="19"/>
        <v>0</v>
      </c>
    </row>
    <row r="48" spans="1:10" ht="23.4" x14ac:dyDescent="0.3">
      <c r="A48" s="277" t="s">
        <v>111</v>
      </c>
      <c r="B48" s="922" t="s">
        <v>23</v>
      </c>
      <c r="C48" s="302" t="s">
        <v>348</v>
      </c>
      <c r="D48" s="302" t="s">
        <v>263</v>
      </c>
      <c r="E48" s="386">
        <v>101.4935</v>
      </c>
      <c r="F48" s="408">
        <f>IFERROR(E48*'01 Prod Physique Boites'!H48,"-")</f>
        <v>0</v>
      </c>
      <c r="G48" s="409">
        <f>IFERROR(E48*'01 Prod Physique Boites'!L48,"-")</f>
        <v>0</v>
      </c>
      <c r="H48" s="391">
        <v>160.44999999999999</v>
      </c>
      <c r="I48" s="425">
        <f t="shared" ref="I48:I55" si="20">IFERROR(H48*(F48/E48),"-")</f>
        <v>0</v>
      </c>
      <c r="J48" s="426">
        <f t="shared" ref="J48:J55" si="21">IFERROR(H48*(G48/E48),"-")</f>
        <v>0</v>
      </c>
    </row>
    <row r="49" spans="1:10" ht="23.4" x14ac:dyDescent="0.3">
      <c r="A49" s="277" t="s">
        <v>111</v>
      </c>
      <c r="B49" s="923"/>
      <c r="C49" s="278" t="s">
        <v>24</v>
      </c>
      <c r="D49" s="278" t="s">
        <v>263</v>
      </c>
      <c r="E49" s="390">
        <v>101.4935</v>
      </c>
      <c r="F49" s="408">
        <f>IFERROR(E49*'01 Prod Physique Boites'!H49,"-")</f>
        <v>1065681.75</v>
      </c>
      <c r="G49" s="409">
        <f>IFERROR(E49*'01 Prod Physique Boites'!L49,"-")</f>
        <v>1065681.75</v>
      </c>
      <c r="H49" s="391">
        <v>160.44999999999999</v>
      </c>
      <c r="I49" s="427">
        <f t="shared" si="20"/>
        <v>1684724.9999999998</v>
      </c>
      <c r="J49" s="428">
        <f t="shared" si="21"/>
        <v>1684724.9999999998</v>
      </c>
    </row>
    <row r="50" spans="1:10" ht="23.4" x14ac:dyDescent="0.3">
      <c r="A50" s="277" t="s">
        <v>111</v>
      </c>
      <c r="B50" s="923"/>
      <c r="C50" s="278" t="s">
        <v>261</v>
      </c>
      <c r="D50" s="278" t="s">
        <v>263</v>
      </c>
      <c r="E50" s="390">
        <v>101.4935</v>
      </c>
      <c r="F50" s="408">
        <f>IFERROR(E50*'01 Prod Physique Boites'!H50,"-")</f>
        <v>0</v>
      </c>
      <c r="G50" s="409">
        <f>IFERROR(E50*'01 Prod Physique Boites'!L50,"-")</f>
        <v>0</v>
      </c>
      <c r="H50" s="391">
        <v>160.44999999999999</v>
      </c>
      <c r="I50" s="427">
        <f t="shared" si="20"/>
        <v>0</v>
      </c>
      <c r="J50" s="428">
        <f t="shared" si="21"/>
        <v>0</v>
      </c>
    </row>
    <row r="51" spans="1:10" ht="23.4" x14ac:dyDescent="0.3">
      <c r="A51" s="277" t="s">
        <v>111</v>
      </c>
      <c r="B51" s="923"/>
      <c r="C51" s="278" t="s">
        <v>262</v>
      </c>
      <c r="D51" s="278" t="s">
        <v>263</v>
      </c>
      <c r="E51" s="390">
        <v>101.4935</v>
      </c>
      <c r="F51" s="408">
        <f>IFERROR(E51*'01 Prod Physique Boites'!H51,"-")</f>
        <v>0</v>
      </c>
      <c r="G51" s="409">
        <f>IFERROR(E51*'01 Prod Physique Boites'!L51,"-")</f>
        <v>0</v>
      </c>
      <c r="H51" s="391">
        <v>160.44999999999999</v>
      </c>
      <c r="I51" s="427">
        <f t="shared" si="20"/>
        <v>0</v>
      </c>
      <c r="J51" s="428">
        <f t="shared" si="21"/>
        <v>0</v>
      </c>
    </row>
    <row r="52" spans="1:10" ht="23.4" x14ac:dyDescent="0.3">
      <c r="A52" s="277" t="s">
        <v>111</v>
      </c>
      <c r="B52" s="923"/>
      <c r="C52" s="301" t="s">
        <v>264</v>
      </c>
      <c r="D52" s="278" t="s">
        <v>263</v>
      </c>
      <c r="E52" s="390">
        <v>101.4935</v>
      </c>
      <c r="F52" s="408">
        <f>IFERROR(E52*'01 Prod Physique Boites'!H52,"-")</f>
        <v>0</v>
      </c>
      <c r="G52" s="409">
        <f>IFERROR(E52*'01 Prod Physique Boites'!L52,"-")</f>
        <v>0</v>
      </c>
      <c r="H52" s="391">
        <v>160.44999999999999</v>
      </c>
      <c r="I52" s="427">
        <f t="shared" si="20"/>
        <v>0</v>
      </c>
      <c r="J52" s="428">
        <f t="shared" si="21"/>
        <v>0</v>
      </c>
    </row>
    <row r="53" spans="1:10" ht="23.4" x14ac:dyDescent="0.3">
      <c r="A53" s="277" t="s">
        <v>111</v>
      </c>
      <c r="B53" s="923"/>
      <c r="C53" s="301" t="s">
        <v>265</v>
      </c>
      <c r="D53" s="278" t="s">
        <v>263</v>
      </c>
      <c r="E53" s="390">
        <v>108.00279999999999</v>
      </c>
      <c r="F53" s="408">
        <f>IFERROR(E53*'01 Prod Physique Boites'!H53,"-")</f>
        <v>0</v>
      </c>
      <c r="G53" s="409">
        <f>IFERROR(E53*'01 Prod Physique Boites'!L53,"-")</f>
        <v>0</v>
      </c>
      <c r="H53" s="391">
        <v>160.44999999999999</v>
      </c>
      <c r="I53" s="427">
        <f t="shared" si="20"/>
        <v>0</v>
      </c>
      <c r="J53" s="428">
        <f t="shared" si="21"/>
        <v>0</v>
      </c>
    </row>
    <row r="54" spans="1:10" ht="23.4" x14ac:dyDescent="0.3">
      <c r="A54" s="277" t="s">
        <v>111</v>
      </c>
      <c r="B54" s="923"/>
      <c r="C54" s="301" t="s">
        <v>266</v>
      </c>
      <c r="D54" s="278" t="s">
        <v>268</v>
      </c>
      <c r="E54" s="390">
        <v>101.4935</v>
      </c>
      <c r="F54" s="408">
        <f>IFERROR(E54*'01 Prod Physique Boites'!H54,"-")</f>
        <v>0</v>
      </c>
      <c r="G54" s="409">
        <f>IFERROR(E54*'01 Prod Physique Boites'!L54,"-")</f>
        <v>0</v>
      </c>
      <c r="H54" s="391">
        <v>160.44999999999999</v>
      </c>
      <c r="I54" s="427">
        <f t="shared" si="20"/>
        <v>0</v>
      </c>
      <c r="J54" s="428">
        <f t="shared" si="21"/>
        <v>0</v>
      </c>
    </row>
    <row r="55" spans="1:10" ht="24" thickBot="1" x14ac:dyDescent="0.35">
      <c r="A55" s="277" t="s">
        <v>111</v>
      </c>
      <c r="B55" s="924"/>
      <c r="C55" s="301" t="s">
        <v>267</v>
      </c>
      <c r="D55" s="278" t="s">
        <v>263</v>
      </c>
      <c r="E55" s="392">
        <v>101.4935</v>
      </c>
      <c r="F55" s="408">
        <f>IFERROR(E55*'01 Prod Physique Boites'!H55,"-")</f>
        <v>0</v>
      </c>
      <c r="G55" s="409">
        <f>IFERROR(E55*'01 Prod Physique Boites'!L55,"-")</f>
        <v>0</v>
      </c>
      <c r="H55" s="391">
        <v>160.44999999999999</v>
      </c>
      <c r="I55" s="429">
        <f t="shared" si="20"/>
        <v>0</v>
      </c>
      <c r="J55" s="430">
        <f t="shared" si="21"/>
        <v>0</v>
      </c>
    </row>
    <row r="56" spans="1:10" ht="24" thickBot="1" x14ac:dyDescent="0.35">
      <c r="A56" s="277" t="s">
        <v>111</v>
      </c>
      <c r="B56" s="906" t="s">
        <v>52</v>
      </c>
      <c r="C56" s="907"/>
      <c r="D56" s="908"/>
      <c r="E56" s="396"/>
      <c r="F56" s="412">
        <f t="shared" ref="F56:G56" si="22">SUM(F48:F55)</f>
        <v>1065681.75</v>
      </c>
      <c r="G56" s="413">
        <f t="shared" si="22"/>
        <v>1065681.75</v>
      </c>
      <c r="H56" s="397"/>
      <c r="I56" s="412">
        <f t="shared" ref="I56:J56" si="23">SUM(I48:I55)</f>
        <v>1684724.9999999998</v>
      </c>
      <c r="J56" s="431">
        <f t="shared" si="23"/>
        <v>1684724.9999999998</v>
      </c>
    </row>
    <row r="57" spans="1:10" ht="24" thickBot="1" x14ac:dyDescent="0.35">
      <c r="A57" s="277" t="s">
        <v>111</v>
      </c>
      <c r="B57" s="926" t="s">
        <v>25</v>
      </c>
      <c r="C57" s="927"/>
      <c r="D57" s="928"/>
      <c r="E57" s="399"/>
      <c r="F57" s="416">
        <f t="shared" ref="F57:G57" si="24">+F47+F56</f>
        <v>1065681.75</v>
      </c>
      <c r="G57" s="417">
        <f t="shared" si="24"/>
        <v>1065681.75</v>
      </c>
      <c r="H57" s="400"/>
      <c r="I57" s="416">
        <f t="shared" ref="I57:J57" si="25">+I47+I56</f>
        <v>1684724.9999999998</v>
      </c>
      <c r="J57" s="434">
        <f t="shared" si="25"/>
        <v>1684724.9999999998</v>
      </c>
    </row>
    <row r="58" spans="1:10" ht="24" thickBot="1" x14ac:dyDescent="0.35">
      <c r="A58" s="277" t="s">
        <v>111</v>
      </c>
      <c r="B58" s="900" t="s">
        <v>181</v>
      </c>
      <c r="C58" s="901"/>
      <c r="D58" s="902"/>
      <c r="E58" s="401"/>
      <c r="F58" s="418">
        <f t="shared" ref="F58:G58" si="26">+F42+F57</f>
        <v>3342556.7675999999</v>
      </c>
      <c r="G58" s="419">
        <f t="shared" si="26"/>
        <v>3342556.7675999999</v>
      </c>
      <c r="H58" s="402"/>
      <c r="I58" s="418">
        <f t="shared" ref="I58:J58" si="27">+I42+I57</f>
        <v>3822756.2576000001</v>
      </c>
      <c r="J58" s="435">
        <f t="shared" si="27"/>
        <v>3822756.2576000001</v>
      </c>
    </row>
    <row r="59" spans="1:10" ht="23.4" x14ac:dyDescent="0.3">
      <c r="A59" s="271" t="s">
        <v>109</v>
      </c>
      <c r="B59" s="929" t="s">
        <v>26</v>
      </c>
      <c r="C59" s="303" t="s">
        <v>334</v>
      </c>
      <c r="D59" s="305" t="s">
        <v>192</v>
      </c>
      <c r="E59" s="515">
        <v>13.1272</v>
      </c>
      <c r="F59" s="408">
        <f>IFERROR(E59*'01 Prod Physique Boites'!H59,"-")</f>
        <v>261100.008</v>
      </c>
      <c r="G59" s="409">
        <f>IFERROR(E59*'01 Prod Physique Boites'!L59,"-")</f>
        <v>261100.008</v>
      </c>
      <c r="H59" s="387">
        <v>20.76</v>
      </c>
      <c r="I59" s="425">
        <f t="shared" ref="I59:I67" si="28">IFERROR(H59*(F59/E59),"-")</f>
        <v>412916.4</v>
      </c>
      <c r="J59" s="662">
        <f t="shared" ref="J59:J67" si="29">IFERROR(H59*(G59/E59),"-")</f>
        <v>412916.4</v>
      </c>
    </row>
    <row r="60" spans="1:10" ht="23.4" x14ac:dyDescent="0.3">
      <c r="A60" s="277" t="s">
        <v>109</v>
      </c>
      <c r="B60" s="929"/>
      <c r="C60" s="304" t="s">
        <v>199</v>
      </c>
      <c r="D60" s="304" t="s">
        <v>115</v>
      </c>
      <c r="E60" s="516">
        <v>14.608000000000001</v>
      </c>
      <c r="F60" s="408">
        <f>IFERROR(E60*'01 Prod Physique Boites'!H60,"-")</f>
        <v>0</v>
      </c>
      <c r="G60" s="409">
        <f>IFERROR(E60*'01 Prod Physique Boites'!L60,"-")</f>
        <v>0</v>
      </c>
      <c r="H60" s="391">
        <v>24.93</v>
      </c>
      <c r="I60" s="427">
        <f t="shared" si="28"/>
        <v>0</v>
      </c>
      <c r="J60" s="663">
        <f t="shared" si="29"/>
        <v>0</v>
      </c>
    </row>
    <row r="61" spans="1:10" ht="23.4" x14ac:dyDescent="0.3">
      <c r="A61" s="277" t="s">
        <v>109</v>
      </c>
      <c r="B61" s="929"/>
      <c r="C61" s="305" t="s">
        <v>27</v>
      </c>
      <c r="D61" s="305" t="s">
        <v>310</v>
      </c>
      <c r="E61" s="512">
        <v>17.8202</v>
      </c>
      <c r="F61" s="408">
        <f>IFERROR(E61*'01 Prod Physique Boites'!H61,"-")</f>
        <v>0</v>
      </c>
      <c r="G61" s="409">
        <f>IFERROR(E61*'01 Prod Physique Boites'!L61,"-")</f>
        <v>0</v>
      </c>
      <c r="H61" s="391">
        <v>24.93</v>
      </c>
      <c r="I61" s="427">
        <f t="shared" si="28"/>
        <v>0</v>
      </c>
      <c r="J61" s="663">
        <f t="shared" si="29"/>
        <v>0</v>
      </c>
    </row>
    <row r="62" spans="1:10" ht="23.4" x14ac:dyDescent="0.3">
      <c r="A62" s="277" t="s">
        <v>109</v>
      </c>
      <c r="B62" s="929"/>
      <c r="C62" s="305" t="s">
        <v>27</v>
      </c>
      <c r="D62" s="305" t="s">
        <v>311</v>
      </c>
      <c r="E62" s="512">
        <v>17.8202</v>
      </c>
      <c r="F62" s="408">
        <f>IFERROR(E62*'01 Prod Physique Boites'!H62,"-")</f>
        <v>0</v>
      </c>
      <c r="G62" s="409">
        <f>IFERROR(E62*'01 Prod Physique Boites'!L62,"-")</f>
        <v>0</v>
      </c>
      <c r="H62" s="391">
        <v>24.93</v>
      </c>
      <c r="I62" s="427">
        <f t="shared" si="28"/>
        <v>0</v>
      </c>
      <c r="J62" s="663">
        <f t="shared" si="29"/>
        <v>0</v>
      </c>
    </row>
    <row r="63" spans="1:10" ht="23.4" x14ac:dyDescent="0.3">
      <c r="A63" s="277" t="s">
        <v>109</v>
      </c>
      <c r="B63" s="929"/>
      <c r="C63" s="305" t="s">
        <v>325</v>
      </c>
      <c r="D63" s="305" t="s">
        <v>324</v>
      </c>
      <c r="E63" s="512">
        <v>14.608000000000001</v>
      </c>
      <c r="F63" s="408">
        <f>IFERROR(E63*'01 Prod Physique Boites'!H63,"-")</f>
        <v>0</v>
      </c>
      <c r="G63" s="409">
        <f>IFERROR(E63*'01 Prod Physique Boites'!L63,"-")</f>
        <v>0</v>
      </c>
      <c r="H63" s="391">
        <v>24.93</v>
      </c>
      <c r="I63" s="427">
        <f t="shared" si="28"/>
        <v>0</v>
      </c>
      <c r="J63" s="663">
        <f t="shared" si="29"/>
        <v>0</v>
      </c>
    </row>
    <row r="64" spans="1:10" ht="23.4" x14ac:dyDescent="0.3">
      <c r="A64" s="277"/>
      <c r="B64" s="929"/>
      <c r="C64" s="305" t="s">
        <v>325</v>
      </c>
      <c r="D64" s="305" t="s">
        <v>192</v>
      </c>
      <c r="E64" s="512">
        <v>14.608000000000001</v>
      </c>
      <c r="F64" s="408">
        <f>IFERROR(E64*'01 Prod Physique Boites'!H64,"-")</f>
        <v>0</v>
      </c>
      <c r="G64" s="409">
        <f>IFERROR(E64*'01 Prod Physique Boites'!L64,"-")</f>
        <v>0</v>
      </c>
      <c r="H64" s="393">
        <v>21.22</v>
      </c>
      <c r="I64" s="427">
        <f t="shared" si="28"/>
        <v>0</v>
      </c>
      <c r="J64" s="664">
        <f t="shared" si="29"/>
        <v>0</v>
      </c>
    </row>
    <row r="65" spans="1:12" ht="23.4" x14ac:dyDescent="0.3">
      <c r="A65" s="277"/>
      <c r="B65" s="929"/>
      <c r="C65" s="305" t="s">
        <v>325</v>
      </c>
      <c r="D65" s="305" t="s">
        <v>101</v>
      </c>
      <c r="E65" s="512">
        <v>17.8202</v>
      </c>
      <c r="F65" s="408">
        <f>IFERROR(E65*'01 Prod Physique Boites'!H65,"-")</f>
        <v>0</v>
      </c>
      <c r="G65" s="409">
        <f>IFERROR(E65*'01 Prod Physique Boites'!L65,"-")</f>
        <v>0</v>
      </c>
      <c r="H65" s="393">
        <v>24.93</v>
      </c>
      <c r="I65" s="429">
        <f t="shared" si="28"/>
        <v>0</v>
      </c>
      <c r="J65" s="664">
        <f t="shared" si="29"/>
        <v>0</v>
      </c>
    </row>
    <row r="66" spans="1:12" ht="23.4" x14ac:dyDescent="0.3">
      <c r="A66" s="277"/>
      <c r="B66" s="929"/>
      <c r="C66" s="305" t="s">
        <v>393</v>
      </c>
      <c r="D66" s="305" t="s">
        <v>394</v>
      </c>
      <c r="E66" s="512">
        <v>17.8202</v>
      </c>
      <c r="F66" s="408">
        <f>IFERROR(E66*'01 Prod Physique Boites'!H66,"-")</f>
        <v>0</v>
      </c>
      <c r="G66" s="409">
        <f>IFERROR(E66*'01 Prod Physique Boites'!L66,"-")</f>
        <v>0</v>
      </c>
      <c r="H66" s="393">
        <v>21.22</v>
      </c>
      <c r="I66" s="429">
        <f t="shared" si="28"/>
        <v>0</v>
      </c>
      <c r="J66" s="664">
        <f t="shared" si="29"/>
        <v>0</v>
      </c>
    </row>
    <row r="67" spans="1:12" ht="24" thickBot="1" x14ac:dyDescent="0.35">
      <c r="A67" s="277" t="s">
        <v>109</v>
      </c>
      <c r="B67" s="929"/>
      <c r="C67" s="306" t="s">
        <v>326</v>
      </c>
      <c r="D67" s="305" t="s">
        <v>324</v>
      </c>
      <c r="E67" s="512">
        <v>12.6997</v>
      </c>
      <c r="F67" s="408">
        <f>IFERROR(E67*'01 Prod Physique Boites'!H67,"-")</f>
        <v>0</v>
      </c>
      <c r="G67" s="409">
        <f>IFERROR(E67*'01 Prod Physique Boites'!L67,"-")</f>
        <v>0</v>
      </c>
      <c r="H67" s="393">
        <v>13.25</v>
      </c>
      <c r="I67" s="429">
        <f t="shared" si="28"/>
        <v>0</v>
      </c>
      <c r="J67" s="664">
        <f t="shared" si="29"/>
        <v>0</v>
      </c>
    </row>
    <row r="68" spans="1:12" ht="24" thickBot="1" x14ac:dyDescent="0.35">
      <c r="A68" s="277" t="s">
        <v>109</v>
      </c>
      <c r="B68" s="930"/>
      <c r="C68" s="307"/>
      <c r="D68" s="308" t="s">
        <v>55</v>
      </c>
      <c r="E68" s="396"/>
      <c r="F68" s="412">
        <f>SUM(F59:F67)</f>
        <v>261100.008</v>
      </c>
      <c r="G68" s="413">
        <f t="shared" ref="G68" si="30">SUM(G59:G67)</f>
        <v>261100.008</v>
      </c>
      <c r="H68" s="397"/>
      <c r="I68" s="412">
        <f t="shared" ref="I68" si="31">SUM(I59:I67)</f>
        <v>412916.4</v>
      </c>
      <c r="J68" s="431">
        <f>SUM(J59:J67)</f>
        <v>412916.4</v>
      </c>
    </row>
    <row r="69" spans="1:12" ht="23.4" x14ac:dyDescent="0.3">
      <c r="A69" s="277" t="s">
        <v>109</v>
      </c>
      <c r="B69" s="931" t="s">
        <v>28</v>
      </c>
      <c r="C69" s="303" t="s">
        <v>27</v>
      </c>
      <c r="D69" s="303" t="s">
        <v>193</v>
      </c>
      <c r="E69" s="515">
        <v>12.6997</v>
      </c>
      <c r="F69" s="408">
        <f>IFERROR(E69*'01 Prod Physique Boites'!H69,"-")</f>
        <v>0</v>
      </c>
      <c r="G69" s="409">
        <f>IFERROR(E69*'01 Prod Physique Boites'!L69,"-")</f>
        <v>0</v>
      </c>
      <c r="H69" s="387">
        <v>13.25</v>
      </c>
      <c r="I69" s="425">
        <f>IFERROR(H69*(F69/E69),"-")</f>
        <v>0</v>
      </c>
      <c r="J69" s="662">
        <f t="shared" ref="J69:J71" si="32">IFERROR(H69*(G69/E69),"-")</f>
        <v>0</v>
      </c>
    </row>
    <row r="70" spans="1:12" ht="23.4" x14ac:dyDescent="0.3">
      <c r="A70" s="277" t="s">
        <v>109</v>
      </c>
      <c r="B70" s="929"/>
      <c r="C70" s="305" t="s">
        <v>27</v>
      </c>
      <c r="D70" s="305" t="s">
        <v>311</v>
      </c>
      <c r="E70" s="512">
        <v>17.8202</v>
      </c>
      <c r="F70" s="408">
        <f>IFERROR(E70*'01 Prod Physique Boites'!H70,"-")</f>
        <v>0</v>
      </c>
      <c r="G70" s="409">
        <f>IFERROR(E70*'01 Prod Physique Boites'!L70,"-")</f>
        <v>0</v>
      </c>
      <c r="H70" s="391">
        <v>24.93</v>
      </c>
      <c r="I70" s="427">
        <f>IFERROR(H70*(F70/E70),"-")</f>
        <v>0</v>
      </c>
      <c r="J70" s="663">
        <f t="shared" si="32"/>
        <v>0</v>
      </c>
      <c r="L70" s="620"/>
    </row>
    <row r="71" spans="1:12" ht="24" thickBot="1" x14ac:dyDescent="0.35">
      <c r="A71" s="277" t="s">
        <v>109</v>
      </c>
      <c r="B71" s="929"/>
      <c r="C71" s="305" t="s">
        <v>27</v>
      </c>
      <c r="D71" s="306" t="s">
        <v>259</v>
      </c>
      <c r="E71" s="512">
        <v>17.8202</v>
      </c>
      <c r="F71" s="408">
        <f>IFERROR(E71*'01 Prod Physique Boites'!H71,"-")</f>
        <v>0</v>
      </c>
      <c r="G71" s="409">
        <f>IFERROR(E71*'01 Prod Physique Boites'!L71,"-")</f>
        <v>0</v>
      </c>
      <c r="H71" s="391">
        <v>24.93</v>
      </c>
      <c r="I71" s="429">
        <f>IFERROR(H71*(F71/E71),"-")</f>
        <v>0</v>
      </c>
      <c r="J71" s="664">
        <f t="shared" si="32"/>
        <v>0</v>
      </c>
    </row>
    <row r="72" spans="1:12" ht="24" thickBot="1" x14ac:dyDescent="0.35">
      <c r="A72" s="277" t="s">
        <v>109</v>
      </c>
      <c r="B72" s="929"/>
      <c r="C72" s="310"/>
      <c r="D72" s="311" t="s">
        <v>55</v>
      </c>
      <c r="E72" s="403"/>
      <c r="F72" s="420">
        <f t="shared" ref="F72:G72" si="33">SUM(F69:F71)</f>
        <v>0</v>
      </c>
      <c r="G72" s="421">
        <f t="shared" si="33"/>
        <v>0</v>
      </c>
      <c r="H72" s="404"/>
      <c r="I72" s="420">
        <f t="shared" ref="I72:J72" si="34">SUM(I69:I71)</f>
        <v>0</v>
      </c>
      <c r="J72" s="436">
        <f t="shared" si="34"/>
        <v>0</v>
      </c>
    </row>
    <row r="73" spans="1:12" ht="24" thickBot="1" x14ac:dyDescent="0.35">
      <c r="A73" s="658" t="s">
        <v>109</v>
      </c>
      <c r="B73" s="932" t="s">
        <v>171</v>
      </c>
      <c r="C73" s="933"/>
      <c r="D73" s="934"/>
      <c r="E73" s="405"/>
      <c r="F73" s="422">
        <f t="shared" ref="F73:G73" si="35">+F68+F72</f>
        <v>261100.008</v>
      </c>
      <c r="G73" s="423">
        <f t="shared" si="35"/>
        <v>261100.008</v>
      </c>
      <c r="H73" s="406"/>
      <c r="I73" s="422">
        <f t="shared" ref="I73:J73" si="36">+I68+I72</f>
        <v>412916.4</v>
      </c>
      <c r="J73" s="437">
        <f t="shared" si="36"/>
        <v>412916.4</v>
      </c>
    </row>
    <row r="74" spans="1:12" ht="23.4" x14ac:dyDescent="0.3">
      <c r="A74" s="277" t="s">
        <v>109</v>
      </c>
      <c r="B74" s="929" t="s">
        <v>30</v>
      </c>
      <c r="C74" s="309" t="s">
        <v>375</v>
      </c>
      <c r="D74" s="303" t="s">
        <v>193</v>
      </c>
      <c r="E74" s="515">
        <v>15.2788</v>
      </c>
      <c r="F74" s="408">
        <f>IFERROR(E74*'01 Prod Physique Boites'!H74,"-")</f>
        <v>0</v>
      </c>
      <c r="G74" s="409">
        <f>IFERROR(E74*'01 Prod Physique Boites'!L74,"-")</f>
        <v>0</v>
      </c>
      <c r="H74" s="387">
        <v>23.65</v>
      </c>
      <c r="I74" s="425">
        <f>IFERROR(H74*(F74/E74),"-")</f>
        <v>0</v>
      </c>
      <c r="J74" s="426">
        <f t="shared" ref="J74:J76" si="37">IFERROR(H74*(G74/E74),"-")</f>
        <v>0</v>
      </c>
    </row>
    <row r="75" spans="1:12" ht="23.4" x14ac:dyDescent="0.3">
      <c r="A75" s="277" t="s">
        <v>109</v>
      </c>
      <c r="B75" s="929"/>
      <c r="C75" s="309" t="s">
        <v>368</v>
      </c>
      <c r="D75" s="309" t="s">
        <v>324</v>
      </c>
      <c r="E75" s="516">
        <v>22.6356</v>
      </c>
      <c r="F75" s="408">
        <f>IFERROR(E75*'01 Prod Physique Boites'!H75,"-")</f>
        <v>0</v>
      </c>
      <c r="G75" s="409">
        <f>IFERROR(E75*'01 Prod Physique Boites'!L75,"-")</f>
        <v>0</v>
      </c>
      <c r="H75" s="391">
        <v>34.26</v>
      </c>
      <c r="I75" s="427">
        <f>IFERROR(H75*(F75/E75),"-")</f>
        <v>0</v>
      </c>
      <c r="J75" s="428">
        <f t="shared" si="37"/>
        <v>0</v>
      </c>
    </row>
    <row r="76" spans="1:12" ht="24" thickBot="1" x14ac:dyDescent="0.35">
      <c r="A76" s="277" t="s">
        <v>109</v>
      </c>
      <c r="B76" s="929"/>
      <c r="C76" s="306" t="s">
        <v>327</v>
      </c>
      <c r="D76" s="306"/>
      <c r="E76" s="512">
        <v>25.751300000000001</v>
      </c>
      <c r="F76" s="408">
        <f>IFERROR(E76*'01 Prod Physique Boites'!H76,"-")</f>
        <v>0</v>
      </c>
      <c r="G76" s="409">
        <f>IFERROR(E76*'01 Prod Physique Boites'!L76,"-")</f>
        <v>0</v>
      </c>
      <c r="H76" s="393">
        <v>37.89</v>
      </c>
      <c r="I76" s="429">
        <f>IFERROR(H76*(F76/E76),"-")</f>
        <v>0</v>
      </c>
      <c r="J76" s="430">
        <f t="shared" si="37"/>
        <v>0</v>
      </c>
    </row>
    <row r="77" spans="1:12" ht="24" thickBot="1" x14ac:dyDescent="0.35">
      <c r="A77" s="277" t="s">
        <v>109</v>
      </c>
      <c r="B77" s="929"/>
      <c r="C77" s="307"/>
      <c r="D77" s="308" t="s">
        <v>53</v>
      </c>
      <c r="E77" s="396"/>
      <c r="F77" s="412">
        <f t="shared" ref="F77:G77" si="38">SUM(F74:F76)</f>
        <v>0</v>
      </c>
      <c r="G77" s="413">
        <f t="shared" si="38"/>
        <v>0</v>
      </c>
      <c r="H77" s="397"/>
      <c r="I77" s="412">
        <f t="shared" ref="I77" si="39">SUM(I74:I76)</f>
        <v>0</v>
      </c>
      <c r="J77" s="431">
        <f>SUM(J74:J76)</f>
        <v>0</v>
      </c>
    </row>
    <row r="78" spans="1:12" ht="23.4" x14ac:dyDescent="0.3">
      <c r="A78" s="277" t="s">
        <v>109</v>
      </c>
      <c r="B78" s="929"/>
      <c r="C78" s="303" t="s">
        <v>352</v>
      </c>
      <c r="D78" s="303"/>
      <c r="E78" s="515">
        <v>22.094999999999999</v>
      </c>
      <c r="F78" s="408">
        <f>IFERROR(E78*'01 Prod Physique Boites'!H78,"-")</f>
        <v>0</v>
      </c>
      <c r="G78" s="409">
        <f>IFERROR(E78*'01 Prod Physique Boites'!L78,"-")</f>
        <v>0</v>
      </c>
      <c r="H78" s="387">
        <v>37.11</v>
      </c>
      <c r="I78" s="425">
        <f>IFERROR(H78*(F78/E78),"-")</f>
        <v>0</v>
      </c>
      <c r="J78" s="426">
        <f t="shared" ref="J78:J80" si="40">IFERROR(H78*(G78/E78),"-")</f>
        <v>0</v>
      </c>
    </row>
    <row r="79" spans="1:12" ht="23.4" x14ac:dyDescent="0.3">
      <c r="A79" s="277" t="s">
        <v>109</v>
      </c>
      <c r="B79" s="929"/>
      <c r="C79" s="309" t="s">
        <v>397</v>
      </c>
      <c r="D79" s="309" t="s">
        <v>259</v>
      </c>
      <c r="E79" s="516">
        <v>27.917000000000002</v>
      </c>
      <c r="F79" s="408">
        <f>IFERROR(E79*'01 Prod Physique Boites'!H79,"-")</f>
        <v>2351728.08</v>
      </c>
      <c r="G79" s="409">
        <f>IFERROR(E79*'01 Prod Physique Boites'!L79,"-")</f>
        <v>2351728.08</v>
      </c>
      <c r="H79" s="391">
        <v>39</v>
      </c>
      <c r="I79" s="427">
        <f>IFERROR(H79*(F79/E79),"-")</f>
        <v>3285360</v>
      </c>
      <c r="J79" s="428">
        <f t="shared" si="40"/>
        <v>3285360</v>
      </c>
    </row>
    <row r="80" spans="1:12" ht="24" thickBot="1" x14ac:dyDescent="0.35">
      <c r="A80" s="277" t="s">
        <v>109</v>
      </c>
      <c r="B80" s="929"/>
      <c r="C80" s="306" t="s">
        <v>146</v>
      </c>
      <c r="D80" s="306"/>
      <c r="E80" s="512">
        <v>25.4041</v>
      </c>
      <c r="F80" s="408">
        <f>IFERROR(E80*'01 Prod Physique Boites'!H80,"-")</f>
        <v>0</v>
      </c>
      <c r="G80" s="409">
        <f>IFERROR(E80*'01 Prod Physique Boites'!L80,"-")</f>
        <v>0</v>
      </c>
      <c r="H80" s="393">
        <v>28.21</v>
      </c>
      <c r="I80" s="429">
        <f>IFERROR(H80*(F80/E80),"-")</f>
        <v>0</v>
      </c>
      <c r="J80" s="430">
        <f t="shared" si="40"/>
        <v>0</v>
      </c>
    </row>
    <row r="81" spans="1:10" ht="24" thickBot="1" x14ac:dyDescent="0.35">
      <c r="A81" s="277" t="s">
        <v>109</v>
      </c>
      <c r="B81" s="929"/>
      <c r="C81" s="310"/>
      <c r="D81" s="311" t="s">
        <v>54</v>
      </c>
      <c r="E81" s="403"/>
      <c r="F81" s="420">
        <f t="shared" ref="F81:G81" si="41">SUM(F78:F80)</f>
        <v>2351728.08</v>
      </c>
      <c r="G81" s="421">
        <f t="shared" si="41"/>
        <v>2351728.08</v>
      </c>
      <c r="H81" s="404"/>
      <c r="I81" s="420">
        <f t="shared" ref="I81" si="42">SUM(I78:I80)</f>
        <v>3285360</v>
      </c>
      <c r="J81" s="436">
        <f>SUM(J78:J80)</f>
        <v>3285360</v>
      </c>
    </row>
    <row r="82" spans="1:10" ht="24" thickBot="1" x14ac:dyDescent="0.35">
      <c r="A82" s="277" t="s">
        <v>109</v>
      </c>
      <c r="B82" s="932" t="s">
        <v>172</v>
      </c>
      <c r="C82" s="933"/>
      <c r="D82" s="934"/>
      <c r="E82" s="405"/>
      <c r="F82" s="422">
        <f t="shared" ref="F82:G82" si="43">+F77+F81</f>
        <v>2351728.08</v>
      </c>
      <c r="G82" s="423">
        <f t="shared" si="43"/>
        <v>2351728.08</v>
      </c>
      <c r="H82" s="406"/>
      <c r="I82" s="422">
        <f t="shared" ref="I82:J82" si="44">+I77+I81</f>
        <v>3285360</v>
      </c>
      <c r="J82" s="437">
        <f t="shared" si="44"/>
        <v>3285360</v>
      </c>
    </row>
    <row r="83" spans="1:10" ht="24" thickBot="1" x14ac:dyDescent="0.35">
      <c r="A83" s="277" t="s">
        <v>109</v>
      </c>
      <c r="B83" s="617" t="s">
        <v>32</v>
      </c>
      <c r="C83" s="651"/>
      <c r="D83" s="316"/>
      <c r="E83" s="517">
        <v>12.2659</v>
      </c>
      <c r="F83" s="414">
        <f>IFERROR(E83*'01 Prod Physique Boites'!H83,"-")</f>
        <v>0</v>
      </c>
      <c r="G83" s="415">
        <f>IFERROR(E83*'01 Prod Physique Boites'!L83,"-")</f>
        <v>0</v>
      </c>
      <c r="H83" s="398"/>
      <c r="I83" s="432">
        <f>IFERROR(H83*(F83/E83),"-")</f>
        <v>0</v>
      </c>
      <c r="J83" s="433">
        <f>IFERROR(H83*(G83/E83),"-")</f>
        <v>0</v>
      </c>
    </row>
    <row r="84" spans="1:10" ht="24" thickBot="1" x14ac:dyDescent="0.35">
      <c r="A84" s="277" t="s">
        <v>109</v>
      </c>
      <c r="B84" s="926" t="s">
        <v>21</v>
      </c>
      <c r="C84" s="927"/>
      <c r="D84" s="928"/>
      <c r="E84" s="399"/>
      <c r="F84" s="416">
        <f t="shared" ref="F84" si="45">+F73+F82+F83</f>
        <v>2612828.088</v>
      </c>
      <c r="G84" s="417">
        <f>+G73+G82+G83</f>
        <v>2612828.088</v>
      </c>
      <c r="H84" s="400"/>
      <c r="I84" s="416">
        <f t="shared" ref="I84:J84" si="46">+I73+I82+I83</f>
        <v>3698276.4</v>
      </c>
      <c r="J84" s="434">
        <f t="shared" si="46"/>
        <v>3698276.4</v>
      </c>
    </row>
    <row r="85" spans="1:10" ht="24" thickBot="1" x14ac:dyDescent="0.35">
      <c r="A85" s="277" t="s">
        <v>109</v>
      </c>
      <c r="B85" s="900" t="s">
        <v>180</v>
      </c>
      <c r="C85" s="901"/>
      <c r="D85" s="902"/>
      <c r="E85" s="401"/>
      <c r="F85" s="418">
        <f t="shared" ref="F85:G85" si="47">+F84</f>
        <v>2612828.088</v>
      </c>
      <c r="G85" s="419">
        <f t="shared" si="47"/>
        <v>2612828.088</v>
      </c>
      <c r="H85" s="402"/>
      <c r="I85" s="418">
        <f t="shared" ref="I85:J85" si="48">+I84</f>
        <v>3698276.4</v>
      </c>
      <c r="J85" s="435">
        <f t="shared" si="48"/>
        <v>3698276.4</v>
      </c>
    </row>
    <row r="86" spans="1:10" ht="23.4" x14ac:dyDescent="0.3">
      <c r="A86" s="271" t="s">
        <v>110</v>
      </c>
      <c r="B86" s="903" t="s">
        <v>33</v>
      </c>
      <c r="C86" s="317" t="s">
        <v>121</v>
      </c>
      <c r="D86" s="317"/>
      <c r="E86" s="513">
        <v>254.89750000000001</v>
      </c>
      <c r="F86" s="408">
        <f>IFERROR(E86*'01 Prod Physique Boites'!H86,"-")</f>
        <v>0</v>
      </c>
      <c r="G86" s="409">
        <f>IFERROR(E86*'01 Prod Physique Boites'!L86,"-")</f>
        <v>0</v>
      </c>
      <c r="H86" s="387">
        <v>445.38</v>
      </c>
      <c r="I86" s="425">
        <f>IFERROR(H86*(F86/E86),"-")</f>
        <v>0</v>
      </c>
      <c r="J86" s="426">
        <f t="shared" ref="J86:J88" si="49">IFERROR(H86*(G86/E86),"-")</f>
        <v>0</v>
      </c>
    </row>
    <row r="87" spans="1:10" ht="23.4" x14ac:dyDescent="0.3">
      <c r="A87" s="277" t="s">
        <v>110</v>
      </c>
      <c r="B87" s="904"/>
      <c r="C87" s="318" t="s">
        <v>274</v>
      </c>
      <c r="D87" s="318"/>
      <c r="E87" s="514">
        <v>246.51390000000001</v>
      </c>
      <c r="F87" s="408">
        <f>IFERROR(E87*'01 Prod Physique Boites'!H87,"-")</f>
        <v>0</v>
      </c>
      <c r="G87" s="409">
        <f>IFERROR(E87*'01 Prod Physique Boites'!L87,"-")</f>
        <v>0</v>
      </c>
      <c r="H87" s="391">
        <v>430.02</v>
      </c>
      <c r="I87" s="427">
        <f>IFERROR(H87*(F87/E87),"-")</f>
        <v>0</v>
      </c>
      <c r="J87" s="428">
        <f t="shared" si="49"/>
        <v>0</v>
      </c>
    </row>
    <row r="88" spans="1:10" ht="24" thickBot="1" x14ac:dyDescent="0.35">
      <c r="A88" s="277" t="s">
        <v>110</v>
      </c>
      <c r="B88" s="905"/>
      <c r="C88" s="319" t="s">
        <v>34</v>
      </c>
      <c r="D88" s="319"/>
      <c r="E88" s="511">
        <v>225.7713</v>
      </c>
      <c r="F88" s="408">
        <f>IFERROR(E88*'01 Prod Physique Boites'!H88,"-")</f>
        <v>0</v>
      </c>
      <c r="G88" s="409">
        <f>IFERROR(E88*'01 Prod Physique Boites'!L88,"-")</f>
        <v>0</v>
      </c>
      <c r="H88" s="393"/>
      <c r="I88" s="429">
        <f>IFERROR(H88*(F88/E88),"-")</f>
        <v>0</v>
      </c>
      <c r="J88" s="430">
        <f t="shared" si="49"/>
        <v>0</v>
      </c>
    </row>
    <row r="89" spans="1:10" ht="24" thickBot="1" x14ac:dyDescent="0.35">
      <c r="A89" s="277" t="s">
        <v>110</v>
      </c>
      <c r="B89" s="906" t="s">
        <v>35</v>
      </c>
      <c r="C89" s="907"/>
      <c r="D89" s="908"/>
      <c r="E89" s="396"/>
      <c r="F89" s="412">
        <f t="shared" ref="F89:G89" si="50">SUM(F86:F88)</f>
        <v>0</v>
      </c>
      <c r="G89" s="413">
        <f t="shared" si="50"/>
        <v>0</v>
      </c>
      <c r="H89" s="397"/>
      <c r="I89" s="412">
        <f t="shared" ref="I89:J89" si="51">SUM(I86:I88)</f>
        <v>0</v>
      </c>
      <c r="J89" s="431">
        <f t="shared" si="51"/>
        <v>0</v>
      </c>
    </row>
    <row r="90" spans="1:10" ht="23.4" x14ac:dyDescent="0.3">
      <c r="A90" s="277" t="s">
        <v>110</v>
      </c>
      <c r="B90" s="903" t="s">
        <v>36</v>
      </c>
      <c r="C90" s="317" t="s">
        <v>121</v>
      </c>
      <c r="D90" s="317"/>
      <c r="E90" s="513">
        <v>254.89750000000001</v>
      </c>
      <c r="F90" s="408">
        <f>IFERROR(E90*'01 Prod Physique Boites'!H90,"-")</f>
        <v>0</v>
      </c>
      <c r="G90" s="409">
        <f>IFERROR(E90*'01 Prod Physique Boites'!L90,"-")</f>
        <v>0</v>
      </c>
      <c r="H90" s="387">
        <v>445.38</v>
      </c>
      <c r="I90" s="425">
        <f>IFERROR(H90*(F90/E90),"-")</f>
        <v>0</v>
      </c>
      <c r="J90" s="426">
        <f t="shared" ref="J90:J93" si="52">IFERROR(H90*(G90/E90),"-")</f>
        <v>0</v>
      </c>
    </row>
    <row r="91" spans="1:10" ht="23.4" x14ac:dyDescent="0.3">
      <c r="A91" s="277" t="s">
        <v>110</v>
      </c>
      <c r="B91" s="904"/>
      <c r="C91" s="318" t="s">
        <v>274</v>
      </c>
      <c r="D91" s="318"/>
      <c r="E91" s="514">
        <v>246.51390000000001</v>
      </c>
      <c r="F91" s="408">
        <f>IFERROR(E91*'01 Prod Physique Boites'!H91,"-")</f>
        <v>0</v>
      </c>
      <c r="G91" s="409">
        <f>IFERROR(E91*'01 Prod Physique Boites'!L91,"-")</f>
        <v>0</v>
      </c>
      <c r="H91" s="391">
        <v>430.02</v>
      </c>
      <c r="I91" s="427">
        <f>IFERROR(H91*(F91/E91),"-")</f>
        <v>0</v>
      </c>
      <c r="J91" s="428">
        <f t="shared" si="52"/>
        <v>0</v>
      </c>
    </row>
    <row r="92" spans="1:10" ht="23.4" x14ac:dyDescent="0.3">
      <c r="A92" s="277" t="s">
        <v>110</v>
      </c>
      <c r="B92" s="904"/>
      <c r="C92" s="318" t="s">
        <v>201</v>
      </c>
      <c r="D92" s="318" t="s">
        <v>200</v>
      </c>
      <c r="E92" s="514">
        <v>254.89750000000001</v>
      </c>
      <c r="F92" s="408">
        <f>IFERROR(E92*'01 Prod Physique Boites'!H92,"-")</f>
        <v>0</v>
      </c>
      <c r="G92" s="409">
        <f>IFERROR(E92*'01 Prod Physique Boites'!L92,"-")</f>
        <v>0</v>
      </c>
      <c r="H92" s="391"/>
      <c r="I92" s="427">
        <f>IFERROR(H92*(F92/E92),"-")</f>
        <v>0</v>
      </c>
      <c r="J92" s="428">
        <f t="shared" si="52"/>
        <v>0</v>
      </c>
    </row>
    <row r="93" spans="1:10" ht="24" thickBot="1" x14ac:dyDescent="0.35">
      <c r="A93" s="277" t="s">
        <v>110</v>
      </c>
      <c r="B93" s="905"/>
      <c r="C93" s="319" t="s">
        <v>37</v>
      </c>
      <c r="D93" s="319"/>
      <c r="E93" s="511">
        <v>229.99359999999999</v>
      </c>
      <c r="F93" s="408">
        <f>IFERROR(E93*'01 Prod Physique Boites'!H93,"-")</f>
        <v>0</v>
      </c>
      <c r="G93" s="409">
        <f>IFERROR(E93*'01 Prod Physique Boites'!L93,"-")</f>
        <v>0</v>
      </c>
      <c r="H93" s="393"/>
      <c r="I93" s="429">
        <f>IFERROR(H93*(F93/E93),"-")</f>
        <v>0</v>
      </c>
      <c r="J93" s="430">
        <f t="shared" si="52"/>
        <v>0</v>
      </c>
    </row>
    <row r="94" spans="1:10" ht="24" thickBot="1" x14ac:dyDescent="0.35">
      <c r="A94" s="277" t="s">
        <v>110</v>
      </c>
      <c r="B94" s="906" t="s">
        <v>38</v>
      </c>
      <c r="C94" s="907"/>
      <c r="D94" s="908"/>
      <c r="E94" s="396"/>
      <c r="F94" s="412">
        <f t="shared" ref="F94:G94" si="53">SUM(F90:F93)</f>
        <v>0</v>
      </c>
      <c r="G94" s="413">
        <f t="shared" si="53"/>
        <v>0</v>
      </c>
      <c r="H94" s="397"/>
      <c r="I94" s="412">
        <f>SUM(I90:I93)</f>
        <v>0</v>
      </c>
      <c r="J94" s="431">
        <f>SUM(J90:J93)</f>
        <v>0</v>
      </c>
    </row>
    <row r="95" spans="1:10" ht="23.4" x14ac:dyDescent="0.3">
      <c r="A95" s="277" t="s">
        <v>110</v>
      </c>
      <c r="B95" s="903" t="s">
        <v>39</v>
      </c>
      <c r="C95" s="320" t="s">
        <v>124</v>
      </c>
      <c r="D95" s="320"/>
      <c r="E95" s="513">
        <v>195.2808</v>
      </c>
      <c r="F95" s="408">
        <f>IFERROR(E95*'01 Prod Physique Boites'!H95,"-")</f>
        <v>0</v>
      </c>
      <c r="G95" s="409">
        <f>IFERROR(E95*'01 Prod Physique Boites'!L95,"-")</f>
        <v>0</v>
      </c>
      <c r="H95" s="387"/>
      <c r="I95" s="425">
        <f>IFERROR(H95*(F95/E95),"-")</f>
        <v>0</v>
      </c>
      <c r="J95" s="426">
        <f t="shared" ref="J95:J96" si="54">IFERROR(H95*(G95/E95),"-")</f>
        <v>0</v>
      </c>
    </row>
    <row r="96" spans="1:10" ht="24" thickBot="1" x14ac:dyDescent="0.35">
      <c r="A96" s="277" t="s">
        <v>110</v>
      </c>
      <c r="B96" s="905"/>
      <c r="C96" s="290" t="s">
        <v>140</v>
      </c>
      <c r="D96" s="290"/>
      <c r="E96" s="511">
        <v>189.91890000000001</v>
      </c>
      <c r="F96" s="408">
        <f>IFERROR(E96*'01 Prod Physique Boites'!H96,"-")</f>
        <v>0</v>
      </c>
      <c r="G96" s="409">
        <f>IFERROR(E96*'01 Prod Physique Boites'!L96,"-")</f>
        <v>0</v>
      </c>
      <c r="H96" s="393">
        <v>320.35000000000002</v>
      </c>
      <c r="I96" s="429">
        <f>IFERROR(H96*(F96/E96),"-")</f>
        <v>0</v>
      </c>
      <c r="J96" s="430">
        <f t="shared" si="54"/>
        <v>0</v>
      </c>
    </row>
    <row r="97" spans="1:10" ht="24" thickBot="1" x14ac:dyDescent="0.35">
      <c r="A97" s="658" t="s">
        <v>110</v>
      </c>
      <c r="B97" s="906" t="s">
        <v>40</v>
      </c>
      <c r="C97" s="907"/>
      <c r="D97" s="908"/>
      <c r="E97" s="396"/>
      <c r="F97" s="412">
        <f>SUM(F95:F96)</f>
        <v>0</v>
      </c>
      <c r="G97" s="413">
        <f t="shared" ref="G97" si="55">SUM(G95:G96)</f>
        <v>0</v>
      </c>
      <c r="H97" s="397"/>
      <c r="I97" s="412">
        <f t="shared" ref="I97:J97" si="56">SUM(I95:I96)</f>
        <v>0</v>
      </c>
      <c r="J97" s="431">
        <f t="shared" si="56"/>
        <v>0</v>
      </c>
    </row>
    <row r="98" spans="1:10" ht="23.4" x14ac:dyDescent="0.3">
      <c r="A98" s="277" t="s">
        <v>110</v>
      </c>
      <c r="B98" s="903" t="s">
        <v>41</v>
      </c>
      <c r="C98" s="272" t="s">
        <v>346</v>
      </c>
      <c r="D98" s="272" t="s">
        <v>263</v>
      </c>
      <c r="E98" s="515">
        <v>37.248699999999999</v>
      </c>
      <c r="F98" s="408">
        <f>IFERROR(E98*'01 Prod Physique Boites'!H98,"-")</f>
        <v>590019.40799999994</v>
      </c>
      <c r="G98" s="409">
        <f>IFERROR(E98*'01 Prod Physique Boites'!L98,"-")</f>
        <v>590019.40799999994</v>
      </c>
      <c r="H98" s="387">
        <v>71.44</v>
      </c>
      <c r="I98" s="425">
        <f>IFERROR(H98*(F98/E98),"-")</f>
        <v>1131609.5999999999</v>
      </c>
      <c r="J98" s="426">
        <f>IFERROR(H98*(G98/E98),"-")</f>
        <v>1131609.5999999999</v>
      </c>
    </row>
    <row r="99" spans="1:10" ht="23.4" x14ac:dyDescent="0.3">
      <c r="A99" s="277" t="s">
        <v>110</v>
      </c>
      <c r="B99" s="904"/>
      <c r="C99" s="272" t="s">
        <v>165</v>
      </c>
      <c r="D99" s="278" t="s">
        <v>103</v>
      </c>
      <c r="E99" s="515">
        <v>37.248699999999999</v>
      </c>
      <c r="F99" s="408">
        <f>IFERROR(E99*'01 Prod Physique Boites'!H99,"-")</f>
        <v>0</v>
      </c>
      <c r="G99" s="409">
        <f>IFERROR(E99*'01 Prod Physique Boites'!L99,"-")</f>
        <v>0</v>
      </c>
      <c r="H99" s="391"/>
      <c r="I99" s="427">
        <f>IFERROR(H99*(F99/E99),"-")</f>
        <v>0</v>
      </c>
      <c r="J99" s="428">
        <f t="shared" ref="J99:J102" si="57">IFERROR(H99*(G99/E99),"-")</f>
        <v>0</v>
      </c>
    </row>
    <row r="100" spans="1:10" ht="23.4" x14ac:dyDescent="0.3">
      <c r="A100" s="277" t="s">
        <v>110</v>
      </c>
      <c r="B100" s="904"/>
      <c r="C100" s="278" t="s">
        <v>202</v>
      </c>
      <c r="D100" s="278" t="s">
        <v>200</v>
      </c>
      <c r="E100" s="516">
        <v>38.466099999999997</v>
      </c>
      <c r="F100" s="408">
        <f>IFERROR(E100*'01 Prod Physique Boites'!H100,"-")</f>
        <v>0</v>
      </c>
      <c r="G100" s="409">
        <f>IFERROR(E100*'01 Prod Physique Boites'!L100,"-")</f>
        <v>0</v>
      </c>
      <c r="H100" s="391"/>
      <c r="I100" s="427">
        <f>IFERROR(H100*(F100/E100),"-")</f>
        <v>0</v>
      </c>
      <c r="J100" s="428">
        <f t="shared" si="57"/>
        <v>0</v>
      </c>
    </row>
    <row r="101" spans="1:10" ht="23.4" x14ac:dyDescent="0.3">
      <c r="A101" s="277" t="s">
        <v>110</v>
      </c>
      <c r="B101" s="904"/>
      <c r="C101" s="278" t="s">
        <v>166</v>
      </c>
      <c r="D101" s="278"/>
      <c r="E101" s="516">
        <v>37.248699999999999</v>
      </c>
      <c r="F101" s="408">
        <f>IFERROR(E101*'01 Prod Physique Boites'!H101,"-")</f>
        <v>0</v>
      </c>
      <c r="G101" s="409">
        <f>IFERROR(E101*'01 Prod Physique Boites'!L101,"-")</f>
        <v>0</v>
      </c>
      <c r="H101" s="391"/>
      <c r="I101" s="427">
        <f>IFERROR(H101*(F101/E101),"-")</f>
        <v>0</v>
      </c>
      <c r="J101" s="428">
        <f t="shared" si="57"/>
        <v>0</v>
      </c>
    </row>
    <row r="102" spans="1:10" ht="24" thickBot="1" x14ac:dyDescent="0.35">
      <c r="A102" s="277" t="s">
        <v>110</v>
      </c>
      <c r="B102" s="905"/>
      <c r="C102" s="282" t="s">
        <v>167</v>
      </c>
      <c r="D102" s="282"/>
      <c r="E102" s="512">
        <v>33.711399999999998</v>
      </c>
      <c r="F102" s="408">
        <f>IFERROR(E102*'01 Prod Physique Boites'!H102,"-")</f>
        <v>0</v>
      </c>
      <c r="G102" s="409">
        <f>IFERROR(E102*'01 Prod Physique Boites'!L102,"-")</f>
        <v>0</v>
      </c>
      <c r="H102" s="393"/>
      <c r="I102" s="429">
        <f>IFERROR(H102*(F102/E102),"-")</f>
        <v>0</v>
      </c>
      <c r="J102" s="430">
        <f t="shared" si="57"/>
        <v>0</v>
      </c>
    </row>
    <row r="103" spans="1:10" ht="24" thickBot="1" x14ac:dyDescent="0.35">
      <c r="A103" s="277" t="s">
        <v>110</v>
      </c>
      <c r="B103" s="906" t="s">
        <v>42</v>
      </c>
      <c r="C103" s="907"/>
      <c r="D103" s="908"/>
      <c r="E103" s="396"/>
      <c r="F103" s="412">
        <f>SUM(F98:F102)</f>
        <v>590019.40799999994</v>
      </c>
      <c r="G103" s="413">
        <f>SUM(G98:G102)</f>
        <v>590019.40799999994</v>
      </c>
      <c r="H103" s="397"/>
      <c r="I103" s="412">
        <f>SUM(I98:I102)</f>
        <v>1131609.5999999999</v>
      </c>
      <c r="J103" s="412">
        <f>SUM(J98:J102)</f>
        <v>1131609.5999999999</v>
      </c>
    </row>
    <row r="104" spans="1:10" ht="23.4" x14ac:dyDescent="0.3">
      <c r="A104" s="277" t="s">
        <v>110</v>
      </c>
      <c r="B104" s="903" t="s">
        <v>43</v>
      </c>
      <c r="C104" s="272" t="s">
        <v>204</v>
      </c>
      <c r="D104" s="272" t="s">
        <v>200</v>
      </c>
      <c r="E104" s="515">
        <v>30.7499</v>
      </c>
      <c r="F104" s="408">
        <f>IFERROR(E104*'01 Prod Physique Boites'!H104,"-")</f>
        <v>0</v>
      </c>
      <c r="G104" s="409">
        <f>IFERROR(E104*'01 Prod Physique Boites'!L104,"-")</f>
        <v>0</v>
      </c>
      <c r="H104" s="387"/>
      <c r="I104" s="425">
        <f>IFERROR(H104*(F104/E104),"-")</f>
        <v>0</v>
      </c>
      <c r="J104" s="426">
        <f>IFERROR(H104*(G104/E104),"-")</f>
        <v>0</v>
      </c>
    </row>
    <row r="105" spans="1:10" ht="23.4" x14ac:dyDescent="0.3">
      <c r="A105" s="277" t="s">
        <v>110</v>
      </c>
      <c r="B105" s="904"/>
      <c r="C105" s="278" t="s">
        <v>168</v>
      </c>
      <c r="D105" s="278"/>
      <c r="E105" s="516">
        <v>28.7</v>
      </c>
      <c r="F105" s="408">
        <f>IFERROR(E105*'01 Prod Physique Boites'!H105,"-")</f>
        <v>0</v>
      </c>
      <c r="G105" s="409">
        <f>IFERROR(E105*'01 Prod Physique Boites'!L105,"-")</f>
        <v>0</v>
      </c>
      <c r="H105" s="391"/>
      <c r="I105" s="427">
        <f>IFERROR(H105*(F105/E105),"-")</f>
        <v>0</v>
      </c>
      <c r="J105" s="428">
        <f t="shared" ref="J105:J106" si="58">IFERROR(H105*(G105/E105),"-")</f>
        <v>0</v>
      </c>
    </row>
    <row r="106" spans="1:10" ht="24" thickBot="1" x14ac:dyDescent="0.35">
      <c r="A106" s="277" t="s">
        <v>110</v>
      </c>
      <c r="B106" s="905"/>
      <c r="C106" s="282" t="s">
        <v>204</v>
      </c>
      <c r="D106" s="282" t="s">
        <v>203</v>
      </c>
      <c r="E106" s="512">
        <v>30.073599999999999</v>
      </c>
      <c r="F106" s="408">
        <f>IFERROR(E106*'01 Prod Physique Boites'!H106,"-")</f>
        <v>0</v>
      </c>
      <c r="G106" s="409">
        <f>IFERROR(E106*'01 Prod Physique Boites'!L106,"-")</f>
        <v>0</v>
      </c>
      <c r="H106" s="393"/>
      <c r="I106" s="429">
        <f>IFERROR(H106*(F106/E106),"-")</f>
        <v>0</v>
      </c>
      <c r="J106" s="430">
        <f t="shared" si="58"/>
        <v>0</v>
      </c>
    </row>
    <row r="107" spans="1:10" ht="24" thickBot="1" x14ac:dyDescent="0.35">
      <c r="A107" s="277" t="s">
        <v>110</v>
      </c>
      <c r="B107" s="909" t="s">
        <v>44</v>
      </c>
      <c r="C107" s="910"/>
      <c r="D107" s="911"/>
      <c r="E107" s="396"/>
      <c r="F107" s="412">
        <f t="shared" ref="F107:G107" si="59">SUM(F104:F106)</f>
        <v>0</v>
      </c>
      <c r="G107" s="413">
        <f t="shared" si="59"/>
        <v>0</v>
      </c>
      <c r="H107" s="397"/>
      <c r="I107" s="412">
        <f t="shared" ref="I107:J107" si="60">SUM(I104:I106)</f>
        <v>0</v>
      </c>
      <c r="J107" s="431">
        <f t="shared" si="60"/>
        <v>0</v>
      </c>
    </row>
    <row r="108" spans="1:10" ht="23.4" x14ac:dyDescent="0.3">
      <c r="A108" s="277" t="s">
        <v>110</v>
      </c>
      <c r="B108" s="903" t="s">
        <v>45</v>
      </c>
      <c r="C108" s="272" t="s">
        <v>169</v>
      </c>
      <c r="D108" s="272"/>
      <c r="E108" s="515">
        <v>36.684899999999999</v>
      </c>
      <c r="F108" s="408">
        <f>IFERROR(E108*'01 Prod Physique Boites'!H108,"-")</f>
        <v>0</v>
      </c>
      <c r="G108" s="409">
        <f>IFERROR(E108*'01 Prod Physique Boites'!L108,"-")</f>
        <v>0</v>
      </c>
      <c r="H108" s="387"/>
      <c r="I108" s="388" t="s">
        <v>209</v>
      </c>
      <c r="J108" s="389" t="s">
        <v>209</v>
      </c>
    </row>
    <row r="109" spans="1:10" ht="24" thickBot="1" x14ac:dyDescent="0.35">
      <c r="A109" s="277" t="s">
        <v>110</v>
      </c>
      <c r="B109" s="905"/>
      <c r="C109" s="282" t="s">
        <v>170</v>
      </c>
      <c r="D109" s="282"/>
      <c r="E109" s="512">
        <v>37.002800000000001</v>
      </c>
      <c r="F109" s="408">
        <f>IFERROR(E109*'01 Prod Physique Boites'!H109,"-")</f>
        <v>0</v>
      </c>
      <c r="G109" s="409">
        <f>IFERROR(E109*'01 Prod Physique Boites'!L109,"-")</f>
        <v>0</v>
      </c>
      <c r="H109" s="393"/>
      <c r="I109" s="394" t="s">
        <v>209</v>
      </c>
      <c r="J109" s="395" t="s">
        <v>209</v>
      </c>
    </row>
    <row r="110" spans="1:10" ht="24" thickBot="1" x14ac:dyDescent="0.35">
      <c r="A110" s="277" t="s">
        <v>110</v>
      </c>
      <c r="B110" s="909" t="s">
        <v>46</v>
      </c>
      <c r="C110" s="910"/>
      <c r="D110" s="911"/>
      <c r="E110" s="396"/>
      <c r="F110" s="412">
        <f t="shared" ref="F110:G110" si="61">SUM(F108:F109)</f>
        <v>0</v>
      </c>
      <c r="G110" s="413">
        <f t="shared" si="61"/>
        <v>0</v>
      </c>
      <c r="H110" s="397"/>
      <c r="I110" s="412">
        <f t="shared" ref="I110:J110" si="62">SUM(I108:I109)</f>
        <v>0</v>
      </c>
      <c r="J110" s="431">
        <f t="shared" si="62"/>
        <v>0</v>
      </c>
    </row>
    <row r="111" spans="1:10" ht="24" thickBot="1" x14ac:dyDescent="0.35">
      <c r="A111" s="277" t="s">
        <v>110</v>
      </c>
      <c r="B111" s="912" t="s">
        <v>25</v>
      </c>
      <c r="C111" s="913"/>
      <c r="D111" s="914"/>
      <c r="E111" s="399"/>
      <c r="F111" s="416">
        <f t="shared" ref="F111:G111" si="63">+F89+F94+F97+F103+F107+F110</f>
        <v>590019.40799999994</v>
      </c>
      <c r="G111" s="417">
        <f t="shared" si="63"/>
        <v>590019.40799999994</v>
      </c>
      <c r="H111" s="400"/>
      <c r="I111" s="416">
        <f>+I89+I94+I97+I103+I107+I110</f>
        <v>1131609.5999999999</v>
      </c>
      <c r="J111" s="434">
        <f>+J89+J94+J97+J103+J107+J110</f>
        <v>1131609.5999999999</v>
      </c>
    </row>
    <row r="112" spans="1:10" ht="24" thickBot="1" x14ac:dyDescent="0.35">
      <c r="A112" s="324" t="s">
        <v>110</v>
      </c>
      <c r="B112" s="901" t="s">
        <v>182</v>
      </c>
      <c r="C112" s="901"/>
      <c r="D112" s="902"/>
      <c r="E112" s="401"/>
      <c r="F112" s="418">
        <f t="shared" ref="F112:G112" si="64">+F111</f>
        <v>590019.40799999994</v>
      </c>
      <c r="G112" s="419">
        <f t="shared" si="64"/>
        <v>590019.40799999994</v>
      </c>
      <c r="H112" s="402"/>
      <c r="I112" s="418">
        <f t="shared" ref="I112" si="65">+I111</f>
        <v>1131609.5999999999</v>
      </c>
      <c r="J112" s="435">
        <f>+J111</f>
        <v>1131609.5999999999</v>
      </c>
    </row>
    <row r="113" spans="1:10" ht="24.6" thickBot="1" x14ac:dyDescent="0.35">
      <c r="A113" s="325"/>
      <c r="B113" s="915" t="s">
        <v>183</v>
      </c>
      <c r="C113" s="916"/>
      <c r="D113" s="917"/>
      <c r="E113" s="407"/>
      <c r="F113" s="424">
        <f t="shared" ref="F113:G113" si="66">+F58+F85+F112</f>
        <v>6545404.2635999992</v>
      </c>
      <c r="G113" s="424">
        <f t="shared" si="66"/>
        <v>6545404.2635999992</v>
      </c>
      <c r="H113" s="407"/>
      <c r="I113" s="424">
        <f t="shared" ref="I113:J113" si="67">+I58+I85+I112</f>
        <v>8652642.2576000001</v>
      </c>
      <c r="J113" s="438">
        <f t="shared" si="67"/>
        <v>8652642.2576000001</v>
      </c>
    </row>
    <row r="114" spans="1:10" ht="23.4" x14ac:dyDescent="0.3">
      <c r="A114" s="935" t="s">
        <v>1</v>
      </c>
      <c r="B114" s="938" t="s">
        <v>2</v>
      </c>
      <c r="C114" s="941" t="s">
        <v>3</v>
      </c>
      <c r="D114" s="941" t="s">
        <v>93</v>
      </c>
      <c r="E114" s="965" t="s">
        <v>176</v>
      </c>
      <c r="F114" s="966"/>
      <c r="G114" s="966"/>
      <c r="H114" s="451"/>
      <c r="I114" s="451"/>
      <c r="J114" s="452"/>
    </row>
    <row r="115" spans="1:10" ht="23.4" x14ac:dyDescent="0.3">
      <c r="A115" s="936"/>
      <c r="B115" s="939"/>
      <c r="C115" s="942"/>
      <c r="D115" s="942"/>
      <c r="E115" s="967" t="s">
        <v>178</v>
      </c>
      <c r="F115" s="968"/>
      <c r="G115" s="969"/>
      <c r="H115" s="967" t="s">
        <v>177</v>
      </c>
      <c r="I115" s="968"/>
      <c r="J115" s="969"/>
    </row>
    <row r="116" spans="1:10" ht="46.8" x14ac:dyDescent="0.3">
      <c r="A116" s="937"/>
      <c r="B116" s="963"/>
      <c r="C116" s="964"/>
      <c r="D116" s="964"/>
      <c r="E116" s="385" t="s">
        <v>179</v>
      </c>
      <c r="F116" s="670" t="s">
        <v>11</v>
      </c>
      <c r="G116" s="671" t="s">
        <v>12</v>
      </c>
      <c r="H116" s="970" t="s">
        <v>179</v>
      </c>
      <c r="I116" s="972" t="s">
        <v>145</v>
      </c>
      <c r="J116" s="974" t="s">
        <v>12</v>
      </c>
    </row>
    <row r="117" spans="1:10" ht="24" thickBot="1" x14ac:dyDescent="0.35">
      <c r="A117" s="937"/>
      <c r="B117" s="940"/>
      <c r="C117" s="943"/>
      <c r="D117" s="943"/>
      <c r="E117" s="976">
        <v>44503</v>
      </c>
      <c r="F117" s="977"/>
      <c r="G117" s="978"/>
      <c r="H117" s="971"/>
      <c r="I117" s="973"/>
      <c r="J117" s="975"/>
    </row>
    <row r="118" spans="1:10" ht="23.4" x14ac:dyDescent="0.3">
      <c r="A118" s="271" t="s">
        <v>111</v>
      </c>
      <c r="B118" s="922" t="s">
        <v>16</v>
      </c>
      <c r="C118" s="272" t="s">
        <v>186</v>
      </c>
      <c r="D118" s="272" t="s">
        <v>184</v>
      </c>
      <c r="E118" s="515">
        <v>81.360699999999994</v>
      </c>
      <c r="F118" s="408">
        <f>IFERROR(E118*'01 Prod Physique Boites'!H117,"-")</f>
        <v>0</v>
      </c>
      <c r="G118" s="408">
        <f>IFERROR(E118*'01 Prod Physique Boites'!L117,"-")</f>
        <v>0</v>
      </c>
      <c r="H118" s="387">
        <v>0</v>
      </c>
      <c r="I118" s="425">
        <f>IFERROR(H118*(F118/E118),"-")</f>
        <v>0</v>
      </c>
      <c r="J118" s="426">
        <f t="shared" ref="J118:J120" si="68">IFERROR(H118*(G118/E118),"-")</f>
        <v>0</v>
      </c>
    </row>
    <row r="119" spans="1:10" ht="23.4" x14ac:dyDescent="0.3">
      <c r="A119" s="277" t="s">
        <v>111</v>
      </c>
      <c r="B119" s="923"/>
      <c r="C119" s="278" t="s">
        <v>190</v>
      </c>
      <c r="D119" s="278" t="s">
        <v>101</v>
      </c>
      <c r="E119" s="516">
        <v>81.360699999999994</v>
      </c>
      <c r="F119" s="408">
        <f>IFERROR(E119*'01 Prod Physique Boites'!H118,"-")</f>
        <v>0</v>
      </c>
      <c r="G119" s="408">
        <f>IFERROR(E119*'01 Prod Physique Boites'!L118,"-")</f>
        <v>0</v>
      </c>
      <c r="H119" s="391">
        <v>0</v>
      </c>
      <c r="I119" s="425">
        <f>IFERROR(H119*(F119/E119),"-")</f>
        <v>0</v>
      </c>
      <c r="J119" s="426">
        <f t="shared" si="68"/>
        <v>0</v>
      </c>
    </row>
    <row r="120" spans="1:10" ht="23.4" x14ac:dyDescent="0.3">
      <c r="A120" s="277" t="s">
        <v>111</v>
      </c>
      <c r="B120" s="923"/>
      <c r="C120" s="278" t="s">
        <v>187</v>
      </c>
      <c r="D120" s="278" t="s">
        <v>185</v>
      </c>
      <c r="E120" s="516">
        <v>55.476900000000001</v>
      </c>
      <c r="F120" s="408">
        <f>IFERROR(E120*'01 Prod Physique Boites'!H119,"-")</f>
        <v>0</v>
      </c>
      <c r="G120" s="408">
        <f>IFERROR(E120*'01 Prod Physique Boites'!L119,"-")</f>
        <v>0</v>
      </c>
      <c r="H120" s="391">
        <v>0</v>
      </c>
      <c r="I120" s="425">
        <f>IFERROR(H120*(F120/E120),"-")</f>
        <v>0</v>
      </c>
      <c r="J120" s="426">
        <f t="shared" si="68"/>
        <v>0</v>
      </c>
    </row>
    <row r="121" spans="1:10" ht="24" thickBot="1" x14ac:dyDescent="0.35">
      <c r="A121" s="277" t="s">
        <v>111</v>
      </c>
      <c r="B121" s="924"/>
      <c r="C121" s="282" t="s">
        <v>289</v>
      </c>
      <c r="D121" s="282" t="s">
        <v>256</v>
      </c>
      <c r="E121" s="512">
        <v>60.703499999999998</v>
      </c>
      <c r="F121" s="408">
        <f>IFERROR(E121*'01 Prod Physique Boites'!H120,"-")</f>
        <v>1181047.2959999999</v>
      </c>
      <c r="G121" s="408">
        <f>IFERROR(E121*'01 Prod Physique Boites'!L120,"-")</f>
        <v>2144533.2480000001</v>
      </c>
      <c r="H121" s="393">
        <v>111.0883</v>
      </c>
      <c r="I121" s="425">
        <f>IFERROR(H121*(F121/E121),"-")</f>
        <v>2161333.9648000002</v>
      </c>
      <c r="J121" s="426">
        <f>IFERROR(H121*(G121/E121),"-")</f>
        <v>3924527.4624000001</v>
      </c>
    </row>
    <row r="122" spans="1:10" ht="24" thickBot="1" x14ac:dyDescent="0.35">
      <c r="A122" s="277" t="s">
        <v>111</v>
      </c>
      <c r="B122" s="906" t="s">
        <v>47</v>
      </c>
      <c r="C122" s="907"/>
      <c r="D122" s="908"/>
      <c r="E122" s="396"/>
      <c r="F122" s="412">
        <f t="shared" ref="F122:G122" si="69">SUM(F118:F121)</f>
        <v>1181047.2959999999</v>
      </c>
      <c r="G122" s="413">
        <f t="shared" si="69"/>
        <v>2144533.2480000001</v>
      </c>
      <c r="H122" s="397"/>
      <c r="I122" s="412">
        <f t="shared" ref="I122:J122" si="70">SUM(I118:I121)</f>
        <v>2161333.9648000002</v>
      </c>
      <c r="J122" s="431">
        <f t="shared" si="70"/>
        <v>3924527.4624000001</v>
      </c>
    </row>
    <row r="123" spans="1:10" ht="23.4" x14ac:dyDescent="0.3">
      <c r="A123" s="277" t="s">
        <v>111</v>
      </c>
      <c r="B123" s="922" t="s">
        <v>17</v>
      </c>
      <c r="C123" s="272" t="s">
        <v>331</v>
      </c>
      <c r="D123" s="272"/>
      <c r="E123" s="515">
        <v>12.5275</v>
      </c>
      <c r="F123" s="408">
        <f>IFERROR(E123*'01 Prod Physique Boites'!H122,"-")</f>
        <v>0</v>
      </c>
      <c r="G123" s="408">
        <f>IFERROR(E123*'01 Prod Physique Boites'!L122,"-")</f>
        <v>0</v>
      </c>
      <c r="H123" s="387">
        <v>18.836400000000001</v>
      </c>
      <c r="I123" s="425">
        <f t="shared" ref="I123:I129" si="71">IFERROR(H123*(F123/E123),"-")</f>
        <v>0</v>
      </c>
      <c r="J123" s="426">
        <f t="shared" ref="J123:J129" si="72">IFERROR(H123*(G123/E123),"-")</f>
        <v>0</v>
      </c>
    </row>
    <row r="124" spans="1:10" ht="23.4" x14ac:dyDescent="0.3">
      <c r="A124" s="277" t="s">
        <v>111</v>
      </c>
      <c r="B124" s="923"/>
      <c r="C124" s="278" t="s">
        <v>421</v>
      </c>
      <c r="D124" s="278" t="s">
        <v>257</v>
      </c>
      <c r="E124" s="516">
        <v>13.002700000000001</v>
      </c>
      <c r="F124" s="408">
        <f>IFERROR(E124*'01 Prod Physique Boites'!H123,"-")</f>
        <v>1034494.812</v>
      </c>
      <c r="G124" s="408">
        <f>IFERROR(E124*'01 Prod Physique Boites'!L123,"-")</f>
        <v>1034494.812</v>
      </c>
      <c r="H124" s="391">
        <v>21.18</v>
      </c>
      <c r="I124" s="427">
        <f t="shared" si="71"/>
        <v>1685080.8</v>
      </c>
      <c r="J124" s="428">
        <f t="shared" si="72"/>
        <v>1685080.8</v>
      </c>
    </row>
    <row r="125" spans="1:10" ht="23.4" x14ac:dyDescent="0.3">
      <c r="A125" s="277" t="s">
        <v>111</v>
      </c>
      <c r="B125" s="923"/>
      <c r="C125" s="278" t="s">
        <v>392</v>
      </c>
      <c r="D125" s="278" t="s">
        <v>205</v>
      </c>
      <c r="E125" s="516">
        <v>12.9049</v>
      </c>
      <c r="F125" s="408">
        <f>IFERROR(E125*'01 Prod Physique Boites'!H124,"-")</f>
        <v>0</v>
      </c>
      <c r="G125" s="408">
        <f>IFERROR(E125*'01 Prod Physique Boites'!L124,"-")</f>
        <v>0</v>
      </c>
      <c r="H125" s="391">
        <v>20.6602</v>
      </c>
      <c r="I125" s="427">
        <f t="shared" si="71"/>
        <v>0</v>
      </c>
      <c r="J125" s="428">
        <f t="shared" si="72"/>
        <v>0</v>
      </c>
    </row>
    <row r="126" spans="1:10" ht="23.4" x14ac:dyDescent="0.3">
      <c r="A126" s="277" t="s">
        <v>111</v>
      </c>
      <c r="B126" s="923"/>
      <c r="C126" s="278" t="s">
        <v>330</v>
      </c>
      <c r="D126" s="278" t="s">
        <v>206</v>
      </c>
      <c r="E126" s="516">
        <v>13.078200000000001</v>
      </c>
      <c r="F126" s="408">
        <f>IFERROR(E126*'01 Prod Physique Boites'!H125,"-")</f>
        <v>24011.575200000003</v>
      </c>
      <c r="G126" s="408">
        <f>IFERROR(E126*'01 Prod Physique Boites'!L125,"-")</f>
        <v>24011.575200000003</v>
      </c>
      <c r="H126" s="391">
        <v>20.66</v>
      </c>
      <c r="I126" s="427">
        <f t="shared" si="71"/>
        <v>37931.760000000002</v>
      </c>
      <c r="J126" s="428">
        <f t="shared" si="72"/>
        <v>37931.760000000002</v>
      </c>
    </row>
    <row r="127" spans="1:10" ht="23.4" x14ac:dyDescent="0.3">
      <c r="A127" s="277" t="s">
        <v>111</v>
      </c>
      <c r="B127" s="923"/>
      <c r="C127" s="278" t="s">
        <v>377</v>
      </c>
      <c r="D127" s="278" t="s">
        <v>371</v>
      </c>
      <c r="E127" s="516">
        <v>13.1958</v>
      </c>
      <c r="F127" s="408">
        <f>IFERROR(E127*'01 Prod Physique Boites'!H126,"-")</f>
        <v>80758.296000000002</v>
      </c>
      <c r="G127" s="408">
        <f>IFERROR(E127*'01 Prod Physique Boites'!L126,"-")</f>
        <v>80758.296000000002</v>
      </c>
      <c r="H127" s="391">
        <v>21.28</v>
      </c>
      <c r="I127" s="427">
        <f t="shared" si="71"/>
        <v>130233.60000000001</v>
      </c>
      <c r="J127" s="428">
        <f t="shared" si="72"/>
        <v>130233.60000000001</v>
      </c>
    </row>
    <row r="128" spans="1:10" ht="23.4" x14ac:dyDescent="0.3">
      <c r="A128" s="277" t="s">
        <v>111</v>
      </c>
      <c r="B128" s="923"/>
      <c r="C128" s="278" t="s">
        <v>208</v>
      </c>
      <c r="D128" s="278" t="s">
        <v>207</v>
      </c>
      <c r="E128" s="516">
        <v>12.9049</v>
      </c>
      <c r="F128" s="408">
        <f>IFERROR(E128*'01 Prod Physique Boites'!H127,"-")</f>
        <v>0</v>
      </c>
      <c r="G128" s="408">
        <f>IFERROR(E128*'01 Prod Physique Boites'!L127,"-")</f>
        <v>0</v>
      </c>
      <c r="H128" s="391">
        <v>0</v>
      </c>
      <c r="I128" s="427">
        <f t="shared" si="71"/>
        <v>0</v>
      </c>
      <c r="J128" s="428">
        <f t="shared" si="72"/>
        <v>0</v>
      </c>
    </row>
    <row r="129" spans="1:10" ht="24" thickBot="1" x14ac:dyDescent="0.35">
      <c r="A129" s="277" t="s">
        <v>111</v>
      </c>
      <c r="B129" s="924"/>
      <c r="C129" s="282" t="s">
        <v>416</v>
      </c>
      <c r="D129" s="282" t="s">
        <v>189</v>
      </c>
      <c r="E129" s="512">
        <v>13.6509</v>
      </c>
      <c r="F129" s="408">
        <f>IFERROR(E129*'01 Prod Physique Boites'!H128,"-")</f>
        <v>0</v>
      </c>
      <c r="G129" s="408">
        <f>IFERROR(E129*'01 Prod Physique Boites'!L128,"-")</f>
        <v>1002522.096</v>
      </c>
      <c r="H129" s="393">
        <v>21.18</v>
      </c>
      <c r="I129" s="429">
        <f t="shared" si="71"/>
        <v>0</v>
      </c>
      <c r="J129" s="430">
        <f t="shared" si="72"/>
        <v>1555459.2</v>
      </c>
    </row>
    <row r="130" spans="1:10" ht="24" thickBot="1" x14ac:dyDescent="0.35">
      <c r="A130" s="277" t="s">
        <v>111</v>
      </c>
      <c r="B130" s="906" t="s">
        <v>48</v>
      </c>
      <c r="C130" s="907"/>
      <c r="D130" s="908"/>
      <c r="E130" s="396"/>
      <c r="F130" s="412">
        <f t="shared" ref="F130:G130" si="73">SUM(F123:F129)</f>
        <v>1139264.6832000001</v>
      </c>
      <c r="G130" s="413">
        <f t="shared" si="73"/>
        <v>2141786.7792000002</v>
      </c>
      <c r="H130" s="397"/>
      <c r="I130" s="412">
        <f t="shared" ref="I130" si="74">SUM(I123:I129)</f>
        <v>1853246.1600000001</v>
      </c>
      <c r="J130" s="431">
        <f>SUM(J123:J129)</f>
        <v>3408705.3600000003</v>
      </c>
    </row>
    <row r="131" spans="1:10" ht="23.4" x14ac:dyDescent="0.3">
      <c r="A131" s="277" t="s">
        <v>111</v>
      </c>
      <c r="B131" s="922" t="s">
        <v>18</v>
      </c>
      <c r="C131" s="272" t="s">
        <v>359</v>
      </c>
      <c r="D131" s="272" t="s">
        <v>99</v>
      </c>
      <c r="E131" s="515">
        <v>17.8202</v>
      </c>
      <c r="F131" s="408">
        <f>IFERROR(E131*'01 Prod Physique Boites'!H130,"-")</f>
        <v>0</v>
      </c>
      <c r="G131" s="409">
        <f>IFERROR(E131*'01 Prod Physique Boites'!L130,"-")</f>
        <v>0</v>
      </c>
      <c r="H131" s="387">
        <v>24.93</v>
      </c>
      <c r="I131" s="425">
        <f t="shared" ref="I131:I137" si="75">IFERROR(H131*(F131/E131),"-")</f>
        <v>0</v>
      </c>
      <c r="J131" s="426">
        <f t="shared" ref="J131:J137" si="76">IFERROR(H131*(G131/E131),"-")</f>
        <v>0</v>
      </c>
    </row>
    <row r="132" spans="1:10" ht="23.4" x14ac:dyDescent="0.3">
      <c r="A132" s="277" t="s">
        <v>111</v>
      </c>
      <c r="B132" s="923"/>
      <c r="C132" s="278" t="s">
        <v>138</v>
      </c>
      <c r="D132" s="278"/>
      <c r="E132" s="516">
        <v>17.8202</v>
      </c>
      <c r="F132" s="408">
        <f>IFERROR(E132*'01 Prod Physique Boites'!H131,"-")</f>
        <v>0</v>
      </c>
      <c r="G132" s="409">
        <f>IFERROR(E132*'01 Prod Physique Boites'!L131,"-")</f>
        <v>0</v>
      </c>
      <c r="H132" s="391">
        <v>0</v>
      </c>
      <c r="I132" s="427">
        <f t="shared" si="75"/>
        <v>0</v>
      </c>
      <c r="J132" s="428">
        <f t="shared" si="76"/>
        <v>0</v>
      </c>
    </row>
    <row r="133" spans="1:10" ht="23.4" x14ac:dyDescent="0.3">
      <c r="A133" s="277" t="s">
        <v>111</v>
      </c>
      <c r="B133" s="923"/>
      <c r="C133" s="278" t="s">
        <v>123</v>
      </c>
      <c r="D133" s="278"/>
      <c r="E133" s="516">
        <v>16.4071</v>
      </c>
      <c r="F133" s="408">
        <f>IFERROR(E133*'01 Prod Physique Boites'!H132,"-")</f>
        <v>0</v>
      </c>
      <c r="G133" s="409">
        <f>IFERROR(E133*'01 Prod Physique Boites'!L132,"-")</f>
        <v>0</v>
      </c>
      <c r="H133" s="391">
        <v>0</v>
      </c>
      <c r="I133" s="427">
        <f t="shared" si="75"/>
        <v>0</v>
      </c>
      <c r="J133" s="428">
        <f t="shared" si="76"/>
        <v>0</v>
      </c>
    </row>
    <row r="134" spans="1:10" ht="23.4" x14ac:dyDescent="0.3">
      <c r="A134" s="277" t="s">
        <v>111</v>
      </c>
      <c r="B134" s="923"/>
      <c r="C134" s="278" t="s">
        <v>130</v>
      </c>
      <c r="D134" s="278"/>
      <c r="E134" s="516">
        <v>17.8202</v>
      </c>
      <c r="F134" s="408">
        <f>IFERROR(E134*'01 Prod Physique Boites'!H133,"-")</f>
        <v>0</v>
      </c>
      <c r="G134" s="409">
        <f>IFERROR(E134*'01 Prod Physique Boites'!L133,"-")</f>
        <v>0</v>
      </c>
      <c r="H134" s="391"/>
      <c r="I134" s="427">
        <f t="shared" si="75"/>
        <v>0</v>
      </c>
      <c r="J134" s="428">
        <f t="shared" si="76"/>
        <v>0</v>
      </c>
    </row>
    <row r="135" spans="1:10" ht="23.4" x14ac:dyDescent="0.3">
      <c r="A135" s="277" t="s">
        <v>111</v>
      </c>
      <c r="B135" s="923"/>
      <c r="C135" s="278" t="s">
        <v>191</v>
      </c>
      <c r="D135" s="278" t="s">
        <v>192</v>
      </c>
      <c r="E135" s="516">
        <v>17.8202</v>
      </c>
      <c r="F135" s="408">
        <f>IFERROR(E135*'01 Prod Physique Boites'!H134,"-")</f>
        <v>0</v>
      </c>
      <c r="G135" s="409">
        <f>IFERROR(E135*'01 Prod Physique Boites'!L134,"-")</f>
        <v>0</v>
      </c>
      <c r="H135" s="391"/>
      <c r="I135" s="427">
        <f t="shared" si="75"/>
        <v>0</v>
      </c>
      <c r="J135" s="428">
        <f t="shared" si="76"/>
        <v>0</v>
      </c>
    </row>
    <row r="136" spans="1:10" ht="23.4" x14ac:dyDescent="0.3">
      <c r="A136" s="277" t="s">
        <v>111</v>
      </c>
      <c r="B136" s="923"/>
      <c r="C136" s="278" t="s">
        <v>194</v>
      </c>
      <c r="D136" s="278" t="s">
        <v>193</v>
      </c>
      <c r="E136" s="516">
        <v>16.7288</v>
      </c>
      <c r="F136" s="408">
        <f>IFERROR(E136*'01 Prod Physique Boites'!H135,"-")</f>
        <v>0</v>
      </c>
      <c r="G136" s="409">
        <f>IFERROR(E136*'01 Prod Physique Boites'!L135,"-")</f>
        <v>0</v>
      </c>
      <c r="H136" s="391"/>
      <c r="I136" s="427">
        <f t="shared" si="75"/>
        <v>0</v>
      </c>
      <c r="J136" s="428">
        <f t="shared" si="76"/>
        <v>0</v>
      </c>
    </row>
    <row r="137" spans="1:10" ht="24" thickBot="1" x14ac:dyDescent="0.35">
      <c r="A137" s="277" t="s">
        <v>111</v>
      </c>
      <c r="B137" s="924"/>
      <c r="C137" s="290" t="s">
        <v>195</v>
      </c>
      <c r="D137" s="290" t="s">
        <v>115</v>
      </c>
      <c r="E137" s="512">
        <v>17.8202</v>
      </c>
      <c r="F137" s="408">
        <f>IFERROR(E137*'01 Prod Physique Boites'!H136,"-")</f>
        <v>0</v>
      </c>
      <c r="G137" s="409">
        <f>IFERROR(E137*'01 Prod Physique Boites'!L136,"-")</f>
        <v>0</v>
      </c>
      <c r="H137" s="393"/>
      <c r="I137" s="429">
        <f t="shared" si="75"/>
        <v>0</v>
      </c>
      <c r="J137" s="430">
        <f t="shared" si="76"/>
        <v>0</v>
      </c>
    </row>
    <row r="138" spans="1:10" ht="24" thickBot="1" x14ac:dyDescent="0.35">
      <c r="A138" s="277" t="s">
        <v>111</v>
      </c>
      <c r="B138" s="906" t="s">
        <v>29</v>
      </c>
      <c r="C138" s="907"/>
      <c r="D138" s="908"/>
      <c r="E138" s="396"/>
      <c r="F138" s="412">
        <f t="shared" ref="F138:G138" si="77">SUM(F131:F137)</f>
        <v>0</v>
      </c>
      <c r="G138" s="413">
        <f t="shared" si="77"/>
        <v>0</v>
      </c>
      <c r="H138" s="397"/>
      <c r="I138" s="412">
        <f t="shared" ref="I138:J138" si="78">SUM(I131:I137)</f>
        <v>0</v>
      </c>
      <c r="J138" s="431">
        <f t="shared" si="78"/>
        <v>0</v>
      </c>
    </row>
    <row r="139" spans="1:10" ht="24" thickBot="1" x14ac:dyDescent="0.35">
      <c r="A139" s="672" t="s">
        <v>111</v>
      </c>
      <c r="B139" s="291" t="s">
        <v>19</v>
      </c>
      <c r="C139" s="292" t="s">
        <v>269</v>
      </c>
      <c r="D139" s="292" t="s">
        <v>192</v>
      </c>
      <c r="E139" s="517">
        <v>12.2659</v>
      </c>
      <c r="F139" s="414">
        <f>IFERROR(E139*'01 Prod Physique Boites'!H138,"-")</f>
        <v>0</v>
      </c>
      <c r="G139" s="415">
        <f>IFERROR(E139*'01 Prod Physique Boites'!L138,"-")</f>
        <v>310866.96960000001</v>
      </c>
      <c r="H139" s="398">
        <v>14.79</v>
      </c>
      <c r="I139" s="432">
        <f>IFERROR(H139*(F139/E139),"-")</f>
        <v>0</v>
      </c>
      <c r="J139" s="433">
        <f>IFERROR(H139*(G139/E139),"-")</f>
        <v>374837.75999999995</v>
      </c>
    </row>
    <row r="140" spans="1:10" ht="24" thickBot="1" x14ac:dyDescent="0.35">
      <c r="A140" s="277" t="s">
        <v>111</v>
      </c>
      <c r="B140" s="906" t="s">
        <v>49</v>
      </c>
      <c r="C140" s="907"/>
      <c r="D140" s="908"/>
      <c r="E140" s="396"/>
      <c r="F140" s="412">
        <f t="shared" ref="F140:G140" si="79">SUM(F139)</f>
        <v>0</v>
      </c>
      <c r="G140" s="413">
        <f t="shared" si="79"/>
        <v>310866.96960000001</v>
      </c>
      <c r="H140" s="397"/>
      <c r="I140" s="412">
        <f t="shared" ref="I140:J140" si="80">SUM(I139)</f>
        <v>0</v>
      </c>
      <c r="J140" s="431">
        <f t="shared" si="80"/>
        <v>374837.75999999995</v>
      </c>
    </row>
    <row r="141" spans="1:10" ht="23.4" x14ac:dyDescent="0.3">
      <c r="A141" s="277" t="s">
        <v>111</v>
      </c>
      <c r="B141" s="922" t="s">
        <v>20</v>
      </c>
      <c r="C141" s="297" t="s">
        <v>370</v>
      </c>
      <c r="D141" s="297" t="s">
        <v>324</v>
      </c>
      <c r="E141" s="515">
        <v>26.032900000000001</v>
      </c>
      <c r="F141" s="408">
        <f>IFERROR(E141*'01 Prod Physique Boites'!H141,"-")</f>
        <v>0</v>
      </c>
      <c r="G141" s="409">
        <f>IFERROR(E141*'01 Prod Physique Boites'!L141,"-")</f>
        <v>0</v>
      </c>
      <c r="H141" s="387">
        <v>36.44</v>
      </c>
      <c r="I141" s="425">
        <f>IFERROR(H141*(F141/E141),"-")</f>
        <v>0</v>
      </c>
      <c r="J141" s="426">
        <f t="shared" ref="J141:J143" si="81">IFERROR(H141*(G141/E141),"-")</f>
        <v>0</v>
      </c>
    </row>
    <row r="142" spans="1:10" ht="23.4" x14ac:dyDescent="0.3">
      <c r="A142" s="277" t="s">
        <v>111</v>
      </c>
      <c r="B142" s="923"/>
      <c r="C142" s="298" t="s">
        <v>122</v>
      </c>
      <c r="D142" s="298"/>
      <c r="E142" s="390">
        <v>24.2607</v>
      </c>
      <c r="F142" s="408">
        <f>IFERROR(E142*'01 Prod Physique Boites'!H142,"-")</f>
        <v>0</v>
      </c>
      <c r="G142" s="409">
        <f>IFERROR(E142*'01 Prod Physique Boites'!L142,"-")</f>
        <v>0</v>
      </c>
      <c r="H142" s="391">
        <v>37.369999999999997</v>
      </c>
      <c r="I142" s="427">
        <f>IFERROR(H142*(F142/E142),"-")</f>
        <v>0</v>
      </c>
      <c r="J142" s="428">
        <f t="shared" si="81"/>
        <v>0</v>
      </c>
    </row>
    <row r="143" spans="1:10" ht="24" thickBot="1" x14ac:dyDescent="0.35">
      <c r="A143" s="277" t="s">
        <v>111</v>
      </c>
      <c r="B143" s="924"/>
      <c r="C143" s="299" t="s">
        <v>128</v>
      </c>
      <c r="D143" s="299"/>
      <c r="E143" s="392">
        <v>26.035799999999998</v>
      </c>
      <c r="F143" s="408">
        <f>IFERROR(E143*'01 Prod Physique Boites'!H143,"-")</f>
        <v>0</v>
      </c>
      <c r="G143" s="409">
        <f>IFERROR(E143*'01 Prod Physique Boites'!L143,"-")</f>
        <v>0</v>
      </c>
      <c r="H143" s="393">
        <v>37.11</v>
      </c>
      <c r="I143" s="429">
        <f>IFERROR(H143*(F143/E143),"-")</f>
        <v>0</v>
      </c>
      <c r="J143" s="430">
        <f t="shared" si="81"/>
        <v>0</v>
      </c>
    </row>
    <row r="144" spans="1:10" ht="24" thickBot="1" x14ac:dyDescent="0.35">
      <c r="A144" s="277" t="s">
        <v>111</v>
      </c>
      <c r="B144" s="907" t="s">
        <v>50</v>
      </c>
      <c r="C144" s="907"/>
      <c r="D144" s="925"/>
      <c r="E144" s="396"/>
      <c r="F144" s="412">
        <f t="shared" ref="F144:G144" si="82">SUM(F141:F143)</f>
        <v>0</v>
      </c>
      <c r="G144" s="413">
        <f t="shared" si="82"/>
        <v>0</v>
      </c>
      <c r="H144" s="397"/>
      <c r="I144" s="412">
        <f t="shared" ref="I144:J144" si="83">SUM(I141:I143)</f>
        <v>0</v>
      </c>
      <c r="J144" s="431">
        <f t="shared" si="83"/>
        <v>0</v>
      </c>
    </row>
    <row r="145" spans="1:10" ht="24" thickBot="1" x14ac:dyDescent="0.35">
      <c r="A145" s="277" t="s">
        <v>111</v>
      </c>
      <c r="B145" s="926" t="s">
        <v>21</v>
      </c>
      <c r="C145" s="927"/>
      <c r="D145" s="928"/>
      <c r="E145" s="399"/>
      <c r="F145" s="416">
        <f>+F122+F130+F138+F140+F144</f>
        <v>2320311.9791999999</v>
      </c>
      <c r="G145" s="417">
        <f>+G122+G130+G138+G140+G144</f>
        <v>4597186.9968000008</v>
      </c>
      <c r="H145" s="400"/>
      <c r="I145" s="416">
        <f t="shared" ref="I145" si="84">+I122+I130+I138+I140+I144</f>
        <v>4014580.1248000003</v>
      </c>
      <c r="J145" s="434">
        <f>+J122+J130+J138+J140+J144</f>
        <v>7708070.5823999997</v>
      </c>
    </row>
    <row r="146" spans="1:10" ht="23.4" x14ac:dyDescent="0.3">
      <c r="A146" s="277" t="s">
        <v>111</v>
      </c>
      <c r="B146" s="922" t="s">
        <v>22</v>
      </c>
      <c r="C146" s="272" t="s">
        <v>133</v>
      </c>
      <c r="D146" s="272"/>
      <c r="E146" s="386">
        <v>22.820599999999999</v>
      </c>
      <c r="F146" s="408">
        <f>IFERROR(E146*'01 Prod Physique Boites'!H146,"-")</f>
        <v>0</v>
      </c>
      <c r="G146" s="409">
        <f>IFERROR(E146*'01 Prod Physique Boites'!L146,"-")</f>
        <v>0</v>
      </c>
      <c r="H146" s="387">
        <v>27.5</v>
      </c>
      <c r="I146" s="425">
        <f>IFERROR(H146*(F146/E146),"-")</f>
        <v>0</v>
      </c>
      <c r="J146" s="426">
        <f t="shared" ref="J146:J149" si="85">IFERROR(H146*(G146/E146),"-")</f>
        <v>0</v>
      </c>
    </row>
    <row r="147" spans="1:10" ht="23.4" x14ac:dyDescent="0.3">
      <c r="A147" s="277" t="s">
        <v>111</v>
      </c>
      <c r="B147" s="923"/>
      <c r="C147" s="301" t="s">
        <v>291</v>
      </c>
      <c r="D147" s="301" t="s">
        <v>196</v>
      </c>
      <c r="E147" s="390">
        <v>23.570699999999999</v>
      </c>
      <c r="F147" s="408">
        <f>IFERROR(E147*'01 Prod Physique Boites'!H147,"-")</f>
        <v>0</v>
      </c>
      <c r="G147" s="409">
        <f>IFERROR(E147*'01 Prod Physique Boites'!L147,"-")</f>
        <v>0</v>
      </c>
      <c r="H147" s="391">
        <v>27.5</v>
      </c>
      <c r="I147" s="427">
        <f>IFERROR(H147*(F147/E147),"-")</f>
        <v>0</v>
      </c>
      <c r="J147" s="428">
        <f t="shared" si="85"/>
        <v>0</v>
      </c>
    </row>
    <row r="148" spans="1:10" ht="23.4" x14ac:dyDescent="0.3">
      <c r="A148" s="277" t="s">
        <v>111</v>
      </c>
      <c r="B148" s="923"/>
      <c r="C148" s="301" t="s">
        <v>198</v>
      </c>
      <c r="D148" s="301" t="s">
        <v>100</v>
      </c>
      <c r="E148" s="390">
        <v>22.238499999999998</v>
      </c>
      <c r="F148" s="408">
        <f>IFERROR(E148*'01 Prod Physique Boites'!H148,"-")</f>
        <v>0</v>
      </c>
      <c r="G148" s="409">
        <f>IFERROR(E148*'01 Prod Physique Boites'!L148,"-")</f>
        <v>0</v>
      </c>
      <c r="H148" s="391">
        <v>24</v>
      </c>
      <c r="I148" s="427">
        <f>IFERROR(H148*(F148/E148),"-")</f>
        <v>0</v>
      </c>
      <c r="J148" s="428">
        <f t="shared" si="85"/>
        <v>0</v>
      </c>
    </row>
    <row r="149" spans="1:10" ht="24" thickBot="1" x14ac:dyDescent="0.35">
      <c r="A149" s="277" t="s">
        <v>111</v>
      </c>
      <c r="B149" s="924"/>
      <c r="C149" s="282" t="s">
        <v>197</v>
      </c>
      <c r="D149" s="282" t="s">
        <v>100</v>
      </c>
      <c r="E149" s="392">
        <v>23.5685</v>
      </c>
      <c r="F149" s="408">
        <f>IFERROR(E149*'01 Prod Physique Boites'!H149,"-")</f>
        <v>0</v>
      </c>
      <c r="G149" s="409">
        <f>IFERROR(E149*'01 Prod Physique Boites'!L149,"-")</f>
        <v>0</v>
      </c>
      <c r="H149" s="393">
        <v>24</v>
      </c>
      <c r="I149" s="429">
        <f>IFERROR(H149*(F149/E149),"-")</f>
        <v>0</v>
      </c>
      <c r="J149" s="430">
        <f t="shared" si="85"/>
        <v>0</v>
      </c>
    </row>
    <row r="150" spans="1:10" ht="24" thickBot="1" x14ac:dyDescent="0.35">
      <c r="A150" s="277" t="s">
        <v>111</v>
      </c>
      <c r="B150" s="906" t="s">
        <v>51</v>
      </c>
      <c r="C150" s="907"/>
      <c r="D150" s="908"/>
      <c r="E150" s="396"/>
      <c r="F150" s="412">
        <f t="shared" ref="F150:G150" si="86">SUM(F146:F149)</f>
        <v>0</v>
      </c>
      <c r="G150" s="413">
        <f t="shared" si="86"/>
        <v>0</v>
      </c>
      <c r="H150" s="397"/>
      <c r="I150" s="412">
        <f t="shared" ref="I150:J150" si="87">SUM(I146:I149)</f>
        <v>0</v>
      </c>
      <c r="J150" s="431">
        <f t="shared" si="87"/>
        <v>0</v>
      </c>
    </row>
    <row r="151" spans="1:10" ht="23.4" x14ac:dyDescent="0.3">
      <c r="A151" s="277" t="s">
        <v>111</v>
      </c>
      <c r="B151" s="922" t="s">
        <v>23</v>
      </c>
      <c r="C151" s="302" t="s">
        <v>348</v>
      </c>
      <c r="D151" s="302" t="s">
        <v>263</v>
      </c>
      <c r="E151" s="386">
        <v>101.4935</v>
      </c>
      <c r="F151" s="408">
        <f>IFERROR(E151*'01 Prod Physique Boites'!H151,"-")</f>
        <v>0</v>
      </c>
      <c r="G151" s="409">
        <f>IFERROR(E151*'01 Prod Physique Boites'!L151,"-")</f>
        <v>0</v>
      </c>
      <c r="H151" s="391">
        <v>160.44999999999999</v>
      </c>
      <c r="I151" s="425">
        <f t="shared" ref="I151:I158" si="88">IFERROR(H151*(F151/E151),"-")</f>
        <v>0</v>
      </c>
      <c r="J151" s="426">
        <f t="shared" ref="J151:J158" si="89">IFERROR(H151*(G151/E151),"-")</f>
        <v>0</v>
      </c>
    </row>
    <row r="152" spans="1:10" ht="23.4" x14ac:dyDescent="0.3">
      <c r="A152" s="277" t="s">
        <v>111</v>
      </c>
      <c r="B152" s="923"/>
      <c r="C152" s="278" t="s">
        <v>24</v>
      </c>
      <c r="D152" s="278" t="s">
        <v>263</v>
      </c>
      <c r="E152" s="390">
        <v>101.4935</v>
      </c>
      <c r="F152" s="408">
        <f>IFERROR(E152*'01 Prod Physique Boites'!H152,"-")</f>
        <v>621647.6875</v>
      </c>
      <c r="G152" s="409">
        <f>IFERROR(E152*'01 Prod Physique Boites'!L152,"-")</f>
        <v>1687329.4375</v>
      </c>
      <c r="H152" s="391">
        <v>160.44999999999999</v>
      </c>
      <c r="I152" s="427">
        <f t="shared" si="88"/>
        <v>982756.24999999988</v>
      </c>
      <c r="J152" s="428">
        <f t="shared" si="89"/>
        <v>2667481.25</v>
      </c>
    </row>
    <row r="153" spans="1:10" ht="23.4" x14ac:dyDescent="0.3">
      <c r="A153" s="277" t="s">
        <v>111</v>
      </c>
      <c r="B153" s="923"/>
      <c r="C153" s="278" t="s">
        <v>261</v>
      </c>
      <c r="D153" s="278" t="s">
        <v>263</v>
      </c>
      <c r="E153" s="390">
        <v>101.4935</v>
      </c>
      <c r="F153" s="408">
        <f>IFERROR(E153*'01 Prod Physique Boites'!H153,"-")</f>
        <v>0</v>
      </c>
      <c r="G153" s="409">
        <f>IFERROR(E153*'01 Prod Physique Boites'!L153,"-")</f>
        <v>0</v>
      </c>
      <c r="H153" s="391">
        <v>160.44999999999999</v>
      </c>
      <c r="I153" s="427">
        <f t="shared" si="88"/>
        <v>0</v>
      </c>
      <c r="J153" s="428">
        <f t="shared" si="89"/>
        <v>0</v>
      </c>
    </row>
    <row r="154" spans="1:10" ht="23.4" x14ac:dyDescent="0.3">
      <c r="A154" s="277" t="s">
        <v>111</v>
      </c>
      <c r="B154" s="923"/>
      <c r="C154" s="278" t="s">
        <v>262</v>
      </c>
      <c r="D154" s="278" t="s">
        <v>263</v>
      </c>
      <c r="E154" s="390">
        <v>101.4935</v>
      </c>
      <c r="F154" s="408">
        <f>IFERROR(E154*'01 Prod Physique Boites'!H154,"-")</f>
        <v>0</v>
      </c>
      <c r="G154" s="409">
        <f>IFERROR(E154*'01 Prod Physique Boites'!L154,"-")</f>
        <v>0</v>
      </c>
      <c r="H154" s="391">
        <v>160.44999999999999</v>
      </c>
      <c r="I154" s="427">
        <f t="shared" si="88"/>
        <v>0</v>
      </c>
      <c r="J154" s="428">
        <f t="shared" si="89"/>
        <v>0</v>
      </c>
    </row>
    <row r="155" spans="1:10" ht="23.4" x14ac:dyDescent="0.3">
      <c r="A155" s="277" t="s">
        <v>111</v>
      </c>
      <c r="B155" s="923"/>
      <c r="C155" s="301" t="s">
        <v>264</v>
      </c>
      <c r="D155" s="278" t="s">
        <v>263</v>
      </c>
      <c r="E155" s="390">
        <v>101.4935</v>
      </c>
      <c r="F155" s="408">
        <f>IFERROR(E155*'01 Prod Physique Boites'!H155,"-")</f>
        <v>0</v>
      </c>
      <c r="G155" s="409">
        <f>IFERROR(E155*'01 Prod Physique Boites'!L155,"-")</f>
        <v>0</v>
      </c>
      <c r="H155" s="391">
        <v>160.44999999999999</v>
      </c>
      <c r="I155" s="427">
        <f t="shared" si="88"/>
        <v>0</v>
      </c>
      <c r="J155" s="428">
        <f t="shared" si="89"/>
        <v>0</v>
      </c>
    </row>
    <row r="156" spans="1:10" ht="23.4" x14ac:dyDescent="0.3">
      <c r="A156" s="277" t="s">
        <v>111</v>
      </c>
      <c r="B156" s="923"/>
      <c r="C156" s="301" t="s">
        <v>265</v>
      </c>
      <c r="D156" s="278" t="s">
        <v>263</v>
      </c>
      <c r="E156" s="390">
        <v>101.4935</v>
      </c>
      <c r="F156" s="408">
        <f>IFERROR(E156*'01 Prod Physique Boites'!H156,"-")</f>
        <v>0</v>
      </c>
      <c r="G156" s="409">
        <f>IFERROR(E156*'01 Prod Physique Boites'!L156,"-")</f>
        <v>0</v>
      </c>
      <c r="H156" s="391">
        <v>160.44999999999999</v>
      </c>
      <c r="I156" s="427">
        <f t="shared" si="88"/>
        <v>0</v>
      </c>
      <c r="J156" s="428">
        <f t="shared" si="89"/>
        <v>0</v>
      </c>
    </row>
    <row r="157" spans="1:10" ht="23.4" x14ac:dyDescent="0.3">
      <c r="A157" s="277" t="s">
        <v>111</v>
      </c>
      <c r="B157" s="923"/>
      <c r="C157" s="301" t="s">
        <v>266</v>
      </c>
      <c r="D157" s="278" t="s">
        <v>268</v>
      </c>
      <c r="E157" s="390">
        <v>101.4935</v>
      </c>
      <c r="F157" s="408">
        <f>IFERROR(E157*'01 Prod Physique Boites'!H157,"-")</f>
        <v>0</v>
      </c>
      <c r="G157" s="409">
        <f>IFERROR(E157*'01 Prod Physique Boites'!L157,"-")</f>
        <v>0</v>
      </c>
      <c r="H157" s="391">
        <v>160.44999999999999</v>
      </c>
      <c r="I157" s="427">
        <f t="shared" si="88"/>
        <v>0</v>
      </c>
      <c r="J157" s="428">
        <f t="shared" si="89"/>
        <v>0</v>
      </c>
    </row>
    <row r="158" spans="1:10" ht="24" thickBot="1" x14ac:dyDescent="0.35">
      <c r="A158" s="277" t="s">
        <v>111</v>
      </c>
      <c r="B158" s="924"/>
      <c r="C158" s="301" t="s">
        <v>267</v>
      </c>
      <c r="D158" s="278" t="s">
        <v>263</v>
      </c>
      <c r="E158" s="392">
        <v>101.4935</v>
      </c>
      <c r="F158" s="408">
        <f>IFERROR(E158*'01 Prod Physique Boites'!H158,"-")</f>
        <v>0</v>
      </c>
      <c r="G158" s="409">
        <f>IFERROR(E158*'01 Prod Physique Boites'!L158,"-")</f>
        <v>0</v>
      </c>
      <c r="H158" s="391">
        <v>160.44999999999999</v>
      </c>
      <c r="I158" s="429">
        <f t="shared" si="88"/>
        <v>0</v>
      </c>
      <c r="J158" s="430">
        <f t="shared" si="89"/>
        <v>0</v>
      </c>
    </row>
    <row r="159" spans="1:10" ht="24" thickBot="1" x14ac:dyDescent="0.35">
      <c r="A159" s="277" t="s">
        <v>111</v>
      </c>
      <c r="B159" s="906" t="s">
        <v>52</v>
      </c>
      <c r="C159" s="907"/>
      <c r="D159" s="908"/>
      <c r="E159" s="396"/>
      <c r="F159" s="412">
        <f t="shared" ref="F159:G159" si="90">SUM(F151:F158)</f>
        <v>621647.6875</v>
      </c>
      <c r="G159" s="413">
        <f t="shared" si="90"/>
        <v>1687329.4375</v>
      </c>
      <c r="H159" s="397"/>
      <c r="I159" s="412">
        <f t="shared" ref="I159:J159" si="91">SUM(I151:I158)</f>
        <v>982756.24999999988</v>
      </c>
      <c r="J159" s="431">
        <f t="shared" si="91"/>
        <v>2667481.25</v>
      </c>
    </row>
    <row r="160" spans="1:10" ht="24" thickBot="1" x14ac:dyDescent="0.35">
      <c r="A160" s="277" t="s">
        <v>111</v>
      </c>
      <c r="B160" s="926" t="s">
        <v>25</v>
      </c>
      <c r="C160" s="927"/>
      <c r="D160" s="928"/>
      <c r="E160" s="399"/>
      <c r="F160" s="416">
        <f t="shared" ref="F160:G160" si="92">+F150+F159</f>
        <v>621647.6875</v>
      </c>
      <c r="G160" s="417">
        <f t="shared" si="92"/>
        <v>1687329.4375</v>
      </c>
      <c r="H160" s="400"/>
      <c r="I160" s="416">
        <f t="shared" ref="I160:J160" si="93">+I150+I159</f>
        <v>982756.24999999988</v>
      </c>
      <c r="J160" s="434">
        <f t="shared" si="93"/>
        <v>2667481.25</v>
      </c>
    </row>
    <row r="161" spans="1:10" ht="24" thickBot="1" x14ac:dyDescent="0.35">
      <c r="A161" s="277" t="s">
        <v>111</v>
      </c>
      <c r="B161" s="900" t="s">
        <v>181</v>
      </c>
      <c r="C161" s="901"/>
      <c r="D161" s="902"/>
      <c r="E161" s="401"/>
      <c r="F161" s="418">
        <f t="shared" ref="F161:G161" si="94">+F145+F160</f>
        <v>2941959.6666999999</v>
      </c>
      <c r="G161" s="419">
        <f t="shared" si="94"/>
        <v>6284516.4343000008</v>
      </c>
      <c r="H161" s="402"/>
      <c r="I161" s="418">
        <f t="shared" ref="I161:J161" si="95">+I145+I160</f>
        <v>4997336.3748000003</v>
      </c>
      <c r="J161" s="435">
        <f t="shared" si="95"/>
        <v>10375551.8324</v>
      </c>
    </row>
    <row r="162" spans="1:10" ht="23.4" x14ac:dyDescent="0.3">
      <c r="A162" s="271" t="s">
        <v>109</v>
      </c>
      <c r="B162" s="929" t="s">
        <v>26</v>
      </c>
      <c r="C162" s="303" t="s">
        <v>334</v>
      </c>
      <c r="D162" s="305" t="s">
        <v>192</v>
      </c>
      <c r="E162" s="515">
        <v>13.1272</v>
      </c>
      <c r="F162" s="408">
        <f>IFERROR(E162*'01 Prod Physique Boites'!H162,"-")</f>
        <v>835520.02560000005</v>
      </c>
      <c r="G162" s="409">
        <f>IFERROR(E162*'01 Prod Physique Boites'!L162,"-")</f>
        <v>1096620.0336</v>
      </c>
      <c r="H162" s="387">
        <v>20.76</v>
      </c>
      <c r="I162" s="425">
        <f t="shared" ref="I162:I170" si="96">IFERROR(H162*(F162/E162),"-")</f>
        <v>1321332.4800000002</v>
      </c>
      <c r="J162" s="662">
        <f t="shared" ref="J162:J170" si="97">IFERROR(H162*(G162/E162),"-")</f>
        <v>1734248.8800000001</v>
      </c>
    </row>
    <row r="163" spans="1:10" ht="23.4" x14ac:dyDescent="0.3">
      <c r="A163" s="277" t="s">
        <v>109</v>
      </c>
      <c r="B163" s="929"/>
      <c r="C163" s="304" t="s">
        <v>199</v>
      </c>
      <c r="D163" s="304" t="s">
        <v>115</v>
      </c>
      <c r="E163" s="516">
        <v>14.608000000000001</v>
      </c>
      <c r="F163" s="408">
        <f>IFERROR(E163*'01 Prod Physique Boites'!H163,"-")</f>
        <v>0</v>
      </c>
      <c r="G163" s="409">
        <f>IFERROR(E163*'01 Prod Physique Boites'!L163,"-")</f>
        <v>0</v>
      </c>
      <c r="H163" s="391">
        <v>24.93</v>
      </c>
      <c r="I163" s="427">
        <f t="shared" si="96"/>
        <v>0</v>
      </c>
      <c r="J163" s="663">
        <f t="shared" si="97"/>
        <v>0</v>
      </c>
    </row>
    <row r="164" spans="1:10" ht="23.4" x14ac:dyDescent="0.3">
      <c r="A164" s="277" t="s">
        <v>109</v>
      </c>
      <c r="B164" s="929"/>
      <c r="C164" s="305" t="s">
        <v>27</v>
      </c>
      <c r="D164" s="305" t="s">
        <v>310</v>
      </c>
      <c r="E164" s="512">
        <v>17.8202</v>
      </c>
      <c r="F164" s="408">
        <f>IFERROR(E164*'01 Prod Physique Boites'!H164,"-")</f>
        <v>0</v>
      </c>
      <c r="G164" s="409">
        <f>IFERROR(E164*'01 Prod Physique Boites'!L164,"-")</f>
        <v>0</v>
      </c>
      <c r="H164" s="391">
        <v>24.93</v>
      </c>
      <c r="I164" s="427">
        <f t="shared" si="96"/>
        <v>0</v>
      </c>
      <c r="J164" s="663">
        <f t="shared" si="97"/>
        <v>0</v>
      </c>
    </row>
    <row r="165" spans="1:10" ht="23.4" x14ac:dyDescent="0.3">
      <c r="A165" s="277" t="s">
        <v>109</v>
      </c>
      <c r="B165" s="929"/>
      <c r="C165" s="305" t="s">
        <v>27</v>
      </c>
      <c r="D165" s="305" t="s">
        <v>311</v>
      </c>
      <c r="E165" s="512">
        <v>17.8202</v>
      </c>
      <c r="F165" s="408">
        <f>IFERROR(E165*'01 Prod Physique Boites'!H165,"-")</f>
        <v>0</v>
      </c>
      <c r="G165" s="409">
        <f>IFERROR(E165*'01 Prod Physique Boites'!L165,"-")</f>
        <v>0</v>
      </c>
      <c r="H165" s="391">
        <v>24.93</v>
      </c>
      <c r="I165" s="427">
        <f t="shared" si="96"/>
        <v>0</v>
      </c>
      <c r="J165" s="663">
        <f t="shared" si="97"/>
        <v>0</v>
      </c>
    </row>
    <row r="166" spans="1:10" ht="23.4" x14ac:dyDescent="0.3">
      <c r="A166" s="277" t="s">
        <v>109</v>
      </c>
      <c r="B166" s="929"/>
      <c r="C166" s="305" t="s">
        <v>325</v>
      </c>
      <c r="D166" s="305" t="s">
        <v>324</v>
      </c>
      <c r="E166" s="512">
        <v>14.608000000000001</v>
      </c>
      <c r="F166" s="408">
        <f>IFERROR(E166*'01 Prod Physique Boites'!H166,"-")</f>
        <v>0</v>
      </c>
      <c r="G166" s="409">
        <f>IFERROR(E166*'01 Prod Physique Boites'!L166,"-")</f>
        <v>0</v>
      </c>
      <c r="H166" s="391">
        <v>24.93</v>
      </c>
      <c r="I166" s="427">
        <f t="shared" si="96"/>
        <v>0</v>
      </c>
      <c r="J166" s="663">
        <f t="shared" si="97"/>
        <v>0</v>
      </c>
    </row>
    <row r="167" spans="1:10" ht="23.4" x14ac:dyDescent="0.3">
      <c r="A167" s="277"/>
      <c r="B167" s="929"/>
      <c r="C167" s="305" t="s">
        <v>325</v>
      </c>
      <c r="D167" s="305" t="s">
        <v>192</v>
      </c>
      <c r="E167" s="512">
        <v>14.608000000000001</v>
      </c>
      <c r="F167" s="408">
        <f>IFERROR(E167*'01 Prod Physique Boites'!H167,"-")</f>
        <v>0</v>
      </c>
      <c r="G167" s="409">
        <f>IFERROR(E167*'01 Prod Physique Boites'!L167,"-")</f>
        <v>0</v>
      </c>
      <c r="H167" s="393">
        <v>21.22</v>
      </c>
      <c r="I167" s="427">
        <f t="shared" si="96"/>
        <v>0</v>
      </c>
      <c r="J167" s="664">
        <f t="shared" si="97"/>
        <v>0</v>
      </c>
    </row>
    <row r="168" spans="1:10" ht="23.4" x14ac:dyDescent="0.3">
      <c r="A168" s="277"/>
      <c r="B168" s="929"/>
      <c r="C168" s="305" t="s">
        <v>325</v>
      </c>
      <c r="D168" s="305" t="s">
        <v>101</v>
      </c>
      <c r="E168" s="512">
        <v>17.8202</v>
      </c>
      <c r="F168" s="408">
        <f>IFERROR(E168*'01 Prod Physique Boites'!H168,"-")</f>
        <v>0</v>
      </c>
      <c r="G168" s="409">
        <f>IFERROR(E168*'01 Prod Physique Boites'!L168,"-")</f>
        <v>0</v>
      </c>
      <c r="H168" s="393">
        <v>24.93</v>
      </c>
      <c r="I168" s="429">
        <f t="shared" si="96"/>
        <v>0</v>
      </c>
      <c r="J168" s="664">
        <f t="shared" si="97"/>
        <v>0</v>
      </c>
    </row>
    <row r="169" spans="1:10" ht="23.4" x14ac:dyDescent="0.3">
      <c r="A169" s="277"/>
      <c r="B169" s="929"/>
      <c r="C169" s="305" t="s">
        <v>393</v>
      </c>
      <c r="D169" s="305" t="s">
        <v>394</v>
      </c>
      <c r="E169" s="512">
        <v>17.8202</v>
      </c>
      <c r="F169" s="408">
        <f>IFERROR(E169*'01 Prod Physique Boites'!H169,"-")</f>
        <v>0</v>
      </c>
      <c r="G169" s="409">
        <f>IFERROR(E169*'01 Prod Physique Boites'!L169,"-")</f>
        <v>0</v>
      </c>
      <c r="H169" s="393">
        <v>21.22</v>
      </c>
      <c r="I169" s="429">
        <f t="shared" si="96"/>
        <v>0</v>
      </c>
      <c r="J169" s="664">
        <f t="shared" si="97"/>
        <v>0</v>
      </c>
    </row>
    <row r="170" spans="1:10" ht="24" thickBot="1" x14ac:dyDescent="0.35">
      <c r="A170" s="277" t="s">
        <v>109</v>
      </c>
      <c r="B170" s="929"/>
      <c r="C170" s="306" t="s">
        <v>326</v>
      </c>
      <c r="D170" s="305" t="s">
        <v>324</v>
      </c>
      <c r="E170" s="512">
        <v>12.6997</v>
      </c>
      <c r="F170" s="408">
        <f>IFERROR(E170*'01 Prod Physique Boites'!H170,"-")</f>
        <v>101038.8132</v>
      </c>
      <c r="G170" s="409">
        <f>IFERROR(E170*'01 Prod Physique Boites'!L170,"-")</f>
        <v>101038.8132</v>
      </c>
      <c r="H170" s="393">
        <v>13.25</v>
      </c>
      <c r="I170" s="429">
        <f t="shared" si="96"/>
        <v>105417</v>
      </c>
      <c r="J170" s="664">
        <f t="shared" si="97"/>
        <v>105417</v>
      </c>
    </row>
    <row r="171" spans="1:10" ht="24" thickBot="1" x14ac:dyDescent="0.35">
      <c r="A171" s="277" t="s">
        <v>109</v>
      </c>
      <c r="B171" s="930"/>
      <c r="C171" s="307"/>
      <c r="D171" s="308" t="s">
        <v>55</v>
      </c>
      <c r="E171" s="396"/>
      <c r="F171" s="412">
        <f>SUM(F162:F170)</f>
        <v>936558.83880000003</v>
      </c>
      <c r="G171" s="413">
        <f t="shared" ref="G171" si="98">SUM(G162:G170)</f>
        <v>1197658.8467999999</v>
      </c>
      <c r="H171" s="397"/>
      <c r="I171" s="412">
        <f t="shared" ref="I171" si="99">SUM(I162:I170)</f>
        <v>1426749.4800000002</v>
      </c>
      <c r="J171" s="431">
        <f>SUM(J162:J170)</f>
        <v>1839665.8800000001</v>
      </c>
    </row>
    <row r="172" spans="1:10" ht="23.4" x14ac:dyDescent="0.3">
      <c r="A172" s="277" t="s">
        <v>109</v>
      </c>
      <c r="B172" s="931" t="s">
        <v>28</v>
      </c>
      <c r="C172" s="303" t="s">
        <v>27</v>
      </c>
      <c r="D172" s="303" t="s">
        <v>193</v>
      </c>
      <c r="E172" s="515">
        <v>12.6997</v>
      </c>
      <c r="F172" s="408">
        <f>IFERROR(E172*'01 Prod Physique Boites'!H172,"-")</f>
        <v>0</v>
      </c>
      <c r="G172" s="409">
        <f>IFERROR(E172*'01 Prod Physique Boites'!L172,"-")</f>
        <v>0</v>
      </c>
      <c r="H172" s="387">
        <v>13.25</v>
      </c>
      <c r="I172" s="425">
        <f>IFERROR(H172*(F172/E172),"-")</f>
        <v>0</v>
      </c>
      <c r="J172" s="662">
        <f t="shared" ref="J172:J174" si="100">IFERROR(H172*(G172/E172),"-")</f>
        <v>0</v>
      </c>
    </row>
    <row r="173" spans="1:10" ht="23.4" x14ac:dyDescent="0.3">
      <c r="A173" s="277" t="s">
        <v>109</v>
      </c>
      <c r="B173" s="929"/>
      <c r="C173" s="305" t="s">
        <v>27</v>
      </c>
      <c r="D173" s="305" t="s">
        <v>311</v>
      </c>
      <c r="E173" s="512">
        <v>17.8202</v>
      </c>
      <c r="F173" s="408">
        <f>IFERROR(E173*'01 Prod Physique Boites'!H173,"-")</f>
        <v>0</v>
      </c>
      <c r="G173" s="409">
        <f>IFERROR(E173*'01 Prod Physique Boites'!L173,"-")</f>
        <v>0</v>
      </c>
      <c r="H173" s="391">
        <v>24.93</v>
      </c>
      <c r="I173" s="427">
        <f>IFERROR(H173*(F173/E173),"-")</f>
        <v>0</v>
      </c>
      <c r="J173" s="663">
        <f t="shared" si="100"/>
        <v>0</v>
      </c>
    </row>
    <row r="174" spans="1:10" ht="24" thickBot="1" x14ac:dyDescent="0.35">
      <c r="A174" s="277" t="s">
        <v>109</v>
      </c>
      <c r="B174" s="929"/>
      <c r="C174" s="305" t="s">
        <v>27</v>
      </c>
      <c r="D174" s="306" t="s">
        <v>259</v>
      </c>
      <c r="E174" s="512">
        <v>17.8202</v>
      </c>
      <c r="F174" s="408">
        <f>IFERROR(E174*'01 Prod Physique Boites'!H174,"-")</f>
        <v>0</v>
      </c>
      <c r="G174" s="409">
        <f>IFERROR(E174*'01 Prod Physique Boites'!L174,"-")</f>
        <v>0</v>
      </c>
      <c r="H174" s="391">
        <v>24.93</v>
      </c>
      <c r="I174" s="429">
        <f>IFERROR(H174*(F174/E174),"-")</f>
        <v>0</v>
      </c>
      <c r="J174" s="664">
        <f t="shared" si="100"/>
        <v>0</v>
      </c>
    </row>
    <row r="175" spans="1:10" ht="24" thickBot="1" x14ac:dyDescent="0.35">
      <c r="A175" s="277" t="s">
        <v>109</v>
      </c>
      <c r="B175" s="929"/>
      <c r="C175" s="310"/>
      <c r="D175" s="311" t="s">
        <v>55</v>
      </c>
      <c r="E175" s="403"/>
      <c r="F175" s="420">
        <f t="shared" ref="F175:G175" si="101">SUM(F172:F174)</f>
        <v>0</v>
      </c>
      <c r="G175" s="421">
        <f t="shared" si="101"/>
        <v>0</v>
      </c>
      <c r="H175" s="404"/>
      <c r="I175" s="420">
        <f t="shared" ref="I175:J175" si="102">SUM(I172:I174)</f>
        <v>0</v>
      </c>
      <c r="J175" s="436">
        <f t="shared" si="102"/>
        <v>0</v>
      </c>
    </row>
    <row r="176" spans="1:10" ht="24" thickBot="1" x14ac:dyDescent="0.35">
      <c r="A176" s="672" t="s">
        <v>109</v>
      </c>
      <c r="B176" s="932" t="s">
        <v>171</v>
      </c>
      <c r="C176" s="933"/>
      <c r="D176" s="934"/>
      <c r="E176" s="405"/>
      <c r="F176" s="422">
        <f t="shared" ref="F176:G176" si="103">+F171+F175</f>
        <v>936558.83880000003</v>
      </c>
      <c r="G176" s="423">
        <f t="shared" si="103"/>
        <v>1197658.8467999999</v>
      </c>
      <c r="H176" s="406"/>
      <c r="I176" s="422">
        <f t="shared" ref="I176:J176" si="104">+I171+I175</f>
        <v>1426749.4800000002</v>
      </c>
      <c r="J176" s="437">
        <f t="shared" si="104"/>
        <v>1839665.8800000001</v>
      </c>
    </row>
    <row r="177" spans="1:10" ht="23.4" x14ac:dyDescent="0.3">
      <c r="A177" s="277" t="s">
        <v>109</v>
      </c>
      <c r="B177" s="929" t="s">
        <v>30</v>
      </c>
      <c r="C177" s="309" t="s">
        <v>375</v>
      </c>
      <c r="D177" s="303" t="s">
        <v>193</v>
      </c>
      <c r="E177" s="515">
        <v>15.2788</v>
      </c>
      <c r="F177" s="408">
        <f>IFERROR(E177*'01 Prod Physique Boites'!H177,"-")</f>
        <v>0</v>
      </c>
      <c r="G177" s="409">
        <f>IFERROR(E177*'01 Prod Physique Boites'!L177,"-")</f>
        <v>0</v>
      </c>
      <c r="H177" s="387">
        <v>23.65</v>
      </c>
      <c r="I177" s="425">
        <f>IFERROR(H177*(F177/E177),"-")</f>
        <v>0</v>
      </c>
      <c r="J177" s="426">
        <f t="shared" ref="J177:J179" si="105">IFERROR(H177*(G177/E177),"-")</f>
        <v>0</v>
      </c>
    </row>
    <row r="178" spans="1:10" ht="23.4" x14ac:dyDescent="0.3">
      <c r="A178" s="277" t="s">
        <v>109</v>
      </c>
      <c r="B178" s="929"/>
      <c r="C178" s="309" t="s">
        <v>368</v>
      </c>
      <c r="D178" s="309" t="s">
        <v>324</v>
      </c>
      <c r="E178" s="516">
        <v>22.6356</v>
      </c>
      <c r="F178" s="408">
        <f>IFERROR(E178*'01 Prod Physique Boites'!H178,"-")</f>
        <v>0</v>
      </c>
      <c r="G178" s="409">
        <f>IFERROR(E178*'01 Prod Physique Boites'!L178,"-")</f>
        <v>0</v>
      </c>
      <c r="H178" s="391">
        <v>34.26</v>
      </c>
      <c r="I178" s="427">
        <f>IFERROR(H178*(F178/E178),"-")</f>
        <v>0</v>
      </c>
      <c r="J178" s="428">
        <f t="shared" si="105"/>
        <v>0</v>
      </c>
    </row>
    <row r="179" spans="1:10" ht="24" thickBot="1" x14ac:dyDescent="0.35">
      <c r="A179" s="277" t="s">
        <v>109</v>
      </c>
      <c r="B179" s="929"/>
      <c r="C179" s="306" t="s">
        <v>327</v>
      </c>
      <c r="D179" s="306"/>
      <c r="E179" s="512">
        <v>25.751300000000001</v>
      </c>
      <c r="F179" s="408">
        <f>IFERROR(E179*'01 Prod Physique Boites'!H179,"-")</f>
        <v>0</v>
      </c>
      <c r="G179" s="409">
        <f>IFERROR(E179*'01 Prod Physique Boites'!L179,"-")</f>
        <v>0</v>
      </c>
      <c r="H179" s="393">
        <v>37.89</v>
      </c>
      <c r="I179" s="429">
        <f>IFERROR(H179*(F179/E179),"-")</f>
        <v>0</v>
      </c>
      <c r="J179" s="430">
        <f t="shared" si="105"/>
        <v>0</v>
      </c>
    </row>
    <row r="180" spans="1:10" ht="24" thickBot="1" x14ac:dyDescent="0.35">
      <c r="A180" s="277" t="s">
        <v>109</v>
      </c>
      <c r="B180" s="929"/>
      <c r="C180" s="307"/>
      <c r="D180" s="308" t="s">
        <v>53</v>
      </c>
      <c r="E180" s="396"/>
      <c r="F180" s="412">
        <f t="shared" ref="F180:G180" si="106">SUM(F177:F179)</f>
        <v>0</v>
      </c>
      <c r="G180" s="413">
        <f t="shared" si="106"/>
        <v>0</v>
      </c>
      <c r="H180" s="397"/>
      <c r="I180" s="412">
        <f t="shared" ref="I180" si="107">SUM(I177:I179)</f>
        <v>0</v>
      </c>
      <c r="J180" s="431">
        <f>SUM(J177:J179)</f>
        <v>0</v>
      </c>
    </row>
    <row r="181" spans="1:10" ht="23.4" x14ac:dyDescent="0.3">
      <c r="A181" s="277" t="s">
        <v>109</v>
      </c>
      <c r="B181" s="929"/>
      <c r="C181" s="303" t="s">
        <v>352</v>
      </c>
      <c r="D181" s="303"/>
      <c r="E181" s="515">
        <v>22.094999999999999</v>
      </c>
      <c r="F181" s="408">
        <f>IFERROR(E181*'01 Prod Physique Boites'!H181,"-")</f>
        <v>0</v>
      </c>
      <c r="G181" s="409">
        <f>IFERROR(E181*'01 Prod Physique Boites'!L181,"-")</f>
        <v>0</v>
      </c>
      <c r="H181" s="387">
        <v>37.11</v>
      </c>
      <c r="I181" s="425">
        <f>IFERROR(H181*(F181/E181),"-")</f>
        <v>0</v>
      </c>
      <c r="J181" s="426">
        <f t="shared" ref="J181:J183" si="108">IFERROR(H181*(G181/E181),"-")</f>
        <v>0</v>
      </c>
    </row>
    <row r="182" spans="1:10" ht="23.4" x14ac:dyDescent="0.3">
      <c r="A182" s="277" t="s">
        <v>109</v>
      </c>
      <c r="B182" s="929"/>
      <c r="C182" s="309" t="s">
        <v>397</v>
      </c>
      <c r="D182" s="309" t="s">
        <v>259</v>
      </c>
      <c r="E182" s="516">
        <v>27.917000000000002</v>
      </c>
      <c r="F182" s="408">
        <f>IFERROR(E182*'01 Prod Physique Boites'!H182,"-")</f>
        <v>1985903.7120000001</v>
      </c>
      <c r="G182" s="409">
        <f>IFERROR(E182*'01 Prod Physique Boites'!L182,"-")</f>
        <v>4337631.7920000004</v>
      </c>
      <c r="H182" s="391">
        <v>39</v>
      </c>
      <c r="I182" s="427">
        <f>IFERROR(H182*(F182/E182),"-")</f>
        <v>2774304</v>
      </c>
      <c r="J182" s="428">
        <f t="shared" si="108"/>
        <v>6059664</v>
      </c>
    </row>
    <row r="183" spans="1:10" ht="24" thickBot="1" x14ac:dyDescent="0.35">
      <c r="A183" s="277" t="s">
        <v>109</v>
      </c>
      <c r="B183" s="929"/>
      <c r="C183" s="306" t="s">
        <v>146</v>
      </c>
      <c r="D183" s="306"/>
      <c r="E183" s="512">
        <v>25.4041</v>
      </c>
      <c r="F183" s="408">
        <f>IFERROR(E183*'01 Prod Physique Boites'!H183,"-")</f>
        <v>0</v>
      </c>
      <c r="G183" s="409">
        <f>IFERROR(E183*'01 Prod Physique Boites'!L183,"-")</f>
        <v>0</v>
      </c>
      <c r="H183" s="393">
        <v>28.21</v>
      </c>
      <c r="I183" s="429">
        <f>IFERROR(H183*(F183/E183),"-")</f>
        <v>0</v>
      </c>
      <c r="J183" s="430">
        <f t="shared" si="108"/>
        <v>0</v>
      </c>
    </row>
    <row r="184" spans="1:10" ht="24" thickBot="1" x14ac:dyDescent="0.35">
      <c r="A184" s="277" t="s">
        <v>109</v>
      </c>
      <c r="B184" s="929"/>
      <c r="C184" s="310"/>
      <c r="D184" s="311" t="s">
        <v>54</v>
      </c>
      <c r="E184" s="403"/>
      <c r="F184" s="420">
        <f t="shared" ref="F184:G184" si="109">SUM(F181:F183)</f>
        <v>1985903.7120000001</v>
      </c>
      <c r="G184" s="421">
        <f t="shared" si="109"/>
        <v>4337631.7920000004</v>
      </c>
      <c r="H184" s="404"/>
      <c r="I184" s="420">
        <f t="shared" ref="I184" si="110">SUM(I181:I183)</f>
        <v>2774304</v>
      </c>
      <c r="J184" s="436">
        <f>SUM(J181:J183)</f>
        <v>6059664</v>
      </c>
    </row>
    <row r="185" spans="1:10" ht="24" thickBot="1" x14ac:dyDescent="0.35">
      <c r="A185" s="277" t="s">
        <v>109</v>
      </c>
      <c r="B185" s="932" t="s">
        <v>172</v>
      </c>
      <c r="C185" s="933"/>
      <c r="D185" s="934"/>
      <c r="E185" s="405"/>
      <c r="F185" s="422">
        <f t="shared" ref="F185:G185" si="111">+F180+F184</f>
        <v>1985903.7120000001</v>
      </c>
      <c r="G185" s="423">
        <f t="shared" si="111"/>
        <v>4337631.7920000004</v>
      </c>
      <c r="H185" s="406"/>
      <c r="I185" s="422">
        <f t="shared" ref="I185:J185" si="112">+I180+I184</f>
        <v>2774304</v>
      </c>
      <c r="J185" s="437">
        <f t="shared" si="112"/>
        <v>6059664</v>
      </c>
    </row>
    <row r="186" spans="1:10" ht="24" thickBot="1" x14ac:dyDescent="0.35">
      <c r="A186" s="277" t="s">
        <v>109</v>
      </c>
      <c r="B186" s="617" t="s">
        <v>32</v>
      </c>
      <c r="C186" s="667"/>
      <c r="D186" s="316"/>
      <c r="E186" s="517">
        <v>12.2659</v>
      </c>
      <c r="F186" s="414">
        <f>IFERROR(E186*'01 Prod Physique Boites'!H186,"-")</f>
        <v>0</v>
      </c>
      <c r="G186" s="415">
        <f>IFERROR(E186*'01 Prod Physique Boites'!L186,"-")</f>
        <v>0</v>
      </c>
      <c r="H186" s="398"/>
      <c r="I186" s="432">
        <f>IFERROR(H186*(F186/E186),"-")</f>
        <v>0</v>
      </c>
      <c r="J186" s="433">
        <f>IFERROR(H186*(G186/E186),"-")</f>
        <v>0</v>
      </c>
    </row>
    <row r="187" spans="1:10" ht="24" thickBot="1" x14ac:dyDescent="0.35">
      <c r="A187" s="277" t="s">
        <v>109</v>
      </c>
      <c r="B187" s="926" t="s">
        <v>21</v>
      </c>
      <c r="C187" s="927"/>
      <c r="D187" s="928"/>
      <c r="E187" s="399"/>
      <c r="F187" s="416">
        <f t="shared" ref="F187" si="113">+F176+F185+F186</f>
        <v>2922462.5508000003</v>
      </c>
      <c r="G187" s="417">
        <f>+G176+G185+G186</f>
        <v>5535290.6388000008</v>
      </c>
      <c r="H187" s="400"/>
      <c r="I187" s="416">
        <f t="shared" ref="I187:J187" si="114">+I176+I185+I186</f>
        <v>4201053.4800000004</v>
      </c>
      <c r="J187" s="434">
        <f t="shared" si="114"/>
        <v>7899329.8799999999</v>
      </c>
    </row>
    <row r="188" spans="1:10" ht="24" thickBot="1" x14ac:dyDescent="0.35">
      <c r="A188" s="277" t="s">
        <v>109</v>
      </c>
      <c r="B188" s="900" t="s">
        <v>180</v>
      </c>
      <c r="C188" s="901"/>
      <c r="D188" s="902"/>
      <c r="E188" s="401"/>
      <c r="F188" s="418">
        <f t="shared" ref="F188:G188" si="115">+F187</f>
        <v>2922462.5508000003</v>
      </c>
      <c r="G188" s="419">
        <f t="shared" si="115"/>
        <v>5535290.6388000008</v>
      </c>
      <c r="H188" s="402"/>
      <c r="I188" s="418">
        <f t="shared" ref="I188:J188" si="116">+I187</f>
        <v>4201053.4800000004</v>
      </c>
      <c r="J188" s="435">
        <f t="shared" si="116"/>
        <v>7899329.8799999999</v>
      </c>
    </row>
    <row r="189" spans="1:10" ht="23.4" x14ac:dyDescent="0.3">
      <c r="A189" s="271" t="s">
        <v>110</v>
      </c>
      <c r="B189" s="903" t="s">
        <v>33</v>
      </c>
      <c r="C189" s="317" t="s">
        <v>121</v>
      </c>
      <c r="D189" s="317"/>
      <c r="E189" s="513">
        <v>254.89750000000001</v>
      </c>
      <c r="F189" s="408">
        <f>IFERROR(E189*'01 Prod Physique Boites'!H189,"-")</f>
        <v>0</v>
      </c>
      <c r="G189" s="409">
        <f>IFERROR(E189*'01 Prod Physique Boites'!L189,"-")</f>
        <v>0</v>
      </c>
      <c r="H189" s="387">
        <v>445.38</v>
      </c>
      <c r="I189" s="425">
        <f>IFERROR(H189*(F189/E189),"-")</f>
        <v>0</v>
      </c>
      <c r="J189" s="426">
        <f t="shared" ref="J189:J191" si="117">IFERROR(H189*(G189/E189),"-")</f>
        <v>0</v>
      </c>
    </row>
    <row r="190" spans="1:10" ht="23.4" x14ac:dyDescent="0.3">
      <c r="A190" s="277" t="s">
        <v>110</v>
      </c>
      <c r="B190" s="904"/>
      <c r="C190" s="318" t="s">
        <v>274</v>
      </c>
      <c r="D190" s="318"/>
      <c r="E190" s="514">
        <v>246.51390000000001</v>
      </c>
      <c r="F190" s="408">
        <f>IFERROR(E190*'01 Prod Physique Boites'!H190,"-")</f>
        <v>197211.12</v>
      </c>
      <c r="G190" s="409">
        <f>IFERROR(E190*'01 Prod Physique Boites'!L190,"-")</f>
        <v>197211.12</v>
      </c>
      <c r="H190" s="391">
        <v>430.02</v>
      </c>
      <c r="I190" s="427">
        <f>IFERROR(H190*(F190/E190),"-")</f>
        <v>344016</v>
      </c>
      <c r="J190" s="428">
        <f t="shared" si="117"/>
        <v>344016</v>
      </c>
    </row>
    <row r="191" spans="1:10" ht="24" thickBot="1" x14ac:dyDescent="0.35">
      <c r="A191" s="277" t="s">
        <v>110</v>
      </c>
      <c r="B191" s="905"/>
      <c r="C191" s="319" t="s">
        <v>34</v>
      </c>
      <c r="D191" s="319"/>
      <c r="E191" s="511">
        <v>225.7713</v>
      </c>
      <c r="F191" s="408">
        <f>IFERROR(E191*'01 Prod Physique Boites'!H191,"-")</f>
        <v>0</v>
      </c>
      <c r="G191" s="409">
        <f>IFERROR(E191*'01 Prod Physique Boites'!L191,"-")</f>
        <v>0</v>
      </c>
      <c r="H191" s="393"/>
      <c r="I191" s="429">
        <f>IFERROR(H191*(F191/E191),"-")</f>
        <v>0</v>
      </c>
      <c r="J191" s="430">
        <f t="shared" si="117"/>
        <v>0</v>
      </c>
    </row>
    <row r="192" spans="1:10" ht="24" thickBot="1" x14ac:dyDescent="0.35">
      <c r="A192" s="277" t="s">
        <v>110</v>
      </c>
      <c r="B192" s="906" t="s">
        <v>35</v>
      </c>
      <c r="C192" s="907"/>
      <c r="D192" s="908"/>
      <c r="E192" s="396"/>
      <c r="F192" s="412">
        <f t="shared" ref="F192:G192" si="118">SUM(F189:F191)</f>
        <v>197211.12</v>
      </c>
      <c r="G192" s="413">
        <f t="shared" si="118"/>
        <v>197211.12</v>
      </c>
      <c r="H192" s="397"/>
      <c r="I192" s="412">
        <f t="shared" ref="I192:J192" si="119">SUM(I189:I191)</f>
        <v>344016</v>
      </c>
      <c r="J192" s="431">
        <f t="shared" si="119"/>
        <v>344016</v>
      </c>
    </row>
    <row r="193" spans="1:10" ht="23.4" x14ac:dyDescent="0.3">
      <c r="A193" s="277" t="s">
        <v>110</v>
      </c>
      <c r="B193" s="903" t="s">
        <v>36</v>
      </c>
      <c r="C193" s="317" t="s">
        <v>121</v>
      </c>
      <c r="D193" s="317"/>
      <c r="E193" s="513">
        <v>254.89750000000001</v>
      </c>
      <c r="F193" s="408">
        <f>IFERROR(E193*'01 Prod Physique Boites'!H193,"-")</f>
        <v>0</v>
      </c>
      <c r="G193" s="409">
        <f>IFERROR(E193*'01 Prod Physique Boites'!L193,"-")</f>
        <v>0</v>
      </c>
      <c r="H193" s="387">
        <v>445.38</v>
      </c>
      <c r="I193" s="425">
        <f>IFERROR(H193*(F193/E193),"-")</f>
        <v>0</v>
      </c>
      <c r="J193" s="426">
        <f t="shared" ref="J193:J196" si="120">IFERROR(H193*(G193/E193),"-")</f>
        <v>0</v>
      </c>
    </row>
    <row r="194" spans="1:10" ht="23.4" x14ac:dyDescent="0.3">
      <c r="A194" s="277" t="s">
        <v>110</v>
      </c>
      <c r="B194" s="904"/>
      <c r="C194" s="318" t="s">
        <v>274</v>
      </c>
      <c r="D194" s="318"/>
      <c r="E194" s="514">
        <v>246.51390000000001</v>
      </c>
      <c r="F194" s="408">
        <f>IFERROR(E194*'01 Prod Physique Boites'!H194,"-")</f>
        <v>0</v>
      </c>
      <c r="G194" s="409">
        <f>IFERROR(E194*'01 Prod Physique Boites'!L194,"-")</f>
        <v>0</v>
      </c>
      <c r="H194" s="391">
        <v>430.02</v>
      </c>
      <c r="I194" s="427">
        <f>IFERROR(H194*(F194/E194),"-")</f>
        <v>0</v>
      </c>
      <c r="J194" s="428">
        <f t="shared" si="120"/>
        <v>0</v>
      </c>
    </row>
    <row r="195" spans="1:10" ht="23.4" x14ac:dyDescent="0.3">
      <c r="A195" s="277" t="s">
        <v>110</v>
      </c>
      <c r="B195" s="904"/>
      <c r="C195" s="318" t="s">
        <v>201</v>
      </c>
      <c r="D195" s="318" t="s">
        <v>200</v>
      </c>
      <c r="E195" s="514">
        <v>254.89750000000001</v>
      </c>
      <c r="F195" s="408">
        <f>IFERROR(E195*'01 Prod Physique Boites'!H195,"-")</f>
        <v>0</v>
      </c>
      <c r="G195" s="409">
        <f>IFERROR(E195*'01 Prod Physique Boites'!L195,"-")</f>
        <v>0</v>
      </c>
      <c r="H195" s="391"/>
      <c r="I195" s="427">
        <f>IFERROR(H195*(F195/E195),"-")</f>
        <v>0</v>
      </c>
      <c r="J195" s="428">
        <f t="shared" si="120"/>
        <v>0</v>
      </c>
    </row>
    <row r="196" spans="1:10" ht="24" thickBot="1" x14ac:dyDescent="0.35">
      <c r="A196" s="277" t="s">
        <v>110</v>
      </c>
      <c r="B196" s="905"/>
      <c r="C196" s="319" t="s">
        <v>37</v>
      </c>
      <c r="D196" s="319"/>
      <c r="E196" s="511">
        <v>229.99359999999999</v>
      </c>
      <c r="F196" s="408">
        <f>IFERROR(E196*'01 Prod Physique Boites'!H196,"-")</f>
        <v>0</v>
      </c>
      <c r="G196" s="409">
        <f>IFERROR(E196*'01 Prod Physique Boites'!L196,"-")</f>
        <v>0</v>
      </c>
      <c r="H196" s="393"/>
      <c r="I196" s="429">
        <f>IFERROR(H196*(F196/E196),"-")</f>
        <v>0</v>
      </c>
      <c r="J196" s="430">
        <f t="shared" si="120"/>
        <v>0</v>
      </c>
    </row>
    <row r="197" spans="1:10" ht="24" thickBot="1" x14ac:dyDescent="0.35">
      <c r="A197" s="277" t="s">
        <v>110</v>
      </c>
      <c r="B197" s="906" t="s">
        <v>38</v>
      </c>
      <c r="C197" s="907"/>
      <c r="D197" s="908"/>
      <c r="E197" s="396"/>
      <c r="F197" s="412">
        <f t="shared" ref="F197:G197" si="121">SUM(F193:F196)</f>
        <v>0</v>
      </c>
      <c r="G197" s="413">
        <f t="shared" si="121"/>
        <v>0</v>
      </c>
      <c r="H197" s="397"/>
      <c r="I197" s="412">
        <f>SUM(I193:I196)</f>
        <v>0</v>
      </c>
      <c r="J197" s="431">
        <f>SUM(J193:J196)</f>
        <v>0</v>
      </c>
    </row>
    <row r="198" spans="1:10" ht="23.4" x14ac:dyDescent="0.3">
      <c r="A198" s="277" t="s">
        <v>110</v>
      </c>
      <c r="B198" s="903" t="s">
        <v>39</v>
      </c>
      <c r="C198" s="320" t="s">
        <v>124</v>
      </c>
      <c r="D198" s="320"/>
      <c r="E198" s="513">
        <v>195.2808</v>
      </c>
      <c r="F198" s="408">
        <f>IFERROR(E198*'01 Prod Physique Boites'!H198,"-")</f>
        <v>0</v>
      </c>
      <c r="G198" s="409">
        <f>IFERROR(E198*'01 Prod Physique Boites'!L198,"-")</f>
        <v>0</v>
      </c>
      <c r="H198" s="387"/>
      <c r="I198" s="425">
        <f>IFERROR(H198*(F198/E198),"-")</f>
        <v>0</v>
      </c>
      <c r="J198" s="426">
        <f t="shared" ref="J198:J199" si="122">IFERROR(H198*(G198/E198),"-")</f>
        <v>0</v>
      </c>
    </row>
    <row r="199" spans="1:10" ht="24" thickBot="1" x14ac:dyDescent="0.35">
      <c r="A199" s="277" t="s">
        <v>110</v>
      </c>
      <c r="B199" s="905"/>
      <c r="C199" s="290" t="s">
        <v>140</v>
      </c>
      <c r="D199" s="290"/>
      <c r="E199" s="511">
        <v>189.91890000000001</v>
      </c>
      <c r="F199" s="408">
        <f>IFERROR(E199*'01 Prod Physique Boites'!H199,"-")</f>
        <v>0</v>
      </c>
      <c r="G199" s="409">
        <f>IFERROR(E199*'01 Prod Physique Boites'!L199,"-")</f>
        <v>0</v>
      </c>
      <c r="H199" s="393">
        <v>320.35000000000002</v>
      </c>
      <c r="I199" s="429">
        <f>IFERROR(H199*(F199/E199),"-")</f>
        <v>0</v>
      </c>
      <c r="J199" s="430">
        <f t="shared" si="122"/>
        <v>0</v>
      </c>
    </row>
    <row r="200" spans="1:10" ht="24" thickBot="1" x14ac:dyDescent="0.35">
      <c r="A200" s="672" t="s">
        <v>110</v>
      </c>
      <c r="B200" s="906" t="s">
        <v>40</v>
      </c>
      <c r="C200" s="907"/>
      <c r="D200" s="908"/>
      <c r="E200" s="396"/>
      <c r="F200" s="412">
        <f>SUM(F198:F199)</f>
        <v>0</v>
      </c>
      <c r="G200" s="413">
        <f t="shared" ref="G200" si="123">SUM(G198:G199)</f>
        <v>0</v>
      </c>
      <c r="H200" s="397"/>
      <c r="I200" s="412">
        <f t="shared" ref="I200:J200" si="124">SUM(I198:I199)</f>
        <v>0</v>
      </c>
      <c r="J200" s="431">
        <f t="shared" si="124"/>
        <v>0</v>
      </c>
    </row>
    <row r="201" spans="1:10" ht="23.4" x14ac:dyDescent="0.3">
      <c r="A201" s="277" t="s">
        <v>110</v>
      </c>
      <c r="B201" s="903" t="s">
        <v>41</v>
      </c>
      <c r="C201" s="272" t="s">
        <v>346</v>
      </c>
      <c r="D201" s="272" t="s">
        <v>263</v>
      </c>
      <c r="E201" s="515">
        <v>37.248699999999999</v>
      </c>
      <c r="F201" s="408">
        <f>IFERROR(E201*'01 Prod Physique Boites'!H201,"-")</f>
        <v>726349.65</v>
      </c>
      <c r="G201" s="409">
        <f>IFERROR(E201*'01 Prod Physique Boites'!L201,"-")</f>
        <v>1316369.058</v>
      </c>
      <c r="H201" s="387">
        <v>71.44</v>
      </c>
      <c r="I201" s="425">
        <f>IFERROR(H201*(F201/E201),"-")</f>
        <v>1393080</v>
      </c>
      <c r="J201" s="426">
        <f>IFERROR(H201*(G201/E201),"-")</f>
        <v>2524689.6</v>
      </c>
    </row>
    <row r="202" spans="1:10" ht="23.4" x14ac:dyDescent="0.3">
      <c r="A202" s="277" t="s">
        <v>110</v>
      </c>
      <c r="B202" s="904"/>
      <c r="C202" s="272" t="s">
        <v>165</v>
      </c>
      <c r="D202" s="278" t="s">
        <v>103</v>
      </c>
      <c r="E202" s="515">
        <v>37.248699999999999</v>
      </c>
      <c r="F202" s="408">
        <f>IFERROR(E202*'01 Prod Physique Boites'!H202,"-")</f>
        <v>0</v>
      </c>
      <c r="G202" s="409">
        <f>IFERROR(E202*'01 Prod Physique Boites'!L202,"-")</f>
        <v>0</v>
      </c>
      <c r="H202" s="391"/>
      <c r="I202" s="427">
        <f>IFERROR(H202*(F202/E202),"-")</f>
        <v>0</v>
      </c>
      <c r="J202" s="428">
        <f t="shared" ref="J202:J205" si="125">IFERROR(H202*(G202/E202),"-")</f>
        <v>0</v>
      </c>
    </row>
    <row r="203" spans="1:10" ht="23.4" x14ac:dyDescent="0.3">
      <c r="A203" s="277" t="s">
        <v>110</v>
      </c>
      <c r="B203" s="904"/>
      <c r="C203" s="278" t="s">
        <v>202</v>
      </c>
      <c r="D203" s="278" t="s">
        <v>200</v>
      </c>
      <c r="E203" s="516">
        <v>38.466099999999997</v>
      </c>
      <c r="F203" s="408">
        <f>IFERROR(E203*'01 Prod Physique Boites'!H203,"-")</f>
        <v>0</v>
      </c>
      <c r="G203" s="409">
        <f>IFERROR(E203*'01 Prod Physique Boites'!L203,"-")</f>
        <v>0</v>
      </c>
      <c r="H203" s="391"/>
      <c r="I203" s="427">
        <f>IFERROR(H203*(F203/E203),"-")</f>
        <v>0</v>
      </c>
      <c r="J203" s="428">
        <f t="shared" si="125"/>
        <v>0</v>
      </c>
    </row>
    <row r="204" spans="1:10" ht="23.4" x14ac:dyDescent="0.3">
      <c r="A204" s="277" t="s">
        <v>110</v>
      </c>
      <c r="B204" s="904"/>
      <c r="C204" s="278" t="s">
        <v>166</v>
      </c>
      <c r="D204" s="278"/>
      <c r="E204" s="516">
        <v>37.248699999999999</v>
      </c>
      <c r="F204" s="408">
        <f>IFERROR(E204*'01 Prod Physique Boites'!H204,"-")</f>
        <v>0</v>
      </c>
      <c r="G204" s="409">
        <f>IFERROR(E204*'01 Prod Physique Boites'!L204,"-")</f>
        <v>0</v>
      </c>
      <c r="H204" s="391"/>
      <c r="I204" s="427">
        <f>IFERROR(H204*(F204/E204),"-")</f>
        <v>0</v>
      </c>
      <c r="J204" s="428">
        <f t="shared" si="125"/>
        <v>0</v>
      </c>
    </row>
    <row r="205" spans="1:10" ht="24" thickBot="1" x14ac:dyDescent="0.35">
      <c r="A205" s="277" t="s">
        <v>110</v>
      </c>
      <c r="B205" s="905"/>
      <c r="C205" s="282" t="s">
        <v>167</v>
      </c>
      <c r="D205" s="282"/>
      <c r="E205" s="512">
        <v>33.711399999999998</v>
      </c>
      <c r="F205" s="408">
        <f>IFERROR(E205*'01 Prod Physique Boites'!H205,"-")</f>
        <v>0</v>
      </c>
      <c r="G205" s="409">
        <f>IFERROR(E205*'01 Prod Physique Boites'!L205,"-")</f>
        <v>0</v>
      </c>
      <c r="H205" s="393"/>
      <c r="I205" s="429">
        <f>IFERROR(H205*(F205/E205),"-")</f>
        <v>0</v>
      </c>
      <c r="J205" s="430">
        <f t="shared" si="125"/>
        <v>0</v>
      </c>
    </row>
    <row r="206" spans="1:10" ht="24" thickBot="1" x14ac:dyDescent="0.35">
      <c r="A206" s="277" t="s">
        <v>110</v>
      </c>
      <c r="B206" s="906" t="s">
        <v>42</v>
      </c>
      <c r="C206" s="907"/>
      <c r="D206" s="908"/>
      <c r="E206" s="396"/>
      <c r="F206" s="412">
        <f>SUM(F201:F205)</f>
        <v>726349.65</v>
      </c>
      <c r="G206" s="413">
        <f>SUM(G201:G205)</f>
        <v>1316369.058</v>
      </c>
      <c r="H206" s="397"/>
      <c r="I206" s="412">
        <f>SUM(I201:I205)</f>
        <v>1393080</v>
      </c>
      <c r="J206" s="412">
        <f>SUM(J201:J205)</f>
        <v>2524689.6</v>
      </c>
    </row>
    <row r="207" spans="1:10" ht="23.4" x14ac:dyDescent="0.3">
      <c r="A207" s="277" t="s">
        <v>110</v>
      </c>
      <c r="B207" s="903" t="s">
        <v>43</v>
      </c>
      <c r="C207" s="272" t="s">
        <v>204</v>
      </c>
      <c r="D207" s="272" t="s">
        <v>200</v>
      </c>
      <c r="E207" s="515">
        <v>30.7499</v>
      </c>
      <c r="F207" s="408">
        <f>IFERROR(E207*'01 Prod Physique Boites'!H207,"-")</f>
        <v>0</v>
      </c>
      <c r="G207" s="409">
        <f>IFERROR(E207*'01 Prod Physique Boites'!L207,"-")</f>
        <v>0</v>
      </c>
      <c r="H207" s="387"/>
      <c r="I207" s="425">
        <f>IFERROR(H207*(F207/E207),"-")</f>
        <v>0</v>
      </c>
      <c r="J207" s="426">
        <f>IFERROR(H207*(G207/E207),"-")</f>
        <v>0</v>
      </c>
    </row>
    <row r="208" spans="1:10" ht="23.4" x14ac:dyDescent="0.3">
      <c r="A208" s="277" t="s">
        <v>110</v>
      </c>
      <c r="B208" s="904"/>
      <c r="C208" s="278" t="s">
        <v>168</v>
      </c>
      <c r="D208" s="278"/>
      <c r="E208" s="516">
        <v>28.7</v>
      </c>
      <c r="F208" s="408">
        <f>IFERROR(E208*'01 Prod Physique Boites'!H208,"-")</f>
        <v>0</v>
      </c>
      <c r="G208" s="409">
        <f>IFERROR(E208*'01 Prod Physique Boites'!L208,"-")</f>
        <v>0</v>
      </c>
      <c r="H208" s="391"/>
      <c r="I208" s="427">
        <f>IFERROR(H208*(F208/E208),"-")</f>
        <v>0</v>
      </c>
      <c r="J208" s="428">
        <f t="shared" ref="J208:J209" si="126">IFERROR(H208*(G208/E208),"-")</f>
        <v>0</v>
      </c>
    </row>
    <row r="209" spans="1:10" ht="24" thickBot="1" x14ac:dyDescent="0.35">
      <c r="A209" s="277" t="s">
        <v>110</v>
      </c>
      <c r="B209" s="905"/>
      <c r="C209" s="282" t="s">
        <v>204</v>
      </c>
      <c r="D209" s="282" t="s">
        <v>203</v>
      </c>
      <c r="E209" s="512">
        <v>30.073599999999999</v>
      </c>
      <c r="F209" s="408">
        <f>IFERROR(E209*'01 Prod Physique Boites'!H209,"-")</f>
        <v>0</v>
      </c>
      <c r="G209" s="409">
        <f>IFERROR(E209*'01 Prod Physique Boites'!L209,"-")</f>
        <v>0</v>
      </c>
      <c r="H209" s="393"/>
      <c r="I209" s="429">
        <f>IFERROR(H209*(F209/E209),"-")</f>
        <v>0</v>
      </c>
      <c r="J209" s="430">
        <f t="shared" si="126"/>
        <v>0</v>
      </c>
    </row>
    <row r="210" spans="1:10" ht="24" thickBot="1" x14ac:dyDescent="0.35">
      <c r="A210" s="277" t="s">
        <v>110</v>
      </c>
      <c r="B210" s="909" t="s">
        <v>44</v>
      </c>
      <c r="C210" s="910"/>
      <c r="D210" s="911"/>
      <c r="E210" s="396"/>
      <c r="F210" s="412">
        <f t="shared" ref="F210:G210" si="127">SUM(F207:F209)</f>
        <v>0</v>
      </c>
      <c r="G210" s="413">
        <f t="shared" si="127"/>
        <v>0</v>
      </c>
      <c r="H210" s="397"/>
      <c r="I210" s="412">
        <f t="shared" ref="I210:J210" si="128">SUM(I207:I209)</f>
        <v>0</v>
      </c>
      <c r="J210" s="431">
        <f t="shared" si="128"/>
        <v>0</v>
      </c>
    </row>
    <row r="211" spans="1:10" ht="23.4" x14ac:dyDescent="0.3">
      <c r="A211" s="277" t="s">
        <v>110</v>
      </c>
      <c r="B211" s="903" t="s">
        <v>45</v>
      </c>
      <c r="C211" s="272" t="s">
        <v>169</v>
      </c>
      <c r="D211" s="272"/>
      <c r="E211" s="515">
        <v>36.684899999999999</v>
      </c>
      <c r="F211" s="408">
        <f>IFERROR(E211*'01 Prod Physique Boites'!H211,"-")</f>
        <v>0</v>
      </c>
      <c r="G211" s="409">
        <f>IFERROR(E211*'01 Prod Physique Boites'!L211,"-")</f>
        <v>0</v>
      </c>
      <c r="H211" s="387"/>
      <c r="I211" s="388" t="s">
        <v>209</v>
      </c>
      <c r="J211" s="389" t="s">
        <v>209</v>
      </c>
    </row>
    <row r="212" spans="1:10" ht="24" thickBot="1" x14ac:dyDescent="0.35">
      <c r="A212" s="277" t="s">
        <v>110</v>
      </c>
      <c r="B212" s="905"/>
      <c r="C212" s="282" t="s">
        <v>170</v>
      </c>
      <c r="D212" s="282"/>
      <c r="E212" s="512">
        <v>37.002800000000001</v>
      </c>
      <c r="F212" s="408">
        <f>IFERROR(E212*'01 Prod Physique Boites'!H212,"-")</f>
        <v>0</v>
      </c>
      <c r="G212" s="409">
        <f>IFERROR(E212*'01 Prod Physique Boites'!L212,"-")</f>
        <v>0</v>
      </c>
      <c r="H212" s="393"/>
      <c r="I212" s="394" t="s">
        <v>209</v>
      </c>
      <c r="J212" s="395" t="s">
        <v>209</v>
      </c>
    </row>
    <row r="213" spans="1:10" ht="24" thickBot="1" x14ac:dyDescent="0.35">
      <c r="A213" s="277" t="s">
        <v>110</v>
      </c>
      <c r="B213" s="909" t="s">
        <v>46</v>
      </c>
      <c r="C213" s="910"/>
      <c r="D213" s="911"/>
      <c r="E213" s="396"/>
      <c r="F213" s="412">
        <f t="shared" ref="F213:G213" si="129">SUM(F211:F212)</f>
        <v>0</v>
      </c>
      <c r="G213" s="413">
        <f t="shared" si="129"/>
        <v>0</v>
      </c>
      <c r="H213" s="397"/>
      <c r="I213" s="412">
        <f t="shared" ref="I213:J213" si="130">SUM(I211:I212)</f>
        <v>0</v>
      </c>
      <c r="J213" s="431">
        <f t="shared" si="130"/>
        <v>0</v>
      </c>
    </row>
    <row r="214" spans="1:10" ht="24" thickBot="1" x14ac:dyDescent="0.35">
      <c r="A214" s="277" t="s">
        <v>110</v>
      </c>
      <c r="B214" s="912" t="s">
        <v>25</v>
      </c>
      <c r="C214" s="913"/>
      <c r="D214" s="914"/>
      <c r="E214" s="399"/>
      <c r="F214" s="416">
        <f t="shared" ref="F214:G214" si="131">+F192+F197+F200+F206+F210+F213</f>
        <v>923560.77</v>
      </c>
      <c r="G214" s="417">
        <f t="shared" si="131"/>
        <v>1513580.1779999998</v>
      </c>
      <c r="H214" s="400"/>
      <c r="I214" s="416">
        <f>+I192+I197+I200+I206+I210+I213</f>
        <v>1737096</v>
      </c>
      <c r="J214" s="434">
        <f>+J192+J197+J200+J206+J210+J213</f>
        <v>2868705.6</v>
      </c>
    </row>
    <row r="215" spans="1:10" ht="24" thickBot="1" x14ac:dyDescent="0.35">
      <c r="A215" s="324" t="s">
        <v>110</v>
      </c>
      <c r="B215" s="901" t="s">
        <v>182</v>
      </c>
      <c r="C215" s="901"/>
      <c r="D215" s="902"/>
      <c r="E215" s="401"/>
      <c r="F215" s="418">
        <f t="shared" ref="F215:G215" si="132">+F214</f>
        <v>923560.77</v>
      </c>
      <c r="G215" s="419">
        <f t="shared" si="132"/>
        <v>1513580.1779999998</v>
      </c>
      <c r="H215" s="402"/>
      <c r="I215" s="418">
        <f t="shared" ref="I215" si="133">+I214</f>
        <v>1737096</v>
      </c>
      <c r="J215" s="435">
        <f>+J214</f>
        <v>2868705.6</v>
      </c>
    </row>
    <row r="216" spans="1:10" ht="24.6" thickBot="1" x14ac:dyDescent="0.35">
      <c r="A216" s="325"/>
      <c r="B216" s="915" t="s">
        <v>183</v>
      </c>
      <c r="C216" s="916"/>
      <c r="D216" s="917"/>
      <c r="E216" s="407"/>
      <c r="F216" s="424">
        <f t="shared" ref="F216:G216" si="134">+F161+F188+F215</f>
        <v>6787982.9875000007</v>
      </c>
      <c r="G216" s="424">
        <f t="shared" si="134"/>
        <v>13333387.2511</v>
      </c>
      <c r="H216" s="407"/>
      <c r="I216" s="424">
        <f t="shared" ref="I216:J216" si="135">+I161+I188+I215</f>
        <v>10935485.854800001</v>
      </c>
      <c r="J216" s="438">
        <f t="shared" si="135"/>
        <v>21143587.312400002</v>
      </c>
    </row>
    <row r="217" spans="1:10" ht="23.4" x14ac:dyDescent="0.3">
      <c r="A217" s="935" t="s">
        <v>1</v>
      </c>
      <c r="B217" s="938" t="s">
        <v>2</v>
      </c>
      <c r="C217" s="941" t="s">
        <v>3</v>
      </c>
      <c r="D217" s="941" t="s">
        <v>93</v>
      </c>
      <c r="E217" s="965" t="s">
        <v>176</v>
      </c>
      <c r="F217" s="966"/>
      <c r="G217" s="966"/>
      <c r="H217" s="451"/>
      <c r="I217" s="451"/>
      <c r="J217" s="452"/>
    </row>
    <row r="218" spans="1:10" ht="23.4" x14ac:dyDescent="0.3">
      <c r="A218" s="936"/>
      <c r="B218" s="939"/>
      <c r="C218" s="942"/>
      <c r="D218" s="942"/>
      <c r="E218" s="967" t="s">
        <v>178</v>
      </c>
      <c r="F218" s="968"/>
      <c r="G218" s="969"/>
      <c r="H218" s="967" t="s">
        <v>177</v>
      </c>
      <c r="I218" s="968"/>
      <c r="J218" s="969"/>
    </row>
    <row r="219" spans="1:10" ht="46.8" x14ac:dyDescent="0.3">
      <c r="A219" s="937"/>
      <c r="B219" s="963"/>
      <c r="C219" s="964"/>
      <c r="D219" s="964"/>
      <c r="E219" s="385" t="s">
        <v>179</v>
      </c>
      <c r="F219" s="683" t="s">
        <v>11</v>
      </c>
      <c r="G219" s="684" t="s">
        <v>12</v>
      </c>
      <c r="H219" s="970" t="s">
        <v>179</v>
      </c>
      <c r="I219" s="972" t="s">
        <v>145</v>
      </c>
      <c r="J219" s="974" t="s">
        <v>12</v>
      </c>
    </row>
    <row r="220" spans="1:10" ht="24" thickBot="1" x14ac:dyDescent="0.35">
      <c r="A220" s="937"/>
      <c r="B220" s="940"/>
      <c r="C220" s="943"/>
      <c r="D220" s="943"/>
      <c r="E220" s="976">
        <v>44504</v>
      </c>
      <c r="F220" s="977"/>
      <c r="G220" s="978"/>
      <c r="H220" s="971"/>
      <c r="I220" s="973"/>
      <c r="J220" s="975"/>
    </row>
    <row r="221" spans="1:10" ht="23.4" x14ac:dyDescent="0.3">
      <c r="A221" s="271" t="s">
        <v>111</v>
      </c>
      <c r="B221" s="922" t="s">
        <v>16</v>
      </c>
      <c r="C221" s="272" t="s">
        <v>186</v>
      </c>
      <c r="D221" s="272" t="s">
        <v>184</v>
      </c>
      <c r="E221" s="515">
        <v>81.360699999999994</v>
      </c>
      <c r="F221" s="408">
        <f>IFERROR(E221*'01 Prod Physique Boites'!H220,"-")</f>
        <v>0</v>
      </c>
      <c r="G221" s="408">
        <f>IFERROR(E221*'01 Prod Physique Boites'!L220,"-")</f>
        <v>0</v>
      </c>
      <c r="H221" s="387">
        <v>0</v>
      </c>
      <c r="I221" s="425">
        <f>IFERROR(H221*(F221/E221),"-")</f>
        <v>0</v>
      </c>
      <c r="J221" s="426">
        <f t="shared" ref="J221:J223" si="136">IFERROR(H221*(G221/E221),"-")</f>
        <v>0</v>
      </c>
    </row>
    <row r="222" spans="1:10" ht="23.4" x14ac:dyDescent="0.3">
      <c r="A222" s="277" t="s">
        <v>111</v>
      </c>
      <c r="B222" s="923"/>
      <c r="C222" s="278" t="s">
        <v>190</v>
      </c>
      <c r="D222" s="278" t="s">
        <v>101</v>
      </c>
      <c r="E222" s="516">
        <v>81.360699999999994</v>
      </c>
      <c r="F222" s="408">
        <f>IFERROR(E222*'01 Prod Physique Boites'!H221,"-")</f>
        <v>0</v>
      </c>
      <c r="G222" s="408">
        <f>IFERROR(E222*'01 Prod Physique Boites'!L221,"-")</f>
        <v>0</v>
      </c>
      <c r="H222" s="391">
        <v>0</v>
      </c>
      <c r="I222" s="425">
        <f>IFERROR(H222*(F222/E222),"-")</f>
        <v>0</v>
      </c>
      <c r="J222" s="426">
        <f t="shared" si="136"/>
        <v>0</v>
      </c>
    </row>
    <row r="223" spans="1:10" ht="23.4" x14ac:dyDescent="0.3">
      <c r="A223" s="277" t="s">
        <v>111</v>
      </c>
      <c r="B223" s="923"/>
      <c r="C223" s="278" t="s">
        <v>187</v>
      </c>
      <c r="D223" s="278" t="s">
        <v>185</v>
      </c>
      <c r="E223" s="516">
        <v>55.476900000000001</v>
      </c>
      <c r="F223" s="408">
        <f>IFERROR(E223*'01 Prod Physique Boites'!H222,"-")</f>
        <v>0</v>
      </c>
      <c r="G223" s="408">
        <f>IFERROR(E223*'01 Prod Physique Boites'!L222,"-")</f>
        <v>0</v>
      </c>
      <c r="H223" s="391">
        <v>0</v>
      </c>
      <c r="I223" s="425">
        <f>IFERROR(H223*(F223/E223),"-")</f>
        <v>0</v>
      </c>
      <c r="J223" s="426">
        <f t="shared" si="136"/>
        <v>0</v>
      </c>
    </row>
    <row r="224" spans="1:10" ht="24" thickBot="1" x14ac:dyDescent="0.35">
      <c r="A224" s="277" t="s">
        <v>111</v>
      </c>
      <c r="B224" s="924"/>
      <c r="C224" s="282" t="s">
        <v>289</v>
      </c>
      <c r="D224" s="282" t="s">
        <v>256</v>
      </c>
      <c r="E224" s="512">
        <v>60.703499999999998</v>
      </c>
      <c r="F224" s="408">
        <f>IFERROR(E224*'01 Prod Physique Boites'!H223,"-")</f>
        <v>559443.45600000001</v>
      </c>
      <c r="G224" s="408">
        <f>IFERROR(E224*'01 Prod Physique Boites'!L223,"-")</f>
        <v>2703976.7039999999</v>
      </c>
      <c r="H224" s="393">
        <v>111.0883</v>
      </c>
      <c r="I224" s="425">
        <f>IFERROR(H224*(F224/E224),"-")</f>
        <v>1023789.7728</v>
      </c>
      <c r="J224" s="426">
        <f>IFERROR(H224*(G224/E224),"-")</f>
        <v>4948317.2352</v>
      </c>
    </row>
    <row r="225" spans="1:10" ht="24" thickBot="1" x14ac:dyDescent="0.35">
      <c r="A225" s="277" t="s">
        <v>111</v>
      </c>
      <c r="B225" s="906" t="s">
        <v>47</v>
      </c>
      <c r="C225" s="907"/>
      <c r="D225" s="908"/>
      <c r="E225" s="396"/>
      <c r="F225" s="412">
        <f t="shared" ref="F225:G225" si="137">SUM(F221:F224)</f>
        <v>559443.45600000001</v>
      </c>
      <c r="G225" s="413">
        <f t="shared" si="137"/>
        <v>2703976.7039999999</v>
      </c>
      <c r="H225" s="397"/>
      <c r="I225" s="412">
        <f t="shared" ref="I225:J225" si="138">SUM(I221:I224)</f>
        <v>1023789.7728</v>
      </c>
      <c r="J225" s="431">
        <f t="shared" si="138"/>
        <v>4948317.2352</v>
      </c>
    </row>
    <row r="226" spans="1:10" ht="23.4" x14ac:dyDescent="0.3">
      <c r="A226" s="277" t="s">
        <v>111</v>
      </c>
      <c r="B226" s="922" t="s">
        <v>17</v>
      </c>
      <c r="C226" s="272" t="s">
        <v>331</v>
      </c>
      <c r="D226" s="272"/>
      <c r="E226" s="515">
        <v>12.5275</v>
      </c>
      <c r="F226" s="408">
        <f>IFERROR(E226*'01 Prod Physique Boites'!H225,"-")</f>
        <v>0</v>
      </c>
      <c r="G226" s="408">
        <f>IFERROR(E226*'01 Prod Physique Boites'!L225,"-")</f>
        <v>0</v>
      </c>
      <c r="H226" s="387">
        <v>18.836400000000001</v>
      </c>
      <c r="I226" s="425">
        <f t="shared" ref="I226:I232" si="139">IFERROR(H226*(F226/E226),"-")</f>
        <v>0</v>
      </c>
      <c r="J226" s="426">
        <f t="shared" ref="J226:J232" si="140">IFERROR(H226*(G226/E226),"-")</f>
        <v>0</v>
      </c>
    </row>
    <row r="227" spans="1:10" ht="23.4" x14ac:dyDescent="0.3">
      <c r="A227" s="277" t="s">
        <v>111</v>
      </c>
      <c r="B227" s="923"/>
      <c r="C227" s="278" t="s">
        <v>421</v>
      </c>
      <c r="D227" s="278" t="s">
        <v>257</v>
      </c>
      <c r="E227" s="516">
        <v>13.002700000000001</v>
      </c>
      <c r="F227" s="408">
        <f>IFERROR(E227*'01 Prod Physique Boites'!H226,"-")</f>
        <v>1193647.8600000001</v>
      </c>
      <c r="G227" s="408">
        <f>IFERROR(E227*'01 Prod Physique Boites'!L226,"-")</f>
        <v>2228142.6720000003</v>
      </c>
      <c r="H227" s="391">
        <v>21.18</v>
      </c>
      <c r="I227" s="427">
        <f t="shared" si="139"/>
        <v>1944324</v>
      </c>
      <c r="J227" s="428">
        <f t="shared" si="140"/>
        <v>3629404.8</v>
      </c>
    </row>
    <row r="228" spans="1:10" ht="23.4" x14ac:dyDescent="0.3">
      <c r="A228" s="277" t="s">
        <v>111</v>
      </c>
      <c r="B228" s="923"/>
      <c r="C228" s="278" t="s">
        <v>392</v>
      </c>
      <c r="D228" s="278" t="s">
        <v>205</v>
      </c>
      <c r="E228" s="516">
        <v>12.9049</v>
      </c>
      <c r="F228" s="408">
        <f>IFERROR(E228*'01 Prod Physique Boites'!H227,"-")</f>
        <v>0</v>
      </c>
      <c r="G228" s="408">
        <f>IFERROR(E228*'01 Prod Physique Boites'!L227,"-")</f>
        <v>0</v>
      </c>
      <c r="H228" s="391">
        <v>20.6602</v>
      </c>
      <c r="I228" s="427">
        <f t="shared" si="139"/>
        <v>0</v>
      </c>
      <c r="J228" s="428">
        <f t="shared" si="140"/>
        <v>0</v>
      </c>
    </row>
    <row r="229" spans="1:10" ht="23.4" x14ac:dyDescent="0.3">
      <c r="A229" s="277" t="s">
        <v>111</v>
      </c>
      <c r="B229" s="923"/>
      <c r="C229" s="278" t="s">
        <v>330</v>
      </c>
      <c r="D229" s="278" t="s">
        <v>206</v>
      </c>
      <c r="E229" s="516">
        <v>13.078200000000001</v>
      </c>
      <c r="F229" s="408">
        <f>IFERROR(E229*'01 Prod Physique Boites'!H228,"-")</f>
        <v>0</v>
      </c>
      <c r="G229" s="408">
        <f>IFERROR(E229*'01 Prod Physique Boites'!L228,"-")</f>
        <v>24011.575200000003</v>
      </c>
      <c r="H229" s="391">
        <v>20.66</v>
      </c>
      <c r="I229" s="427">
        <f t="shared" si="139"/>
        <v>0</v>
      </c>
      <c r="J229" s="428">
        <f t="shared" si="140"/>
        <v>37931.760000000002</v>
      </c>
    </row>
    <row r="230" spans="1:10" ht="23.4" x14ac:dyDescent="0.3">
      <c r="A230" s="277" t="s">
        <v>111</v>
      </c>
      <c r="B230" s="923"/>
      <c r="C230" s="278" t="s">
        <v>377</v>
      </c>
      <c r="D230" s="278" t="s">
        <v>371</v>
      </c>
      <c r="E230" s="516">
        <v>13.1958</v>
      </c>
      <c r="F230" s="408">
        <f>IFERROR(E230*'01 Prod Physique Boites'!H229,"-")</f>
        <v>0</v>
      </c>
      <c r="G230" s="408">
        <f>IFERROR(E230*'01 Prod Physique Boites'!L229,"-")</f>
        <v>80758.296000000002</v>
      </c>
      <c r="H230" s="391">
        <v>21.28</v>
      </c>
      <c r="I230" s="427">
        <f t="shared" si="139"/>
        <v>0</v>
      </c>
      <c r="J230" s="428">
        <f t="shared" si="140"/>
        <v>130233.60000000001</v>
      </c>
    </row>
    <row r="231" spans="1:10" ht="23.4" x14ac:dyDescent="0.3">
      <c r="A231" s="277" t="s">
        <v>111</v>
      </c>
      <c r="B231" s="923"/>
      <c r="C231" s="278" t="s">
        <v>208</v>
      </c>
      <c r="D231" s="278" t="s">
        <v>207</v>
      </c>
      <c r="E231" s="516">
        <v>12.9049</v>
      </c>
      <c r="F231" s="408">
        <f>IFERROR(E231*'01 Prod Physique Boites'!H230,"-")</f>
        <v>0</v>
      </c>
      <c r="G231" s="408">
        <f>IFERROR(E231*'01 Prod Physique Boites'!L230,"-")</f>
        <v>0</v>
      </c>
      <c r="H231" s="391">
        <v>0</v>
      </c>
      <c r="I231" s="427">
        <f t="shared" si="139"/>
        <v>0</v>
      </c>
      <c r="J231" s="428">
        <f t="shared" si="140"/>
        <v>0</v>
      </c>
    </row>
    <row r="232" spans="1:10" ht="24" thickBot="1" x14ac:dyDescent="0.35">
      <c r="A232" s="277" t="s">
        <v>111</v>
      </c>
      <c r="B232" s="924"/>
      <c r="C232" s="282" t="s">
        <v>416</v>
      </c>
      <c r="D232" s="282" t="s">
        <v>189</v>
      </c>
      <c r="E232" s="512">
        <v>13.6509</v>
      </c>
      <c r="F232" s="408">
        <f>IFERROR(E232*'01 Prod Physique Boites'!H231,"-")</f>
        <v>0</v>
      </c>
      <c r="G232" s="408">
        <f>IFERROR(E232*'01 Prod Physique Boites'!L231,"-")</f>
        <v>1002522.096</v>
      </c>
      <c r="H232" s="393">
        <v>21.18</v>
      </c>
      <c r="I232" s="429">
        <f t="shared" si="139"/>
        <v>0</v>
      </c>
      <c r="J232" s="430">
        <f t="shared" si="140"/>
        <v>1555459.2</v>
      </c>
    </row>
    <row r="233" spans="1:10" ht="24" thickBot="1" x14ac:dyDescent="0.35">
      <c r="A233" s="277" t="s">
        <v>111</v>
      </c>
      <c r="B233" s="906" t="s">
        <v>48</v>
      </c>
      <c r="C233" s="907"/>
      <c r="D233" s="908"/>
      <c r="E233" s="396"/>
      <c r="F233" s="412">
        <f t="shared" ref="F233:G233" si="141">SUM(F226:F232)</f>
        <v>1193647.8600000001</v>
      </c>
      <c r="G233" s="413">
        <f t="shared" si="141"/>
        <v>3335434.6392000001</v>
      </c>
      <c r="H233" s="397"/>
      <c r="I233" s="412">
        <f t="shared" ref="I233" si="142">SUM(I226:I232)</f>
        <v>1944324</v>
      </c>
      <c r="J233" s="431">
        <f>SUM(J226:J232)</f>
        <v>5353029.3599999994</v>
      </c>
    </row>
    <row r="234" spans="1:10" ht="23.4" x14ac:dyDescent="0.3">
      <c r="A234" s="277" t="s">
        <v>111</v>
      </c>
      <c r="B234" s="922" t="s">
        <v>18</v>
      </c>
      <c r="C234" s="272" t="s">
        <v>359</v>
      </c>
      <c r="D234" s="272" t="s">
        <v>99</v>
      </c>
      <c r="E234" s="515">
        <v>17.8202</v>
      </c>
      <c r="F234" s="408">
        <f>IFERROR(E234*'01 Prod Physique Boites'!H233,"-")</f>
        <v>0</v>
      </c>
      <c r="G234" s="409">
        <f>IFERROR(E234*'01 Prod Physique Boites'!L233,"-")</f>
        <v>0</v>
      </c>
      <c r="H234" s="387">
        <v>24.93</v>
      </c>
      <c r="I234" s="425">
        <f t="shared" ref="I234:I240" si="143">IFERROR(H234*(F234/E234),"-")</f>
        <v>0</v>
      </c>
      <c r="J234" s="426">
        <f t="shared" ref="J234:J240" si="144">IFERROR(H234*(G234/E234),"-")</f>
        <v>0</v>
      </c>
    </row>
    <row r="235" spans="1:10" ht="23.4" x14ac:dyDescent="0.3">
      <c r="A235" s="277" t="s">
        <v>111</v>
      </c>
      <c r="B235" s="923"/>
      <c r="C235" s="278" t="s">
        <v>138</v>
      </c>
      <c r="D235" s="278"/>
      <c r="E235" s="516">
        <v>17.8202</v>
      </c>
      <c r="F235" s="408">
        <f>IFERROR(E235*'01 Prod Physique Boites'!H234,"-")</f>
        <v>0</v>
      </c>
      <c r="G235" s="409">
        <f>IFERROR(E235*'01 Prod Physique Boites'!L234,"-")</f>
        <v>0</v>
      </c>
      <c r="H235" s="391">
        <v>0</v>
      </c>
      <c r="I235" s="427">
        <f t="shared" si="143"/>
        <v>0</v>
      </c>
      <c r="J235" s="428">
        <f t="shared" si="144"/>
        <v>0</v>
      </c>
    </row>
    <row r="236" spans="1:10" ht="23.4" x14ac:dyDescent="0.3">
      <c r="A236" s="277" t="s">
        <v>111</v>
      </c>
      <c r="B236" s="923"/>
      <c r="C236" s="278" t="s">
        <v>123</v>
      </c>
      <c r="D236" s="278"/>
      <c r="E236" s="516">
        <v>16.4071</v>
      </c>
      <c r="F236" s="408">
        <f>IFERROR(E236*'01 Prod Physique Boites'!H235,"-")</f>
        <v>0</v>
      </c>
      <c r="G236" s="409">
        <f>IFERROR(E236*'01 Prod Physique Boites'!L235,"-")</f>
        <v>0</v>
      </c>
      <c r="H236" s="391">
        <v>0</v>
      </c>
      <c r="I236" s="427">
        <f t="shared" si="143"/>
        <v>0</v>
      </c>
      <c r="J236" s="428">
        <f t="shared" si="144"/>
        <v>0</v>
      </c>
    </row>
    <row r="237" spans="1:10" ht="23.4" x14ac:dyDescent="0.3">
      <c r="A237" s="277" t="s">
        <v>111</v>
      </c>
      <c r="B237" s="923"/>
      <c r="C237" s="278" t="s">
        <v>130</v>
      </c>
      <c r="D237" s="278"/>
      <c r="E237" s="516">
        <v>17.8202</v>
      </c>
      <c r="F237" s="408">
        <f>IFERROR(E237*'01 Prod Physique Boites'!H236,"-")</f>
        <v>0</v>
      </c>
      <c r="G237" s="409">
        <f>IFERROR(E237*'01 Prod Physique Boites'!L236,"-")</f>
        <v>0</v>
      </c>
      <c r="H237" s="391"/>
      <c r="I237" s="427">
        <f t="shared" si="143"/>
        <v>0</v>
      </c>
      <c r="J237" s="428">
        <f t="shared" si="144"/>
        <v>0</v>
      </c>
    </row>
    <row r="238" spans="1:10" ht="23.4" x14ac:dyDescent="0.3">
      <c r="A238" s="277" t="s">
        <v>111</v>
      </c>
      <c r="B238" s="923"/>
      <c r="C238" s="278" t="s">
        <v>191</v>
      </c>
      <c r="D238" s="278" t="s">
        <v>192</v>
      </c>
      <c r="E238" s="516">
        <v>17.8202</v>
      </c>
      <c r="F238" s="408">
        <f>IFERROR(E238*'01 Prod Physique Boites'!H237,"-")</f>
        <v>0</v>
      </c>
      <c r="G238" s="409">
        <f>IFERROR(E238*'01 Prod Physique Boites'!L237,"-")</f>
        <v>0</v>
      </c>
      <c r="H238" s="391"/>
      <c r="I238" s="427">
        <f t="shared" si="143"/>
        <v>0</v>
      </c>
      <c r="J238" s="428">
        <f t="shared" si="144"/>
        <v>0</v>
      </c>
    </row>
    <row r="239" spans="1:10" ht="23.4" x14ac:dyDescent="0.3">
      <c r="A239" s="277" t="s">
        <v>111</v>
      </c>
      <c r="B239" s="923"/>
      <c r="C239" s="278" t="s">
        <v>194</v>
      </c>
      <c r="D239" s="278" t="s">
        <v>193</v>
      </c>
      <c r="E239" s="516">
        <v>16.7288</v>
      </c>
      <c r="F239" s="408">
        <f>IFERROR(E239*'01 Prod Physique Boites'!H238,"-")</f>
        <v>0</v>
      </c>
      <c r="G239" s="409">
        <f>IFERROR(E239*'01 Prod Physique Boites'!L238,"-")</f>
        <v>0</v>
      </c>
      <c r="H239" s="391"/>
      <c r="I239" s="427">
        <f t="shared" si="143"/>
        <v>0</v>
      </c>
      <c r="J239" s="428">
        <f t="shared" si="144"/>
        <v>0</v>
      </c>
    </row>
    <row r="240" spans="1:10" ht="24" thickBot="1" x14ac:dyDescent="0.35">
      <c r="A240" s="277" t="s">
        <v>111</v>
      </c>
      <c r="B240" s="924"/>
      <c r="C240" s="290" t="s">
        <v>195</v>
      </c>
      <c r="D240" s="290" t="s">
        <v>115</v>
      </c>
      <c r="E240" s="512">
        <v>17.8202</v>
      </c>
      <c r="F240" s="408">
        <f>IFERROR(E240*'01 Prod Physique Boites'!H239,"-")</f>
        <v>0</v>
      </c>
      <c r="G240" s="409">
        <f>IFERROR(E240*'01 Prod Physique Boites'!L239,"-")</f>
        <v>0</v>
      </c>
      <c r="H240" s="393"/>
      <c r="I240" s="429">
        <f t="shared" si="143"/>
        <v>0</v>
      </c>
      <c r="J240" s="430">
        <f t="shared" si="144"/>
        <v>0</v>
      </c>
    </row>
    <row r="241" spans="1:10" ht="24" thickBot="1" x14ac:dyDescent="0.35">
      <c r="A241" s="277" t="s">
        <v>111</v>
      </c>
      <c r="B241" s="906" t="s">
        <v>29</v>
      </c>
      <c r="C241" s="907"/>
      <c r="D241" s="908"/>
      <c r="E241" s="397"/>
      <c r="F241" s="412">
        <f t="shared" ref="F241:G241" si="145">SUM(F234:F240)</f>
        <v>0</v>
      </c>
      <c r="G241" s="413">
        <f t="shared" si="145"/>
        <v>0</v>
      </c>
      <c r="H241" s="397"/>
      <c r="I241" s="412">
        <f t="shared" ref="I241:J241" si="146">SUM(I234:I240)</f>
        <v>0</v>
      </c>
      <c r="J241" s="431">
        <f t="shared" si="146"/>
        <v>0</v>
      </c>
    </row>
    <row r="242" spans="1:10" ht="23.4" x14ac:dyDescent="0.3">
      <c r="A242" s="277"/>
      <c r="B242" s="918" t="s">
        <v>19</v>
      </c>
      <c r="C242" s="678" t="s">
        <v>260</v>
      </c>
      <c r="D242" s="676" t="s">
        <v>192</v>
      </c>
      <c r="E242" s="517">
        <v>12.2659</v>
      </c>
      <c r="F242" s="703">
        <f>IFERROR(E242*'01 Prod Physique Boites'!H241,"-")</f>
        <v>621733.93920000002</v>
      </c>
      <c r="G242" s="703">
        <f>IFERROR(E242*'01 Prod Physique Boites'!L241,"-")</f>
        <v>932600.90879999998</v>
      </c>
      <c r="H242" s="704">
        <v>14.79</v>
      </c>
      <c r="I242" s="703">
        <f t="shared" ref="I242:I243" si="147">IFERROR(H242*(F242/E242),"-")</f>
        <v>749675.5199999999</v>
      </c>
      <c r="J242" s="703">
        <f t="shared" ref="J242:J243" si="148">IFERROR(I242*(G242/F242),"-")</f>
        <v>1124513.2799999998</v>
      </c>
    </row>
    <row r="243" spans="1:10" ht="24" thickBot="1" x14ac:dyDescent="0.35">
      <c r="A243" s="685" t="s">
        <v>111</v>
      </c>
      <c r="B243" s="920"/>
      <c r="C243" s="679" t="s">
        <v>417</v>
      </c>
      <c r="D243" s="677"/>
      <c r="E243" s="285">
        <v>0</v>
      </c>
      <c r="F243" s="414">
        <f>IFERROR(E243*'01 Prod Physique Boites'!H241,"-")</f>
        <v>0</v>
      </c>
      <c r="G243" s="415">
        <f>IFERROR(E243*'01 Prod Physique Boites'!L241,"-")</f>
        <v>0</v>
      </c>
      <c r="H243" s="398">
        <v>0</v>
      </c>
      <c r="I243" s="432" t="str">
        <f t="shared" si="147"/>
        <v>-</v>
      </c>
      <c r="J243" s="433" t="str">
        <f t="shared" si="148"/>
        <v>-</v>
      </c>
    </row>
    <row r="244" spans="1:10" ht="24" thickBot="1" x14ac:dyDescent="0.35">
      <c r="A244" s="277" t="s">
        <v>111</v>
      </c>
      <c r="B244" s="906" t="s">
        <v>49</v>
      </c>
      <c r="C244" s="907"/>
      <c r="D244" s="908"/>
      <c r="E244" s="396"/>
      <c r="F244" s="412">
        <f t="shared" ref="F244:G244" si="149">SUM(F243)</f>
        <v>0</v>
      </c>
      <c r="G244" s="413">
        <f t="shared" si="149"/>
        <v>0</v>
      </c>
      <c r="H244" s="397"/>
      <c r="I244" s="412">
        <f t="shared" ref="I244:J244" si="150">SUM(I243)</f>
        <v>0</v>
      </c>
      <c r="J244" s="431">
        <f t="shared" si="150"/>
        <v>0</v>
      </c>
    </row>
    <row r="245" spans="1:10" ht="23.4" x14ac:dyDescent="0.3">
      <c r="A245" s="277" t="s">
        <v>111</v>
      </c>
      <c r="B245" s="922" t="s">
        <v>20</v>
      </c>
      <c r="C245" s="297" t="s">
        <v>370</v>
      </c>
      <c r="D245" s="297" t="s">
        <v>324</v>
      </c>
      <c r="E245" s="515">
        <v>26.032900000000001</v>
      </c>
      <c r="F245" s="408">
        <f>IFERROR(E245*'01 Prod Physique Boites'!H244,"-")</f>
        <v>0</v>
      </c>
      <c r="G245" s="409">
        <f>IFERROR(E245*'01 Prod Physique Boites'!L244,"-")</f>
        <v>0</v>
      </c>
      <c r="H245" s="387">
        <v>36.44</v>
      </c>
      <c r="I245" s="425">
        <f>IFERROR(H245*(F245/E245),"-")</f>
        <v>0</v>
      </c>
      <c r="J245" s="426">
        <f t="shared" ref="J245:J247" si="151">IFERROR(H245*(G245/E245),"-")</f>
        <v>0</v>
      </c>
    </row>
    <row r="246" spans="1:10" ht="23.4" x14ac:dyDescent="0.3">
      <c r="A246" s="277" t="s">
        <v>111</v>
      </c>
      <c r="B246" s="923"/>
      <c r="C246" s="298" t="s">
        <v>122</v>
      </c>
      <c r="D246" s="298"/>
      <c r="E246" s="390">
        <v>24.2607</v>
      </c>
      <c r="F246" s="408">
        <f>IFERROR(E246*'01 Prod Physique Boites'!H245,"-")</f>
        <v>0</v>
      </c>
      <c r="G246" s="409">
        <f>IFERROR(E246*'01 Prod Physique Boites'!L245,"-")</f>
        <v>0</v>
      </c>
      <c r="H246" s="391">
        <v>37.369999999999997</v>
      </c>
      <c r="I246" s="427">
        <f>IFERROR(H246*(F246/E246),"-")</f>
        <v>0</v>
      </c>
      <c r="J246" s="428">
        <f t="shared" si="151"/>
        <v>0</v>
      </c>
    </row>
    <row r="247" spans="1:10" ht="24" thickBot="1" x14ac:dyDescent="0.35">
      <c r="A247" s="277" t="s">
        <v>111</v>
      </c>
      <c r="B247" s="924"/>
      <c r="C247" s="299" t="s">
        <v>128</v>
      </c>
      <c r="D247" s="299"/>
      <c r="E247" s="392">
        <v>26.035799999999998</v>
      </c>
      <c r="F247" s="408">
        <f>IFERROR(E247*'01 Prod Physique Boites'!H246,"-")</f>
        <v>0</v>
      </c>
      <c r="G247" s="409">
        <f>IFERROR(E247*'01 Prod Physique Boites'!L246,"-")</f>
        <v>0</v>
      </c>
      <c r="H247" s="393">
        <v>37.11</v>
      </c>
      <c r="I247" s="429">
        <f>IFERROR(H247*(F247/E247),"-")</f>
        <v>0</v>
      </c>
      <c r="J247" s="430">
        <f t="shared" si="151"/>
        <v>0</v>
      </c>
    </row>
    <row r="248" spans="1:10" ht="24" thickBot="1" x14ac:dyDescent="0.35">
      <c r="A248" s="277" t="s">
        <v>111</v>
      </c>
      <c r="B248" s="907" t="s">
        <v>50</v>
      </c>
      <c r="C248" s="907"/>
      <c r="D248" s="925"/>
      <c r="E248" s="396"/>
      <c r="F248" s="412">
        <f t="shared" ref="F248:G248" si="152">SUM(F245:F247)</f>
        <v>0</v>
      </c>
      <c r="G248" s="413">
        <f t="shared" si="152"/>
        <v>0</v>
      </c>
      <c r="H248" s="397"/>
      <c r="I248" s="412">
        <f t="shared" ref="I248:J248" si="153">SUM(I245:I247)</f>
        <v>0</v>
      </c>
      <c r="J248" s="431">
        <f t="shared" si="153"/>
        <v>0</v>
      </c>
    </row>
    <row r="249" spans="1:10" ht="24" thickBot="1" x14ac:dyDescent="0.35">
      <c r="A249" s="277" t="s">
        <v>111</v>
      </c>
      <c r="B249" s="926" t="s">
        <v>21</v>
      </c>
      <c r="C249" s="927"/>
      <c r="D249" s="928"/>
      <c r="E249" s="399"/>
      <c r="F249" s="416">
        <f>+F225+F233+F241+F244+F248</f>
        <v>1753091.3160000001</v>
      </c>
      <c r="G249" s="417">
        <f>+G225+G233+G241+G244+G248</f>
        <v>6039411.3432</v>
      </c>
      <c r="H249" s="400"/>
      <c r="I249" s="416">
        <f t="shared" ref="I249" si="154">+I225+I233+I241+I244+I248</f>
        <v>2968113.7727999999</v>
      </c>
      <c r="J249" s="434">
        <f>+J225+J233+J241+J244+J248</f>
        <v>10301346.595199998</v>
      </c>
    </row>
    <row r="250" spans="1:10" ht="23.4" x14ac:dyDescent="0.3">
      <c r="A250" s="277" t="s">
        <v>111</v>
      </c>
      <c r="B250" s="922" t="s">
        <v>22</v>
      </c>
      <c r="C250" s="272" t="s">
        <v>133</v>
      </c>
      <c r="D250" s="272"/>
      <c r="E250" s="386">
        <v>22.820599999999999</v>
      </c>
      <c r="F250" s="408">
        <f>IFERROR(E250*'01 Prod Physique Boites'!H249,"-")</f>
        <v>0</v>
      </c>
      <c r="G250" s="409">
        <f>IFERROR(E250*'01 Prod Physique Boites'!L249,"-")</f>
        <v>0</v>
      </c>
      <c r="H250" s="387">
        <v>27.5</v>
      </c>
      <c r="I250" s="425">
        <f>IFERROR(H250*(F250/E250),"-")</f>
        <v>0</v>
      </c>
      <c r="J250" s="426">
        <f t="shared" ref="J250:J253" si="155">IFERROR(H250*(G250/E250),"-")</f>
        <v>0</v>
      </c>
    </row>
    <row r="251" spans="1:10" ht="23.4" x14ac:dyDescent="0.3">
      <c r="A251" s="277" t="s">
        <v>111</v>
      </c>
      <c r="B251" s="923"/>
      <c r="C251" s="301" t="s">
        <v>291</v>
      </c>
      <c r="D251" s="301" t="s">
        <v>196</v>
      </c>
      <c r="E251" s="390">
        <v>23.570699999999999</v>
      </c>
      <c r="F251" s="408">
        <f>IFERROR(E251*'01 Prod Physique Boites'!H250,"-")</f>
        <v>0</v>
      </c>
      <c r="G251" s="409">
        <f>IFERROR(E251*'01 Prod Physique Boites'!L250,"-")</f>
        <v>0</v>
      </c>
      <c r="H251" s="391">
        <v>27.5</v>
      </c>
      <c r="I251" s="427">
        <f>IFERROR(H251*(F251/E251),"-")</f>
        <v>0</v>
      </c>
      <c r="J251" s="428">
        <f t="shared" si="155"/>
        <v>0</v>
      </c>
    </row>
    <row r="252" spans="1:10" ht="23.4" x14ac:dyDescent="0.3">
      <c r="A252" s="277" t="s">
        <v>111</v>
      </c>
      <c r="B252" s="923"/>
      <c r="C252" s="301" t="s">
        <v>198</v>
      </c>
      <c r="D252" s="301" t="s">
        <v>100</v>
      </c>
      <c r="E252" s="390">
        <v>22.238499999999998</v>
      </c>
      <c r="F252" s="408">
        <f>IFERROR(E252*'01 Prod Physique Boites'!H251,"-")</f>
        <v>0</v>
      </c>
      <c r="G252" s="409">
        <f>IFERROR(E252*'01 Prod Physique Boites'!L251,"-")</f>
        <v>0</v>
      </c>
      <c r="H252" s="391">
        <v>24</v>
      </c>
      <c r="I252" s="427">
        <f>IFERROR(H252*(F252/E252),"-")</f>
        <v>0</v>
      </c>
      <c r="J252" s="428">
        <f t="shared" si="155"/>
        <v>0</v>
      </c>
    </row>
    <row r="253" spans="1:10" ht="24" thickBot="1" x14ac:dyDescent="0.35">
      <c r="A253" s="277" t="s">
        <v>111</v>
      </c>
      <c r="B253" s="924"/>
      <c r="C253" s="282" t="s">
        <v>197</v>
      </c>
      <c r="D253" s="282" t="s">
        <v>100</v>
      </c>
      <c r="E253" s="392">
        <v>23.5685</v>
      </c>
      <c r="F253" s="408">
        <f>IFERROR(E253*'01 Prod Physique Boites'!H252,"-")</f>
        <v>0</v>
      </c>
      <c r="G253" s="409">
        <f>IFERROR(E253*'01 Prod Physique Boites'!L252,"-")</f>
        <v>0</v>
      </c>
      <c r="H253" s="393">
        <v>24</v>
      </c>
      <c r="I253" s="429">
        <f>IFERROR(H253*(F253/E253),"-")</f>
        <v>0</v>
      </c>
      <c r="J253" s="430">
        <f t="shared" si="155"/>
        <v>0</v>
      </c>
    </row>
    <row r="254" spans="1:10" ht="24" thickBot="1" x14ac:dyDescent="0.35">
      <c r="A254" s="277" t="s">
        <v>111</v>
      </c>
      <c r="B254" s="906" t="s">
        <v>51</v>
      </c>
      <c r="C254" s="907"/>
      <c r="D254" s="908"/>
      <c r="E254" s="396"/>
      <c r="F254" s="412">
        <f t="shared" ref="F254:G254" si="156">SUM(F250:F253)</f>
        <v>0</v>
      </c>
      <c r="G254" s="413">
        <f t="shared" si="156"/>
        <v>0</v>
      </c>
      <c r="H254" s="397"/>
      <c r="I254" s="412">
        <f t="shared" ref="I254:J254" si="157">SUM(I250:I253)</f>
        <v>0</v>
      </c>
      <c r="J254" s="431">
        <f t="shared" si="157"/>
        <v>0</v>
      </c>
    </row>
    <row r="255" spans="1:10" ht="23.4" x14ac:dyDescent="0.3">
      <c r="A255" s="277" t="s">
        <v>111</v>
      </c>
      <c r="B255" s="922" t="s">
        <v>23</v>
      </c>
      <c r="C255" s="302" t="s">
        <v>348</v>
      </c>
      <c r="D255" s="302" t="s">
        <v>263</v>
      </c>
      <c r="E255" s="386">
        <v>101.4935</v>
      </c>
      <c r="F255" s="408">
        <f>IFERROR(E255*'01 Prod Physique Boites'!H254,"-")</f>
        <v>0</v>
      </c>
      <c r="G255" s="409">
        <f>IFERROR(E255*'01 Prod Physique Boites'!L254,"-")</f>
        <v>0</v>
      </c>
      <c r="H255" s="391">
        <v>160.44999999999999</v>
      </c>
      <c r="I255" s="425">
        <f t="shared" ref="I255:I262" si="158">IFERROR(H255*(F255/E255),"-")</f>
        <v>0</v>
      </c>
      <c r="J255" s="426">
        <f t="shared" ref="J255:J262" si="159">IFERROR(H255*(G255/E255),"-")</f>
        <v>0</v>
      </c>
    </row>
    <row r="256" spans="1:10" ht="23.4" x14ac:dyDescent="0.3">
      <c r="A256" s="277" t="s">
        <v>111</v>
      </c>
      <c r="B256" s="923"/>
      <c r="C256" s="278" t="s">
        <v>24</v>
      </c>
      <c r="D256" s="278" t="s">
        <v>263</v>
      </c>
      <c r="E256" s="390">
        <v>101.4935</v>
      </c>
      <c r="F256" s="408">
        <f>IFERROR(E256*'01 Prod Physique Boites'!H255,"-")</f>
        <v>1243295.375</v>
      </c>
      <c r="G256" s="409">
        <f>IFERROR(E256*'01 Prod Physique Boites'!L255,"-")</f>
        <v>2930624.8125</v>
      </c>
      <c r="H256" s="391">
        <v>160.44999999999999</v>
      </c>
      <c r="I256" s="427">
        <f t="shared" si="158"/>
        <v>1965512.4999999998</v>
      </c>
      <c r="J256" s="428">
        <f t="shared" si="159"/>
        <v>4632993.75</v>
      </c>
    </row>
    <row r="257" spans="1:10" ht="23.4" x14ac:dyDescent="0.3">
      <c r="A257" s="277" t="s">
        <v>111</v>
      </c>
      <c r="B257" s="923"/>
      <c r="C257" s="278" t="s">
        <v>261</v>
      </c>
      <c r="D257" s="278" t="s">
        <v>263</v>
      </c>
      <c r="E257" s="390">
        <v>101.4935</v>
      </c>
      <c r="F257" s="408">
        <f>IFERROR(E257*'01 Prod Physique Boites'!H256,"-")</f>
        <v>0</v>
      </c>
      <c r="G257" s="409">
        <f>IFERROR(E257*'01 Prod Physique Boites'!L256,"-")</f>
        <v>0</v>
      </c>
      <c r="H257" s="391">
        <v>160.44999999999999</v>
      </c>
      <c r="I257" s="427">
        <f t="shared" si="158"/>
        <v>0</v>
      </c>
      <c r="J257" s="428">
        <f t="shared" si="159"/>
        <v>0</v>
      </c>
    </row>
    <row r="258" spans="1:10" ht="23.4" x14ac:dyDescent="0.3">
      <c r="A258" s="277" t="s">
        <v>111</v>
      </c>
      <c r="B258" s="923"/>
      <c r="C258" s="278" t="s">
        <v>262</v>
      </c>
      <c r="D258" s="278" t="s">
        <v>263</v>
      </c>
      <c r="E258" s="390">
        <v>101.4935</v>
      </c>
      <c r="F258" s="408">
        <f>IFERROR(E258*'01 Prod Physique Boites'!H257,"-")</f>
        <v>0</v>
      </c>
      <c r="G258" s="409">
        <f>IFERROR(E258*'01 Prod Physique Boites'!L257,"-")</f>
        <v>0</v>
      </c>
      <c r="H258" s="391">
        <v>160.44999999999999</v>
      </c>
      <c r="I258" s="427">
        <f t="shared" si="158"/>
        <v>0</v>
      </c>
      <c r="J258" s="428">
        <f t="shared" si="159"/>
        <v>0</v>
      </c>
    </row>
    <row r="259" spans="1:10" ht="23.4" x14ac:dyDescent="0.3">
      <c r="A259" s="277" t="s">
        <v>111</v>
      </c>
      <c r="B259" s="923"/>
      <c r="C259" s="301" t="s">
        <v>264</v>
      </c>
      <c r="D259" s="278" t="s">
        <v>263</v>
      </c>
      <c r="E259" s="390">
        <v>101.4935</v>
      </c>
      <c r="F259" s="408">
        <f>IFERROR(E259*'01 Prod Physique Boites'!H258,"-")</f>
        <v>0</v>
      </c>
      <c r="G259" s="409">
        <f>IFERROR(E259*'01 Prod Physique Boites'!L258,"-")</f>
        <v>0</v>
      </c>
      <c r="H259" s="391">
        <v>160.44999999999999</v>
      </c>
      <c r="I259" s="427">
        <f t="shared" si="158"/>
        <v>0</v>
      </c>
      <c r="J259" s="428">
        <f t="shared" si="159"/>
        <v>0</v>
      </c>
    </row>
    <row r="260" spans="1:10" ht="23.4" x14ac:dyDescent="0.3">
      <c r="A260" s="277" t="s">
        <v>111</v>
      </c>
      <c r="B260" s="923"/>
      <c r="C260" s="301" t="s">
        <v>265</v>
      </c>
      <c r="D260" s="278" t="s">
        <v>263</v>
      </c>
      <c r="E260" s="390">
        <v>101.4935</v>
      </c>
      <c r="F260" s="408">
        <f>IFERROR(E260*'01 Prod Physique Boites'!H259,"-")</f>
        <v>0</v>
      </c>
      <c r="G260" s="409">
        <f>IFERROR(E260*'01 Prod Physique Boites'!L259,"-")</f>
        <v>0</v>
      </c>
      <c r="H260" s="391">
        <v>160.44999999999999</v>
      </c>
      <c r="I260" s="427">
        <f t="shared" si="158"/>
        <v>0</v>
      </c>
      <c r="J260" s="428">
        <f t="shared" si="159"/>
        <v>0</v>
      </c>
    </row>
    <row r="261" spans="1:10" ht="23.4" x14ac:dyDescent="0.3">
      <c r="A261" s="277" t="s">
        <v>111</v>
      </c>
      <c r="B261" s="923"/>
      <c r="C261" s="301" t="s">
        <v>266</v>
      </c>
      <c r="D261" s="278" t="s">
        <v>268</v>
      </c>
      <c r="E261" s="390">
        <v>101.4935</v>
      </c>
      <c r="F261" s="408">
        <f>IFERROR(E261*'01 Prod Physique Boites'!H260,"-")</f>
        <v>0</v>
      </c>
      <c r="G261" s="409">
        <f>IFERROR(E261*'01 Prod Physique Boites'!L260,"-")</f>
        <v>0</v>
      </c>
      <c r="H261" s="391">
        <v>160.44999999999999</v>
      </c>
      <c r="I261" s="427">
        <f t="shared" si="158"/>
        <v>0</v>
      </c>
      <c r="J261" s="428">
        <f t="shared" si="159"/>
        <v>0</v>
      </c>
    </row>
    <row r="262" spans="1:10" ht="24" thickBot="1" x14ac:dyDescent="0.35">
      <c r="A262" s="277" t="s">
        <v>111</v>
      </c>
      <c r="B262" s="924"/>
      <c r="C262" s="301" t="s">
        <v>267</v>
      </c>
      <c r="D262" s="278" t="s">
        <v>263</v>
      </c>
      <c r="E262" s="392">
        <v>101.4935</v>
      </c>
      <c r="F262" s="408">
        <f>IFERROR(E262*'01 Prod Physique Boites'!H261,"-")</f>
        <v>0</v>
      </c>
      <c r="G262" s="409">
        <f>IFERROR(E262*'01 Prod Physique Boites'!L261,"-")</f>
        <v>0</v>
      </c>
      <c r="H262" s="391">
        <v>160.44999999999999</v>
      </c>
      <c r="I262" s="429">
        <f t="shared" si="158"/>
        <v>0</v>
      </c>
      <c r="J262" s="430">
        <f t="shared" si="159"/>
        <v>0</v>
      </c>
    </row>
    <row r="263" spans="1:10" ht="24" thickBot="1" x14ac:dyDescent="0.35">
      <c r="A263" s="277" t="s">
        <v>111</v>
      </c>
      <c r="B263" s="906" t="s">
        <v>52</v>
      </c>
      <c r="C263" s="907"/>
      <c r="D263" s="908"/>
      <c r="E263" s="396"/>
      <c r="F263" s="412">
        <f t="shared" ref="F263:G263" si="160">SUM(F255:F262)</f>
        <v>1243295.375</v>
      </c>
      <c r="G263" s="413">
        <f t="shared" si="160"/>
        <v>2930624.8125</v>
      </c>
      <c r="H263" s="397"/>
      <c r="I263" s="412">
        <f t="shared" ref="I263:J263" si="161">SUM(I255:I262)</f>
        <v>1965512.4999999998</v>
      </c>
      <c r="J263" s="431">
        <f t="shared" si="161"/>
        <v>4632993.75</v>
      </c>
    </row>
    <row r="264" spans="1:10" ht="24" thickBot="1" x14ac:dyDescent="0.35">
      <c r="A264" s="277" t="s">
        <v>111</v>
      </c>
      <c r="B264" s="926" t="s">
        <v>25</v>
      </c>
      <c r="C264" s="927"/>
      <c r="D264" s="928"/>
      <c r="E264" s="399"/>
      <c r="F264" s="416">
        <f t="shared" ref="F264:G264" si="162">+F254+F263</f>
        <v>1243295.375</v>
      </c>
      <c r="G264" s="417">
        <f t="shared" si="162"/>
        <v>2930624.8125</v>
      </c>
      <c r="H264" s="400"/>
      <c r="I264" s="416">
        <f t="shared" ref="I264:J264" si="163">+I254+I263</f>
        <v>1965512.4999999998</v>
      </c>
      <c r="J264" s="434">
        <f t="shared" si="163"/>
        <v>4632993.75</v>
      </c>
    </row>
    <row r="265" spans="1:10" ht="24" thickBot="1" x14ac:dyDescent="0.35">
      <c r="A265" s="277" t="s">
        <v>111</v>
      </c>
      <c r="B265" s="900" t="s">
        <v>181</v>
      </c>
      <c r="C265" s="901"/>
      <c r="D265" s="902"/>
      <c r="E265" s="401"/>
      <c r="F265" s="418">
        <f t="shared" ref="F265:G265" si="164">+F249+F264</f>
        <v>2996386.6910000001</v>
      </c>
      <c r="G265" s="419">
        <f t="shared" si="164"/>
        <v>8970036.1557</v>
      </c>
      <c r="H265" s="402"/>
      <c r="I265" s="418">
        <f t="shared" ref="I265:J265" si="165">+I249+I264</f>
        <v>4933626.2727999995</v>
      </c>
      <c r="J265" s="435">
        <f t="shared" si="165"/>
        <v>14934340.345199998</v>
      </c>
    </row>
    <row r="266" spans="1:10" ht="23.4" x14ac:dyDescent="0.3">
      <c r="A266" s="271" t="s">
        <v>109</v>
      </c>
      <c r="B266" s="929" t="s">
        <v>26</v>
      </c>
      <c r="C266" s="303" t="s">
        <v>334</v>
      </c>
      <c r="D266" s="305" t="s">
        <v>192</v>
      </c>
      <c r="E266" s="515">
        <v>13.1272</v>
      </c>
      <c r="F266" s="408">
        <f>IFERROR(E266*'01 Prod Physique Boites'!H265,"-")</f>
        <v>1671040.0512000001</v>
      </c>
      <c r="G266" s="409">
        <f>IFERROR(E266*'01 Prod Physique Boites'!L265,"-")</f>
        <v>2767660.0847999998</v>
      </c>
      <c r="H266" s="387">
        <v>20.76</v>
      </c>
      <c r="I266" s="425">
        <f t="shared" ref="I266:I274" si="166">IFERROR(H266*(F266/E266),"-")</f>
        <v>2642664.9600000004</v>
      </c>
      <c r="J266" s="662">
        <f t="shared" ref="J266:J274" si="167">IFERROR(H266*(G266/E266),"-")</f>
        <v>4376913.84</v>
      </c>
    </row>
    <row r="267" spans="1:10" ht="23.4" x14ac:dyDescent="0.3">
      <c r="A267" s="277" t="s">
        <v>109</v>
      </c>
      <c r="B267" s="929"/>
      <c r="C267" s="304" t="s">
        <v>199</v>
      </c>
      <c r="D267" s="304" t="s">
        <v>115</v>
      </c>
      <c r="E267" s="516">
        <v>14.608000000000001</v>
      </c>
      <c r="F267" s="408">
        <f>IFERROR(E267*'01 Prod Physique Boites'!H266,"-")</f>
        <v>0</v>
      </c>
      <c r="G267" s="409">
        <f>IFERROR(E267*'01 Prod Physique Boites'!L266,"-")</f>
        <v>0</v>
      </c>
      <c r="H267" s="391">
        <v>24.93</v>
      </c>
      <c r="I267" s="427">
        <f t="shared" si="166"/>
        <v>0</v>
      </c>
      <c r="J267" s="663">
        <f t="shared" si="167"/>
        <v>0</v>
      </c>
    </row>
    <row r="268" spans="1:10" ht="23.4" x14ac:dyDescent="0.3">
      <c r="A268" s="277" t="s">
        <v>109</v>
      </c>
      <c r="B268" s="929"/>
      <c r="C268" s="305" t="s">
        <v>27</v>
      </c>
      <c r="D268" s="305" t="s">
        <v>310</v>
      </c>
      <c r="E268" s="512">
        <v>17.8202</v>
      </c>
      <c r="F268" s="408">
        <f>IFERROR(E268*'01 Prod Physique Boites'!H267,"-")</f>
        <v>0</v>
      </c>
      <c r="G268" s="409">
        <f>IFERROR(E268*'01 Prod Physique Boites'!L267,"-")</f>
        <v>0</v>
      </c>
      <c r="H268" s="391">
        <v>24.93</v>
      </c>
      <c r="I268" s="427">
        <f t="shared" si="166"/>
        <v>0</v>
      </c>
      <c r="J268" s="663">
        <f t="shared" si="167"/>
        <v>0</v>
      </c>
    </row>
    <row r="269" spans="1:10" ht="23.4" x14ac:dyDescent="0.3">
      <c r="A269" s="277" t="s">
        <v>109</v>
      </c>
      <c r="B269" s="929"/>
      <c r="C269" s="305" t="s">
        <v>27</v>
      </c>
      <c r="D269" s="305" t="s">
        <v>311</v>
      </c>
      <c r="E269" s="512">
        <v>17.8202</v>
      </c>
      <c r="F269" s="408">
        <f>IFERROR(E269*'01 Prod Physique Boites'!H268,"-")</f>
        <v>0</v>
      </c>
      <c r="G269" s="409">
        <f>IFERROR(E269*'01 Prod Physique Boites'!L268,"-")</f>
        <v>0</v>
      </c>
      <c r="H269" s="391">
        <v>24.93</v>
      </c>
      <c r="I269" s="427">
        <f t="shared" si="166"/>
        <v>0</v>
      </c>
      <c r="J269" s="663">
        <f t="shared" si="167"/>
        <v>0</v>
      </c>
    </row>
    <row r="270" spans="1:10" ht="23.4" x14ac:dyDescent="0.3">
      <c r="A270" s="277" t="s">
        <v>109</v>
      </c>
      <c r="B270" s="929"/>
      <c r="C270" s="305" t="s">
        <v>325</v>
      </c>
      <c r="D270" s="305" t="s">
        <v>324</v>
      </c>
      <c r="E270" s="512">
        <v>14.608000000000001</v>
      </c>
      <c r="F270" s="408">
        <f>IFERROR(E270*'01 Prod Physique Boites'!H269,"-")</f>
        <v>0</v>
      </c>
      <c r="G270" s="409">
        <f>IFERROR(E270*'01 Prod Physique Boites'!L269,"-")</f>
        <v>0</v>
      </c>
      <c r="H270" s="391">
        <v>24.93</v>
      </c>
      <c r="I270" s="427">
        <f t="shared" si="166"/>
        <v>0</v>
      </c>
      <c r="J270" s="663">
        <f t="shared" si="167"/>
        <v>0</v>
      </c>
    </row>
    <row r="271" spans="1:10" ht="23.4" x14ac:dyDescent="0.3">
      <c r="A271" s="277"/>
      <c r="B271" s="929"/>
      <c r="C271" s="305" t="s">
        <v>325</v>
      </c>
      <c r="D271" s="305" t="s">
        <v>192</v>
      </c>
      <c r="E271" s="512">
        <v>14.608000000000001</v>
      </c>
      <c r="F271" s="408">
        <f>IFERROR(E271*'01 Prod Physique Boites'!H270,"-")</f>
        <v>0</v>
      </c>
      <c r="G271" s="409">
        <f>IFERROR(E271*'01 Prod Physique Boites'!L270,"-")</f>
        <v>0</v>
      </c>
      <c r="H271" s="393">
        <v>21.22</v>
      </c>
      <c r="I271" s="427">
        <f t="shared" si="166"/>
        <v>0</v>
      </c>
      <c r="J271" s="664">
        <f t="shared" si="167"/>
        <v>0</v>
      </c>
    </row>
    <row r="272" spans="1:10" ht="23.4" x14ac:dyDescent="0.3">
      <c r="A272" s="277"/>
      <c r="B272" s="929"/>
      <c r="C272" s="305" t="s">
        <v>325</v>
      </c>
      <c r="D272" s="305" t="s">
        <v>101</v>
      </c>
      <c r="E272" s="512">
        <v>17.8202</v>
      </c>
      <c r="F272" s="408">
        <f>IFERROR(E272*'01 Prod Physique Boites'!H271,"-")</f>
        <v>0</v>
      </c>
      <c r="G272" s="409">
        <f>IFERROR(E272*'01 Prod Physique Boites'!L271,"-")</f>
        <v>0</v>
      </c>
      <c r="H272" s="393">
        <v>24.93</v>
      </c>
      <c r="I272" s="429">
        <f t="shared" si="166"/>
        <v>0</v>
      </c>
      <c r="J272" s="664">
        <f t="shared" si="167"/>
        <v>0</v>
      </c>
    </row>
    <row r="273" spans="1:10" ht="23.4" x14ac:dyDescent="0.3">
      <c r="A273" s="277"/>
      <c r="B273" s="929"/>
      <c r="C273" s="305" t="s">
        <v>393</v>
      </c>
      <c r="D273" s="305" t="s">
        <v>394</v>
      </c>
      <c r="E273" s="512">
        <v>17.8202</v>
      </c>
      <c r="F273" s="408">
        <f>IFERROR(E273*'01 Prod Physique Boites'!H272,"-")</f>
        <v>0</v>
      </c>
      <c r="G273" s="409">
        <f>IFERROR(E273*'01 Prod Physique Boites'!L272,"-")</f>
        <v>0</v>
      </c>
      <c r="H273" s="393">
        <v>21.22</v>
      </c>
      <c r="I273" s="429">
        <f t="shared" si="166"/>
        <v>0</v>
      </c>
      <c r="J273" s="664">
        <f t="shared" si="167"/>
        <v>0</v>
      </c>
    </row>
    <row r="274" spans="1:10" ht="24" thickBot="1" x14ac:dyDescent="0.35">
      <c r="A274" s="277" t="s">
        <v>109</v>
      </c>
      <c r="B274" s="929"/>
      <c r="C274" s="306" t="s">
        <v>326</v>
      </c>
      <c r="D274" s="305" t="s">
        <v>324</v>
      </c>
      <c r="E274" s="512">
        <v>12.6997</v>
      </c>
      <c r="F274" s="408">
        <f>IFERROR(E274*'01 Prod Physique Boites'!H273,"-")</f>
        <v>0</v>
      </c>
      <c r="G274" s="409">
        <f>IFERROR(E274*'01 Prod Physique Boites'!L273,"-")</f>
        <v>101038.8132</v>
      </c>
      <c r="H274" s="393">
        <v>13.25</v>
      </c>
      <c r="I274" s="429">
        <f t="shared" si="166"/>
        <v>0</v>
      </c>
      <c r="J274" s="664">
        <f t="shared" si="167"/>
        <v>105417</v>
      </c>
    </row>
    <row r="275" spans="1:10" ht="24" thickBot="1" x14ac:dyDescent="0.35">
      <c r="A275" s="277" t="s">
        <v>109</v>
      </c>
      <c r="B275" s="930"/>
      <c r="C275" s="307"/>
      <c r="D275" s="308" t="s">
        <v>55</v>
      </c>
      <c r="E275" s="396"/>
      <c r="F275" s="412">
        <f>SUM(F266:F274)</f>
        <v>1671040.0512000001</v>
      </c>
      <c r="G275" s="413">
        <f t="shared" ref="G275" si="168">SUM(G266:G274)</f>
        <v>2868698.898</v>
      </c>
      <c r="H275" s="397"/>
      <c r="I275" s="412">
        <f t="shared" ref="I275" si="169">SUM(I266:I274)</f>
        <v>2642664.9600000004</v>
      </c>
      <c r="J275" s="431">
        <f>SUM(J266:J274)</f>
        <v>4482330.84</v>
      </c>
    </row>
    <row r="276" spans="1:10" ht="23.4" x14ac:dyDescent="0.3">
      <c r="A276" s="277" t="s">
        <v>109</v>
      </c>
      <c r="B276" s="931" t="s">
        <v>28</v>
      </c>
      <c r="C276" s="303" t="s">
        <v>27</v>
      </c>
      <c r="D276" s="303" t="s">
        <v>193</v>
      </c>
      <c r="E276" s="515">
        <v>12.6997</v>
      </c>
      <c r="F276" s="408">
        <f>IFERROR(E276*'01 Prod Physique Boites'!H275,"-")</f>
        <v>0</v>
      </c>
      <c r="G276" s="409">
        <f>IFERROR(E276*'01 Prod Physique Boites'!L275,"-")</f>
        <v>0</v>
      </c>
      <c r="H276" s="387">
        <v>13.25</v>
      </c>
      <c r="I276" s="425">
        <f>IFERROR(H276*(F276/E276),"-")</f>
        <v>0</v>
      </c>
      <c r="J276" s="662">
        <f t="shared" ref="J276:J278" si="170">IFERROR(H276*(G276/E276),"-")</f>
        <v>0</v>
      </c>
    </row>
    <row r="277" spans="1:10" ht="23.4" x14ac:dyDescent="0.3">
      <c r="A277" s="277" t="s">
        <v>109</v>
      </c>
      <c r="B277" s="929"/>
      <c r="C277" s="305" t="s">
        <v>27</v>
      </c>
      <c r="D277" s="305" t="s">
        <v>311</v>
      </c>
      <c r="E277" s="512">
        <v>17.8202</v>
      </c>
      <c r="F277" s="408">
        <f>IFERROR(E277*'01 Prod Physique Boites'!H276,"-")</f>
        <v>0</v>
      </c>
      <c r="G277" s="409">
        <f>IFERROR(E277*'01 Prod Physique Boites'!L276,"-")</f>
        <v>0</v>
      </c>
      <c r="H277" s="391">
        <v>24.93</v>
      </c>
      <c r="I277" s="427">
        <f>IFERROR(H277*(F277/E277),"-")</f>
        <v>0</v>
      </c>
      <c r="J277" s="663">
        <f t="shared" si="170"/>
        <v>0</v>
      </c>
    </row>
    <row r="278" spans="1:10" ht="24" thickBot="1" x14ac:dyDescent="0.35">
      <c r="A278" s="277" t="s">
        <v>109</v>
      </c>
      <c r="B278" s="929"/>
      <c r="C278" s="305" t="s">
        <v>27</v>
      </c>
      <c r="D278" s="306" t="s">
        <v>259</v>
      </c>
      <c r="E278" s="512">
        <v>17.8202</v>
      </c>
      <c r="F278" s="408">
        <f>IFERROR(E278*'01 Prod Physique Boites'!H277,"-")</f>
        <v>0</v>
      </c>
      <c r="G278" s="409">
        <f>IFERROR(E278*'01 Prod Physique Boites'!L277,"-")</f>
        <v>0</v>
      </c>
      <c r="H278" s="391">
        <v>24.93</v>
      </c>
      <c r="I278" s="429">
        <f>IFERROR(H278*(F278/E278),"-")</f>
        <v>0</v>
      </c>
      <c r="J278" s="664">
        <f t="shared" si="170"/>
        <v>0</v>
      </c>
    </row>
    <row r="279" spans="1:10" ht="24" thickBot="1" x14ac:dyDescent="0.35">
      <c r="A279" s="277" t="s">
        <v>109</v>
      </c>
      <c r="B279" s="929"/>
      <c r="C279" s="310"/>
      <c r="D279" s="311" t="s">
        <v>55</v>
      </c>
      <c r="E279" s="403"/>
      <c r="F279" s="420">
        <f t="shared" ref="F279:G279" si="171">SUM(F276:F278)</f>
        <v>0</v>
      </c>
      <c r="G279" s="421">
        <f t="shared" si="171"/>
        <v>0</v>
      </c>
      <c r="H279" s="404"/>
      <c r="I279" s="420">
        <f t="shared" ref="I279:J279" si="172">SUM(I276:I278)</f>
        <v>0</v>
      </c>
      <c r="J279" s="436">
        <f t="shared" si="172"/>
        <v>0</v>
      </c>
    </row>
    <row r="280" spans="1:10" ht="24" thickBot="1" x14ac:dyDescent="0.35">
      <c r="A280" s="685" t="s">
        <v>109</v>
      </c>
      <c r="B280" s="932" t="s">
        <v>171</v>
      </c>
      <c r="C280" s="933"/>
      <c r="D280" s="934"/>
      <c r="E280" s="405"/>
      <c r="F280" s="422">
        <f t="shared" ref="F280:G280" si="173">+F275+F279</f>
        <v>1671040.0512000001</v>
      </c>
      <c r="G280" s="423">
        <f t="shared" si="173"/>
        <v>2868698.898</v>
      </c>
      <c r="H280" s="406"/>
      <c r="I280" s="422">
        <f t="shared" ref="I280:J280" si="174">+I275+I279</f>
        <v>2642664.9600000004</v>
      </c>
      <c r="J280" s="437">
        <f t="shared" si="174"/>
        <v>4482330.84</v>
      </c>
    </row>
    <row r="281" spans="1:10" ht="23.4" x14ac:dyDescent="0.3">
      <c r="A281" s="277" t="s">
        <v>109</v>
      </c>
      <c r="B281" s="929" t="s">
        <v>30</v>
      </c>
      <c r="C281" s="309" t="s">
        <v>375</v>
      </c>
      <c r="D281" s="303" t="s">
        <v>193</v>
      </c>
      <c r="E281" s="515">
        <v>15.2788</v>
      </c>
      <c r="F281" s="408">
        <f>IFERROR(E281*'01 Prod Physique Boites'!H280,"-")</f>
        <v>0</v>
      </c>
      <c r="G281" s="409">
        <f>IFERROR(E281*'01 Prod Physique Boites'!L280,"-")</f>
        <v>0</v>
      </c>
      <c r="H281" s="387">
        <v>23.65</v>
      </c>
      <c r="I281" s="425">
        <f>IFERROR(H281*(F281/E281),"-")</f>
        <v>0</v>
      </c>
      <c r="J281" s="426">
        <f t="shared" ref="J281:J283" si="175">IFERROR(H281*(G281/E281),"-")</f>
        <v>0</v>
      </c>
    </row>
    <row r="282" spans="1:10" ht="23.4" x14ac:dyDescent="0.3">
      <c r="A282" s="277" t="s">
        <v>109</v>
      </c>
      <c r="B282" s="929"/>
      <c r="C282" s="309" t="s">
        <v>368</v>
      </c>
      <c r="D282" s="309" t="s">
        <v>324</v>
      </c>
      <c r="E282" s="516">
        <v>22.6356</v>
      </c>
      <c r="F282" s="408">
        <f>IFERROR(E282*'01 Prod Physique Boites'!H281,"-")</f>
        <v>0</v>
      </c>
      <c r="G282" s="409">
        <f>IFERROR(E282*'01 Prod Physique Boites'!L281,"-")</f>
        <v>0</v>
      </c>
      <c r="H282" s="391">
        <v>34.26</v>
      </c>
      <c r="I282" s="427">
        <f>IFERROR(H282*(F282/E282),"-")</f>
        <v>0</v>
      </c>
      <c r="J282" s="428">
        <f t="shared" si="175"/>
        <v>0</v>
      </c>
    </row>
    <row r="283" spans="1:10" ht="24" thickBot="1" x14ac:dyDescent="0.35">
      <c r="A283" s="277" t="s">
        <v>109</v>
      </c>
      <c r="B283" s="929"/>
      <c r="C283" s="306" t="s">
        <v>327</v>
      </c>
      <c r="D283" s="306"/>
      <c r="E283" s="512">
        <v>25.751300000000001</v>
      </c>
      <c r="F283" s="408">
        <f>IFERROR(E283*'01 Prod Physique Boites'!H282,"-")</f>
        <v>0</v>
      </c>
      <c r="G283" s="409">
        <f>IFERROR(E283*'01 Prod Physique Boites'!L282,"-")</f>
        <v>0</v>
      </c>
      <c r="H283" s="393">
        <v>37.89</v>
      </c>
      <c r="I283" s="429">
        <f>IFERROR(H283*(F283/E283),"-")</f>
        <v>0</v>
      </c>
      <c r="J283" s="430">
        <f t="shared" si="175"/>
        <v>0</v>
      </c>
    </row>
    <row r="284" spans="1:10" ht="24" thickBot="1" x14ac:dyDescent="0.35">
      <c r="A284" s="277" t="s">
        <v>109</v>
      </c>
      <c r="B284" s="929"/>
      <c r="C284" s="307"/>
      <c r="D284" s="308" t="s">
        <v>53</v>
      </c>
      <c r="E284" s="396"/>
      <c r="F284" s="412">
        <f t="shared" ref="F284:G284" si="176">SUM(F281:F283)</f>
        <v>0</v>
      </c>
      <c r="G284" s="413">
        <f t="shared" si="176"/>
        <v>0</v>
      </c>
      <c r="H284" s="397"/>
      <c r="I284" s="412">
        <f t="shared" ref="I284" si="177">SUM(I281:I283)</f>
        <v>0</v>
      </c>
      <c r="J284" s="431">
        <f>SUM(J281:J283)</f>
        <v>0</v>
      </c>
    </row>
    <row r="285" spans="1:10" ht="23.4" x14ac:dyDescent="0.3">
      <c r="A285" s="277" t="s">
        <v>109</v>
      </c>
      <c r="B285" s="929"/>
      <c r="C285" s="303" t="s">
        <v>352</v>
      </c>
      <c r="D285" s="303"/>
      <c r="E285" s="515">
        <v>22.094999999999999</v>
      </c>
      <c r="F285" s="408">
        <f>IFERROR(E285*'01 Prod Physique Boites'!H284,"-")</f>
        <v>0</v>
      </c>
      <c r="G285" s="409">
        <f>IFERROR(E285*'01 Prod Physique Boites'!L284,"-")</f>
        <v>0</v>
      </c>
      <c r="H285" s="387">
        <v>37.11</v>
      </c>
      <c r="I285" s="425">
        <f>IFERROR(H285*(F285/E285),"-")</f>
        <v>0</v>
      </c>
      <c r="J285" s="426">
        <f t="shared" ref="J285:J287" si="178">IFERROR(H285*(G285/E285),"-")</f>
        <v>0</v>
      </c>
    </row>
    <row r="286" spans="1:10" ht="23.4" x14ac:dyDescent="0.3">
      <c r="A286" s="277" t="s">
        <v>109</v>
      </c>
      <c r="B286" s="929"/>
      <c r="C286" s="309" t="s">
        <v>397</v>
      </c>
      <c r="D286" s="309" t="s">
        <v>259</v>
      </c>
      <c r="E286" s="516">
        <v>27.917000000000002</v>
      </c>
      <c r="F286" s="408">
        <f>IFERROR(E286*'01 Prod Physique Boites'!H285,"-")</f>
        <v>940691.23200000008</v>
      </c>
      <c r="G286" s="409">
        <f>IFERROR(E286*'01 Prod Physique Boites'!L285,"-")</f>
        <v>5278323.0240000002</v>
      </c>
      <c r="H286" s="391">
        <v>39</v>
      </c>
      <c r="I286" s="427">
        <f>IFERROR(H286*(F286/E286),"-")</f>
        <v>1314144</v>
      </c>
      <c r="J286" s="428">
        <f t="shared" si="178"/>
        <v>7373808</v>
      </c>
    </row>
    <row r="287" spans="1:10" ht="24" thickBot="1" x14ac:dyDescent="0.35">
      <c r="A287" s="277" t="s">
        <v>109</v>
      </c>
      <c r="B287" s="929"/>
      <c r="C287" s="306" t="s">
        <v>146</v>
      </c>
      <c r="D287" s="306"/>
      <c r="E287" s="512">
        <v>25.4041</v>
      </c>
      <c r="F287" s="408">
        <f>IFERROR(E287*'01 Prod Physique Boites'!H286,"-")</f>
        <v>0</v>
      </c>
      <c r="G287" s="409">
        <f>IFERROR(E287*'01 Prod Physique Boites'!L286,"-")</f>
        <v>0</v>
      </c>
      <c r="H287" s="393">
        <v>28.21</v>
      </c>
      <c r="I287" s="429">
        <f>IFERROR(H287*(F287/E287),"-")</f>
        <v>0</v>
      </c>
      <c r="J287" s="430">
        <f t="shared" si="178"/>
        <v>0</v>
      </c>
    </row>
    <row r="288" spans="1:10" ht="24" thickBot="1" x14ac:dyDescent="0.35">
      <c r="A288" s="277" t="s">
        <v>109</v>
      </c>
      <c r="B288" s="929"/>
      <c r="C288" s="310"/>
      <c r="D288" s="311" t="s">
        <v>54</v>
      </c>
      <c r="E288" s="403"/>
      <c r="F288" s="420">
        <f t="shared" ref="F288:G288" si="179">SUM(F285:F287)</f>
        <v>940691.23200000008</v>
      </c>
      <c r="G288" s="421">
        <f t="shared" si="179"/>
        <v>5278323.0240000002</v>
      </c>
      <c r="H288" s="404"/>
      <c r="I288" s="420">
        <f t="shared" ref="I288" si="180">SUM(I285:I287)</f>
        <v>1314144</v>
      </c>
      <c r="J288" s="436">
        <f>SUM(J285:J287)</f>
        <v>7373808</v>
      </c>
    </row>
    <row r="289" spans="1:10" ht="24" thickBot="1" x14ac:dyDescent="0.35">
      <c r="A289" s="277" t="s">
        <v>109</v>
      </c>
      <c r="B289" s="932" t="s">
        <v>172</v>
      </c>
      <c r="C289" s="933"/>
      <c r="D289" s="934"/>
      <c r="E289" s="405"/>
      <c r="F289" s="422">
        <f t="shared" ref="F289:G289" si="181">+F284+F288</f>
        <v>940691.23200000008</v>
      </c>
      <c r="G289" s="423">
        <f t="shared" si="181"/>
        <v>5278323.0240000002</v>
      </c>
      <c r="H289" s="406"/>
      <c r="I289" s="422">
        <f t="shared" ref="I289:J289" si="182">+I284+I288</f>
        <v>1314144</v>
      </c>
      <c r="J289" s="437">
        <f t="shared" si="182"/>
        <v>7373808</v>
      </c>
    </row>
    <row r="290" spans="1:10" ht="24" thickBot="1" x14ac:dyDescent="0.35">
      <c r="A290" s="277" t="s">
        <v>109</v>
      </c>
      <c r="B290" s="617" t="s">
        <v>32</v>
      </c>
      <c r="C290" s="682"/>
      <c r="D290" s="316"/>
      <c r="E290" s="517">
        <v>12.2659</v>
      </c>
      <c r="F290" s="414">
        <f>IFERROR(E290*'01 Prod Physique Boites'!H289,"-")</f>
        <v>0</v>
      </c>
      <c r="G290" s="415">
        <f>IFERROR(E290*'01 Prod Physique Boites'!L289,"-")</f>
        <v>0</v>
      </c>
      <c r="H290" s="398"/>
      <c r="I290" s="432">
        <f>IFERROR(H290*(F290/E290),"-")</f>
        <v>0</v>
      </c>
      <c r="J290" s="433">
        <f>IFERROR(H290*(G290/E290),"-")</f>
        <v>0</v>
      </c>
    </row>
    <row r="291" spans="1:10" ht="24" thickBot="1" x14ac:dyDescent="0.35">
      <c r="A291" s="277" t="s">
        <v>109</v>
      </c>
      <c r="B291" s="926" t="s">
        <v>21</v>
      </c>
      <c r="C291" s="927"/>
      <c r="D291" s="928"/>
      <c r="E291" s="399"/>
      <c r="F291" s="416">
        <f t="shared" ref="F291" si="183">+F280+F289+F290</f>
        <v>2611731.2832000004</v>
      </c>
      <c r="G291" s="417">
        <f>+G280+G289+G290</f>
        <v>8147021.9220000003</v>
      </c>
      <c r="H291" s="400"/>
      <c r="I291" s="416">
        <f t="shared" ref="I291:J291" si="184">+I280+I289+I290</f>
        <v>3956808.9600000004</v>
      </c>
      <c r="J291" s="434">
        <f t="shared" si="184"/>
        <v>11856138.84</v>
      </c>
    </row>
    <row r="292" spans="1:10" ht="24" thickBot="1" x14ac:dyDescent="0.35">
      <c r="A292" s="277" t="s">
        <v>109</v>
      </c>
      <c r="B292" s="900" t="s">
        <v>180</v>
      </c>
      <c r="C292" s="901"/>
      <c r="D292" s="902"/>
      <c r="E292" s="401"/>
      <c r="F292" s="418">
        <f t="shared" ref="F292:G292" si="185">+F291</f>
        <v>2611731.2832000004</v>
      </c>
      <c r="G292" s="419">
        <f t="shared" si="185"/>
        <v>8147021.9220000003</v>
      </c>
      <c r="H292" s="402"/>
      <c r="I292" s="418">
        <f t="shared" ref="I292:J292" si="186">+I291</f>
        <v>3956808.9600000004</v>
      </c>
      <c r="J292" s="435">
        <f t="shared" si="186"/>
        <v>11856138.84</v>
      </c>
    </row>
    <row r="293" spans="1:10" ht="23.4" x14ac:dyDescent="0.3">
      <c r="A293" s="271" t="s">
        <v>110</v>
      </c>
      <c r="B293" s="903" t="s">
        <v>33</v>
      </c>
      <c r="C293" s="317" t="s">
        <v>121</v>
      </c>
      <c r="D293" s="317"/>
      <c r="E293" s="513">
        <v>254.89750000000001</v>
      </c>
      <c r="F293" s="408">
        <f>IFERROR(E293*'01 Prod Physique Boites'!H292,"-")</f>
        <v>0</v>
      </c>
      <c r="G293" s="409">
        <f>IFERROR(E293*'01 Prod Physique Boites'!L292,"-")</f>
        <v>0</v>
      </c>
      <c r="H293" s="387">
        <v>445.38</v>
      </c>
      <c r="I293" s="425">
        <f>IFERROR(H293*(F293/E293),"-")</f>
        <v>0</v>
      </c>
      <c r="J293" s="426">
        <f t="shared" ref="J293:J295" si="187">IFERROR(H293*(G293/E293),"-")</f>
        <v>0</v>
      </c>
    </row>
    <row r="294" spans="1:10" ht="23.4" x14ac:dyDescent="0.3">
      <c r="A294" s="277" t="s">
        <v>110</v>
      </c>
      <c r="B294" s="904"/>
      <c r="C294" s="318" t="s">
        <v>274</v>
      </c>
      <c r="D294" s="318"/>
      <c r="E294" s="514">
        <v>246.51390000000001</v>
      </c>
      <c r="F294" s="408">
        <f>IFERROR(E294*'01 Prod Physique Boites'!H293,"-")</f>
        <v>64093.614000000001</v>
      </c>
      <c r="G294" s="409">
        <f>IFERROR(E294*'01 Prod Physique Boites'!L293,"-")</f>
        <v>261304.734</v>
      </c>
      <c r="H294" s="391">
        <v>430.02</v>
      </c>
      <c r="I294" s="427">
        <f>IFERROR(H294*(F294/E294),"-")</f>
        <v>111805.2</v>
      </c>
      <c r="J294" s="428">
        <f t="shared" si="187"/>
        <v>455821.19999999995</v>
      </c>
    </row>
    <row r="295" spans="1:10" ht="24" thickBot="1" x14ac:dyDescent="0.35">
      <c r="A295" s="277" t="s">
        <v>110</v>
      </c>
      <c r="B295" s="905"/>
      <c r="C295" s="319" t="s">
        <v>34</v>
      </c>
      <c r="D295" s="319"/>
      <c r="E295" s="511">
        <v>225.7713</v>
      </c>
      <c r="F295" s="408">
        <f>IFERROR(E295*'01 Prod Physique Boites'!H294,"-")</f>
        <v>0</v>
      </c>
      <c r="G295" s="409">
        <f>IFERROR(E295*'01 Prod Physique Boites'!L294,"-")</f>
        <v>0</v>
      </c>
      <c r="H295" s="393"/>
      <c r="I295" s="429">
        <f>IFERROR(H295*(F295/E295),"-")</f>
        <v>0</v>
      </c>
      <c r="J295" s="430">
        <f t="shared" si="187"/>
        <v>0</v>
      </c>
    </row>
    <row r="296" spans="1:10" ht="24" thickBot="1" x14ac:dyDescent="0.35">
      <c r="A296" s="277" t="s">
        <v>110</v>
      </c>
      <c r="B296" s="906" t="s">
        <v>35</v>
      </c>
      <c r="C296" s="907"/>
      <c r="D296" s="908"/>
      <c r="E296" s="396"/>
      <c r="F296" s="412">
        <f t="shared" ref="F296:G296" si="188">SUM(F293:F295)</f>
        <v>64093.614000000001</v>
      </c>
      <c r="G296" s="413">
        <f t="shared" si="188"/>
        <v>261304.734</v>
      </c>
      <c r="H296" s="397"/>
      <c r="I296" s="412">
        <f t="shared" ref="I296:J296" si="189">SUM(I293:I295)</f>
        <v>111805.2</v>
      </c>
      <c r="J296" s="431">
        <f t="shared" si="189"/>
        <v>455821.19999999995</v>
      </c>
    </row>
    <row r="297" spans="1:10" ht="23.4" x14ac:dyDescent="0.3">
      <c r="A297" s="277" t="s">
        <v>110</v>
      </c>
      <c r="B297" s="903" t="s">
        <v>36</v>
      </c>
      <c r="C297" s="317" t="s">
        <v>121</v>
      </c>
      <c r="D297" s="317"/>
      <c r="E297" s="513">
        <v>254.89750000000001</v>
      </c>
      <c r="F297" s="408">
        <f>IFERROR(E297*'01 Prod Physique Boites'!H296,"-")</f>
        <v>0</v>
      </c>
      <c r="G297" s="409">
        <f>IFERROR(E297*'01 Prod Physique Boites'!L296,"-")</f>
        <v>0</v>
      </c>
      <c r="H297" s="387">
        <v>445.38</v>
      </c>
      <c r="I297" s="425">
        <f>IFERROR(H297*(F297/E297),"-")</f>
        <v>0</v>
      </c>
      <c r="J297" s="426">
        <f t="shared" ref="J297:J300" si="190">IFERROR(H297*(G297/E297),"-")</f>
        <v>0</v>
      </c>
    </row>
    <row r="298" spans="1:10" ht="23.4" x14ac:dyDescent="0.3">
      <c r="A298" s="277" t="s">
        <v>110</v>
      </c>
      <c r="B298" s="904"/>
      <c r="C298" s="318" t="s">
        <v>274</v>
      </c>
      <c r="D298" s="318"/>
      <c r="E298" s="514">
        <v>246.51390000000001</v>
      </c>
      <c r="F298" s="408">
        <f>IFERROR(E298*'01 Prod Physique Boites'!H297,"-")</f>
        <v>0</v>
      </c>
      <c r="G298" s="409">
        <f>IFERROR(E298*'01 Prod Physique Boites'!L297,"-")</f>
        <v>0</v>
      </c>
      <c r="H298" s="391">
        <v>430.02</v>
      </c>
      <c r="I298" s="427">
        <f>IFERROR(H298*(F298/E298),"-")</f>
        <v>0</v>
      </c>
      <c r="J298" s="428">
        <f t="shared" si="190"/>
        <v>0</v>
      </c>
    </row>
    <row r="299" spans="1:10" ht="23.4" x14ac:dyDescent="0.3">
      <c r="A299" s="277" t="s">
        <v>110</v>
      </c>
      <c r="B299" s="904"/>
      <c r="C299" s="318" t="s">
        <v>201</v>
      </c>
      <c r="D299" s="318" t="s">
        <v>200</v>
      </c>
      <c r="E299" s="514">
        <v>254.89750000000001</v>
      </c>
      <c r="F299" s="408">
        <f>IFERROR(E299*'01 Prod Physique Boites'!H298,"-")</f>
        <v>0</v>
      </c>
      <c r="G299" s="409">
        <f>IFERROR(E299*'01 Prod Physique Boites'!L298,"-")</f>
        <v>0</v>
      </c>
      <c r="H299" s="391"/>
      <c r="I299" s="427">
        <f>IFERROR(H299*(F299/E299),"-")</f>
        <v>0</v>
      </c>
      <c r="J299" s="428">
        <f t="shared" si="190"/>
        <v>0</v>
      </c>
    </row>
    <row r="300" spans="1:10" ht="24" thickBot="1" x14ac:dyDescent="0.35">
      <c r="A300" s="277" t="s">
        <v>110</v>
      </c>
      <c r="B300" s="905"/>
      <c r="C300" s="319" t="s">
        <v>37</v>
      </c>
      <c r="D300" s="319"/>
      <c r="E300" s="511">
        <v>229.99359999999999</v>
      </c>
      <c r="F300" s="408">
        <f>IFERROR(E300*'01 Prod Physique Boites'!H299,"-")</f>
        <v>0</v>
      </c>
      <c r="G300" s="409">
        <f>IFERROR(E300*'01 Prod Physique Boites'!L299,"-")</f>
        <v>0</v>
      </c>
      <c r="H300" s="393"/>
      <c r="I300" s="429">
        <f>IFERROR(H300*(F300/E300),"-")</f>
        <v>0</v>
      </c>
      <c r="J300" s="430">
        <f t="shared" si="190"/>
        <v>0</v>
      </c>
    </row>
    <row r="301" spans="1:10" ht="24" thickBot="1" x14ac:dyDescent="0.35">
      <c r="A301" s="277" t="s">
        <v>110</v>
      </c>
      <c r="B301" s="906" t="s">
        <v>38</v>
      </c>
      <c r="C301" s="907"/>
      <c r="D301" s="908"/>
      <c r="E301" s="396"/>
      <c r="F301" s="412">
        <f t="shared" ref="F301:G301" si="191">SUM(F297:F300)</f>
        <v>0</v>
      </c>
      <c r="G301" s="413">
        <f t="shared" si="191"/>
        <v>0</v>
      </c>
      <c r="H301" s="397"/>
      <c r="I301" s="412">
        <f>SUM(I297:I300)</f>
        <v>0</v>
      </c>
      <c r="J301" s="431">
        <f>SUM(J297:J300)</f>
        <v>0</v>
      </c>
    </row>
    <row r="302" spans="1:10" ht="23.4" x14ac:dyDescent="0.3">
      <c r="A302" s="277" t="s">
        <v>110</v>
      </c>
      <c r="B302" s="903" t="s">
        <v>39</v>
      </c>
      <c r="C302" s="320" t="s">
        <v>124</v>
      </c>
      <c r="D302" s="320"/>
      <c r="E302" s="513">
        <v>195.2808</v>
      </c>
      <c r="F302" s="408">
        <f>IFERROR(E302*'01 Prod Physique Boites'!H301,"-")</f>
        <v>0</v>
      </c>
      <c r="G302" s="409">
        <f>IFERROR(E302*'01 Prod Physique Boites'!L301,"-")</f>
        <v>0</v>
      </c>
      <c r="H302" s="387"/>
      <c r="I302" s="425">
        <f>IFERROR(H302*(F302/E302),"-")</f>
        <v>0</v>
      </c>
      <c r="J302" s="426">
        <f t="shared" ref="J302:J303" si="192">IFERROR(H302*(G302/E302),"-")</f>
        <v>0</v>
      </c>
    </row>
    <row r="303" spans="1:10" ht="24" thickBot="1" x14ac:dyDescent="0.35">
      <c r="A303" s="277" t="s">
        <v>110</v>
      </c>
      <c r="B303" s="905"/>
      <c r="C303" s="290" t="s">
        <v>140</v>
      </c>
      <c r="D303" s="290"/>
      <c r="E303" s="511">
        <v>189.91890000000001</v>
      </c>
      <c r="F303" s="408">
        <f>IFERROR(E303*'01 Prod Physique Boites'!H302,"-")</f>
        <v>0</v>
      </c>
      <c r="G303" s="409">
        <f>IFERROR(E303*'01 Prod Physique Boites'!L302,"-")</f>
        <v>0</v>
      </c>
      <c r="H303" s="393">
        <v>320.35000000000002</v>
      </c>
      <c r="I303" s="429">
        <f>IFERROR(H303*(F303/E303),"-")</f>
        <v>0</v>
      </c>
      <c r="J303" s="430">
        <f t="shared" si="192"/>
        <v>0</v>
      </c>
    </row>
    <row r="304" spans="1:10" ht="24" thickBot="1" x14ac:dyDescent="0.35">
      <c r="A304" s="685" t="s">
        <v>110</v>
      </c>
      <c r="B304" s="906" t="s">
        <v>40</v>
      </c>
      <c r="C304" s="907"/>
      <c r="D304" s="908"/>
      <c r="E304" s="396"/>
      <c r="F304" s="412">
        <f>SUM(F302:F303)</f>
        <v>0</v>
      </c>
      <c r="G304" s="413">
        <f t="shared" ref="G304" si="193">SUM(G302:G303)</f>
        <v>0</v>
      </c>
      <c r="H304" s="397"/>
      <c r="I304" s="412">
        <f t="shared" ref="I304:J304" si="194">SUM(I302:I303)</f>
        <v>0</v>
      </c>
      <c r="J304" s="431">
        <f t="shared" si="194"/>
        <v>0</v>
      </c>
    </row>
    <row r="305" spans="1:10" ht="23.4" x14ac:dyDescent="0.3">
      <c r="A305" s="277" t="s">
        <v>110</v>
      </c>
      <c r="B305" s="903" t="s">
        <v>41</v>
      </c>
      <c r="C305" s="272" t="s">
        <v>346</v>
      </c>
      <c r="D305" s="272" t="s">
        <v>263</v>
      </c>
      <c r="E305" s="515">
        <v>37.248699999999999</v>
      </c>
      <c r="F305" s="408">
        <f>IFERROR(E305*'01 Prod Physique Boites'!H304,"-")</f>
        <v>0</v>
      </c>
      <c r="G305" s="409">
        <f>IFERROR(E305*'01 Prod Physique Boites'!L304,"-")</f>
        <v>1316369.058</v>
      </c>
      <c r="H305" s="387">
        <v>71.44</v>
      </c>
      <c r="I305" s="425">
        <f>IFERROR(H305*(F305/E305),"-")</f>
        <v>0</v>
      </c>
      <c r="J305" s="426">
        <f>IFERROR(H305*(G305/E305),"-")</f>
        <v>2524689.6</v>
      </c>
    </row>
    <row r="306" spans="1:10" ht="23.4" x14ac:dyDescent="0.3">
      <c r="A306" s="277" t="s">
        <v>110</v>
      </c>
      <c r="B306" s="904"/>
      <c r="C306" s="272" t="s">
        <v>165</v>
      </c>
      <c r="D306" s="278"/>
      <c r="E306" s="515">
        <v>37.248699999999999</v>
      </c>
      <c r="F306" s="408">
        <f>IFERROR(E306*'01 Prod Physique Boites'!H305,"-")</f>
        <v>0</v>
      </c>
      <c r="G306" s="409">
        <f>IFERROR(E306*'01 Prod Physique Boites'!L305,"-")</f>
        <v>0</v>
      </c>
      <c r="H306" s="391"/>
      <c r="I306" s="427">
        <f>IFERROR(H306*(F306/E306),"-")</f>
        <v>0</v>
      </c>
      <c r="J306" s="428">
        <f t="shared" ref="J306:J309" si="195">IFERROR(H306*(G306/E306),"-")</f>
        <v>0</v>
      </c>
    </row>
    <row r="307" spans="1:10" ht="23.4" x14ac:dyDescent="0.3">
      <c r="A307" s="277" t="s">
        <v>110</v>
      </c>
      <c r="B307" s="904"/>
      <c r="C307" s="278" t="s">
        <v>423</v>
      </c>
      <c r="D307" s="272" t="s">
        <v>263</v>
      </c>
      <c r="E307" s="516">
        <v>38.466099999999997</v>
      </c>
      <c r="F307" s="408">
        <f>IFERROR(E307*'01 Prod Physique Boites'!H306,"-")</f>
        <v>664694.20799999998</v>
      </c>
      <c r="G307" s="409">
        <f>IFERROR(E307*'01 Prod Physique Boites'!L306,"-")</f>
        <v>664694.20799999998</v>
      </c>
      <c r="H307" s="391">
        <v>71.44</v>
      </c>
      <c r="I307" s="427">
        <f>IFERROR(H307*(F307/E307),"-")</f>
        <v>1234483.2</v>
      </c>
      <c r="J307" s="428">
        <f t="shared" si="195"/>
        <v>1234483.2</v>
      </c>
    </row>
    <row r="308" spans="1:10" ht="23.4" x14ac:dyDescent="0.3">
      <c r="A308" s="277" t="s">
        <v>110</v>
      </c>
      <c r="B308" s="904"/>
      <c r="C308" s="278" t="s">
        <v>166</v>
      </c>
      <c r="D308" s="278"/>
      <c r="E308" s="516">
        <v>37.248699999999999</v>
      </c>
      <c r="F308" s="408">
        <f>IFERROR(E308*'01 Prod Physique Boites'!H307,"-")</f>
        <v>0</v>
      </c>
      <c r="G308" s="409">
        <f>IFERROR(E308*'01 Prod Physique Boites'!L307,"-")</f>
        <v>0</v>
      </c>
      <c r="H308" s="391"/>
      <c r="I308" s="427">
        <f>IFERROR(H308*(F308/E308),"-")</f>
        <v>0</v>
      </c>
      <c r="J308" s="428">
        <f t="shared" si="195"/>
        <v>0</v>
      </c>
    </row>
    <row r="309" spans="1:10" ht="24" thickBot="1" x14ac:dyDescent="0.35">
      <c r="A309" s="277" t="s">
        <v>110</v>
      </c>
      <c r="B309" s="905"/>
      <c r="C309" s="282" t="s">
        <v>167</v>
      </c>
      <c r="D309" s="282"/>
      <c r="E309" s="512">
        <v>33.711399999999998</v>
      </c>
      <c r="F309" s="408">
        <f>IFERROR(E309*'01 Prod Physique Boites'!H308,"-")</f>
        <v>0</v>
      </c>
      <c r="G309" s="409">
        <f>IFERROR(E309*'01 Prod Physique Boites'!L308,"-")</f>
        <v>0</v>
      </c>
      <c r="H309" s="393"/>
      <c r="I309" s="429">
        <f>IFERROR(H309*(F309/E309),"-")</f>
        <v>0</v>
      </c>
      <c r="J309" s="430">
        <f t="shared" si="195"/>
        <v>0</v>
      </c>
    </row>
    <row r="310" spans="1:10" ht="24" thickBot="1" x14ac:dyDescent="0.35">
      <c r="A310" s="277" t="s">
        <v>110</v>
      </c>
      <c r="B310" s="906" t="s">
        <v>42</v>
      </c>
      <c r="C310" s="907"/>
      <c r="D310" s="908"/>
      <c r="E310" s="396"/>
      <c r="F310" s="412">
        <f>SUM(F305:F309)</f>
        <v>664694.20799999998</v>
      </c>
      <c r="G310" s="413">
        <f>SUM(G305:G309)</f>
        <v>1981063.2659999998</v>
      </c>
      <c r="H310" s="397"/>
      <c r="I310" s="412">
        <f>SUM(I305:I309)</f>
        <v>1234483.2</v>
      </c>
      <c r="J310" s="412">
        <f>SUM(J305:J309)</f>
        <v>3759172.8</v>
      </c>
    </row>
    <row r="311" spans="1:10" ht="23.4" x14ac:dyDescent="0.3">
      <c r="A311" s="277" t="s">
        <v>110</v>
      </c>
      <c r="B311" s="903" t="s">
        <v>43</v>
      </c>
      <c r="C311" s="272" t="s">
        <v>204</v>
      </c>
      <c r="D311" s="272" t="s">
        <v>200</v>
      </c>
      <c r="E311" s="515">
        <v>30.7499</v>
      </c>
      <c r="F311" s="408">
        <f>IFERROR(E311*'01 Prod Physique Boites'!H310,"-")</f>
        <v>0</v>
      </c>
      <c r="G311" s="409">
        <f>IFERROR(E311*'01 Prod Physique Boites'!L310,"-")</f>
        <v>0</v>
      </c>
      <c r="H311" s="387"/>
      <c r="I311" s="425">
        <f>IFERROR(H311*(F311/E311),"-")</f>
        <v>0</v>
      </c>
      <c r="J311" s="426">
        <f>IFERROR(H311*(G311/E311),"-")</f>
        <v>0</v>
      </c>
    </row>
    <row r="312" spans="1:10" ht="23.4" x14ac:dyDescent="0.3">
      <c r="A312" s="277" t="s">
        <v>110</v>
      </c>
      <c r="B312" s="904"/>
      <c r="C312" s="278" t="s">
        <v>168</v>
      </c>
      <c r="D312" s="278"/>
      <c r="E312" s="516">
        <v>28.7</v>
      </c>
      <c r="F312" s="408">
        <f>IFERROR(E312*'01 Prod Physique Boites'!H311,"-")</f>
        <v>0</v>
      </c>
      <c r="G312" s="409">
        <f>IFERROR(E312*'01 Prod Physique Boites'!L311,"-")</f>
        <v>0</v>
      </c>
      <c r="H312" s="391"/>
      <c r="I312" s="427">
        <f>IFERROR(H312*(F312/E312),"-")</f>
        <v>0</v>
      </c>
      <c r="J312" s="428">
        <f t="shared" ref="J312:J313" si="196">IFERROR(H312*(G312/E312),"-")</f>
        <v>0</v>
      </c>
    </row>
    <row r="313" spans="1:10" ht="24" thickBot="1" x14ac:dyDescent="0.35">
      <c r="A313" s="277" t="s">
        <v>110</v>
      </c>
      <c r="B313" s="905"/>
      <c r="C313" s="282" t="s">
        <v>204</v>
      </c>
      <c r="D313" s="282" t="s">
        <v>203</v>
      </c>
      <c r="E313" s="512">
        <v>30.073599999999999</v>
      </c>
      <c r="F313" s="408">
        <f>IFERROR(E313*'01 Prod Physique Boites'!H312,"-")</f>
        <v>0</v>
      </c>
      <c r="G313" s="409">
        <f>IFERROR(E313*'01 Prod Physique Boites'!L312,"-")</f>
        <v>0</v>
      </c>
      <c r="H313" s="393"/>
      <c r="I313" s="429">
        <f>IFERROR(H313*(F313/E313),"-")</f>
        <v>0</v>
      </c>
      <c r="J313" s="430">
        <f t="shared" si="196"/>
        <v>0</v>
      </c>
    </row>
    <row r="314" spans="1:10" ht="24" thickBot="1" x14ac:dyDescent="0.35">
      <c r="A314" s="277" t="s">
        <v>110</v>
      </c>
      <c r="B314" s="909" t="s">
        <v>44</v>
      </c>
      <c r="C314" s="910"/>
      <c r="D314" s="911"/>
      <c r="E314" s="396"/>
      <c r="F314" s="412">
        <f t="shared" ref="F314:G314" si="197">SUM(F311:F313)</f>
        <v>0</v>
      </c>
      <c r="G314" s="413">
        <f t="shared" si="197"/>
        <v>0</v>
      </c>
      <c r="H314" s="397"/>
      <c r="I314" s="412">
        <f t="shared" ref="I314:J314" si="198">SUM(I311:I313)</f>
        <v>0</v>
      </c>
      <c r="J314" s="431">
        <f t="shared" si="198"/>
        <v>0</v>
      </c>
    </row>
    <row r="315" spans="1:10" ht="23.4" x14ac:dyDescent="0.3">
      <c r="A315" s="277" t="s">
        <v>110</v>
      </c>
      <c r="B315" s="903" t="s">
        <v>45</v>
      </c>
      <c r="C315" s="272" t="s">
        <v>169</v>
      </c>
      <c r="D315" s="272"/>
      <c r="E315" s="515">
        <v>36.684899999999999</v>
      </c>
      <c r="F315" s="408">
        <f>IFERROR(E315*'01 Prod Physique Boites'!H314,"-")</f>
        <v>0</v>
      </c>
      <c r="G315" s="409">
        <f>IFERROR(E315*'01 Prod Physique Boites'!L314,"-")</f>
        <v>0</v>
      </c>
      <c r="H315" s="387"/>
      <c r="I315" s="388" t="s">
        <v>209</v>
      </c>
      <c r="J315" s="389" t="s">
        <v>209</v>
      </c>
    </row>
    <row r="316" spans="1:10" ht="24" thickBot="1" x14ac:dyDescent="0.35">
      <c r="A316" s="277" t="s">
        <v>110</v>
      </c>
      <c r="B316" s="905"/>
      <c r="C316" s="282" t="s">
        <v>170</v>
      </c>
      <c r="D316" s="282"/>
      <c r="E316" s="512">
        <v>37.002800000000001</v>
      </c>
      <c r="F316" s="408">
        <f>IFERROR(E316*'01 Prod Physique Boites'!H315,"-")</f>
        <v>0</v>
      </c>
      <c r="G316" s="409">
        <f>IFERROR(E316*'01 Prod Physique Boites'!L315,"-")</f>
        <v>0</v>
      </c>
      <c r="H316" s="393"/>
      <c r="I316" s="394" t="s">
        <v>209</v>
      </c>
      <c r="J316" s="395" t="s">
        <v>209</v>
      </c>
    </row>
    <row r="317" spans="1:10" ht="24" thickBot="1" x14ac:dyDescent="0.35">
      <c r="A317" s="277" t="s">
        <v>110</v>
      </c>
      <c r="B317" s="909" t="s">
        <v>46</v>
      </c>
      <c r="C317" s="910"/>
      <c r="D317" s="911"/>
      <c r="E317" s="396"/>
      <c r="F317" s="412">
        <f t="shared" ref="F317:G317" si="199">SUM(F315:F316)</f>
        <v>0</v>
      </c>
      <c r="G317" s="413">
        <f t="shared" si="199"/>
        <v>0</v>
      </c>
      <c r="H317" s="397"/>
      <c r="I317" s="412">
        <f t="shared" ref="I317:J317" si="200">SUM(I315:I316)</f>
        <v>0</v>
      </c>
      <c r="J317" s="431">
        <f t="shared" si="200"/>
        <v>0</v>
      </c>
    </row>
    <row r="318" spans="1:10" ht="24" thickBot="1" x14ac:dyDescent="0.35">
      <c r="A318" s="277" t="s">
        <v>110</v>
      </c>
      <c r="B318" s="912" t="s">
        <v>25</v>
      </c>
      <c r="C318" s="913"/>
      <c r="D318" s="914"/>
      <c r="E318" s="399"/>
      <c r="F318" s="416">
        <f t="shared" ref="F318:G318" si="201">+F296+F301+F304+F310+F314+F317</f>
        <v>728787.82199999993</v>
      </c>
      <c r="G318" s="417">
        <f t="shared" si="201"/>
        <v>2242368</v>
      </c>
      <c r="H318" s="400"/>
      <c r="I318" s="416">
        <f>+I296+I301+I304+I310+I314+I317</f>
        <v>1346288.4</v>
      </c>
      <c r="J318" s="434">
        <f>+J296+J301+J304+J310+J314+J317</f>
        <v>4214994</v>
      </c>
    </row>
    <row r="319" spans="1:10" ht="24" thickBot="1" x14ac:dyDescent="0.35">
      <c r="A319" s="324" t="s">
        <v>110</v>
      </c>
      <c r="B319" s="901" t="s">
        <v>182</v>
      </c>
      <c r="C319" s="901"/>
      <c r="D319" s="902"/>
      <c r="E319" s="401"/>
      <c r="F319" s="418">
        <f t="shared" ref="F319:G319" si="202">+F318</f>
        <v>728787.82199999993</v>
      </c>
      <c r="G319" s="419">
        <f t="shared" si="202"/>
        <v>2242368</v>
      </c>
      <c r="H319" s="402"/>
      <c r="I319" s="418">
        <f t="shared" ref="I319" si="203">+I318</f>
        <v>1346288.4</v>
      </c>
      <c r="J319" s="435">
        <f>+J318</f>
        <v>4214994</v>
      </c>
    </row>
    <row r="320" spans="1:10" ht="24.6" thickBot="1" x14ac:dyDescent="0.35">
      <c r="A320" s="325"/>
      <c r="B320" s="915" t="s">
        <v>183</v>
      </c>
      <c r="C320" s="916"/>
      <c r="D320" s="917"/>
      <c r="E320" s="407"/>
      <c r="F320" s="424">
        <f t="shared" ref="F320:G320" si="204">+F265+F292+F319</f>
        <v>6336905.7962000007</v>
      </c>
      <c r="G320" s="424">
        <f t="shared" si="204"/>
        <v>19359426.0777</v>
      </c>
      <c r="H320" s="407"/>
      <c r="I320" s="424">
        <f t="shared" ref="I320:J320" si="205">+I265+I292+I319</f>
        <v>10236723.6328</v>
      </c>
      <c r="J320" s="438">
        <f t="shared" si="205"/>
        <v>31005473.185199998</v>
      </c>
    </row>
    <row r="321" spans="1:10" ht="23.4" x14ac:dyDescent="0.3">
      <c r="A321" s="935" t="s">
        <v>1</v>
      </c>
      <c r="B321" s="938" t="s">
        <v>2</v>
      </c>
      <c r="C321" s="941" t="s">
        <v>3</v>
      </c>
      <c r="D321" s="941" t="s">
        <v>93</v>
      </c>
      <c r="E321" s="965" t="s">
        <v>176</v>
      </c>
      <c r="F321" s="966"/>
      <c r="G321" s="966"/>
      <c r="H321" s="451"/>
      <c r="I321" s="451"/>
      <c r="J321" s="452"/>
    </row>
    <row r="322" spans="1:10" ht="23.4" x14ac:dyDescent="0.3">
      <c r="A322" s="936"/>
      <c r="B322" s="939"/>
      <c r="C322" s="942"/>
      <c r="D322" s="942"/>
      <c r="E322" s="967" t="s">
        <v>178</v>
      </c>
      <c r="F322" s="968"/>
      <c r="G322" s="969"/>
      <c r="H322" s="967" t="s">
        <v>177</v>
      </c>
      <c r="I322" s="968"/>
      <c r="J322" s="969"/>
    </row>
    <row r="323" spans="1:10" ht="46.8" x14ac:dyDescent="0.3">
      <c r="A323" s="937"/>
      <c r="B323" s="963"/>
      <c r="C323" s="964"/>
      <c r="D323" s="964"/>
      <c r="E323" s="385" t="s">
        <v>179</v>
      </c>
      <c r="F323" s="692" t="s">
        <v>11</v>
      </c>
      <c r="G323" s="693" t="s">
        <v>12</v>
      </c>
      <c r="H323" s="970" t="s">
        <v>179</v>
      </c>
      <c r="I323" s="972" t="s">
        <v>145</v>
      </c>
      <c r="J323" s="974" t="s">
        <v>12</v>
      </c>
    </row>
    <row r="324" spans="1:10" ht="24" thickBot="1" x14ac:dyDescent="0.35">
      <c r="A324" s="937"/>
      <c r="B324" s="940"/>
      <c r="C324" s="943"/>
      <c r="D324" s="943"/>
      <c r="E324" s="976" t="s">
        <v>425</v>
      </c>
      <c r="F324" s="977"/>
      <c r="G324" s="978"/>
      <c r="H324" s="971"/>
      <c r="I324" s="973"/>
      <c r="J324" s="975"/>
    </row>
    <row r="325" spans="1:10" ht="23.4" x14ac:dyDescent="0.3">
      <c r="A325" s="271" t="s">
        <v>111</v>
      </c>
      <c r="B325" s="922" t="s">
        <v>16</v>
      </c>
      <c r="C325" s="272" t="s">
        <v>186</v>
      </c>
      <c r="D325" s="272" t="s">
        <v>184</v>
      </c>
      <c r="E325" s="515">
        <v>81.360699999999994</v>
      </c>
      <c r="F325" s="408">
        <f>IFERROR(E325*'01 Prod Physique Boites'!H323,"-")</f>
        <v>0</v>
      </c>
      <c r="G325" s="408">
        <f>IFERROR(E325*'01 Prod Physique Boites'!L323,"-")</f>
        <v>0</v>
      </c>
      <c r="H325" s="387">
        <v>0</v>
      </c>
      <c r="I325" s="425">
        <f>IFERROR(H325*(F325/E325),"-")</f>
        <v>0</v>
      </c>
      <c r="J325" s="426">
        <f t="shared" ref="J325:J327" si="206">IFERROR(H325*(G325/E325),"-")</f>
        <v>0</v>
      </c>
    </row>
    <row r="326" spans="1:10" ht="23.4" x14ac:dyDescent="0.3">
      <c r="A326" s="277" t="s">
        <v>111</v>
      </c>
      <c r="B326" s="923"/>
      <c r="C326" s="278" t="s">
        <v>190</v>
      </c>
      <c r="D326" s="278" t="s">
        <v>101</v>
      </c>
      <c r="E326" s="516">
        <v>81.360699999999994</v>
      </c>
      <c r="F326" s="408">
        <f>IFERROR(E326*'01 Prod Physique Boites'!H324,"-")</f>
        <v>0</v>
      </c>
      <c r="G326" s="408">
        <f>IFERROR(E326*'01 Prod Physique Boites'!L324,"-")</f>
        <v>0</v>
      </c>
      <c r="H326" s="391">
        <v>0</v>
      </c>
      <c r="I326" s="425">
        <f>IFERROR(H326*(F326/E326),"-")</f>
        <v>0</v>
      </c>
      <c r="J326" s="426">
        <f t="shared" si="206"/>
        <v>0</v>
      </c>
    </row>
    <row r="327" spans="1:10" ht="23.4" x14ac:dyDescent="0.3">
      <c r="A327" s="277" t="s">
        <v>111</v>
      </c>
      <c r="B327" s="923"/>
      <c r="C327" s="278" t="s">
        <v>187</v>
      </c>
      <c r="D327" s="278" t="s">
        <v>185</v>
      </c>
      <c r="E327" s="516">
        <v>55.476900000000001</v>
      </c>
      <c r="F327" s="408">
        <f>IFERROR(E327*'01 Prod Physique Boites'!H325,"-")</f>
        <v>0</v>
      </c>
      <c r="G327" s="408">
        <f>IFERROR(E327*'01 Prod Physique Boites'!L325,"-")</f>
        <v>0</v>
      </c>
      <c r="H327" s="391">
        <v>0</v>
      </c>
      <c r="I327" s="425">
        <f>IFERROR(H327*(F327/E327),"-")</f>
        <v>0</v>
      </c>
      <c r="J327" s="426">
        <f t="shared" si="206"/>
        <v>0</v>
      </c>
    </row>
    <row r="328" spans="1:10" ht="24" thickBot="1" x14ac:dyDescent="0.35">
      <c r="A328" s="277" t="s">
        <v>111</v>
      </c>
      <c r="B328" s="924"/>
      <c r="C328" s="282" t="s">
        <v>289</v>
      </c>
      <c r="D328" s="282" t="s">
        <v>256</v>
      </c>
      <c r="E328" s="512">
        <v>60.703499999999998</v>
      </c>
      <c r="F328" s="408">
        <f>IFERROR(E328*'01 Prod Physique Boites'!H326,"-")</f>
        <v>0</v>
      </c>
      <c r="G328" s="408">
        <f>IFERROR(E328*'01 Prod Physique Boites'!L326,"-")</f>
        <v>2703976.7039999999</v>
      </c>
      <c r="H328" s="393">
        <v>111.0883</v>
      </c>
      <c r="I328" s="425">
        <f>IFERROR(H328*(F328/E328),"-")</f>
        <v>0</v>
      </c>
      <c r="J328" s="426">
        <f>IFERROR(H328*(G328/E328),"-")</f>
        <v>4948317.2352</v>
      </c>
    </row>
    <row r="329" spans="1:10" ht="24" thickBot="1" x14ac:dyDescent="0.35">
      <c r="A329" s="277" t="s">
        <v>111</v>
      </c>
      <c r="B329" s="906" t="s">
        <v>47</v>
      </c>
      <c r="C329" s="907"/>
      <c r="D329" s="908"/>
      <c r="E329" s="396"/>
      <c r="F329" s="412">
        <f t="shared" ref="F329:G329" si="207">SUM(F325:F328)</f>
        <v>0</v>
      </c>
      <c r="G329" s="413">
        <f t="shared" si="207"/>
        <v>2703976.7039999999</v>
      </c>
      <c r="H329" s="397"/>
      <c r="I329" s="412">
        <f t="shared" ref="I329:J329" si="208">SUM(I325:I328)</f>
        <v>0</v>
      </c>
      <c r="J329" s="431">
        <f t="shared" si="208"/>
        <v>4948317.2352</v>
      </c>
    </row>
    <row r="330" spans="1:10" ht="23.4" x14ac:dyDescent="0.3">
      <c r="A330" s="277" t="s">
        <v>111</v>
      </c>
      <c r="B330" s="922" t="s">
        <v>17</v>
      </c>
      <c r="C330" s="272" t="s">
        <v>331</v>
      </c>
      <c r="D330" s="272"/>
      <c r="E330" s="515">
        <v>12.5275</v>
      </c>
      <c r="F330" s="408">
        <f>IFERROR(E330*'01 Prod Physique Boites'!H328,"-")</f>
        <v>0</v>
      </c>
      <c r="G330" s="408">
        <f>IFERROR(E330*'01 Prod Physique Boites'!L328,"-")</f>
        <v>0</v>
      </c>
      <c r="H330" s="387">
        <v>18.836400000000001</v>
      </c>
      <c r="I330" s="425">
        <f t="shared" ref="I330:I336" si="209">IFERROR(H330*(F330/E330),"-")</f>
        <v>0</v>
      </c>
      <c r="J330" s="426">
        <f t="shared" ref="J330:J336" si="210">IFERROR(H330*(G330/E330),"-")</f>
        <v>0</v>
      </c>
    </row>
    <row r="331" spans="1:10" ht="23.4" x14ac:dyDescent="0.3">
      <c r="A331" s="277" t="s">
        <v>111</v>
      </c>
      <c r="B331" s="923"/>
      <c r="C331" s="278" t="s">
        <v>421</v>
      </c>
      <c r="D331" s="278" t="s">
        <v>257</v>
      </c>
      <c r="E331" s="516">
        <v>13.002700000000001</v>
      </c>
      <c r="F331" s="408">
        <f>IFERROR(E331*'01 Prod Physique Boites'!H329,"-")</f>
        <v>954918.28800000006</v>
      </c>
      <c r="G331" s="408">
        <f>IFERROR(E331*'01 Prod Physique Boites'!L329,"-")</f>
        <v>3183060.9600000004</v>
      </c>
      <c r="H331" s="391">
        <v>21.18</v>
      </c>
      <c r="I331" s="427">
        <f t="shared" si="209"/>
        <v>1555459.2</v>
      </c>
      <c r="J331" s="428">
        <f t="shared" si="210"/>
        <v>5184864.0000000009</v>
      </c>
    </row>
    <row r="332" spans="1:10" ht="23.4" x14ac:dyDescent="0.3">
      <c r="A332" s="277" t="s">
        <v>111</v>
      </c>
      <c r="B332" s="923"/>
      <c r="C332" s="278" t="s">
        <v>392</v>
      </c>
      <c r="D332" s="278" t="s">
        <v>205</v>
      </c>
      <c r="E332" s="516">
        <v>12.9049</v>
      </c>
      <c r="F332" s="408">
        <f>IFERROR(E332*'01 Prod Physique Boites'!H330,"-")</f>
        <v>0</v>
      </c>
      <c r="G332" s="408">
        <f>IFERROR(E332*'01 Prod Physique Boites'!L330,"-")</f>
        <v>0</v>
      </c>
      <c r="H332" s="391">
        <v>20.6602</v>
      </c>
      <c r="I332" s="427">
        <f t="shared" si="209"/>
        <v>0</v>
      </c>
      <c r="J332" s="428">
        <f t="shared" si="210"/>
        <v>0</v>
      </c>
    </row>
    <row r="333" spans="1:10" ht="23.4" x14ac:dyDescent="0.3">
      <c r="A333" s="277" t="s">
        <v>111</v>
      </c>
      <c r="B333" s="923"/>
      <c r="C333" s="278" t="s">
        <v>330</v>
      </c>
      <c r="D333" s="278" t="s">
        <v>206</v>
      </c>
      <c r="E333" s="516">
        <v>13.078200000000001</v>
      </c>
      <c r="F333" s="408">
        <f>IFERROR(E333*'01 Prod Physique Boites'!H331,"-")</f>
        <v>0</v>
      </c>
      <c r="G333" s="408">
        <f>IFERROR(E333*'01 Prod Physique Boites'!L331,"-")</f>
        <v>24011.575200000003</v>
      </c>
      <c r="H333" s="391">
        <v>20.66</v>
      </c>
      <c r="I333" s="427">
        <f t="shared" si="209"/>
        <v>0</v>
      </c>
      <c r="J333" s="428">
        <f t="shared" si="210"/>
        <v>37931.760000000002</v>
      </c>
    </row>
    <row r="334" spans="1:10" ht="23.4" x14ac:dyDescent="0.3">
      <c r="A334" s="277" t="s">
        <v>111</v>
      </c>
      <c r="B334" s="923"/>
      <c r="C334" s="278" t="s">
        <v>377</v>
      </c>
      <c r="D334" s="278" t="s">
        <v>371</v>
      </c>
      <c r="E334" s="516">
        <v>13.1958</v>
      </c>
      <c r="F334" s="408">
        <f>IFERROR(E334*'01 Prod Physique Boites'!H332,"-")</f>
        <v>0</v>
      </c>
      <c r="G334" s="408">
        <f>IFERROR(E334*'01 Prod Physique Boites'!L332,"-")</f>
        <v>80758.296000000002</v>
      </c>
      <c r="H334" s="391">
        <v>21.28</v>
      </c>
      <c r="I334" s="427">
        <f t="shared" si="209"/>
        <v>0</v>
      </c>
      <c r="J334" s="428">
        <f t="shared" si="210"/>
        <v>130233.60000000001</v>
      </c>
    </row>
    <row r="335" spans="1:10" ht="23.4" x14ac:dyDescent="0.3">
      <c r="A335" s="277" t="s">
        <v>111</v>
      </c>
      <c r="B335" s="923"/>
      <c r="C335" s="278" t="s">
        <v>208</v>
      </c>
      <c r="D335" s="278" t="s">
        <v>207</v>
      </c>
      <c r="E335" s="516">
        <v>12.9049</v>
      </c>
      <c r="F335" s="408">
        <f>IFERROR(E335*'01 Prod Physique Boites'!H333,"-")</f>
        <v>0</v>
      </c>
      <c r="G335" s="408">
        <f>IFERROR(E335*'01 Prod Physique Boites'!L333,"-")</f>
        <v>0</v>
      </c>
      <c r="H335" s="391">
        <v>0</v>
      </c>
      <c r="I335" s="427">
        <f t="shared" si="209"/>
        <v>0</v>
      </c>
      <c r="J335" s="428">
        <f t="shared" si="210"/>
        <v>0</v>
      </c>
    </row>
    <row r="336" spans="1:10" ht="24" thickBot="1" x14ac:dyDescent="0.35">
      <c r="A336" s="277" t="s">
        <v>111</v>
      </c>
      <c r="B336" s="924"/>
      <c r="C336" s="282" t="s">
        <v>416</v>
      </c>
      <c r="D336" s="282" t="s">
        <v>189</v>
      </c>
      <c r="E336" s="512">
        <v>13.6509</v>
      </c>
      <c r="F336" s="408">
        <f>IFERROR(E336*'01 Prod Physique Boites'!H334,"-")</f>
        <v>0</v>
      </c>
      <c r="G336" s="408">
        <f>IFERROR(E336*'01 Prod Physique Boites'!L334,"-")</f>
        <v>1002522.096</v>
      </c>
      <c r="H336" s="393">
        <v>21.18</v>
      </c>
      <c r="I336" s="429">
        <f t="shared" si="209"/>
        <v>0</v>
      </c>
      <c r="J336" s="430">
        <f t="shared" si="210"/>
        <v>1555459.2</v>
      </c>
    </row>
    <row r="337" spans="1:10" ht="24" thickBot="1" x14ac:dyDescent="0.35">
      <c r="A337" s="277" t="s">
        <v>111</v>
      </c>
      <c r="B337" s="906" t="s">
        <v>48</v>
      </c>
      <c r="C337" s="907"/>
      <c r="D337" s="908"/>
      <c r="E337" s="396"/>
      <c r="F337" s="412">
        <f t="shared" ref="F337:G337" si="211">SUM(F330:F336)</f>
        <v>954918.28800000006</v>
      </c>
      <c r="G337" s="413">
        <f t="shared" si="211"/>
        <v>4290352.9272000007</v>
      </c>
      <c r="H337" s="397"/>
      <c r="I337" s="412">
        <f t="shared" ref="I337" si="212">SUM(I330:I336)</f>
        <v>1555459.2</v>
      </c>
      <c r="J337" s="431">
        <f>SUM(J330:J336)</f>
        <v>6908488.5600000005</v>
      </c>
    </row>
    <row r="338" spans="1:10" ht="23.4" x14ac:dyDescent="0.3">
      <c r="A338" s="277" t="s">
        <v>111</v>
      </c>
      <c r="B338" s="922" t="s">
        <v>18</v>
      </c>
      <c r="C338" s="272" t="s">
        <v>359</v>
      </c>
      <c r="D338" s="272" t="s">
        <v>99</v>
      </c>
      <c r="E338" s="515">
        <v>17.8202</v>
      </c>
      <c r="F338" s="408">
        <f>IFERROR(E338*'01 Prod Physique Boites'!H336,"-")</f>
        <v>0</v>
      </c>
      <c r="G338" s="409">
        <f>IFERROR(E338*'01 Prod Physique Boites'!L336,"-")</f>
        <v>0</v>
      </c>
      <c r="H338" s="387">
        <v>24.93</v>
      </c>
      <c r="I338" s="425">
        <f t="shared" ref="I338:I344" si="213">IFERROR(H338*(F338/E338),"-")</f>
        <v>0</v>
      </c>
      <c r="J338" s="426">
        <f t="shared" ref="J338:J344" si="214">IFERROR(H338*(G338/E338),"-")</f>
        <v>0</v>
      </c>
    </row>
    <row r="339" spans="1:10" ht="23.4" x14ac:dyDescent="0.3">
      <c r="A339" s="277" t="s">
        <v>111</v>
      </c>
      <c r="B339" s="923"/>
      <c r="C339" s="278" t="s">
        <v>138</v>
      </c>
      <c r="D339" s="278"/>
      <c r="E339" s="516">
        <v>17.8202</v>
      </c>
      <c r="F339" s="408">
        <f>IFERROR(E339*'01 Prod Physique Boites'!H337,"-")</f>
        <v>0</v>
      </c>
      <c r="G339" s="409">
        <f>IFERROR(E339*'01 Prod Physique Boites'!L337,"-")</f>
        <v>0</v>
      </c>
      <c r="H339" s="391">
        <v>0</v>
      </c>
      <c r="I339" s="427">
        <f t="shared" si="213"/>
        <v>0</v>
      </c>
      <c r="J339" s="428">
        <f t="shared" si="214"/>
        <v>0</v>
      </c>
    </row>
    <row r="340" spans="1:10" ht="23.4" x14ac:dyDescent="0.3">
      <c r="A340" s="277" t="s">
        <v>111</v>
      </c>
      <c r="B340" s="923"/>
      <c r="C340" s="278" t="s">
        <v>123</v>
      </c>
      <c r="D340" s="278"/>
      <c r="E340" s="516">
        <v>16.4071</v>
      </c>
      <c r="F340" s="408">
        <f>IFERROR(E340*'01 Prod Physique Boites'!H338,"-")</f>
        <v>0</v>
      </c>
      <c r="G340" s="409">
        <f>IFERROR(E340*'01 Prod Physique Boites'!L338,"-")</f>
        <v>0</v>
      </c>
      <c r="H340" s="391">
        <v>0</v>
      </c>
      <c r="I340" s="427">
        <f t="shared" si="213"/>
        <v>0</v>
      </c>
      <c r="J340" s="428">
        <f t="shared" si="214"/>
        <v>0</v>
      </c>
    </row>
    <row r="341" spans="1:10" ht="23.4" x14ac:dyDescent="0.3">
      <c r="A341" s="277" t="s">
        <v>111</v>
      </c>
      <c r="B341" s="923"/>
      <c r="C341" s="278" t="s">
        <v>130</v>
      </c>
      <c r="D341" s="278"/>
      <c r="E341" s="516">
        <v>17.8202</v>
      </c>
      <c r="F341" s="408">
        <f>IFERROR(E341*'01 Prod Physique Boites'!H339,"-")</f>
        <v>0</v>
      </c>
      <c r="G341" s="409">
        <f>IFERROR(E341*'01 Prod Physique Boites'!L339,"-")</f>
        <v>0</v>
      </c>
      <c r="H341" s="391"/>
      <c r="I341" s="427">
        <f t="shared" si="213"/>
        <v>0</v>
      </c>
      <c r="J341" s="428">
        <f t="shared" si="214"/>
        <v>0</v>
      </c>
    </row>
    <row r="342" spans="1:10" ht="23.4" x14ac:dyDescent="0.3">
      <c r="A342" s="277" t="s">
        <v>111</v>
      </c>
      <c r="B342" s="923"/>
      <c r="C342" s="278" t="s">
        <v>191</v>
      </c>
      <c r="D342" s="278" t="s">
        <v>192</v>
      </c>
      <c r="E342" s="516">
        <v>17.8202</v>
      </c>
      <c r="F342" s="408">
        <f>IFERROR(E342*'01 Prod Physique Boites'!H340,"-")</f>
        <v>0</v>
      </c>
      <c r="G342" s="409">
        <f>IFERROR(E342*'01 Prod Physique Boites'!L340,"-")</f>
        <v>0</v>
      </c>
      <c r="H342" s="391"/>
      <c r="I342" s="427">
        <f t="shared" si="213"/>
        <v>0</v>
      </c>
      <c r="J342" s="428">
        <f t="shared" si="214"/>
        <v>0</v>
      </c>
    </row>
    <row r="343" spans="1:10" ht="23.4" x14ac:dyDescent="0.3">
      <c r="A343" s="277" t="s">
        <v>111</v>
      </c>
      <c r="B343" s="923"/>
      <c r="C343" s="278" t="s">
        <v>194</v>
      </c>
      <c r="D343" s="278" t="s">
        <v>193</v>
      </c>
      <c r="E343" s="516">
        <v>16.7288</v>
      </c>
      <c r="F343" s="408">
        <f>IFERROR(E343*'01 Prod Physique Boites'!H341,"-")</f>
        <v>0</v>
      </c>
      <c r="G343" s="409">
        <f>IFERROR(E343*'01 Prod Physique Boites'!L341,"-")</f>
        <v>0</v>
      </c>
      <c r="H343" s="391"/>
      <c r="I343" s="427">
        <f t="shared" si="213"/>
        <v>0</v>
      </c>
      <c r="J343" s="428">
        <f t="shared" si="214"/>
        <v>0</v>
      </c>
    </row>
    <row r="344" spans="1:10" ht="24" thickBot="1" x14ac:dyDescent="0.35">
      <c r="A344" s="277" t="s">
        <v>111</v>
      </c>
      <c r="B344" s="924"/>
      <c r="C344" s="290" t="s">
        <v>195</v>
      </c>
      <c r="D344" s="290" t="s">
        <v>115</v>
      </c>
      <c r="E344" s="512">
        <v>17.8202</v>
      </c>
      <c r="F344" s="408">
        <f>IFERROR(E344*'01 Prod Physique Boites'!H342,"-")</f>
        <v>0</v>
      </c>
      <c r="G344" s="409">
        <f>IFERROR(E344*'01 Prod Physique Boites'!L342,"-")</f>
        <v>0</v>
      </c>
      <c r="H344" s="393"/>
      <c r="I344" s="429">
        <f t="shared" si="213"/>
        <v>0</v>
      </c>
      <c r="J344" s="430">
        <f t="shared" si="214"/>
        <v>0</v>
      </c>
    </row>
    <row r="345" spans="1:10" ht="24" thickBot="1" x14ac:dyDescent="0.35">
      <c r="A345" s="277" t="s">
        <v>111</v>
      </c>
      <c r="B345" s="906" t="s">
        <v>29</v>
      </c>
      <c r="C345" s="907"/>
      <c r="D345" s="908"/>
      <c r="E345" s="397"/>
      <c r="F345" s="412">
        <f t="shared" ref="F345:G345" si="215">SUM(F338:F344)</f>
        <v>0</v>
      </c>
      <c r="G345" s="413">
        <f t="shared" si="215"/>
        <v>0</v>
      </c>
      <c r="H345" s="397"/>
      <c r="I345" s="412">
        <f t="shared" ref="I345:J345" si="216">SUM(I338:I344)</f>
        <v>0</v>
      </c>
      <c r="J345" s="431">
        <f t="shared" si="216"/>
        <v>0</v>
      </c>
    </row>
    <row r="346" spans="1:10" ht="23.4" x14ac:dyDescent="0.3">
      <c r="A346" s="277"/>
      <c r="B346" s="918" t="s">
        <v>19</v>
      </c>
      <c r="C346" s="678" t="s">
        <v>260</v>
      </c>
      <c r="D346" s="676" t="s">
        <v>192</v>
      </c>
      <c r="E346" s="517">
        <v>12.2659</v>
      </c>
      <c r="F346" s="703">
        <f>IFERROR(E346*'01 Prod Physique Boites'!H344,"-")</f>
        <v>0</v>
      </c>
      <c r="G346" s="703">
        <f>IFERROR(E346*'01 Prod Physique Boites'!L344,"-")</f>
        <v>932600.90879999998</v>
      </c>
      <c r="H346" s="704">
        <v>14.79</v>
      </c>
      <c r="I346" s="703">
        <f t="shared" ref="I346:I347" si="217">IFERROR(H346*(F346/E346),"-")</f>
        <v>0</v>
      </c>
      <c r="J346" s="703" t="str">
        <f t="shared" ref="J346:J347" si="218">IFERROR(I346*(G346/F346),"-")</f>
        <v>-</v>
      </c>
    </row>
    <row r="347" spans="1:10" ht="24" thickBot="1" x14ac:dyDescent="0.35">
      <c r="A347" s="694" t="s">
        <v>111</v>
      </c>
      <c r="B347" s="920"/>
      <c r="C347" s="679" t="s">
        <v>417</v>
      </c>
      <c r="D347" s="677"/>
      <c r="E347" s="285">
        <v>0</v>
      </c>
      <c r="F347" s="414">
        <f>IFERROR(E347*'01 Prod Physique Boites'!H345,"-")</f>
        <v>0</v>
      </c>
      <c r="G347" s="415">
        <f>IFERROR(E347*'01 Prod Physique Boites'!L345,"-")</f>
        <v>0</v>
      </c>
      <c r="H347" s="398">
        <v>0</v>
      </c>
      <c r="I347" s="432" t="str">
        <f t="shared" si="217"/>
        <v>-</v>
      </c>
      <c r="J347" s="433" t="str">
        <f t="shared" si="218"/>
        <v>-</v>
      </c>
    </row>
    <row r="348" spans="1:10" ht="24" thickBot="1" x14ac:dyDescent="0.35">
      <c r="A348" s="277" t="s">
        <v>111</v>
      </c>
      <c r="B348" s="906" t="s">
        <v>49</v>
      </c>
      <c r="C348" s="907"/>
      <c r="D348" s="908"/>
      <c r="E348" s="396"/>
      <c r="F348" s="412">
        <f t="shared" ref="F348:G348" si="219">SUM(F347)</f>
        <v>0</v>
      </c>
      <c r="G348" s="413">
        <f t="shared" si="219"/>
        <v>0</v>
      </c>
      <c r="H348" s="397"/>
      <c r="I348" s="412">
        <f t="shared" ref="I348:J348" si="220">SUM(I347)</f>
        <v>0</v>
      </c>
      <c r="J348" s="431">
        <f t="shared" si="220"/>
        <v>0</v>
      </c>
    </row>
    <row r="349" spans="1:10" ht="23.4" x14ac:dyDescent="0.3">
      <c r="A349" s="277" t="s">
        <v>111</v>
      </c>
      <c r="B349" s="922" t="s">
        <v>20</v>
      </c>
      <c r="C349" s="297" t="s">
        <v>370</v>
      </c>
      <c r="D349" s="297" t="s">
        <v>324</v>
      </c>
      <c r="E349" s="515">
        <v>26.032900000000001</v>
      </c>
      <c r="F349" s="408">
        <f>IFERROR(E349*'01 Prod Physique Boites'!H347,"-")</f>
        <v>0</v>
      </c>
      <c r="G349" s="409">
        <f>IFERROR(E349*'01 Prod Physique Boites'!L347,"-")</f>
        <v>0</v>
      </c>
      <c r="H349" s="387">
        <v>36.44</v>
      </c>
      <c r="I349" s="425">
        <f>IFERROR(H349*(F349/E349),"-")</f>
        <v>0</v>
      </c>
      <c r="J349" s="426">
        <f t="shared" ref="J349:J351" si="221">IFERROR(H349*(G349/E349),"-")</f>
        <v>0</v>
      </c>
    </row>
    <row r="350" spans="1:10" ht="23.4" x14ac:dyDescent="0.3">
      <c r="A350" s="277" t="s">
        <v>111</v>
      </c>
      <c r="B350" s="923"/>
      <c r="C350" s="298" t="s">
        <v>122</v>
      </c>
      <c r="D350" s="298"/>
      <c r="E350" s="390">
        <v>24.2607</v>
      </c>
      <c r="F350" s="408">
        <f>IFERROR(E350*'01 Prod Physique Boites'!H348,"-")</f>
        <v>0</v>
      </c>
      <c r="G350" s="409">
        <f>IFERROR(E350*'01 Prod Physique Boites'!L348,"-")</f>
        <v>0</v>
      </c>
      <c r="H350" s="391">
        <v>37.369999999999997</v>
      </c>
      <c r="I350" s="427">
        <f>IFERROR(H350*(F350/E350),"-")</f>
        <v>0</v>
      </c>
      <c r="J350" s="428">
        <f t="shared" si="221"/>
        <v>0</v>
      </c>
    </row>
    <row r="351" spans="1:10" ht="24" thickBot="1" x14ac:dyDescent="0.35">
      <c r="A351" s="277" t="s">
        <v>111</v>
      </c>
      <c r="B351" s="924"/>
      <c r="C351" s="299" t="s">
        <v>128</v>
      </c>
      <c r="D351" s="299"/>
      <c r="E351" s="392">
        <v>26.035799999999998</v>
      </c>
      <c r="F351" s="408">
        <f>IFERROR(E351*'01 Prod Physique Boites'!H349,"-")</f>
        <v>0</v>
      </c>
      <c r="G351" s="409">
        <f>IFERROR(E351*'01 Prod Physique Boites'!L349,"-")</f>
        <v>0</v>
      </c>
      <c r="H351" s="393">
        <v>37.11</v>
      </c>
      <c r="I351" s="429">
        <f>IFERROR(H351*(F351/E351),"-")</f>
        <v>0</v>
      </c>
      <c r="J351" s="430">
        <f t="shared" si="221"/>
        <v>0</v>
      </c>
    </row>
    <row r="352" spans="1:10" ht="24" thickBot="1" x14ac:dyDescent="0.35">
      <c r="A352" s="277" t="s">
        <v>111</v>
      </c>
      <c r="B352" s="907" t="s">
        <v>50</v>
      </c>
      <c r="C352" s="907"/>
      <c r="D352" s="925"/>
      <c r="E352" s="396"/>
      <c r="F352" s="412">
        <f t="shared" ref="F352:G352" si="222">SUM(F349:F351)</f>
        <v>0</v>
      </c>
      <c r="G352" s="413">
        <f t="shared" si="222"/>
        <v>0</v>
      </c>
      <c r="H352" s="397"/>
      <c r="I352" s="412">
        <f t="shared" ref="I352:J352" si="223">SUM(I349:I351)</f>
        <v>0</v>
      </c>
      <c r="J352" s="431">
        <f t="shared" si="223"/>
        <v>0</v>
      </c>
    </row>
    <row r="353" spans="1:10" ht="24" thickBot="1" x14ac:dyDescent="0.35">
      <c r="A353" s="277" t="s">
        <v>111</v>
      </c>
      <c r="B353" s="926" t="s">
        <v>21</v>
      </c>
      <c r="C353" s="927"/>
      <c r="D353" s="928"/>
      <c r="E353" s="399"/>
      <c r="F353" s="416">
        <f>+F329+F337+F345+F348+F352</f>
        <v>954918.28800000006</v>
      </c>
      <c r="G353" s="417">
        <f>+G329+G337+G345+G348+G352</f>
        <v>6994329.6312000006</v>
      </c>
      <c r="H353" s="400"/>
      <c r="I353" s="416">
        <f t="shared" ref="I353" si="224">+I329+I337+I345+I348+I352</f>
        <v>1555459.2</v>
      </c>
      <c r="J353" s="434">
        <f>+J329+J337+J345+J348+J352</f>
        <v>11856805.795200001</v>
      </c>
    </row>
    <row r="354" spans="1:10" ht="23.4" x14ac:dyDescent="0.3">
      <c r="A354" s="277" t="s">
        <v>111</v>
      </c>
      <c r="B354" s="922" t="s">
        <v>22</v>
      </c>
      <c r="C354" s="272" t="s">
        <v>133</v>
      </c>
      <c r="D354" s="272"/>
      <c r="E354" s="386">
        <v>22.820599999999999</v>
      </c>
      <c r="F354" s="408">
        <f>IFERROR(E354*'01 Prod Physique Boites'!H352,"-")</f>
        <v>0</v>
      </c>
      <c r="G354" s="409">
        <f>IFERROR(E354*'01 Prod Physique Boites'!L352,"-")</f>
        <v>0</v>
      </c>
      <c r="H354" s="387">
        <v>27.5</v>
      </c>
      <c r="I354" s="425">
        <f>IFERROR(H354*(F354/E354),"-")</f>
        <v>0</v>
      </c>
      <c r="J354" s="426">
        <f t="shared" ref="J354:J357" si="225">IFERROR(H354*(G354/E354),"-")</f>
        <v>0</v>
      </c>
    </row>
    <row r="355" spans="1:10" ht="23.4" x14ac:dyDescent="0.3">
      <c r="A355" s="277" t="s">
        <v>111</v>
      </c>
      <c r="B355" s="923"/>
      <c r="C355" s="301" t="s">
        <v>291</v>
      </c>
      <c r="D355" s="301" t="s">
        <v>196</v>
      </c>
      <c r="E355" s="390">
        <v>23.570699999999999</v>
      </c>
      <c r="F355" s="408">
        <f>IFERROR(E355*'01 Prod Physique Boites'!H353,"-")</f>
        <v>0</v>
      </c>
      <c r="G355" s="409">
        <f>IFERROR(E355*'01 Prod Physique Boites'!L353,"-")</f>
        <v>0</v>
      </c>
      <c r="H355" s="391">
        <v>27.5</v>
      </c>
      <c r="I355" s="427">
        <f>IFERROR(H355*(F355/E355),"-")</f>
        <v>0</v>
      </c>
      <c r="J355" s="428">
        <f t="shared" si="225"/>
        <v>0</v>
      </c>
    </row>
    <row r="356" spans="1:10" ht="23.4" x14ac:dyDescent="0.3">
      <c r="A356" s="277" t="s">
        <v>111</v>
      </c>
      <c r="B356" s="923"/>
      <c r="C356" s="301" t="s">
        <v>198</v>
      </c>
      <c r="D356" s="301" t="s">
        <v>100</v>
      </c>
      <c r="E356" s="390">
        <v>22.238499999999998</v>
      </c>
      <c r="F356" s="408">
        <f>IFERROR(E356*'01 Prod Physique Boites'!H354,"-")</f>
        <v>0</v>
      </c>
      <c r="G356" s="409">
        <f>IFERROR(E356*'01 Prod Physique Boites'!L354,"-")</f>
        <v>0</v>
      </c>
      <c r="H356" s="391">
        <v>24</v>
      </c>
      <c r="I356" s="427">
        <f>IFERROR(H356*(F356/E356),"-")</f>
        <v>0</v>
      </c>
      <c r="J356" s="428">
        <f t="shared" si="225"/>
        <v>0</v>
      </c>
    </row>
    <row r="357" spans="1:10" ht="24" thickBot="1" x14ac:dyDescent="0.35">
      <c r="A357" s="277" t="s">
        <v>111</v>
      </c>
      <c r="B357" s="924"/>
      <c r="C357" s="282" t="s">
        <v>197</v>
      </c>
      <c r="D357" s="282" t="s">
        <v>100</v>
      </c>
      <c r="E357" s="392">
        <v>23.5685</v>
      </c>
      <c r="F357" s="408">
        <f>IFERROR(E357*'01 Prod Physique Boites'!H355,"-")</f>
        <v>0</v>
      </c>
      <c r="G357" s="409">
        <f>IFERROR(E357*'01 Prod Physique Boites'!L355,"-")</f>
        <v>0</v>
      </c>
      <c r="H357" s="393">
        <v>24</v>
      </c>
      <c r="I357" s="429">
        <f>IFERROR(H357*(F357/E357),"-")</f>
        <v>0</v>
      </c>
      <c r="J357" s="430">
        <f t="shared" si="225"/>
        <v>0</v>
      </c>
    </row>
    <row r="358" spans="1:10" ht="24" thickBot="1" x14ac:dyDescent="0.35">
      <c r="A358" s="277" t="s">
        <v>111</v>
      </c>
      <c r="B358" s="906" t="s">
        <v>51</v>
      </c>
      <c r="C358" s="907"/>
      <c r="D358" s="908"/>
      <c r="E358" s="396"/>
      <c r="F358" s="412">
        <f t="shared" ref="F358:G358" si="226">SUM(F354:F357)</f>
        <v>0</v>
      </c>
      <c r="G358" s="413">
        <f t="shared" si="226"/>
        <v>0</v>
      </c>
      <c r="H358" s="397"/>
      <c r="I358" s="412">
        <f t="shared" ref="I358:J358" si="227">SUM(I354:I357)</f>
        <v>0</v>
      </c>
      <c r="J358" s="431">
        <f t="shared" si="227"/>
        <v>0</v>
      </c>
    </row>
    <row r="359" spans="1:10" ht="23.4" x14ac:dyDescent="0.3">
      <c r="A359" s="277" t="s">
        <v>111</v>
      </c>
      <c r="B359" s="922" t="s">
        <v>23</v>
      </c>
      <c r="C359" s="302" t="s">
        <v>348</v>
      </c>
      <c r="D359" s="302" t="s">
        <v>263</v>
      </c>
      <c r="E359" s="386">
        <v>101.4935</v>
      </c>
      <c r="F359" s="408">
        <f>IFERROR(E359*'01 Prod Physique Boites'!H357,"-")</f>
        <v>0</v>
      </c>
      <c r="G359" s="409">
        <f>IFERROR(E359*'01 Prod Physique Boites'!L357,"-")</f>
        <v>0</v>
      </c>
      <c r="H359" s="391">
        <v>160.44999999999999</v>
      </c>
      <c r="I359" s="425">
        <f t="shared" ref="I359:I366" si="228">IFERROR(H359*(F359/E359),"-")</f>
        <v>0</v>
      </c>
      <c r="J359" s="426">
        <f t="shared" ref="J359:J366" si="229">IFERROR(H359*(G359/E359),"-")</f>
        <v>0</v>
      </c>
    </row>
    <row r="360" spans="1:10" ht="23.4" x14ac:dyDescent="0.3">
      <c r="A360" s="277" t="s">
        <v>111</v>
      </c>
      <c r="B360" s="923"/>
      <c r="C360" s="278" t="s">
        <v>24</v>
      </c>
      <c r="D360" s="278" t="s">
        <v>263</v>
      </c>
      <c r="E360" s="390">
        <v>101.4935</v>
      </c>
      <c r="F360" s="408">
        <f>IFERROR(E360*'01 Prod Physique Boites'!H358,"-")</f>
        <v>0</v>
      </c>
      <c r="G360" s="409">
        <f>IFERROR(E360*'01 Prod Physique Boites'!L358,"-")</f>
        <v>2930624.8125</v>
      </c>
      <c r="H360" s="391">
        <v>160.44999999999999</v>
      </c>
      <c r="I360" s="427">
        <f t="shared" si="228"/>
        <v>0</v>
      </c>
      <c r="J360" s="428">
        <f t="shared" si="229"/>
        <v>4632993.75</v>
      </c>
    </row>
    <row r="361" spans="1:10" ht="23.4" x14ac:dyDescent="0.3">
      <c r="A361" s="277" t="s">
        <v>111</v>
      </c>
      <c r="B361" s="923"/>
      <c r="C361" s="278" t="s">
        <v>261</v>
      </c>
      <c r="D361" s="278" t="s">
        <v>263</v>
      </c>
      <c r="E361" s="390">
        <v>101.4935</v>
      </c>
      <c r="F361" s="408">
        <f>IFERROR(E361*'01 Prod Physique Boites'!H359,"-")</f>
        <v>0</v>
      </c>
      <c r="G361" s="409">
        <f>IFERROR(E361*'01 Prod Physique Boites'!L359,"-")</f>
        <v>0</v>
      </c>
      <c r="H361" s="391">
        <v>160.44999999999999</v>
      </c>
      <c r="I361" s="427">
        <f t="shared" si="228"/>
        <v>0</v>
      </c>
      <c r="J361" s="428">
        <f t="shared" si="229"/>
        <v>0</v>
      </c>
    </row>
    <row r="362" spans="1:10" ht="23.4" x14ac:dyDescent="0.3">
      <c r="A362" s="277" t="s">
        <v>111</v>
      </c>
      <c r="B362" s="923"/>
      <c r="C362" s="278" t="s">
        <v>262</v>
      </c>
      <c r="D362" s="278" t="s">
        <v>263</v>
      </c>
      <c r="E362" s="390">
        <v>101.4935</v>
      </c>
      <c r="F362" s="408">
        <f>IFERROR(E362*'01 Prod Physique Boites'!H360,"-")</f>
        <v>0</v>
      </c>
      <c r="G362" s="409">
        <f>IFERROR(E362*'01 Prod Physique Boites'!L360,"-")</f>
        <v>0</v>
      </c>
      <c r="H362" s="391">
        <v>160.44999999999999</v>
      </c>
      <c r="I362" s="427">
        <f t="shared" si="228"/>
        <v>0</v>
      </c>
      <c r="J362" s="428">
        <f t="shared" si="229"/>
        <v>0</v>
      </c>
    </row>
    <row r="363" spans="1:10" ht="23.4" x14ac:dyDescent="0.3">
      <c r="A363" s="277" t="s">
        <v>111</v>
      </c>
      <c r="B363" s="923"/>
      <c r="C363" s="301" t="s">
        <v>264</v>
      </c>
      <c r="D363" s="278" t="s">
        <v>263</v>
      </c>
      <c r="E363" s="390">
        <v>101.4935</v>
      </c>
      <c r="F363" s="408">
        <f>IFERROR(E363*'01 Prod Physique Boites'!H361,"-")</f>
        <v>0</v>
      </c>
      <c r="G363" s="409">
        <f>IFERROR(E363*'01 Prod Physique Boites'!L361,"-")</f>
        <v>0</v>
      </c>
      <c r="H363" s="391">
        <v>160.44999999999999</v>
      </c>
      <c r="I363" s="427">
        <f t="shared" si="228"/>
        <v>0</v>
      </c>
      <c r="J363" s="428">
        <f t="shared" si="229"/>
        <v>0</v>
      </c>
    </row>
    <row r="364" spans="1:10" ht="23.4" x14ac:dyDescent="0.3">
      <c r="A364" s="277" t="s">
        <v>111</v>
      </c>
      <c r="B364" s="923"/>
      <c r="C364" s="301" t="s">
        <v>265</v>
      </c>
      <c r="D364" s="278" t="s">
        <v>263</v>
      </c>
      <c r="E364" s="390">
        <v>101.4935</v>
      </c>
      <c r="F364" s="408">
        <f>IFERROR(E364*'01 Prod Physique Boites'!H362,"-")</f>
        <v>0</v>
      </c>
      <c r="G364" s="409">
        <f>IFERROR(E364*'01 Prod Physique Boites'!L362,"-")</f>
        <v>0</v>
      </c>
      <c r="H364" s="391">
        <v>160.44999999999999</v>
      </c>
      <c r="I364" s="427">
        <f t="shared" si="228"/>
        <v>0</v>
      </c>
      <c r="J364" s="428">
        <f t="shared" si="229"/>
        <v>0</v>
      </c>
    </row>
    <row r="365" spans="1:10" ht="23.4" x14ac:dyDescent="0.3">
      <c r="A365" s="277" t="s">
        <v>111</v>
      </c>
      <c r="B365" s="923"/>
      <c r="C365" s="301" t="s">
        <v>266</v>
      </c>
      <c r="D365" s="278" t="s">
        <v>268</v>
      </c>
      <c r="E365" s="390">
        <v>101.4935</v>
      </c>
      <c r="F365" s="408">
        <f>IFERROR(E365*'01 Prod Physique Boites'!H363,"-")</f>
        <v>0</v>
      </c>
      <c r="G365" s="409">
        <f>IFERROR(E365*'01 Prod Physique Boites'!L363,"-")</f>
        <v>0</v>
      </c>
      <c r="H365" s="391">
        <v>160.44999999999999</v>
      </c>
      <c r="I365" s="427">
        <f t="shared" si="228"/>
        <v>0</v>
      </c>
      <c r="J365" s="428">
        <f t="shared" si="229"/>
        <v>0</v>
      </c>
    </row>
    <row r="366" spans="1:10" ht="24" thickBot="1" x14ac:dyDescent="0.35">
      <c r="A366" s="277" t="s">
        <v>111</v>
      </c>
      <c r="B366" s="924"/>
      <c r="C366" s="301" t="s">
        <v>267</v>
      </c>
      <c r="D366" s="278" t="s">
        <v>263</v>
      </c>
      <c r="E366" s="392">
        <v>101.4935</v>
      </c>
      <c r="F366" s="408">
        <f>IFERROR(E366*'01 Prod Physique Boites'!H364,"-")</f>
        <v>0</v>
      </c>
      <c r="G366" s="409">
        <f>IFERROR(E366*'01 Prod Physique Boites'!L364,"-")</f>
        <v>0</v>
      </c>
      <c r="H366" s="391">
        <v>160.44999999999999</v>
      </c>
      <c r="I366" s="429">
        <f t="shared" si="228"/>
        <v>0</v>
      </c>
      <c r="J366" s="430">
        <f t="shared" si="229"/>
        <v>0</v>
      </c>
    </row>
    <row r="367" spans="1:10" ht="24" thickBot="1" x14ac:dyDescent="0.35">
      <c r="A367" s="277" t="s">
        <v>111</v>
      </c>
      <c r="B367" s="906" t="s">
        <v>52</v>
      </c>
      <c r="C367" s="907"/>
      <c r="D367" s="908"/>
      <c r="E367" s="396"/>
      <c r="F367" s="412">
        <f t="shared" ref="F367:G367" si="230">SUM(F359:F366)</f>
        <v>0</v>
      </c>
      <c r="G367" s="413">
        <f t="shared" si="230"/>
        <v>2930624.8125</v>
      </c>
      <c r="H367" s="397"/>
      <c r="I367" s="412">
        <f t="shared" ref="I367:J367" si="231">SUM(I359:I366)</f>
        <v>0</v>
      </c>
      <c r="J367" s="431">
        <f t="shared" si="231"/>
        <v>4632993.75</v>
      </c>
    </row>
    <row r="368" spans="1:10" ht="24" thickBot="1" x14ac:dyDescent="0.35">
      <c r="A368" s="277" t="s">
        <v>111</v>
      </c>
      <c r="B368" s="926" t="s">
        <v>25</v>
      </c>
      <c r="C368" s="927"/>
      <c r="D368" s="928"/>
      <c r="E368" s="399"/>
      <c r="F368" s="416">
        <f t="shared" ref="F368:G368" si="232">+F358+F367</f>
        <v>0</v>
      </c>
      <c r="G368" s="417">
        <f t="shared" si="232"/>
        <v>2930624.8125</v>
      </c>
      <c r="H368" s="400"/>
      <c r="I368" s="416">
        <f t="shared" ref="I368:J368" si="233">+I358+I367</f>
        <v>0</v>
      </c>
      <c r="J368" s="434">
        <f t="shared" si="233"/>
        <v>4632993.75</v>
      </c>
    </row>
    <row r="369" spans="1:10" ht="24" thickBot="1" x14ac:dyDescent="0.35">
      <c r="A369" s="277" t="s">
        <v>111</v>
      </c>
      <c r="B369" s="900" t="s">
        <v>181</v>
      </c>
      <c r="C369" s="901"/>
      <c r="D369" s="902"/>
      <c r="E369" s="401"/>
      <c r="F369" s="418">
        <f t="shared" ref="F369:G369" si="234">+F353+F368</f>
        <v>954918.28800000006</v>
      </c>
      <c r="G369" s="419">
        <f t="shared" si="234"/>
        <v>9924954.4437000006</v>
      </c>
      <c r="H369" s="402"/>
      <c r="I369" s="418">
        <f t="shared" ref="I369:J369" si="235">+I353+I368</f>
        <v>1555459.2</v>
      </c>
      <c r="J369" s="435">
        <f t="shared" si="235"/>
        <v>16489799.545200001</v>
      </c>
    </row>
    <row r="370" spans="1:10" ht="23.4" x14ac:dyDescent="0.3">
      <c r="A370" s="271" t="s">
        <v>109</v>
      </c>
      <c r="B370" s="929" t="s">
        <v>26</v>
      </c>
      <c r="C370" s="303" t="s">
        <v>334</v>
      </c>
      <c r="D370" s="305" t="s">
        <v>192</v>
      </c>
      <c r="E370" s="515">
        <v>13.1272</v>
      </c>
      <c r="F370" s="408">
        <f>IFERROR(E370*'01 Prod Physique Boites'!H368,"-")</f>
        <v>939960.02879999997</v>
      </c>
      <c r="G370" s="409">
        <f>IFERROR(E370*'01 Prod Physique Boites'!L368,"-")</f>
        <v>3707620.1136000003</v>
      </c>
      <c r="H370" s="387">
        <v>20.76</v>
      </c>
      <c r="I370" s="425">
        <f t="shared" ref="I370:I378" si="236">IFERROR(H370*(F370/E370),"-")</f>
        <v>1486499.04</v>
      </c>
      <c r="J370" s="662">
        <f t="shared" ref="J370:J378" si="237">IFERROR(H370*(G370/E370),"-")</f>
        <v>5863412.8800000008</v>
      </c>
    </row>
    <row r="371" spans="1:10" ht="23.4" x14ac:dyDescent="0.3">
      <c r="A371" s="277" t="s">
        <v>109</v>
      </c>
      <c r="B371" s="929"/>
      <c r="C371" s="304" t="s">
        <v>199</v>
      </c>
      <c r="D371" s="304" t="s">
        <v>115</v>
      </c>
      <c r="E371" s="516">
        <v>14.608000000000001</v>
      </c>
      <c r="F371" s="408">
        <f>IFERROR(E371*'01 Prod Physique Boites'!H369,"-")</f>
        <v>0</v>
      </c>
      <c r="G371" s="409">
        <f>IFERROR(E371*'01 Prod Physique Boites'!L369,"-")</f>
        <v>0</v>
      </c>
      <c r="H371" s="391">
        <v>24.93</v>
      </c>
      <c r="I371" s="427">
        <f t="shared" si="236"/>
        <v>0</v>
      </c>
      <c r="J371" s="663">
        <f t="shared" si="237"/>
        <v>0</v>
      </c>
    </row>
    <row r="372" spans="1:10" ht="23.4" x14ac:dyDescent="0.3">
      <c r="A372" s="277" t="s">
        <v>109</v>
      </c>
      <c r="B372" s="929"/>
      <c r="C372" s="305" t="s">
        <v>27</v>
      </c>
      <c r="D372" s="305" t="s">
        <v>310</v>
      </c>
      <c r="E372" s="512">
        <v>17.8202</v>
      </c>
      <c r="F372" s="408">
        <f>IFERROR(E372*'01 Prod Physique Boites'!H370,"-")</f>
        <v>0</v>
      </c>
      <c r="G372" s="409">
        <f>IFERROR(E372*'01 Prod Physique Boites'!L370,"-")</f>
        <v>0</v>
      </c>
      <c r="H372" s="391">
        <v>24.93</v>
      </c>
      <c r="I372" s="427">
        <f t="shared" si="236"/>
        <v>0</v>
      </c>
      <c r="J372" s="663">
        <f t="shared" si="237"/>
        <v>0</v>
      </c>
    </row>
    <row r="373" spans="1:10" ht="23.4" x14ac:dyDescent="0.3">
      <c r="A373" s="277" t="s">
        <v>109</v>
      </c>
      <c r="B373" s="929"/>
      <c r="C373" s="305" t="s">
        <v>27</v>
      </c>
      <c r="D373" s="305" t="s">
        <v>311</v>
      </c>
      <c r="E373" s="512">
        <v>17.8202</v>
      </c>
      <c r="F373" s="408">
        <f>IFERROR(E373*'01 Prod Physique Boites'!H371,"-")</f>
        <v>0</v>
      </c>
      <c r="G373" s="409">
        <f>IFERROR(E373*'01 Prod Physique Boites'!L371,"-")</f>
        <v>0</v>
      </c>
      <c r="H373" s="391">
        <v>24.93</v>
      </c>
      <c r="I373" s="427">
        <f t="shared" si="236"/>
        <v>0</v>
      </c>
      <c r="J373" s="663">
        <f t="shared" si="237"/>
        <v>0</v>
      </c>
    </row>
    <row r="374" spans="1:10" ht="23.4" x14ac:dyDescent="0.3">
      <c r="A374" s="277" t="s">
        <v>109</v>
      </c>
      <c r="B374" s="929"/>
      <c r="C374" s="305" t="s">
        <v>325</v>
      </c>
      <c r="D374" s="305" t="s">
        <v>324</v>
      </c>
      <c r="E374" s="512">
        <v>14.608000000000001</v>
      </c>
      <c r="F374" s="408">
        <f>IFERROR(E374*'01 Prod Physique Boites'!H372,"-")</f>
        <v>0</v>
      </c>
      <c r="G374" s="409">
        <f>IFERROR(E374*'01 Prod Physique Boites'!L372,"-")</f>
        <v>0</v>
      </c>
      <c r="H374" s="391">
        <v>24.93</v>
      </c>
      <c r="I374" s="427">
        <f t="shared" si="236"/>
        <v>0</v>
      </c>
      <c r="J374" s="663">
        <f t="shared" si="237"/>
        <v>0</v>
      </c>
    </row>
    <row r="375" spans="1:10" ht="23.4" x14ac:dyDescent="0.3">
      <c r="A375" s="277"/>
      <c r="B375" s="929"/>
      <c r="C375" s="305" t="s">
        <v>325</v>
      </c>
      <c r="D375" s="305" t="s">
        <v>192</v>
      </c>
      <c r="E375" s="512">
        <v>14.608000000000001</v>
      </c>
      <c r="F375" s="408">
        <f>IFERROR(E375*'01 Prod Physique Boites'!H373,"-")</f>
        <v>0</v>
      </c>
      <c r="G375" s="409">
        <f>IFERROR(E375*'01 Prod Physique Boites'!L373,"-")</f>
        <v>0</v>
      </c>
      <c r="H375" s="393">
        <v>21.22</v>
      </c>
      <c r="I375" s="427">
        <f t="shared" si="236"/>
        <v>0</v>
      </c>
      <c r="J375" s="664">
        <f t="shared" si="237"/>
        <v>0</v>
      </c>
    </row>
    <row r="376" spans="1:10" ht="23.4" x14ac:dyDescent="0.3">
      <c r="A376" s="277"/>
      <c r="B376" s="929"/>
      <c r="C376" s="305" t="s">
        <v>325</v>
      </c>
      <c r="D376" s="305" t="s">
        <v>101</v>
      </c>
      <c r="E376" s="512">
        <v>17.8202</v>
      </c>
      <c r="F376" s="408">
        <f>IFERROR(E376*'01 Prod Physique Boites'!H374,"-")</f>
        <v>0</v>
      </c>
      <c r="G376" s="409">
        <f>IFERROR(E376*'01 Prod Physique Boites'!L374,"-")</f>
        <v>0</v>
      </c>
      <c r="H376" s="393">
        <v>24.93</v>
      </c>
      <c r="I376" s="429">
        <f t="shared" si="236"/>
        <v>0</v>
      </c>
      <c r="J376" s="664">
        <f t="shared" si="237"/>
        <v>0</v>
      </c>
    </row>
    <row r="377" spans="1:10" ht="23.4" x14ac:dyDescent="0.3">
      <c r="A377" s="277"/>
      <c r="B377" s="929"/>
      <c r="C377" s="305" t="s">
        <v>393</v>
      </c>
      <c r="D377" s="305" t="s">
        <v>394</v>
      </c>
      <c r="E377" s="512">
        <v>17.8202</v>
      </c>
      <c r="F377" s="408">
        <f>IFERROR(E377*'01 Prod Physique Boites'!H375,"-")</f>
        <v>0</v>
      </c>
      <c r="G377" s="409">
        <f>IFERROR(E377*'01 Prod Physique Boites'!L375,"-")</f>
        <v>0</v>
      </c>
      <c r="H377" s="393">
        <v>21.22</v>
      </c>
      <c r="I377" s="429">
        <f t="shared" si="236"/>
        <v>0</v>
      </c>
      <c r="J377" s="664">
        <f t="shared" si="237"/>
        <v>0</v>
      </c>
    </row>
    <row r="378" spans="1:10" ht="24" thickBot="1" x14ac:dyDescent="0.35">
      <c r="A378" s="277" t="s">
        <v>109</v>
      </c>
      <c r="B378" s="929"/>
      <c r="C378" s="306" t="s">
        <v>326</v>
      </c>
      <c r="D378" s="305" t="s">
        <v>324</v>
      </c>
      <c r="E378" s="512">
        <v>12.6997</v>
      </c>
      <c r="F378" s="408">
        <f>IFERROR(E378*'01 Prod Physique Boites'!H376,"-")</f>
        <v>0</v>
      </c>
      <c r="G378" s="409">
        <f>IFERROR(E378*'01 Prod Physique Boites'!L376,"-")</f>
        <v>101038.8132</v>
      </c>
      <c r="H378" s="393">
        <v>13.25</v>
      </c>
      <c r="I378" s="429">
        <f t="shared" si="236"/>
        <v>0</v>
      </c>
      <c r="J378" s="664">
        <f t="shared" si="237"/>
        <v>105417</v>
      </c>
    </row>
    <row r="379" spans="1:10" ht="24" thickBot="1" x14ac:dyDescent="0.35">
      <c r="A379" s="277" t="s">
        <v>109</v>
      </c>
      <c r="B379" s="930"/>
      <c r="C379" s="307"/>
      <c r="D379" s="308" t="s">
        <v>55</v>
      </c>
      <c r="E379" s="396"/>
      <c r="F379" s="412">
        <f>SUM(F370:F378)</f>
        <v>939960.02879999997</v>
      </c>
      <c r="G379" s="413">
        <f t="shared" ref="G379" si="238">SUM(G370:G378)</f>
        <v>3808658.9268000005</v>
      </c>
      <c r="H379" s="397"/>
      <c r="I379" s="412">
        <f t="shared" ref="I379" si="239">SUM(I370:I378)</f>
        <v>1486499.04</v>
      </c>
      <c r="J379" s="431">
        <f>SUM(J370:J378)</f>
        <v>5968829.8800000008</v>
      </c>
    </row>
    <row r="380" spans="1:10" ht="23.4" x14ac:dyDescent="0.3">
      <c r="A380" s="277" t="s">
        <v>109</v>
      </c>
      <c r="B380" s="931" t="s">
        <v>28</v>
      </c>
      <c r="C380" s="303" t="s">
        <v>27</v>
      </c>
      <c r="D380" s="303" t="s">
        <v>193</v>
      </c>
      <c r="E380" s="515">
        <v>12.6997</v>
      </c>
      <c r="F380" s="408">
        <f>IFERROR(E380*'01 Prod Physique Boites'!H378,"-")</f>
        <v>0</v>
      </c>
      <c r="G380" s="409">
        <f>IFERROR(E380*'01 Prod Physique Boites'!L378,"-")</f>
        <v>0</v>
      </c>
      <c r="H380" s="387">
        <v>13.25</v>
      </c>
      <c r="I380" s="425">
        <f>IFERROR(H380*(F380/E380),"-")</f>
        <v>0</v>
      </c>
      <c r="J380" s="662">
        <f t="shared" ref="J380:J382" si="240">IFERROR(H380*(G380/E380),"-")</f>
        <v>0</v>
      </c>
    </row>
    <row r="381" spans="1:10" ht="23.4" x14ac:dyDescent="0.3">
      <c r="A381" s="277" t="s">
        <v>109</v>
      </c>
      <c r="B381" s="929"/>
      <c r="C381" s="305" t="s">
        <v>27</v>
      </c>
      <c r="D381" s="305" t="s">
        <v>311</v>
      </c>
      <c r="E381" s="512">
        <v>17.8202</v>
      </c>
      <c r="F381" s="408">
        <f>IFERROR(E381*'01 Prod Physique Boites'!H379,"-")</f>
        <v>0</v>
      </c>
      <c r="G381" s="409">
        <f>IFERROR(E381*'01 Prod Physique Boites'!L379,"-")</f>
        <v>0</v>
      </c>
      <c r="H381" s="391">
        <v>24.93</v>
      </c>
      <c r="I381" s="427">
        <f>IFERROR(H381*(F381/E381),"-")</f>
        <v>0</v>
      </c>
      <c r="J381" s="663">
        <f t="shared" si="240"/>
        <v>0</v>
      </c>
    </row>
    <row r="382" spans="1:10" ht="24" thickBot="1" x14ac:dyDescent="0.35">
      <c r="A382" s="277" t="s">
        <v>109</v>
      </c>
      <c r="B382" s="929"/>
      <c r="C382" s="305" t="s">
        <v>27</v>
      </c>
      <c r="D382" s="306" t="s">
        <v>259</v>
      </c>
      <c r="E382" s="512">
        <v>17.8202</v>
      </c>
      <c r="F382" s="408">
        <f>IFERROR(E382*'01 Prod Physique Boites'!H380,"-")</f>
        <v>0</v>
      </c>
      <c r="G382" s="409">
        <f>IFERROR(E382*'01 Prod Physique Boites'!L380,"-")</f>
        <v>0</v>
      </c>
      <c r="H382" s="391">
        <v>24.93</v>
      </c>
      <c r="I382" s="429">
        <f>IFERROR(H382*(F382/E382),"-")</f>
        <v>0</v>
      </c>
      <c r="J382" s="664">
        <f t="shared" si="240"/>
        <v>0</v>
      </c>
    </row>
    <row r="383" spans="1:10" ht="24" thickBot="1" x14ac:dyDescent="0.35">
      <c r="A383" s="277" t="s">
        <v>109</v>
      </c>
      <c r="B383" s="929"/>
      <c r="C383" s="310"/>
      <c r="D383" s="311" t="s">
        <v>55</v>
      </c>
      <c r="E383" s="403"/>
      <c r="F383" s="420">
        <f t="shared" ref="F383:G383" si="241">SUM(F380:F382)</f>
        <v>0</v>
      </c>
      <c r="G383" s="421">
        <f t="shared" si="241"/>
        <v>0</v>
      </c>
      <c r="H383" s="404"/>
      <c r="I383" s="420">
        <f t="shared" ref="I383:J383" si="242">SUM(I380:I382)</f>
        <v>0</v>
      </c>
      <c r="J383" s="436">
        <f t="shared" si="242"/>
        <v>0</v>
      </c>
    </row>
    <row r="384" spans="1:10" ht="24" thickBot="1" x14ac:dyDescent="0.35">
      <c r="A384" s="694" t="s">
        <v>109</v>
      </c>
      <c r="B384" s="932" t="s">
        <v>171</v>
      </c>
      <c r="C384" s="933"/>
      <c r="D384" s="934"/>
      <c r="E384" s="405"/>
      <c r="F384" s="422">
        <f t="shared" ref="F384:G384" si="243">+F379+F383</f>
        <v>939960.02879999997</v>
      </c>
      <c r="G384" s="423">
        <f t="shared" si="243"/>
        <v>3808658.9268000005</v>
      </c>
      <c r="H384" s="406"/>
      <c r="I384" s="422">
        <f t="shared" ref="I384:J384" si="244">+I379+I383</f>
        <v>1486499.04</v>
      </c>
      <c r="J384" s="437">
        <f t="shared" si="244"/>
        <v>5968829.8800000008</v>
      </c>
    </row>
    <row r="385" spans="1:10" ht="23.4" x14ac:dyDescent="0.3">
      <c r="A385" s="277" t="s">
        <v>109</v>
      </c>
      <c r="B385" s="929" t="s">
        <v>30</v>
      </c>
      <c r="C385" s="309" t="s">
        <v>375</v>
      </c>
      <c r="D385" s="303" t="s">
        <v>193</v>
      </c>
      <c r="E385" s="515">
        <v>15.2788</v>
      </c>
      <c r="F385" s="408">
        <f>IFERROR(E385*'01 Prod Physique Boites'!H383,"-")</f>
        <v>0</v>
      </c>
      <c r="G385" s="409">
        <f>IFERROR(E385*'01 Prod Physique Boites'!L383,"-")</f>
        <v>0</v>
      </c>
      <c r="H385" s="387">
        <v>23.65</v>
      </c>
      <c r="I385" s="425">
        <f>IFERROR(H385*(F385/E385),"-")</f>
        <v>0</v>
      </c>
      <c r="J385" s="426">
        <f t="shared" ref="J385:J387" si="245">IFERROR(H385*(G385/E385),"-")</f>
        <v>0</v>
      </c>
    </row>
    <row r="386" spans="1:10" ht="23.4" x14ac:dyDescent="0.3">
      <c r="A386" s="277" t="s">
        <v>109</v>
      </c>
      <c r="B386" s="929"/>
      <c r="C386" s="309" t="s">
        <v>368</v>
      </c>
      <c r="D386" s="309" t="s">
        <v>324</v>
      </c>
      <c r="E386" s="516">
        <v>22.6356</v>
      </c>
      <c r="F386" s="408">
        <f>IFERROR(E386*'01 Prod Physique Boites'!H384,"-")</f>
        <v>0</v>
      </c>
      <c r="G386" s="409">
        <f>IFERROR(E386*'01 Prod Physique Boites'!L384,"-")</f>
        <v>0</v>
      </c>
      <c r="H386" s="391">
        <v>34.26</v>
      </c>
      <c r="I386" s="427">
        <f>IFERROR(H386*(F386/E386),"-")</f>
        <v>0</v>
      </c>
      <c r="J386" s="428">
        <f t="shared" si="245"/>
        <v>0</v>
      </c>
    </row>
    <row r="387" spans="1:10" ht="24" thickBot="1" x14ac:dyDescent="0.35">
      <c r="A387" s="277" t="s">
        <v>109</v>
      </c>
      <c r="B387" s="929"/>
      <c r="C387" s="306" t="s">
        <v>327</v>
      </c>
      <c r="D387" s="306"/>
      <c r="E387" s="512">
        <v>25.751300000000001</v>
      </c>
      <c r="F387" s="408">
        <f>IFERROR(E387*'01 Prod Physique Boites'!H385,"-")</f>
        <v>0</v>
      </c>
      <c r="G387" s="409">
        <f>IFERROR(E387*'01 Prod Physique Boites'!L385,"-")</f>
        <v>0</v>
      </c>
      <c r="H387" s="393">
        <v>37.89</v>
      </c>
      <c r="I387" s="429">
        <f>IFERROR(H387*(F387/E387),"-")</f>
        <v>0</v>
      </c>
      <c r="J387" s="430">
        <f t="shared" si="245"/>
        <v>0</v>
      </c>
    </row>
    <row r="388" spans="1:10" ht="24" thickBot="1" x14ac:dyDescent="0.35">
      <c r="A388" s="277" t="s">
        <v>109</v>
      </c>
      <c r="B388" s="929"/>
      <c r="C388" s="307"/>
      <c r="D388" s="308" t="s">
        <v>53</v>
      </c>
      <c r="E388" s="396"/>
      <c r="F388" s="412">
        <f t="shared" ref="F388:G388" si="246">SUM(F385:F387)</f>
        <v>0</v>
      </c>
      <c r="G388" s="413">
        <f t="shared" si="246"/>
        <v>0</v>
      </c>
      <c r="H388" s="397"/>
      <c r="I388" s="412">
        <f t="shared" ref="I388" si="247">SUM(I385:I387)</f>
        <v>0</v>
      </c>
      <c r="J388" s="431">
        <f>SUM(J385:J387)</f>
        <v>0</v>
      </c>
    </row>
    <row r="389" spans="1:10" ht="23.4" x14ac:dyDescent="0.3">
      <c r="A389" s="277" t="s">
        <v>109</v>
      </c>
      <c r="B389" s="929"/>
      <c r="C389" s="303" t="s">
        <v>352</v>
      </c>
      <c r="D389" s="303"/>
      <c r="E389" s="515">
        <v>22.094999999999999</v>
      </c>
      <c r="F389" s="408">
        <f>IFERROR(E389*'01 Prod Physique Boites'!H387,"-")</f>
        <v>0</v>
      </c>
      <c r="G389" s="409">
        <f>IFERROR(E389*'01 Prod Physique Boites'!L387,"-")</f>
        <v>0</v>
      </c>
      <c r="H389" s="387">
        <v>37.11</v>
      </c>
      <c r="I389" s="425">
        <f>IFERROR(H389*(F389/E389),"-")</f>
        <v>0</v>
      </c>
      <c r="J389" s="426">
        <f t="shared" ref="J389:J391" si="248">IFERROR(H389*(G389/E389),"-")</f>
        <v>0</v>
      </c>
    </row>
    <row r="390" spans="1:10" ht="23.4" x14ac:dyDescent="0.3">
      <c r="A390" s="277" t="s">
        <v>109</v>
      </c>
      <c r="B390" s="929"/>
      <c r="C390" s="309" t="s">
        <v>397</v>
      </c>
      <c r="D390" s="309" t="s">
        <v>259</v>
      </c>
      <c r="E390" s="516">
        <v>27.917000000000002</v>
      </c>
      <c r="F390" s="408">
        <f>IFERROR(E390*'01 Prod Physique Boites'!H388,"-")</f>
        <v>1358776.2240000002</v>
      </c>
      <c r="G390" s="409">
        <f>IFERROR(E390*'01 Prod Physique Boites'!L388,"-")</f>
        <v>6637099.2480000006</v>
      </c>
      <c r="H390" s="391">
        <v>39</v>
      </c>
      <c r="I390" s="427">
        <f>IFERROR(H390*(F390/E390),"-")</f>
        <v>1898208</v>
      </c>
      <c r="J390" s="428">
        <f t="shared" si="248"/>
        <v>9272016</v>
      </c>
    </row>
    <row r="391" spans="1:10" ht="24" thickBot="1" x14ac:dyDescent="0.35">
      <c r="A391" s="277" t="s">
        <v>109</v>
      </c>
      <c r="B391" s="929"/>
      <c r="C391" s="306" t="s">
        <v>146</v>
      </c>
      <c r="D391" s="306"/>
      <c r="E391" s="512">
        <v>25.4041</v>
      </c>
      <c r="F391" s="408">
        <f>IFERROR(E391*'01 Prod Physique Boites'!H389,"-")</f>
        <v>0</v>
      </c>
      <c r="G391" s="409">
        <f>IFERROR(E391*'01 Prod Physique Boites'!L389,"-")</f>
        <v>0</v>
      </c>
      <c r="H391" s="393">
        <v>28.21</v>
      </c>
      <c r="I391" s="429">
        <f>IFERROR(H391*(F391/E391),"-")</f>
        <v>0</v>
      </c>
      <c r="J391" s="430">
        <f t="shared" si="248"/>
        <v>0</v>
      </c>
    </row>
    <row r="392" spans="1:10" ht="24" thickBot="1" x14ac:dyDescent="0.35">
      <c r="A392" s="277" t="s">
        <v>109</v>
      </c>
      <c r="B392" s="929"/>
      <c r="C392" s="310"/>
      <c r="D392" s="311" t="s">
        <v>54</v>
      </c>
      <c r="E392" s="403"/>
      <c r="F392" s="420">
        <f t="shared" ref="F392:G392" si="249">SUM(F389:F391)</f>
        <v>1358776.2240000002</v>
      </c>
      <c r="G392" s="421">
        <f t="shared" si="249"/>
        <v>6637099.2480000006</v>
      </c>
      <c r="H392" s="404"/>
      <c r="I392" s="420">
        <f t="shared" ref="I392" si="250">SUM(I389:I391)</f>
        <v>1898208</v>
      </c>
      <c r="J392" s="436">
        <f>SUM(J389:J391)</f>
        <v>9272016</v>
      </c>
    </row>
    <row r="393" spans="1:10" ht="24" thickBot="1" x14ac:dyDescent="0.35">
      <c r="A393" s="277" t="s">
        <v>109</v>
      </c>
      <c r="B393" s="932" t="s">
        <v>172</v>
      </c>
      <c r="C393" s="933"/>
      <c r="D393" s="934"/>
      <c r="E393" s="405"/>
      <c r="F393" s="422">
        <f t="shared" ref="F393:G393" si="251">+F388+F392</f>
        <v>1358776.2240000002</v>
      </c>
      <c r="G393" s="423">
        <f t="shared" si="251"/>
        <v>6637099.2480000006</v>
      </c>
      <c r="H393" s="406"/>
      <c r="I393" s="422">
        <f t="shared" ref="I393:J393" si="252">+I388+I392</f>
        <v>1898208</v>
      </c>
      <c r="J393" s="437">
        <f t="shared" si="252"/>
        <v>9272016</v>
      </c>
    </row>
    <row r="394" spans="1:10" ht="24" thickBot="1" x14ac:dyDescent="0.35">
      <c r="A394" s="277" t="s">
        <v>109</v>
      </c>
      <c r="B394" s="617" t="s">
        <v>32</v>
      </c>
      <c r="C394" s="691"/>
      <c r="D394" s="316"/>
      <c r="E394" s="517">
        <v>12.2659</v>
      </c>
      <c r="F394" s="414">
        <f>IFERROR(E394*'01 Prod Physique Boites'!H392,"-")</f>
        <v>0</v>
      </c>
      <c r="G394" s="415">
        <f>IFERROR(E394*'01 Prod Physique Boites'!L392,"-")</f>
        <v>0</v>
      </c>
      <c r="H394" s="398"/>
      <c r="I394" s="432">
        <f>IFERROR(H394*(F394/E394),"-")</f>
        <v>0</v>
      </c>
      <c r="J394" s="433">
        <f>IFERROR(H394*(G394/E394),"-")</f>
        <v>0</v>
      </c>
    </row>
    <row r="395" spans="1:10" ht="24" thickBot="1" x14ac:dyDescent="0.35">
      <c r="A395" s="277" t="s">
        <v>109</v>
      </c>
      <c r="B395" s="926" t="s">
        <v>21</v>
      </c>
      <c r="C395" s="927"/>
      <c r="D395" s="928"/>
      <c r="E395" s="399"/>
      <c r="F395" s="416">
        <f t="shared" ref="F395" si="253">+F384+F393+F394</f>
        <v>2298736.2527999999</v>
      </c>
      <c r="G395" s="417">
        <f>+G384+G393+G394</f>
        <v>10445758.174800001</v>
      </c>
      <c r="H395" s="400"/>
      <c r="I395" s="416">
        <f t="shared" ref="I395:J395" si="254">+I384+I393+I394</f>
        <v>3384707.04</v>
      </c>
      <c r="J395" s="434">
        <f t="shared" si="254"/>
        <v>15240845.880000001</v>
      </c>
    </row>
    <row r="396" spans="1:10" ht="24" thickBot="1" x14ac:dyDescent="0.35">
      <c r="A396" s="277" t="s">
        <v>109</v>
      </c>
      <c r="B396" s="900" t="s">
        <v>180</v>
      </c>
      <c r="C396" s="901"/>
      <c r="D396" s="902"/>
      <c r="E396" s="401"/>
      <c r="F396" s="418">
        <f t="shared" ref="F396:G396" si="255">+F395</f>
        <v>2298736.2527999999</v>
      </c>
      <c r="G396" s="419">
        <f t="shared" si="255"/>
        <v>10445758.174800001</v>
      </c>
      <c r="H396" s="402"/>
      <c r="I396" s="418">
        <f t="shared" ref="I396:J396" si="256">+I395</f>
        <v>3384707.04</v>
      </c>
      <c r="J396" s="435">
        <f t="shared" si="256"/>
        <v>15240845.880000001</v>
      </c>
    </row>
    <row r="397" spans="1:10" ht="23.4" x14ac:dyDescent="0.3">
      <c r="A397" s="271" t="s">
        <v>110</v>
      </c>
      <c r="B397" s="903" t="s">
        <v>33</v>
      </c>
      <c r="C397" s="317" t="s">
        <v>121</v>
      </c>
      <c r="D397" s="317"/>
      <c r="E397" s="513">
        <v>254.89750000000001</v>
      </c>
      <c r="F397" s="408">
        <f>IFERROR(E397*'01 Prod Physique Boites'!H395,"-")</f>
        <v>0</v>
      </c>
      <c r="G397" s="409">
        <f>IFERROR(E397*'01 Prod Physique Boites'!L395,"-")</f>
        <v>0</v>
      </c>
      <c r="H397" s="387">
        <v>445.38</v>
      </c>
      <c r="I397" s="425">
        <f>IFERROR(H397*(F397/E397),"-")</f>
        <v>0</v>
      </c>
      <c r="J397" s="426">
        <f t="shared" ref="J397:J399" si="257">IFERROR(H397*(G397/E397),"-")</f>
        <v>0</v>
      </c>
    </row>
    <row r="398" spans="1:10" ht="23.4" x14ac:dyDescent="0.3">
      <c r="A398" s="277" t="s">
        <v>110</v>
      </c>
      <c r="B398" s="904"/>
      <c r="C398" s="318" t="s">
        <v>274</v>
      </c>
      <c r="D398" s="318"/>
      <c r="E398" s="514">
        <v>246.51390000000001</v>
      </c>
      <c r="F398" s="408">
        <f>IFERROR(E398*'01 Prod Physique Boites'!H396,"-")</f>
        <v>0</v>
      </c>
      <c r="G398" s="409">
        <f>IFERROR(E398*'01 Prod Physique Boites'!L396,"-")</f>
        <v>261304.734</v>
      </c>
      <c r="H398" s="391">
        <v>430.02</v>
      </c>
      <c r="I398" s="427">
        <f>IFERROR(H398*(F398/E398),"-")</f>
        <v>0</v>
      </c>
      <c r="J398" s="428">
        <f t="shared" si="257"/>
        <v>455821.19999999995</v>
      </c>
    </row>
    <row r="399" spans="1:10" ht="24" thickBot="1" x14ac:dyDescent="0.35">
      <c r="A399" s="277" t="s">
        <v>110</v>
      </c>
      <c r="B399" s="905"/>
      <c r="C399" s="319" t="s">
        <v>34</v>
      </c>
      <c r="D399" s="319"/>
      <c r="E399" s="511">
        <v>225.7713</v>
      </c>
      <c r="F399" s="408">
        <f>IFERROR(E399*'01 Prod Physique Boites'!H397,"-")</f>
        <v>0</v>
      </c>
      <c r="G399" s="409">
        <f>IFERROR(E399*'01 Prod Physique Boites'!L397,"-")</f>
        <v>0</v>
      </c>
      <c r="H399" s="393"/>
      <c r="I399" s="429">
        <f>IFERROR(H399*(F399/E399),"-")</f>
        <v>0</v>
      </c>
      <c r="J399" s="430">
        <f t="shared" si="257"/>
        <v>0</v>
      </c>
    </row>
    <row r="400" spans="1:10" ht="24" thickBot="1" x14ac:dyDescent="0.35">
      <c r="A400" s="277" t="s">
        <v>110</v>
      </c>
      <c r="B400" s="906" t="s">
        <v>35</v>
      </c>
      <c r="C400" s="907"/>
      <c r="D400" s="908"/>
      <c r="E400" s="396"/>
      <c r="F400" s="412">
        <f t="shared" ref="F400:G400" si="258">SUM(F397:F399)</f>
        <v>0</v>
      </c>
      <c r="G400" s="413">
        <f t="shared" si="258"/>
        <v>261304.734</v>
      </c>
      <c r="H400" s="397"/>
      <c r="I400" s="412">
        <f t="shared" ref="I400:J400" si="259">SUM(I397:I399)</f>
        <v>0</v>
      </c>
      <c r="J400" s="431">
        <f t="shared" si="259"/>
        <v>455821.19999999995</v>
      </c>
    </row>
    <row r="401" spans="1:10" ht="23.4" x14ac:dyDescent="0.3">
      <c r="A401" s="277" t="s">
        <v>110</v>
      </c>
      <c r="B401" s="903" t="s">
        <v>36</v>
      </c>
      <c r="C401" s="317" t="s">
        <v>121</v>
      </c>
      <c r="D401" s="317"/>
      <c r="E401" s="513">
        <v>254.89750000000001</v>
      </c>
      <c r="F401" s="408">
        <f>IFERROR(E401*'01 Prod Physique Boites'!H399,"-")</f>
        <v>0</v>
      </c>
      <c r="G401" s="409">
        <f>IFERROR(E401*'01 Prod Physique Boites'!L399,"-")</f>
        <v>0</v>
      </c>
      <c r="H401" s="387">
        <v>445.38</v>
      </c>
      <c r="I401" s="425">
        <f>IFERROR(H401*(F401/E401),"-")</f>
        <v>0</v>
      </c>
      <c r="J401" s="426">
        <f t="shared" ref="J401:J404" si="260">IFERROR(H401*(G401/E401),"-")</f>
        <v>0</v>
      </c>
    </row>
    <row r="402" spans="1:10" ht="23.4" x14ac:dyDescent="0.3">
      <c r="A402" s="277" t="s">
        <v>110</v>
      </c>
      <c r="B402" s="904"/>
      <c r="C402" s="318" t="s">
        <v>274</v>
      </c>
      <c r="D402" s="318"/>
      <c r="E402" s="514">
        <v>246.51390000000001</v>
      </c>
      <c r="F402" s="408">
        <f>IFERROR(E402*'01 Prod Physique Boites'!H400,"-")</f>
        <v>0</v>
      </c>
      <c r="G402" s="409">
        <f>IFERROR(E402*'01 Prod Physique Boites'!L400,"-")</f>
        <v>0</v>
      </c>
      <c r="H402" s="391">
        <v>430.02</v>
      </c>
      <c r="I402" s="427">
        <f>IFERROR(H402*(F402/E402),"-")</f>
        <v>0</v>
      </c>
      <c r="J402" s="428">
        <f t="shared" si="260"/>
        <v>0</v>
      </c>
    </row>
    <row r="403" spans="1:10" ht="23.4" x14ac:dyDescent="0.3">
      <c r="A403" s="277" t="s">
        <v>110</v>
      </c>
      <c r="B403" s="904"/>
      <c r="C403" s="318" t="s">
        <v>201</v>
      </c>
      <c r="D403" s="318" t="s">
        <v>200</v>
      </c>
      <c r="E403" s="514">
        <v>254.89750000000001</v>
      </c>
      <c r="F403" s="408">
        <f>IFERROR(E403*'01 Prod Physique Boites'!H401,"-")</f>
        <v>0</v>
      </c>
      <c r="G403" s="409">
        <f>IFERROR(E403*'01 Prod Physique Boites'!L401,"-")</f>
        <v>0</v>
      </c>
      <c r="H403" s="391"/>
      <c r="I403" s="427">
        <f>IFERROR(H403*(F403/E403),"-")</f>
        <v>0</v>
      </c>
      <c r="J403" s="428">
        <f t="shared" si="260"/>
        <v>0</v>
      </c>
    </row>
    <row r="404" spans="1:10" ht="24" thickBot="1" x14ac:dyDescent="0.35">
      <c r="A404" s="277" t="s">
        <v>110</v>
      </c>
      <c r="B404" s="905"/>
      <c r="C404" s="319" t="s">
        <v>37</v>
      </c>
      <c r="D404" s="319"/>
      <c r="E404" s="511">
        <v>229.99359999999999</v>
      </c>
      <c r="F404" s="408">
        <f>IFERROR(E404*'01 Prod Physique Boites'!H402,"-")</f>
        <v>0</v>
      </c>
      <c r="G404" s="409">
        <f>IFERROR(E404*'01 Prod Physique Boites'!L402,"-")</f>
        <v>0</v>
      </c>
      <c r="H404" s="393"/>
      <c r="I404" s="429">
        <f>IFERROR(H404*(F404/E404),"-")</f>
        <v>0</v>
      </c>
      <c r="J404" s="430">
        <f t="shared" si="260"/>
        <v>0</v>
      </c>
    </row>
    <row r="405" spans="1:10" ht="24" thickBot="1" x14ac:dyDescent="0.35">
      <c r="A405" s="277" t="s">
        <v>110</v>
      </c>
      <c r="B405" s="906" t="s">
        <v>38</v>
      </c>
      <c r="C405" s="907"/>
      <c r="D405" s="908"/>
      <c r="E405" s="396"/>
      <c r="F405" s="412">
        <f t="shared" ref="F405:G405" si="261">SUM(F401:F404)</f>
        <v>0</v>
      </c>
      <c r="G405" s="413">
        <f t="shared" si="261"/>
        <v>0</v>
      </c>
      <c r="H405" s="397"/>
      <c r="I405" s="412">
        <f>SUM(I401:I404)</f>
        <v>0</v>
      </c>
      <c r="J405" s="431">
        <f>SUM(J401:J404)</f>
        <v>0</v>
      </c>
    </row>
    <row r="406" spans="1:10" ht="23.4" x14ac:dyDescent="0.3">
      <c r="A406" s="277" t="s">
        <v>110</v>
      </c>
      <c r="B406" s="903" t="s">
        <v>39</v>
      </c>
      <c r="C406" s="320" t="s">
        <v>124</v>
      </c>
      <c r="D406" s="320"/>
      <c r="E406" s="513">
        <v>195.2808</v>
      </c>
      <c r="F406" s="408">
        <f>IFERROR(E406*'01 Prod Physique Boites'!H404,"-")</f>
        <v>0</v>
      </c>
      <c r="G406" s="409">
        <f>IFERROR(E406*'01 Prod Physique Boites'!L404,"-")</f>
        <v>0</v>
      </c>
      <c r="H406" s="387"/>
      <c r="I406" s="425">
        <f>IFERROR(H406*(F406/E406),"-")</f>
        <v>0</v>
      </c>
      <c r="J406" s="426">
        <f t="shared" ref="J406:J407" si="262">IFERROR(H406*(G406/E406),"-")</f>
        <v>0</v>
      </c>
    </row>
    <row r="407" spans="1:10" ht="24" thickBot="1" x14ac:dyDescent="0.35">
      <c r="A407" s="277" t="s">
        <v>110</v>
      </c>
      <c r="B407" s="905"/>
      <c r="C407" s="290" t="s">
        <v>140</v>
      </c>
      <c r="D407" s="290"/>
      <c r="E407" s="511">
        <v>189.91890000000001</v>
      </c>
      <c r="F407" s="408">
        <f>IFERROR(E407*'01 Prod Physique Boites'!H405,"-")</f>
        <v>0</v>
      </c>
      <c r="G407" s="409">
        <f>IFERROR(E407*'01 Prod Physique Boites'!L405,"-")</f>
        <v>0</v>
      </c>
      <c r="H407" s="393">
        <v>320.35000000000002</v>
      </c>
      <c r="I407" s="429">
        <f>IFERROR(H407*(F407/E407),"-")</f>
        <v>0</v>
      </c>
      <c r="J407" s="430">
        <f t="shared" si="262"/>
        <v>0</v>
      </c>
    </row>
    <row r="408" spans="1:10" ht="24" thickBot="1" x14ac:dyDescent="0.35">
      <c r="A408" s="694" t="s">
        <v>110</v>
      </c>
      <c r="B408" s="906" t="s">
        <v>40</v>
      </c>
      <c r="C408" s="907"/>
      <c r="D408" s="908"/>
      <c r="E408" s="396"/>
      <c r="F408" s="412">
        <f>SUM(F406:F407)</f>
        <v>0</v>
      </c>
      <c r="G408" s="413">
        <f t="shared" ref="G408" si="263">SUM(G406:G407)</f>
        <v>0</v>
      </c>
      <c r="H408" s="397"/>
      <c r="I408" s="412">
        <f t="shared" ref="I408:J408" si="264">SUM(I406:I407)</f>
        <v>0</v>
      </c>
      <c r="J408" s="431">
        <f t="shared" si="264"/>
        <v>0</v>
      </c>
    </row>
    <row r="409" spans="1:10" ht="23.4" x14ac:dyDescent="0.3">
      <c r="A409" s="277" t="s">
        <v>110</v>
      </c>
      <c r="B409" s="903" t="s">
        <v>41</v>
      </c>
      <c r="C409" s="272" t="s">
        <v>346</v>
      </c>
      <c r="D409" s="272" t="s">
        <v>263</v>
      </c>
      <c r="E409" s="515">
        <v>37.248699999999999</v>
      </c>
      <c r="F409" s="408">
        <f>IFERROR(E409*'01 Prod Physique Boites'!H407,"-")</f>
        <v>0</v>
      </c>
      <c r="G409" s="409">
        <f>IFERROR(E409*'01 Prod Physique Boites'!L407,"-")</f>
        <v>1316369.058</v>
      </c>
      <c r="H409" s="387">
        <v>71.44</v>
      </c>
      <c r="I409" s="425">
        <f>IFERROR(H409*(F409/E409),"-")</f>
        <v>0</v>
      </c>
      <c r="J409" s="426">
        <f>IFERROR(H409*(G409/E409),"-")</f>
        <v>2524689.6</v>
      </c>
    </row>
    <row r="410" spans="1:10" ht="23.4" x14ac:dyDescent="0.3">
      <c r="A410" s="277" t="s">
        <v>110</v>
      </c>
      <c r="B410" s="904"/>
      <c r="C410" s="272" t="s">
        <v>165</v>
      </c>
      <c r="D410" s="278"/>
      <c r="E410" s="515">
        <v>37.248699999999999</v>
      </c>
      <c r="F410" s="408">
        <f>IFERROR(E410*'01 Prod Physique Boites'!H408,"-")</f>
        <v>0</v>
      </c>
      <c r="G410" s="409">
        <f>IFERROR(E410*'01 Prod Physique Boites'!L408,"-")</f>
        <v>0</v>
      </c>
      <c r="H410" s="391"/>
      <c r="I410" s="427">
        <f>IFERROR(H410*(F410/E410),"-")</f>
        <v>0</v>
      </c>
      <c r="J410" s="428">
        <f t="shared" ref="J410:J413" si="265">IFERROR(H410*(G410/E410),"-")</f>
        <v>0</v>
      </c>
    </row>
    <row r="411" spans="1:10" ht="23.4" x14ac:dyDescent="0.3">
      <c r="A411" s="277" t="s">
        <v>110</v>
      </c>
      <c r="B411" s="904"/>
      <c r="C411" s="278" t="s">
        <v>423</v>
      </c>
      <c r="D411" s="272" t="s">
        <v>263</v>
      </c>
      <c r="E411" s="516">
        <v>38.466099999999997</v>
      </c>
      <c r="F411" s="408">
        <f>IFERROR(E411*'01 Prod Physique Boites'!H409,"-")</f>
        <v>0</v>
      </c>
      <c r="G411" s="409">
        <f>IFERROR(E411*'01 Prod Physique Boites'!L409,"-")</f>
        <v>664694.20799999998</v>
      </c>
      <c r="H411" s="391">
        <v>71.44</v>
      </c>
      <c r="I411" s="427">
        <f>IFERROR(H411*(F411/E411),"-")</f>
        <v>0</v>
      </c>
      <c r="J411" s="428">
        <f t="shared" si="265"/>
        <v>1234483.2</v>
      </c>
    </row>
    <row r="412" spans="1:10" ht="23.4" x14ac:dyDescent="0.3">
      <c r="A412" s="277" t="s">
        <v>110</v>
      </c>
      <c r="B412" s="904"/>
      <c r="C412" s="278" t="s">
        <v>166</v>
      </c>
      <c r="D412" s="278"/>
      <c r="E412" s="516">
        <v>37.248699999999999</v>
      </c>
      <c r="F412" s="408">
        <f>IFERROR(E412*'01 Prod Physique Boites'!H410,"-")</f>
        <v>0</v>
      </c>
      <c r="G412" s="409">
        <f>IFERROR(E412*'01 Prod Physique Boites'!L410,"-")</f>
        <v>0</v>
      </c>
      <c r="H412" s="391"/>
      <c r="I412" s="427">
        <f>IFERROR(H412*(F412/E412),"-")</f>
        <v>0</v>
      </c>
      <c r="J412" s="428">
        <f t="shared" si="265"/>
        <v>0</v>
      </c>
    </row>
    <row r="413" spans="1:10" ht="24" thickBot="1" x14ac:dyDescent="0.35">
      <c r="A413" s="277" t="s">
        <v>110</v>
      </c>
      <c r="B413" s="905"/>
      <c r="C413" s="282" t="s">
        <v>167</v>
      </c>
      <c r="D413" s="282"/>
      <c r="E413" s="512">
        <v>33.711399999999998</v>
      </c>
      <c r="F413" s="408">
        <f>IFERROR(E413*'01 Prod Physique Boites'!H411,"-")</f>
        <v>0</v>
      </c>
      <c r="G413" s="409">
        <f>IFERROR(E413*'01 Prod Physique Boites'!L411,"-")</f>
        <v>0</v>
      </c>
      <c r="H413" s="393"/>
      <c r="I413" s="429">
        <f>IFERROR(H413*(F413/E413),"-")</f>
        <v>0</v>
      </c>
      <c r="J413" s="430">
        <f t="shared" si="265"/>
        <v>0</v>
      </c>
    </row>
    <row r="414" spans="1:10" ht="24" thickBot="1" x14ac:dyDescent="0.35">
      <c r="A414" s="277" t="s">
        <v>110</v>
      </c>
      <c r="B414" s="906" t="s">
        <v>42</v>
      </c>
      <c r="C414" s="907"/>
      <c r="D414" s="908"/>
      <c r="E414" s="396"/>
      <c r="F414" s="412">
        <f>SUM(F409:F413)</f>
        <v>0</v>
      </c>
      <c r="G414" s="413">
        <f>SUM(G409:G413)</f>
        <v>1981063.2659999998</v>
      </c>
      <c r="H414" s="397"/>
      <c r="I414" s="412">
        <f>SUM(I409:I413)</f>
        <v>0</v>
      </c>
      <c r="J414" s="412">
        <f>SUM(J409:J413)</f>
        <v>3759172.8</v>
      </c>
    </row>
    <row r="415" spans="1:10" ht="23.4" x14ac:dyDescent="0.3">
      <c r="A415" s="277" t="s">
        <v>110</v>
      </c>
      <c r="B415" s="903" t="s">
        <v>43</v>
      </c>
      <c r="C415" s="272" t="s">
        <v>204</v>
      </c>
      <c r="D415" s="272" t="s">
        <v>200</v>
      </c>
      <c r="E415" s="515">
        <v>30.7499</v>
      </c>
      <c r="F415" s="408">
        <f>IFERROR(E415*'01 Prod Physique Boites'!H413,"-")</f>
        <v>0</v>
      </c>
      <c r="G415" s="409">
        <f>IFERROR(E415*'01 Prod Physique Boites'!L413,"-")</f>
        <v>0</v>
      </c>
      <c r="H415" s="387"/>
      <c r="I415" s="425">
        <f>IFERROR(H415*(F415/E415),"-")</f>
        <v>0</v>
      </c>
      <c r="J415" s="426">
        <f>IFERROR(H415*(G415/E415),"-")</f>
        <v>0</v>
      </c>
    </row>
    <row r="416" spans="1:10" ht="23.4" x14ac:dyDescent="0.3">
      <c r="A416" s="277" t="s">
        <v>110</v>
      </c>
      <c r="B416" s="904"/>
      <c r="C416" s="278" t="s">
        <v>168</v>
      </c>
      <c r="D416" s="278"/>
      <c r="E416" s="516">
        <v>28.7</v>
      </c>
      <c r="F416" s="408">
        <f>IFERROR(E416*'01 Prod Physique Boites'!H414,"-")</f>
        <v>0</v>
      </c>
      <c r="G416" s="409">
        <f>IFERROR(E416*'01 Prod Physique Boites'!L414,"-")</f>
        <v>0</v>
      </c>
      <c r="H416" s="391"/>
      <c r="I416" s="427">
        <f>IFERROR(H416*(F416/E416),"-")</f>
        <v>0</v>
      </c>
      <c r="J416" s="428">
        <f t="shared" ref="J416:J417" si="266">IFERROR(H416*(G416/E416),"-")</f>
        <v>0</v>
      </c>
    </row>
    <row r="417" spans="1:10" ht="24" thickBot="1" x14ac:dyDescent="0.35">
      <c r="A417" s="277" t="s">
        <v>110</v>
      </c>
      <c r="B417" s="905"/>
      <c r="C417" s="282" t="s">
        <v>204</v>
      </c>
      <c r="D417" s="282" t="s">
        <v>203</v>
      </c>
      <c r="E417" s="512">
        <v>30.073599999999999</v>
      </c>
      <c r="F417" s="408">
        <f>IFERROR(E417*'01 Prod Physique Boites'!H415,"-")</f>
        <v>0</v>
      </c>
      <c r="G417" s="409">
        <f>IFERROR(E417*'01 Prod Physique Boites'!L415,"-")</f>
        <v>0</v>
      </c>
      <c r="H417" s="393"/>
      <c r="I417" s="429">
        <f>IFERROR(H417*(F417/E417),"-")</f>
        <v>0</v>
      </c>
      <c r="J417" s="430">
        <f t="shared" si="266"/>
        <v>0</v>
      </c>
    </row>
    <row r="418" spans="1:10" ht="24" thickBot="1" x14ac:dyDescent="0.35">
      <c r="A418" s="277" t="s">
        <v>110</v>
      </c>
      <c r="B418" s="909" t="s">
        <v>44</v>
      </c>
      <c r="C418" s="910"/>
      <c r="D418" s="911"/>
      <c r="E418" s="396"/>
      <c r="F418" s="412">
        <f t="shared" ref="F418:G418" si="267">SUM(F415:F417)</f>
        <v>0</v>
      </c>
      <c r="G418" s="413">
        <f t="shared" si="267"/>
        <v>0</v>
      </c>
      <c r="H418" s="397"/>
      <c r="I418" s="412">
        <f t="shared" ref="I418:J418" si="268">SUM(I415:I417)</f>
        <v>0</v>
      </c>
      <c r="J418" s="431">
        <f t="shared" si="268"/>
        <v>0</v>
      </c>
    </row>
    <row r="419" spans="1:10" ht="23.4" x14ac:dyDescent="0.3">
      <c r="A419" s="277" t="s">
        <v>110</v>
      </c>
      <c r="B419" s="903" t="s">
        <v>45</v>
      </c>
      <c r="C419" s="272" t="s">
        <v>169</v>
      </c>
      <c r="D419" s="272"/>
      <c r="E419" s="515">
        <v>36.684899999999999</v>
      </c>
      <c r="F419" s="408">
        <f>IFERROR(E419*'01 Prod Physique Boites'!H417,"-")</f>
        <v>0</v>
      </c>
      <c r="G419" s="409">
        <f>IFERROR(E419*'01 Prod Physique Boites'!L417,"-")</f>
        <v>0</v>
      </c>
      <c r="H419" s="387"/>
      <c r="I419" s="388" t="s">
        <v>209</v>
      </c>
      <c r="J419" s="389" t="s">
        <v>209</v>
      </c>
    </row>
    <row r="420" spans="1:10" ht="24" thickBot="1" x14ac:dyDescent="0.35">
      <c r="A420" s="277" t="s">
        <v>110</v>
      </c>
      <c r="B420" s="905"/>
      <c r="C420" s="282" t="s">
        <v>170</v>
      </c>
      <c r="D420" s="282"/>
      <c r="E420" s="512">
        <v>37.002800000000001</v>
      </c>
      <c r="F420" s="408">
        <f>IFERROR(E420*'01 Prod Physique Boites'!H418,"-")</f>
        <v>0</v>
      </c>
      <c r="G420" s="409">
        <f>IFERROR(E420*'01 Prod Physique Boites'!L418,"-")</f>
        <v>0</v>
      </c>
      <c r="H420" s="393"/>
      <c r="I420" s="394" t="s">
        <v>209</v>
      </c>
      <c r="J420" s="395" t="s">
        <v>209</v>
      </c>
    </row>
    <row r="421" spans="1:10" ht="24" thickBot="1" x14ac:dyDescent="0.35">
      <c r="A421" s="277" t="s">
        <v>110</v>
      </c>
      <c r="B421" s="909" t="s">
        <v>46</v>
      </c>
      <c r="C421" s="910"/>
      <c r="D421" s="911"/>
      <c r="E421" s="396"/>
      <c r="F421" s="412">
        <f t="shared" ref="F421:G421" si="269">SUM(F419:F420)</f>
        <v>0</v>
      </c>
      <c r="G421" s="413">
        <f t="shared" si="269"/>
        <v>0</v>
      </c>
      <c r="H421" s="397"/>
      <c r="I421" s="412">
        <f t="shared" ref="I421:J421" si="270">SUM(I419:I420)</f>
        <v>0</v>
      </c>
      <c r="J421" s="431">
        <f t="shared" si="270"/>
        <v>0</v>
      </c>
    </row>
    <row r="422" spans="1:10" ht="24" thickBot="1" x14ac:dyDescent="0.35">
      <c r="A422" s="277" t="s">
        <v>110</v>
      </c>
      <c r="B422" s="912" t="s">
        <v>25</v>
      </c>
      <c r="C422" s="913"/>
      <c r="D422" s="914"/>
      <c r="E422" s="399"/>
      <c r="F422" s="416">
        <f t="shared" ref="F422:G422" si="271">+F400+F405+F408+F414+F418+F421</f>
        <v>0</v>
      </c>
      <c r="G422" s="417">
        <f t="shared" si="271"/>
        <v>2242368</v>
      </c>
      <c r="H422" s="400"/>
      <c r="I422" s="416">
        <f>+I400+I405+I408+I414+I418+I421</f>
        <v>0</v>
      </c>
      <c r="J422" s="434">
        <f>+J400+J405+J408+J414+J418+J421</f>
        <v>4214994</v>
      </c>
    </row>
    <row r="423" spans="1:10" ht="24" thickBot="1" x14ac:dyDescent="0.35">
      <c r="A423" s="324" t="s">
        <v>110</v>
      </c>
      <c r="B423" s="901" t="s">
        <v>182</v>
      </c>
      <c r="C423" s="901"/>
      <c r="D423" s="902"/>
      <c r="E423" s="401"/>
      <c r="F423" s="418">
        <f t="shared" ref="F423:G423" si="272">+F422</f>
        <v>0</v>
      </c>
      <c r="G423" s="419">
        <f t="shared" si="272"/>
        <v>2242368</v>
      </c>
      <c r="H423" s="402"/>
      <c r="I423" s="418">
        <f t="shared" ref="I423" si="273">+I422</f>
        <v>0</v>
      </c>
      <c r="J423" s="435">
        <f>+J422</f>
        <v>4214994</v>
      </c>
    </row>
    <row r="424" spans="1:10" ht="24.6" thickBot="1" x14ac:dyDescent="0.35">
      <c r="A424" s="325"/>
      <c r="B424" s="915" t="s">
        <v>183</v>
      </c>
      <c r="C424" s="916"/>
      <c r="D424" s="917"/>
      <c r="E424" s="407"/>
      <c r="F424" s="424">
        <f t="shared" ref="F424:G424" si="274">+F369+F396+F423</f>
        <v>3253654.5408000001</v>
      </c>
      <c r="G424" s="424">
        <f t="shared" si="274"/>
        <v>22613080.618500002</v>
      </c>
      <c r="H424" s="407"/>
      <c r="I424" s="424">
        <f t="shared" ref="I424:J424" si="275">+I369+I396+I423</f>
        <v>4940166.24</v>
      </c>
      <c r="J424" s="438">
        <f t="shared" si="275"/>
        <v>35945639.4252</v>
      </c>
    </row>
    <row r="425" spans="1:10" ht="23.4" x14ac:dyDescent="0.3">
      <c r="A425" s="935" t="s">
        <v>1</v>
      </c>
      <c r="B425" s="938" t="s">
        <v>2</v>
      </c>
      <c r="C425" s="941" t="s">
        <v>3</v>
      </c>
      <c r="D425" s="941" t="s">
        <v>93</v>
      </c>
      <c r="E425" s="965" t="s">
        <v>176</v>
      </c>
      <c r="F425" s="966"/>
      <c r="G425" s="966"/>
      <c r="H425" s="451"/>
      <c r="I425" s="451"/>
      <c r="J425" s="452"/>
    </row>
    <row r="426" spans="1:10" ht="23.4" x14ac:dyDescent="0.3">
      <c r="A426" s="936"/>
      <c r="B426" s="939"/>
      <c r="C426" s="942"/>
      <c r="D426" s="942"/>
      <c r="E426" s="967" t="s">
        <v>178</v>
      </c>
      <c r="F426" s="968"/>
      <c r="G426" s="969"/>
      <c r="H426" s="967" t="s">
        <v>177</v>
      </c>
      <c r="I426" s="968"/>
      <c r="J426" s="969"/>
    </row>
    <row r="427" spans="1:10" ht="46.8" x14ac:dyDescent="0.3">
      <c r="A427" s="937"/>
      <c r="B427" s="963"/>
      <c r="C427" s="964"/>
      <c r="D427" s="964"/>
      <c r="E427" s="385" t="s">
        <v>179</v>
      </c>
      <c r="F427" s="700" t="s">
        <v>11</v>
      </c>
      <c r="G427" s="701" t="s">
        <v>12</v>
      </c>
      <c r="H427" s="970" t="s">
        <v>179</v>
      </c>
      <c r="I427" s="972" t="s">
        <v>145</v>
      </c>
      <c r="J427" s="974" t="s">
        <v>12</v>
      </c>
    </row>
    <row r="428" spans="1:10" ht="24" thickBot="1" x14ac:dyDescent="0.35">
      <c r="A428" s="937"/>
      <c r="B428" s="940"/>
      <c r="C428" s="943"/>
      <c r="D428" s="943"/>
      <c r="E428" s="976">
        <v>44507</v>
      </c>
      <c r="F428" s="977"/>
      <c r="G428" s="978"/>
      <c r="H428" s="971"/>
      <c r="I428" s="973"/>
      <c r="J428" s="975"/>
    </row>
    <row r="429" spans="1:10" ht="23.4" x14ac:dyDescent="0.3">
      <c r="A429" s="271" t="s">
        <v>111</v>
      </c>
      <c r="B429" s="922" t="s">
        <v>16</v>
      </c>
      <c r="C429" s="272" t="s">
        <v>186</v>
      </c>
      <c r="D429" s="272" t="s">
        <v>184</v>
      </c>
      <c r="E429" s="515">
        <v>81.360699999999994</v>
      </c>
      <c r="F429" s="408">
        <f>IFERROR(E429*'01 Prod Physique Boites'!H426,"-")</f>
        <v>0</v>
      </c>
      <c r="G429" s="408">
        <f>IFERROR(E429*'01 Prod Physique Boites'!L426,"-")</f>
        <v>0</v>
      </c>
      <c r="H429" s="387">
        <v>0</v>
      </c>
      <c r="I429" s="425">
        <f>IFERROR(H429*(F429/E429),"-")</f>
        <v>0</v>
      </c>
      <c r="J429" s="426">
        <f t="shared" ref="J429:J431" si="276">IFERROR(H429*(G429/E429),"-")</f>
        <v>0</v>
      </c>
    </row>
    <row r="430" spans="1:10" ht="23.4" x14ac:dyDescent="0.3">
      <c r="A430" s="277" t="s">
        <v>111</v>
      </c>
      <c r="B430" s="923"/>
      <c r="C430" s="278" t="s">
        <v>190</v>
      </c>
      <c r="D430" s="278" t="s">
        <v>101</v>
      </c>
      <c r="E430" s="516">
        <v>81.360699999999994</v>
      </c>
      <c r="F430" s="408">
        <f>IFERROR(E430*'01 Prod Physique Boites'!H427,"-")</f>
        <v>0</v>
      </c>
      <c r="G430" s="408">
        <f>IFERROR(E430*'01 Prod Physique Boites'!L427,"-")</f>
        <v>0</v>
      </c>
      <c r="H430" s="391">
        <v>0</v>
      </c>
      <c r="I430" s="425">
        <f>IFERROR(H430*(F430/E430),"-")</f>
        <v>0</v>
      </c>
      <c r="J430" s="426">
        <f t="shared" si="276"/>
        <v>0</v>
      </c>
    </row>
    <row r="431" spans="1:10" ht="23.4" x14ac:dyDescent="0.3">
      <c r="A431" s="277" t="s">
        <v>111</v>
      </c>
      <c r="B431" s="923"/>
      <c r="C431" s="278" t="s">
        <v>187</v>
      </c>
      <c r="D431" s="278" t="s">
        <v>185</v>
      </c>
      <c r="E431" s="516">
        <v>55.476900000000001</v>
      </c>
      <c r="F431" s="408">
        <f>IFERROR(E431*'01 Prod Physique Boites'!H428,"-")</f>
        <v>0</v>
      </c>
      <c r="G431" s="408">
        <f>IFERROR(E431*'01 Prod Physique Boites'!L428,"-")</f>
        <v>0</v>
      </c>
      <c r="H431" s="391">
        <v>0</v>
      </c>
      <c r="I431" s="425">
        <f>IFERROR(H431*(F431/E431),"-")</f>
        <v>0</v>
      </c>
      <c r="J431" s="426">
        <f t="shared" si="276"/>
        <v>0</v>
      </c>
    </row>
    <row r="432" spans="1:10" ht="24" thickBot="1" x14ac:dyDescent="0.35">
      <c r="A432" s="277" t="s">
        <v>111</v>
      </c>
      <c r="B432" s="924"/>
      <c r="C432" s="282" t="s">
        <v>289</v>
      </c>
      <c r="D432" s="282" t="s">
        <v>256</v>
      </c>
      <c r="E432" s="512">
        <v>60.703499999999998</v>
      </c>
      <c r="F432" s="408">
        <f>IFERROR(E432*'01 Prod Physique Boites'!H429,"-")</f>
        <v>994566.14399999997</v>
      </c>
      <c r="G432" s="408">
        <f>IFERROR(E432*'01 Prod Physique Boites'!L429,"-")</f>
        <v>3698542.8479999998</v>
      </c>
      <c r="H432" s="393">
        <v>111.0883</v>
      </c>
      <c r="I432" s="425">
        <f>IFERROR(H432*(F432/E432),"-")</f>
        <v>1820070.7072000001</v>
      </c>
      <c r="J432" s="426">
        <f>IFERROR(H432*(G432/E432),"-")</f>
        <v>6768387.9424000001</v>
      </c>
    </row>
    <row r="433" spans="1:10" ht="24" thickBot="1" x14ac:dyDescent="0.35">
      <c r="A433" s="277" t="s">
        <v>111</v>
      </c>
      <c r="B433" s="906" t="s">
        <v>47</v>
      </c>
      <c r="C433" s="907"/>
      <c r="D433" s="908"/>
      <c r="E433" s="396"/>
      <c r="F433" s="412">
        <f t="shared" ref="F433:G433" si="277">SUM(F429:F432)</f>
        <v>994566.14399999997</v>
      </c>
      <c r="G433" s="413">
        <f t="shared" si="277"/>
        <v>3698542.8479999998</v>
      </c>
      <c r="H433" s="397"/>
      <c r="I433" s="412">
        <f t="shared" ref="I433:J433" si="278">SUM(I429:I432)</f>
        <v>1820070.7072000001</v>
      </c>
      <c r="J433" s="431">
        <f t="shared" si="278"/>
        <v>6768387.9424000001</v>
      </c>
    </row>
    <row r="434" spans="1:10" ht="23.4" x14ac:dyDescent="0.3">
      <c r="A434" s="277" t="s">
        <v>111</v>
      </c>
      <c r="B434" s="922" t="s">
        <v>17</v>
      </c>
      <c r="C434" s="272" t="s">
        <v>331</v>
      </c>
      <c r="D434" s="272"/>
      <c r="E434" s="515">
        <v>12.5275</v>
      </c>
      <c r="F434" s="408">
        <f>IFERROR(E434*'01 Prod Physique Boites'!H431,"-")</f>
        <v>0</v>
      </c>
      <c r="G434" s="408">
        <f>IFERROR(E434*'01 Prod Physique Boites'!L431,"-")</f>
        <v>0</v>
      </c>
      <c r="H434" s="387">
        <v>18.836400000000001</v>
      </c>
      <c r="I434" s="425">
        <f t="shared" ref="I434:I440" si="279">IFERROR(H434*(F434/E434),"-")</f>
        <v>0</v>
      </c>
      <c r="J434" s="426">
        <f t="shared" ref="J434:J439" si="280">IFERROR(H434*(G434/E434),"-")</f>
        <v>0</v>
      </c>
    </row>
    <row r="435" spans="1:10" ht="23.4" x14ac:dyDescent="0.3">
      <c r="A435" s="277" t="s">
        <v>111</v>
      </c>
      <c r="B435" s="923"/>
      <c r="C435" s="278" t="s">
        <v>421</v>
      </c>
      <c r="D435" s="278" t="s">
        <v>257</v>
      </c>
      <c r="E435" s="516">
        <v>13.002700000000001</v>
      </c>
      <c r="F435" s="408">
        <f>IFERROR(E435*'01 Prod Physique Boites'!H432,"-")</f>
        <v>111407.1336</v>
      </c>
      <c r="G435" s="408">
        <f>IFERROR(E435*'01 Prod Physique Boites'!L432,"-")</f>
        <v>3294468.0936000003</v>
      </c>
      <c r="H435" s="391">
        <v>21.18</v>
      </c>
      <c r="I435" s="427">
        <f t="shared" si="279"/>
        <v>181470.24</v>
      </c>
      <c r="J435" s="428">
        <f t="shared" si="280"/>
        <v>5366334.24</v>
      </c>
    </row>
    <row r="436" spans="1:10" ht="23.4" x14ac:dyDescent="0.3">
      <c r="A436" s="277" t="s">
        <v>111</v>
      </c>
      <c r="B436" s="923"/>
      <c r="C436" s="278" t="s">
        <v>392</v>
      </c>
      <c r="D436" s="278" t="s">
        <v>205</v>
      </c>
      <c r="E436" s="516">
        <v>12.9049</v>
      </c>
      <c r="F436" s="408">
        <f>IFERROR(E436*'01 Prod Physique Boites'!H433,"-")</f>
        <v>0</v>
      </c>
      <c r="G436" s="408">
        <f>IFERROR(E436*'01 Prod Physique Boites'!L433,"-")</f>
        <v>0</v>
      </c>
      <c r="H436" s="391">
        <v>20.6602</v>
      </c>
      <c r="I436" s="427">
        <f t="shared" si="279"/>
        <v>0</v>
      </c>
      <c r="J436" s="428">
        <f t="shared" si="280"/>
        <v>0</v>
      </c>
    </row>
    <row r="437" spans="1:10" ht="23.4" x14ac:dyDescent="0.3">
      <c r="A437" s="277" t="s">
        <v>111</v>
      </c>
      <c r="B437" s="923"/>
      <c r="C437" s="278" t="s">
        <v>330</v>
      </c>
      <c r="D437" s="278" t="s">
        <v>206</v>
      </c>
      <c r="E437" s="516">
        <v>13.078200000000001</v>
      </c>
      <c r="F437" s="408">
        <f>IFERROR(E437*'01 Prod Physique Boites'!H434,"-")</f>
        <v>0</v>
      </c>
      <c r="G437" s="408">
        <f>IFERROR(E437*'01 Prod Physique Boites'!L434,"-")</f>
        <v>24011.575200000003</v>
      </c>
      <c r="H437" s="391">
        <v>20.66</v>
      </c>
      <c r="I437" s="427">
        <f t="shared" si="279"/>
        <v>0</v>
      </c>
      <c r="J437" s="428">
        <f t="shared" si="280"/>
        <v>37931.760000000002</v>
      </c>
    </row>
    <row r="438" spans="1:10" ht="23.4" x14ac:dyDescent="0.3">
      <c r="A438" s="277" t="s">
        <v>111</v>
      </c>
      <c r="B438" s="923"/>
      <c r="C438" s="278" t="s">
        <v>377</v>
      </c>
      <c r="D438" s="278" t="s">
        <v>371</v>
      </c>
      <c r="E438" s="516">
        <v>13.1958</v>
      </c>
      <c r="F438" s="408">
        <f>IFERROR(E438*'01 Prod Physique Boites'!H435,"-")</f>
        <v>28925.193599999999</v>
      </c>
      <c r="G438" s="408">
        <f>IFERROR(E438*'01 Prod Physique Boites'!L435,"-")</f>
        <v>109683.4896</v>
      </c>
      <c r="H438" s="391">
        <v>21.28</v>
      </c>
      <c r="I438" s="427">
        <f t="shared" si="279"/>
        <v>46645.760000000002</v>
      </c>
      <c r="J438" s="428">
        <f t="shared" si="280"/>
        <v>176879.36000000002</v>
      </c>
    </row>
    <row r="439" spans="1:10" ht="23.4" x14ac:dyDescent="0.3">
      <c r="A439" s="277" t="s">
        <v>111</v>
      </c>
      <c r="B439" s="923"/>
      <c r="C439" s="278" t="s">
        <v>208</v>
      </c>
      <c r="D439" s="278" t="s">
        <v>207</v>
      </c>
      <c r="E439" s="516">
        <v>12.9049</v>
      </c>
      <c r="F439" s="408">
        <f>IFERROR(E439*'01 Prod Physique Boites'!H436,"-")</f>
        <v>0</v>
      </c>
      <c r="G439" s="408">
        <f>IFERROR(E439*'01 Prod Physique Boites'!L436,"-")</f>
        <v>0</v>
      </c>
      <c r="H439" s="391">
        <v>0</v>
      </c>
      <c r="I439" s="427">
        <f t="shared" si="279"/>
        <v>0</v>
      </c>
      <c r="J439" s="428">
        <f t="shared" si="280"/>
        <v>0</v>
      </c>
    </row>
    <row r="440" spans="1:10" ht="24" thickBot="1" x14ac:dyDescent="0.35">
      <c r="A440" s="277" t="s">
        <v>111</v>
      </c>
      <c r="B440" s="924"/>
      <c r="C440" s="282" t="s">
        <v>416</v>
      </c>
      <c r="D440" s="282" t="s">
        <v>189</v>
      </c>
      <c r="E440" s="512">
        <v>13.6509</v>
      </c>
      <c r="F440" s="408">
        <f>IFERROR(E440*'01 Prod Physique Boites'!H437,"-")</f>
        <v>0</v>
      </c>
      <c r="G440" s="408">
        <f>IFERROR(E440*'01 Prod Physique Boites'!L437,"-")</f>
        <v>1002522.096</v>
      </c>
      <c r="H440" s="393">
        <v>21.18</v>
      </c>
      <c r="I440" s="429">
        <f t="shared" si="279"/>
        <v>0</v>
      </c>
      <c r="J440" s="430">
        <f>IFERROR(H440*(G440/E440),"-")</f>
        <v>1555459.2</v>
      </c>
    </row>
    <row r="441" spans="1:10" ht="24" thickBot="1" x14ac:dyDescent="0.35">
      <c r="A441" s="277" t="s">
        <v>111</v>
      </c>
      <c r="B441" s="906" t="s">
        <v>48</v>
      </c>
      <c r="C441" s="907"/>
      <c r="D441" s="908"/>
      <c r="E441" s="396"/>
      <c r="F441" s="412">
        <f t="shared" ref="F441:G441" si="281">SUM(F434:F440)</f>
        <v>140332.3272</v>
      </c>
      <c r="G441" s="413">
        <f t="shared" si="281"/>
        <v>4430685.2544</v>
      </c>
      <c r="H441" s="397"/>
      <c r="I441" s="412">
        <f t="shared" ref="I441" si="282">SUM(I434:I440)</f>
        <v>228116</v>
      </c>
      <c r="J441" s="431">
        <f>SUM(J434:J440)</f>
        <v>7136604.5600000005</v>
      </c>
    </row>
    <row r="442" spans="1:10" ht="23.4" x14ac:dyDescent="0.3">
      <c r="A442" s="277" t="s">
        <v>111</v>
      </c>
      <c r="B442" s="922" t="s">
        <v>18</v>
      </c>
      <c r="C442" s="272" t="s">
        <v>359</v>
      </c>
      <c r="D442" s="272" t="s">
        <v>99</v>
      </c>
      <c r="E442" s="515">
        <v>17.8202</v>
      </c>
      <c r="F442" s="408">
        <f>IFERROR(E442*'01 Prod Physique Boites'!H439,"-")</f>
        <v>0</v>
      </c>
      <c r="G442" s="409">
        <f>IFERROR(E442*'01 Prod Physique Boites'!L439,"-")</f>
        <v>0</v>
      </c>
      <c r="H442" s="387">
        <v>24.93</v>
      </c>
      <c r="I442" s="425">
        <f t="shared" ref="I442:I448" si="283">IFERROR(H442*(F442/E442),"-")</f>
        <v>0</v>
      </c>
      <c r="J442" s="426">
        <f t="shared" ref="J442:J450" si="284">IFERROR(H442*(G442/E442),"-")</f>
        <v>0</v>
      </c>
    </row>
    <row r="443" spans="1:10" ht="23.4" x14ac:dyDescent="0.3">
      <c r="A443" s="277" t="s">
        <v>111</v>
      </c>
      <c r="B443" s="923"/>
      <c r="C443" s="278" t="s">
        <v>138</v>
      </c>
      <c r="D443" s="278"/>
      <c r="E443" s="516">
        <v>17.8202</v>
      </c>
      <c r="F443" s="408">
        <f>IFERROR(E443*'01 Prod Physique Boites'!H440,"-")</f>
        <v>0</v>
      </c>
      <c r="G443" s="409">
        <f>IFERROR(E443*'01 Prod Physique Boites'!L440,"-")</f>
        <v>0</v>
      </c>
      <c r="H443" s="391">
        <v>0</v>
      </c>
      <c r="I443" s="427">
        <f t="shared" si="283"/>
        <v>0</v>
      </c>
      <c r="J443" s="428">
        <f t="shared" si="284"/>
        <v>0</v>
      </c>
    </row>
    <row r="444" spans="1:10" ht="23.4" x14ac:dyDescent="0.3">
      <c r="A444" s="277" t="s">
        <v>111</v>
      </c>
      <c r="B444" s="923"/>
      <c r="C444" s="278" t="s">
        <v>123</v>
      </c>
      <c r="D444" s="278"/>
      <c r="E444" s="516">
        <v>16.4071</v>
      </c>
      <c r="F444" s="408">
        <f>IFERROR(E444*'01 Prod Physique Boites'!H441,"-")</f>
        <v>0</v>
      </c>
      <c r="G444" s="409">
        <f>IFERROR(E444*'01 Prod Physique Boites'!L441,"-")</f>
        <v>0</v>
      </c>
      <c r="H444" s="391">
        <v>0</v>
      </c>
      <c r="I444" s="427">
        <f t="shared" si="283"/>
        <v>0</v>
      </c>
      <c r="J444" s="428">
        <f t="shared" si="284"/>
        <v>0</v>
      </c>
    </row>
    <row r="445" spans="1:10" ht="23.4" x14ac:dyDescent="0.3">
      <c r="A445" s="277" t="s">
        <v>111</v>
      </c>
      <c r="B445" s="923"/>
      <c r="C445" s="278" t="s">
        <v>130</v>
      </c>
      <c r="D445" s="278"/>
      <c r="E445" s="516">
        <v>17.8202</v>
      </c>
      <c r="F445" s="408">
        <f>IFERROR(E445*'01 Prod Physique Boites'!H442,"-")</f>
        <v>0</v>
      </c>
      <c r="G445" s="409">
        <f>IFERROR(E445*'01 Prod Physique Boites'!L442,"-")</f>
        <v>0</v>
      </c>
      <c r="H445" s="391"/>
      <c r="I445" s="427">
        <f t="shared" si="283"/>
        <v>0</v>
      </c>
      <c r="J445" s="428">
        <f>IFERROR(H445*(G445/E445),"-")</f>
        <v>0</v>
      </c>
    </row>
    <row r="446" spans="1:10" ht="23.4" x14ac:dyDescent="0.3">
      <c r="A446" s="277" t="s">
        <v>111</v>
      </c>
      <c r="B446" s="923"/>
      <c r="C446" s="278" t="s">
        <v>191</v>
      </c>
      <c r="D446" s="278" t="s">
        <v>192</v>
      </c>
      <c r="E446" s="516">
        <v>17.8202</v>
      </c>
      <c r="F446" s="408">
        <f>IFERROR(E446*'01 Prod Physique Boites'!H443,"-")</f>
        <v>0</v>
      </c>
      <c r="G446" s="409">
        <f>IFERROR(E446*'01 Prod Physique Boites'!L443,"-")</f>
        <v>0</v>
      </c>
      <c r="H446" s="391"/>
      <c r="I446" s="427">
        <f t="shared" si="283"/>
        <v>0</v>
      </c>
      <c r="J446" s="428">
        <f t="shared" si="284"/>
        <v>0</v>
      </c>
    </row>
    <row r="447" spans="1:10" ht="23.4" x14ac:dyDescent="0.3">
      <c r="A447" s="277" t="s">
        <v>111</v>
      </c>
      <c r="B447" s="923"/>
      <c r="C447" s="278" t="s">
        <v>194</v>
      </c>
      <c r="D447" s="278" t="s">
        <v>193</v>
      </c>
      <c r="E447" s="516">
        <v>16.7288</v>
      </c>
      <c r="F447" s="408">
        <f>IFERROR(E447*'01 Prod Physique Boites'!H444,"-")</f>
        <v>0</v>
      </c>
      <c r="G447" s="409">
        <f>IFERROR(E447*'01 Prod Physique Boites'!L444,"-")</f>
        <v>0</v>
      </c>
      <c r="H447" s="391"/>
      <c r="I447" s="427">
        <f t="shared" si="283"/>
        <v>0</v>
      </c>
      <c r="J447" s="428">
        <f t="shared" si="284"/>
        <v>0</v>
      </c>
    </row>
    <row r="448" spans="1:10" ht="24" thickBot="1" x14ac:dyDescent="0.35">
      <c r="A448" s="277" t="s">
        <v>111</v>
      </c>
      <c r="B448" s="924"/>
      <c r="C448" s="290" t="s">
        <v>195</v>
      </c>
      <c r="D448" s="290" t="s">
        <v>115</v>
      </c>
      <c r="E448" s="512">
        <v>17.8202</v>
      </c>
      <c r="F448" s="408">
        <f>IFERROR(E448*'01 Prod Physique Boites'!H445,"-")</f>
        <v>0</v>
      </c>
      <c r="G448" s="409">
        <f>IFERROR(E448*'01 Prod Physique Boites'!L445,"-")</f>
        <v>0</v>
      </c>
      <c r="H448" s="393"/>
      <c r="I448" s="429">
        <f t="shared" si="283"/>
        <v>0</v>
      </c>
      <c r="J448" s="430">
        <f t="shared" si="284"/>
        <v>0</v>
      </c>
    </row>
    <row r="449" spans="1:10" ht="24" thickBot="1" x14ac:dyDescent="0.35">
      <c r="A449" s="277" t="s">
        <v>111</v>
      </c>
      <c r="B449" s="906" t="s">
        <v>29</v>
      </c>
      <c r="C449" s="907"/>
      <c r="D449" s="908"/>
      <c r="E449" s="397"/>
      <c r="F449" s="412">
        <f t="shared" ref="F449:G449" si="285">SUM(F442:F448)</f>
        <v>0</v>
      </c>
      <c r="G449" s="413">
        <f t="shared" si="285"/>
        <v>0</v>
      </c>
      <c r="H449" s="397"/>
      <c r="I449" s="412">
        <f t="shared" ref="I449:J449" si="286">SUM(I442:I448)</f>
        <v>0</v>
      </c>
      <c r="J449" s="431">
        <f t="shared" si="286"/>
        <v>0</v>
      </c>
    </row>
    <row r="450" spans="1:10" ht="23.4" x14ac:dyDescent="0.3">
      <c r="A450" s="277"/>
      <c r="B450" s="918" t="s">
        <v>19</v>
      </c>
      <c r="C450" s="678" t="s">
        <v>260</v>
      </c>
      <c r="D450" s="676" t="s">
        <v>192</v>
      </c>
      <c r="E450" s="517">
        <v>12.2659</v>
      </c>
      <c r="F450" s="703">
        <f>IFERROR(E450*'01 Prod Physique Boites'!H447,"-")</f>
        <v>310866.96960000001</v>
      </c>
      <c r="G450" s="703">
        <f>IFERROR(E450*'01 Prod Physique Boites'!L447,"-")</f>
        <v>1243467.8784</v>
      </c>
      <c r="H450" s="704">
        <v>14.79</v>
      </c>
      <c r="I450" s="703">
        <f t="shared" ref="I450:I451" si="287">IFERROR(H450*(F450/E450),"-")</f>
        <v>374837.75999999995</v>
      </c>
      <c r="J450" s="703">
        <f t="shared" si="284"/>
        <v>1499351.0399999998</v>
      </c>
    </row>
    <row r="451" spans="1:10" ht="24" thickBot="1" x14ac:dyDescent="0.35">
      <c r="A451" s="702" t="s">
        <v>111</v>
      </c>
      <c r="B451" s="920"/>
      <c r="C451" s="679" t="s">
        <v>417</v>
      </c>
      <c r="D451" s="677"/>
      <c r="E451" s="285">
        <v>0</v>
      </c>
      <c r="F451" s="414">
        <f>IFERROR(E451*'01 Prod Physique Boites'!H448,"-")</f>
        <v>0</v>
      </c>
      <c r="G451" s="415">
        <f>IFERROR(E451*'01 Prod Physique Boites'!L448,"-")</f>
        <v>0</v>
      </c>
      <c r="H451" s="398">
        <v>0</v>
      </c>
      <c r="I451" s="432" t="str">
        <f t="shared" si="287"/>
        <v>-</v>
      </c>
      <c r="J451" s="433" t="str">
        <f t="shared" ref="J451" si="288">IFERROR(I451*(G451/F451),"-")</f>
        <v>-</v>
      </c>
    </row>
    <row r="452" spans="1:10" ht="24" thickBot="1" x14ac:dyDescent="0.35">
      <c r="A452" s="277" t="s">
        <v>111</v>
      </c>
      <c r="B452" s="906" t="s">
        <v>49</v>
      </c>
      <c r="C452" s="907"/>
      <c r="D452" s="908"/>
      <c r="E452" s="396"/>
      <c r="F452" s="412">
        <f t="shared" ref="F452:G452" si="289">SUM(F451)</f>
        <v>0</v>
      </c>
      <c r="G452" s="413">
        <f t="shared" si="289"/>
        <v>0</v>
      </c>
      <c r="H452" s="397"/>
      <c r="I452" s="412">
        <f t="shared" ref="I452:J452" si="290">SUM(I451)</f>
        <v>0</v>
      </c>
      <c r="J452" s="431">
        <f t="shared" si="290"/>
        <v>0</v>
      </c>
    </row>
    <row r="453" spans="1:10" ht="23.4" x14ac:dyDescent="0.3">
      <c r="A453" s="277" t="s">
        <v>111</v>
      </c>
      <c r="B453" s="922" t="s">
        <v>20</v>
      </c>
      <c r="C453" s="297" t="s">
        <v>370</v>
      </c>
      <c r="D453" s="297" t="s">
        <v>324</v>
      </c>
      <c r="E453" s="515">
        <v>26.032900000000001</v>
      </c>
      <c r="F453" s="408">
        <f>IFERROR(E453*'01 Prod Physique Boites'!H450,"-")</f>
        <v>0</v>
      </c>
      <c r="G453" s="409">
        <f>IFERROR(E453*'01 Prod Physique Boites'!L450,"-")</f>
        <v>0</v>
      </c>
      <c r="H453" s="387">
        <v>36.44</v>
      </c>
      <c r="I453" s="425">
        <f>IFERROR(H453*(F453/E453),"-")</f>
        <v>0</v>
      </c>
      <c r="J453" s="426">
        <f t="shared" ref="J453:J455" si="291">IFERROR(H453*(G453/E453),"-")</f>
        <v>0</v>
      </c>
    </row>
    <row r="454" spans="1:10" ht="23.4" x14ac:dyDescent="0.3">
      <c r="A454" s="277" t="s">
        <v>111</v>
      </c>
      <c r="B454" s="923"/>
      <c r="C454" s="298" t="s">
        <v>122</v>
      </c>
      <c r="D454" s="298"/>
      <c r="E454" s="390">
        <v>24.2607</v>
      </c>
      <c r="F454" s="408">
        <f>IFERROR(E454*'01 Prod Physique Boites'!H451,"-")</f>
        <v>0</v>
      </c>
      <c r="G454" s="409">
        <f>IFERROR(E454*'01 Prod Physique Boites'!L451,"-")</f>
        <v>0</v>
      </c>
      <c r="H454" s="391">
        <v>37.369999999999997</v>
      </c>
      <c r="I454" s="427">
        <f>IFERROR(H454*(F454/E454),"-")</f>
        <v>0</v>
      </c>
      <c r="J454" s="428">
        <f t="shared" si="291"/>
        <v>0</v>
      </c>
    </row>
    <row r="455" spans="1:10" ht="24" thickBot="1" x14ac:dyDescent="0.35">
      <c r="A455" s="277" t="s">
        <v>111</v>
      </c>
      <c r="B455" s="924"/>
      <c r="C455" s="299" t="s">
        <v>128</v>
      </c>
      <c r="D455" s="299"/>
      <c r="E455" s="392">
        <v>26.035799999999998</v>
      </c>
      <c r="F455" s="408">
        <f>IFERROR(E455*'01 Prod Physique Boites'!H452,"-")</f>
        <v>0</v>
      </c>
      <c r="G455" s="409">
        <f>IFERROR(E455*'01 Prod Physique Boites'!L452,"-")</f>
        <v>0</v>
      </c>
      <c r="H455" s="393">
        <v>37.11</v>
      </c>
      <c r="I455" s="429">
        <f>IFERROR(H455*(F455/E455),"-")</f>
        <v>0</v>
      </c>
      <c r="J455" s="430">
        <f t="shared" si="291"/>
        <v>0</v>
      </c>
    </row>
    <row r="456" spans="1:10" ht="24" thickBot="1" x14ac:dyDescent="0.35">
      <c r="A456" s="277" t="s">
        <v>111</v>
      </c>
      <c r="B456" s="907" t="s">
        <v>50</v>
      </c>
      <c r="C456" s="907"/>
      <c r="D456" s="925"/>
      <c r="E456" s="396"/>
      <c r="F456" s="412">
        <f t="shared" ref="F456:G456" si="292">SUM(F453:F455)</f>
        <v>0</v>
      </c>
      <c r="G456" s="413">
        <f t="shared" si="292"/>
        <v>0</v>
      </c>
      <c r="H456" s="397"/>
      <c r="I456" s="412">
        <f t="shared" ref="I456:J456" si="293">SUM(I453:I455)</f>
        <v>0</v>
      </c>
      <c r="J456" s="431">
        <f t="shared" si="293"/>
        <v>0</v>
      </c>
    </row>
    <row r="457" spans="1:10" ht="24" thickBot="1" x14ac:dyDescent="0.35">
      <c r="A457" s="277" t="s">
        <v>111</v>
      </c>
      <c r="B457" s="926" t="s">
        <v>21</v>
      </c>
      <c r="C457" s="927"/>
      <c r="D457" s="928"/>
      <c r="E457" s="399"/>
      <c r="F457" s="416">
        <f>+F433+F441+F449+F452+F456</f>
        <v>1134898.4712</v>
      </c>
      <c r="G457" s="417">
        <f>+G433+G441+G449+G452+G456</f>
        <v>8129228.1023999993</v>
      </c>
      <c r="H457" s="400"/>
      <c r="I457" s="416">
        <f t="shared" ref="I457" si="294">+I433+I441+I449+I452+I456</f>
        <v>2048186.7072000001</v>
      </c>
      <c r="J457" s="434">
        <f>+J433+J441+J449+J452+J456</f>
        <v>13904992.5024</v>
      </c>
    </row>
    <row r="458" spans="1:10" ht="23.4" x14ac:dyDescent="0.3">
      <c r="A458" s="277" t="s">
        <v>111</v>
      </c>
      <c r="B458" s="922" t="s">
        <v>22</v>
      </c>
      <c r="C458" s="272" t="s">
        <v>133</v>
      </c>
      <c r="D458" s="272"/>
      <c r="E458" s="386">
        <v>22.820599999999999</v>
      </c>
      <c r="F458" s="408">
        <f>IFERROR(E458*'01 Prod Physique Boites'!H455,"-")</f>
        <v>0</v>
      </c>
      <c r="G458" s="409">
        <f>IFERROR(E458*'01 Prod Physique Boites'!L455,"-")</f>
        <v>0</v>
      </c>
      <c r="H458" s="387">
        <v>27.5</v>
      </c>
      <c r="I458" s="425">
        <f>IFERROR(H458*(F458/E458),"-")</f>
        <v>0</v>
      </c>
      <c r="J458" s="426">
        <f t="shared" ref="J458:J461" si="295">IFERROR(H458*(G458/E458),"-")</f>
        <v>0</v>
      </c>
    </row>
    <row r="459" spans="1:10" ht="23.4" x14ac:dyDescent="0.3">
      <c r="A459" s="277" t="s">
        <v>111</v>
      </c>
      <c r="B459" s="923"/>
      <c r="C459" s="301" t="s">
        <v>291</v>
      </c>
      <c r="D459" s="301" t="s">
        <v>196</v>
      </c>
      <c r="E459" s="390">
        <v>23.570699999999999</v>
      </c>
      <c r="F459" s="408">
        <f>IFERROR(E459*'01 Prod Physique Boites'!H456,"-")</f>
        <v>0</v>
      </c>
      <c r="G459" s="409">
        <f>IFERROR(E459*'01 Prod Physique Boites'!L456,"-")</f>
        <v>0</v>
      </c>
      <c r="H459" s="391">
        <v>27.5</v>
      </c>
      <c r="I459" s="427">
        <f>IFERROR(H459*(F459/E459),"-")</f>
        <v>0</v>
      </c>
      <c r="J459" s="428">
        <f t="shared" si="295"/>
        <v>0</v>
      </c>
    </row>
    <row r="460" spans="1:10" ht="23.4" x14ac:dyDescent="0.3">
      <c r="A460" s="277" t="s">
        <v>111</v>
      </c>
      <c r="B460" s="923"/>
      <c r="C460" s="301" t="s">
        <v>198</v>
      </c>
      <c r="D460" s="301" t="s">
        <v>100</v>
      </c>
      <c r="E460" s="390">
        <v>22.238499999999998</v>
      </c>
      <c r="F460" s="408">
        <f>IFERROR(E460*'01 Prod Physique Boites'!H457,"-")</f>
        <v>0</v>
      </c>
      <c r="G460" s="409">
        <f>IFERROR(E460*'01 Prod Physique Boites'!L457,"-")</f>
        <v>0</v>
      </c>
      <c r="H460" s="391">
        <v>24</v>
      </c>
      <c r="I460" s="427">
        <f>IFERROR(H460*(F460/E460),"-")</f>
        <v>0</v>
      </c>
      <c r="J460" s="428">
        <f t="shared" si="295"/>
        <v>0</v>
      </c>
    </row>
    <row r="461" spans="1:10" ht="24" thickBot="1" x14ac:dyDescent="0.35">
      <c r="A461" s="277" t="s">
        <v>111</v>
      </c>
      <c r="B461" s="924"/>
      <c r="C461" s="282" t="s">
        <v>197</v>
      </c>
      <c r="D461" s="282" t="s">
        <v>100</v>
      </c>
      <c r="E461" s="392">
        <v>23.5685</v>
      </c>
      <c r="F461" s="408">
        <f>IFERROR(E461*'01 Prod Physique Boites'!H458,"-")</f>
        <v>0</v>
      </c>
      <c r="G461" s="409">
        <f>IFERROR(E461*'01 Prod Physique Boites'!L458,"-")</f>
        <v>0</v>
      </c>
      <c r="H461" s="393">
        <v>24</v>
      </c>
      <c r="I461" s="429">
        <f>IFERROR(H461*(F461/E461),"-")</f>
        <v>0</v>
      </c>
      <c r="J461" s="430">
        <f t="shared" si="295"/>
        <v>0</v>
      </c>
    </row>
    <row r="462" spans="1:10" ht="24" thickBot="1" x14ac:dyDescent="0.35">
      <c r="A462" s="277" t="s">
        <v>111</v>
      </c>
      <c r="B462" s="906" t="s">
        <v>51</v>
      </c>
      <c r="C462" s="907"/>
      <c r="D462" s="908"/>
      <c r="E462" s="396"/>
      <c r="F462" s="412">
        <f t="shared" ref="F462:G462" si="296">SUM(F458:F461)</f>
        <v>0</v>
      </c>
      <c r="G462" s="413">
        <f t="shared" si="296"/>
        <v>0</v>
      </c>
      <c r="H462" s="397"/>
      <c r="I462" s="412">
        <f t="shared" ref="I462:J462" si="297">SUM(I458:I461)</f>
        <v>0</v>
      </c>
      <c r="J462" s="431">
        <f t="shared" si="297"/>
        <v>0</v>
      </c>
    </row>
    <row r="463" spans="1:10" ht="23.4" x14ac:dyDescent="0.3">
      <c r="A463" s="277" t="s">
        <v>111</v>
      </c>
      <c r="B463" s="922" t="s">
        <v>23</v>
      </c>
      <c r="C463" s="302" t="s">
        <v>348</v>
      </c>
      <c r="D463" s="302" t="s">
        <v>263</v>
      </c>
      <c r="E463" s="386">
        <v>101.4935</v>
      </c>
      <c r="F463" s="408">
        <f>IFERROR(E463*'01 Prod Physique Boites'!H460,"-")</f>
        <v>0</v>
      </c>
      <c r="G463" s="409">
        <f>IFERROR(E463*'01 Prod Physique Boites'!L460,"-")</f>
        <v>0</v>
      </c>
      <c r="H463" s="391">
        <v>160.44999999999999</v>
      </c>
      <c r="I463" s="425">
        <f t="shared" ref="I463:I470" si="298">IFERROR(H463*(F463/E463),"-")</f>
        <v>0</v>
      </c>
      <c r="J463" s="426">
        <f t="shared" ref="J463:J470" si="299">IFERROR(H463*(G463/E463),"-")</f>
        <v>0</v>
      </c>
    </row>
    <row r="464" spans="1:10" ht="23.4" x14ac:dyDescent="0.3">
      <c r="A464" s="277" t="s">
        <v>111</v>
      </c>
      <c r="B464" s="923"/>
      <c r="C464" s="278" t="s">
        <v>24</v>
      </c>
      <c r="D464" s="278" t="s">
        <v>263</v>
      </c>
      <c r="E464" s="390">
        <v>101.4935</v>
      </c>
      <c r="F464" s="408">
        <f>IFERROR(E464*'01 Prod Physique Boites'!H461,"-")</f>
        <v>0</v>
      </c>
      <c r="G464" s="409">
        <f>IFERROR(E464*'01 Prod Physique Boites'!L461,"-")</f>
        <v>2930624.8125</v>
      </c>
      <c r="H464" s="391">
        <v>160.44999999999999</v>
      </c>
      <c r="I464" s="427">
        <f t="shared" si="298"/>
        <v>0</v>
      </c>
      <c r="J464" s="428">
        <f t="shared" si="299"/>
        <v>4632993.75</v>
      </c>
    </row>
    <row r="465" spans="1:10" ht="23.4" x14ac:dyDescent="0.3">
      <c r="A465" s="277" t="s">
        <v>111</v>
      </c>
      <c r="B465" s="923"/>
      <c r="C465" s="278" t="s">
        <v>261</v>
      </c>
      <c r="D465" s="278" t="s">
        <v>263</v>
      </c>
      <c r="E465" s="390">
        <v>101.4935</v>
      </c>
      <c r="F465" s="408">
        <f>IFERROR(E465*'01 Prod Physique Boites'!H462,"-")</f>
        <v>0</v>
      </c>
      <c r="G465" s="409">
        <f>IFERROR(E465*'01 Prod Physique Boites'!L462,"-")</f>
        <v>0</v>
      </c>
      <c r="H465" s="391">
        <v>160.44999999999999</v>
      </c>
      <c r="I465" s="427">
        <f t="shared" si="298"/>
        <v>0</v>
      </c>
      <c r="J465" s="428">
        <f t="shared" si="299"/>
        <v>0</v>
      </c>
    </row>
    <row r="466" spans="1:10" ht="23.4" x14ac:dyDescent="0.3">
      <c r="A466" s="277" t="s">
        <v>111</v>
      </c>
      <c r="B466" s="923"/>
      <c r="C466" s="278" t="s">
        <v>262</v>
      </c>
      <c r="D466" s="278" t="s">
        <v>263</v>
      </c>
      <c r="E466" s="390">
        <v>101.4935</v>
      </c>
      <c r="F466" s="408">
        <f>IFERROR(E466*'01 Prod Physique Boites'!H463,"-")</f>
        <v>0</v>
      </c>
      <c r="G466" s="409">
        <f>IFERROR(E466*'01 Prod Physique Boites'!L463,"-")</f>
        <v>0</v>
      </c>
      <c r="H466" s="391">
        <v>160.44999999999999</v>
      </c>
      <c r="I466" s="427">
        <f t="shared" si="298"/>
        <v>0</v>
      </c>
      <c r="J466" s="428">
        <f t="shared" si="299"/>
        <v>0</v>
      </c>
    </row>
    <row r="467" spans="1:10" ht="23.4" x14ac:dyDescent="0.3">
      <c r="A467" s="277" t="s">
        <v>111</v>
      </c>
      <c r="B467" s="923"/>
      <c r="C467" s="301" t="s">
        <v>264</v>
      </c>
      <c r="D467" s="278" t="s">
        <v>263</v>
      </c>
      <c r="E467" s="390">
        <v>101.4935</v>
      </c>
      <c r="F467" s="408">
        <f>IFERROR(E467*'01 Prod Physique Boites'!H464,"-")</f>
        <v>0</v>
      </c>
      <c r="G467" s="409">
        <f>IFERROR(E467*'01 Prod Physique Boites'!L464,"-")</f>
        <v>0</v>
      </c>
      <c r="H467" s="391">
        <v>160.44999999999999</v>
      </c>
      <c r="I467" s="427">
        <f t="shared" si="298"/>
        <v>0</v>
      </c>
      <c r="J467" s="428">
        <f t="shared" si="299"/>
        <v>0</v>
      </c>
    </row>
    <row r="468" spans="1:10" ht="23.4" x14ac:dyDescent="0.3">
      <c r="A468" s="277" t="s">
        <v>111</v>
      </c>
      <c r="B468" s="923"/>
      <c r="C468" s="301" t="s">
        <v>265</v>
      </c>
      <c r="D468" s="278" t="s">
        <v>263</v>
      </c>
      <c r="E468" s="390">
        <v>101.4935</v>
      </c>
      <c r="F468" s="408">
        <f>IFERROR(E468*'01 Prod Physique Boites'!H465,"-")</f>
        <v>0</v>
      </c>
      <c r="G468" s="409">
        <f>IFERROR(E468*'01 Prod Physique Boites'!L465,"-")</f>
        <v>0</v>
      </c>
      <c r="H468" s="391">
        <v>160.44999999999999</v>
      </c>
      <c r="I468" s="427">
        <f t="shared" si="298"/>
        <v>0</v>
      </c>
      <c r="J468" s="428">
        <f t="shared" si="299"/>
        <v>0</v>
      </c>
    </row>
    <row r="469" spans="1:10" ht="23.4" x14ac:dyDescent="0.3">
      <c r="A469" s="277" t="s">
        <v>111</v>
      </c>
      <c r="B469" s="923"/>
      <c r="C469" s="301" t="s">
        <v>266</v>
      </c>
      <c r="D469" s="278" t="s">
        <v>268</v>
      </c>
      <c r="E469" s="390">
        <v>101.4935</v>
      </c>
      <c r="F469" s="408">
        <f>IFERROR(E469*'01 Prod Physique Boites'!H466,"-")</f>
        <v>0</v>
      </c>
      <c r="G469" s="409">
        <f>IFERROR(E469*'01 Prod Physique Boites'!L466,"-")</f>
        <v>0</v>
      </c>
      <c r="H469" s="391">
        <v>160.44999999999999</v>
      </c>
      <c r="I469" s="427">
        <f t="shared" si="298"/>
        <v>0</v>
      </c>
      <c r="J469" s="428">
        <f t="shared" si="299"/>
        <v>0</v>
      </c>
    </row>
    <row r="470" spans="1:10" ht="24" thickBot="1" x14ac:dyDescent="0.35">
      <c r="A470" s="277" t="s">
        <v>111</v>
      </c>
      <c r="B470" s="924"/>
      <c r="C470" s="301" t="s">
        <v>267</v>
      </c>
      <c r="D470" s="278" t="s">
        <v>263</v>
      </c>
      <c r="E470" s="392">
        <v>101.4935</v>
      </c>
      <c r="F470" s="408">
        <f>IFERROR(E470*'01 Prod Physique Boites'!H467,"-")</f>
        <v>0</v>
      </c>
      <c r="G470" s="409">
        <f>IFERROR(E470*'01 Prod Physique Boites'!L467,"-")</f>
        <v>0</v>
      </c>
      <c r="H470" s="391">
        <v>160.44999999999999</v>
      </c>
      <c r="I470" s="429">
        <f t="shared" si="298"/>
        <v>0</v>
      </c>
      <c r="J470" s="430">
        <f t="shared" si="299"/>
        <v>0</v>
      </c>
    </row>
    <row r="471" spans="1:10" ht="24" thickBot="1" x14ac:dyDescent="0.35">
      <c r="A471" s="277" t="s">
        <v>111</v>
      </c>
      <c r="B471" s="906" t="s">
        <v>52</v>
      </c>
      <c r="C471" s="907"/>
      <c r="D471" s="908"/>
      <c r="E471" s="396"/>
      <c r="F471" s="412">
        <f t="shared" ref="F471:G471" si="300">SUM(F463:F470)</f>
        <v>0</v>
      </c>
      <c r="G471" s="413">
        <f t="shared" si="300"/>
        <v>2930624.8125</v>
      </c>
      <c r="H471" s="397"/>
      <c r="I471" s="412">
        <f t="shared" ref="I471:J471" si="301">SUM(I463:I470)</f>
        <v>0</v>
      </c>
      <c r="J471" s="431">
        <f t="shared" si="301"/>
        <v>4632993.75</v>
      </c>
    </row>
    <row r="472" spans="1:10" ht="24" thickBot="1" x14ac:dyDescent="0.35">
      <c r="A472" s="277" t="s">
        <v>111</v>
      </c>
      <c r="B472" s="926" t="s">
        <v>25</v>
      </c>
      <c r="C472" s="927"/>
      <c r="D472" s="928"/>
      <c r="E472" s="399"/>
      <c r="F472" s="416">
        <f t="shared" ref="F472:G472" si="302">+F462+F471</f>
        <v>0</v>
      </c>
      <c r="G472" s="417">
        <f t="shared" si="302"/>
        <v>2930624.8125</v>
      </c>
      <c r="H472" s="400"/>
      <c r="I472" s="416">
        <f t="shared" ref="I472:J472" si="303">+I462+I471</f>
        <v>0</v>
      </c>
      <c r="J472" s="434">
        <f t="shared" si="303"/>
        <v>4632993.75</v>
      </c>
    </row>
    <row r="473" spans="1:10" ht="24" thickBot="1" x14ac:dyDescent="0.35">
      <c r="A473" s="277" t="s">
        <v>111</v>
      </c>
      <c r="B473" s="900" t="s">
        <v>181</v>
      </c>
      <c r="C473" s="901"/>
      <c r="D473" s="902"/>
      <c r="E473" s="401"/>
      <c r="F473" s="418">
        <f t="shared" ref="F473:G473" si="304">+F457+F472</f>
        <v>1134898.4712</v>
      </c>
      <c r="G473" s="419">
        <f t="shared" si="304"/>
        <v>11059852.914899999</v>
      </c>
      <c r="H473" s="402"/>
      <c r="I473" s="418">
        <f t="shared" ref="I473:J473" si="305">+I457+I472</f>
        <v>2048186.7072000001</v>
      </c>
      <c r="J473" s="435">
        <f t="shared" si="305"/>
        <v>18537986.2524</v>
      </c>
    </row>
    <row r="474" spans="1:10" ht="23.4" x14ac:dyDescent="0.3">
      <c r="A474" s="271" t="s">
        <v>109</v>
      </c>
      <c r="B474" s="929" t="s">
        <v>26</v>
      </c>
      <c r="C474" s="303" t="s">
        <v>334</v>
      </c>
      <c r="D474" s="305" t="s">
        <v>192</v>
      </c>
      <c r="E474" s="515">
        <v>13.1272</v>
      </c>
      <c r="F474" s="408">
        <f>IFERROR(E474*'01 Prod Physique Boites'!H471,"-")</f>
        <v>522200.016</v>
      </c>
      <c r="G474" s="409">
        <f>IFERROR(E474*'01 Prod Physique Boites'!L471,"-")</f>
        <v>4229820.1295999996</v>
      </c>
      <c r="H474" s="387">
        <v>20.76</v>
      </c>
      <c r="I474" s="425">
        <f t="shared" ref="I474:I482" si="306">IFERROR(H474*(F474/E474),"-")</f>
        <v>825832.8</v>
      </c>
      <c r="J474" s="662">
        <f t="shared" ref="J474:J482" si="307">IFERROR(H474*(G474/E474),"-")</f>
        <v>6689245.6799999997</v>
      </c>
    </row>
    <row r="475" spans="1:10" ht="23.4" x14ac:dyDescent="0.3">
      <c r="A475" s="277" t="s">
        <v>109</v>
      </c>
      <c r="B475" s="929"/>
      <c r="C475" s="304" t="s">
        <v>199</v>
      </c>
      <c r="D475" s="304" t="s">
        <v>115</v>
      </c>
      <c r="E475" s="516">
        <v>14.608000000000001</v>
      </c>
      <c r="F475" s="408">
        <f>IFERROR(E475*'01 Prod Physique Boites'!H472,"-")</f>
        <v>0</v>
      </c>
      <c r="G475" s="409">
        <f>IFERROR(E475*'01 Prod Physique Boites'!L472,"-")</f>
        <v>0</v>
      </c>
      <c r="H475" s="391">
        <v>24.93</v>
      </c>
      <c r="I475" s="427">
        <f t="shared" si="306"/>
        <v>0</v>
      </c>
      <c r="J475" s="663">
        <f t="shared" si="307"/>
        <v>0</v>
      </c>
    </row>
    <row r="476" spans="1:10" ht="23.4" x14ac:dyDescent="0.3">
      <c r="A476" s="277" t="s">
        <v>109</v>
      </c>
      <c r="B476" s="929"/>
      <c r="C476" s="305" t="s">
        <v>27</v>
      </c>
      <c r="D476" s="305" t="s">
        <v>310</v>
      </c>
      <c r="E476" s="512">
        <v>17.8202</v>
      </c>
      <c r="F476" s="408">
        <f>IFERROR(E476*'01 Prod Physique Boites'!H473,"-")</f>
        <v>0</v>
      </c>
      <c r="G476" s="409">
        <f>IFERROR(E476*'01 Prod Physique Boites'!L473,"-")</f>
        <v>0</v>
      </c>
      <c r="H476" s="391">
        <v>24.93</v>
      </c>
      <c r="I476" s="427">
        <f t="shared" si="306"/>
        <v>0</v>
      </c>
      <c r="J476" s="663">
        <f t="shared" si="307"/>
        <v>0</v>
      </c>
    </row>
    <row r="477" spans="1:10" ht="23.4" x14ac:dyDescent="0.3">
      <c r="A477" s="277" t="s">
        <v>109</v>
      </c>
      <c r="B477" s="929"/>
      <c r="C477" s="305" t="s">
        <v>27</v>
      </c>
      <c r="D477" s="305" t="s">
        <v>311</v>
      </c>
      <c r="E477" s="512">
        <v>17.8202</v>
      </c>
      <c r="F477" s="408">
        <f>IFERROR(E477*'01 Prod Physique Boites'!H474,"-")</f>
        <v>0</v>
      </c>
      <c r="G477" s="409">
        <f>IFERROR(E477*'01 Prod Physique Boites'!L474,"-")</f>
        <v>0</v>
      </c>
      <c r="H477" s="391">
        <v>24.93</v>
      </c>
      <c r="I477" s="427">
        <f t="shared" si="306"/>
        <v>0</v>
      </c>
      <c r="J477" s="663">
        <f t="shared" si="307"/>
        <v>0</v>
      </c>
    </row>
    <row r="478" spans="1:10" ht="23.4" x14ac:dyDescent="0.3">
      <c r="A478" s="277" t="s">
        <v>109</v>
      </c>
      <c r="B478" s="929"/>
      <c r="C478" s="305" t="s">
        <v>325</v>
      </c>
      <c r="D478" s="305" t="s">
        <v>324</v>
      </c>
      <c r="E478" s="512">
        <v>14.608000000000001</v>
      </c>
      <c r="F478" s="408">
        <f>IFERROR(E478*'01 Prod Physique Boites'!H475,"-")</f>
        <v>0</v>
      </c>
      <c r="G478" s="409">
        <f>IFERROR(E478*'01 Prod Physique Boites'!L475,"-")</f>
        <v>0</v>
      </c>
      <c r="H478" s="391">
        <v>24.93</v>
      </c>
      <c r="I478" s="427">
        <f t="shared" si="306"/>
        <v>0</v>
      </c>
      <c r="J478" s="663">
        <f t="shared" si="307"/>
        <v>0</v>
      </c>
    </row>
    <row r="479" spans="1:10" ht="23.4" x14ac:dyDescent="0.3">
      <c r="A479" s="277"/>
      <c r="B479" s="929"/>
      <c r="C479" s="305" t="s">
        <v>325</v>
      </c>
      <c r="D479" s="305" t="s">
        <v>192</v>
      </c>
      <c r="E479" s="512">
        <v>14.608000000000001</v>
      </c>
      <c r="F479" s="408">
        <f>IFERROR(E479*'01 Prod Physique Boites'!H476,"-")</f>
        <v>0</v>
      </c>
      <c r="G479" s="409">
        <f>IFERROR(E479*'01 Prod Physique Boites'!L476,"-")</f>
        <v>0</v>
      </c>
      <c r="H479" s="393">
        <v>21.22</v>
      </c>
      <c r="I479" s="427">
        <f t="shared" si="306"/>
        <v>0</v>
      </c>
      <c r="J479" s="664">
        <f t="shared" si="307"/>
        <v>0</v>
      </c>
    </row>
    <row r="480" spans="1:10" ht="23.4" x14ac:dyDescent="0.3">
      <c r="A480" s="277"/>
      <c r="B480" s="929"/>
      <c r="C480" s="305" t="s">
        <v>325</v>
      </c>
      <c r="D480" s="305" t="s">
        <v>101</v>
      </c>
      <c r="E480" s="512">
        <v>17.8202</v>
      </c>
      <c r="F480" s="408">
        <f>IFERROR(E480*'01 Prod Physique Boites'!H477,"-")</f>
        <v>0</v>
      </c>
      <c r="G480" s="409">
        <f>IFERROR(E480*'01 Prod Physique Boites'!L477,"-")</f>
        <v>0</v>
      </c>
      <c r="H480" s="393">
        <v>24.93</v>
      </c>
      <c r="I480" s="429">
        <f t="shared" si="306"/>
        <v>0</v>
      </c>
      <c r="J480" s="664">
        <f t="shared" si="307"/>
        <v>0</v>
      </c>
    </row>
    <row r="481" spans="1:10" ht="23.4" x14ac:dyDescent="0.3">
      <c r="A481" s="277"/>
      <c r="B481" s="929"/>
      <c r="C481" s="305" t="s">
        <v>393</v>
      </c>
      <c r="D481" s="305" t="s">
        <v>394</v>
      </c>
      <c r="E481" s="512">
        <v>17.8202</v>
      </c>
      <c r="F481" s="408">
        <f>IFERROR(E481*'01 Prod Physique Boites'!H478,"-")</f>
        <v>1063331.334</v>
      </c>
      <c r="G481" s="409">
        <f>IFERROR(E481*'01 Prod Physique Boites'!L478,"-")</f>
        <v>1063331.334</v>
      </c>
      <c r="H481" s="393">
        <v>21.22</v>
      </c>
      <c r="I481" s="429">
        <f t="shared" si="306"/>
        <v>1266197.3999999999</v>
      </c>
      <c r="J481" s="664">
        <f t="shared" si="307"/>
        <v>1266197.3999999999</v>
      </c>
    </row>
    <row r="482" spans="1:10" ht="24" thickBot="1" x14ac:dyDescent="0.35">
      <c r="A482" s="277" t="s">
        <v>109</v>
      </c>
      <c r="B482" s="929"/>
      <c r="C482" s="306" t="s">
        <v>326</v>
      </c>
      <c r="D482" s="305" t="s">
        <v>324</v>
      </c>
      <c r="E482" s="512">
        <v>12.6997</v>
      </c>
      <c r="F482" s="408">
        <f>IFERROR(E482*'01 Prod Physique Boites'!H479,"-")</f>
        <v>0</v>
      </c>
      <c r="G482" s="409">
        <f>IFERROR(E482*'01 Prod Physique Boites'!L479,"-")</f>
        <v>101038.8132</v>
      </c>
      <c r="H482" s="393">
        <v>13.25</v>
      </c>
      <c r="I482" s="429">
        <f t="shared" si="306"/>
        <v>0</v>
      </c>
      <c r="J482" s="664">
        <f t="shared" si="307"/>
        <v>105417</v>
      </c>
    </row>
    <row r="483" spans="1:10" ht="24" thickBot="1" x14ac:dyDescent="0.35">
      <c r="A483" s="277" t="s">
        <v>109</v>
      </c>
      <c r="B483" s="930"/>
      <c r="C483" s="307"/>
      <c r="D483" s="308" t="s">
        <v>55</v>
      </c>
      <c r="E483" s="396"/>
      <c r="F483" s="412">
        <f>SUM(F474:F482)</f>
        <v>1585531.35</v>
      </c>
      <c r="G483" s="413">
        <f t="shared" ref="G483" si="308">SUM(G474:G482)</f>
        <v>5394190.2767999992</v>
      </c>
      <c r="H483" s="397"/>
      <c r="I483" s="412">
        <f t="shared" ref="I483" si="309">SUM(I474:I482)</f>
        <v>2092030.2</v>
      </c>
      <c r="J483" s="431">
        <f>SUM(J474:J482)</f>
        <v>8060860.0800000001</v>
      </c>
    </row>
    <row r="484" spans="1:10" ht="23.4" x14ac:dyDescent="0.3">
      <c r="A484" s="277" t="s">
        <v>109</v>
      </c>
      <c r="B484" s="931" t="s">
        <v>28</v>
      </c>
      <c r="C484" s="303" t="s">
        <v>27</v>
      </c>
      <c r="D484" s="303" t="s">
        <v>193</v>
      </c>
      <c r="E484" s="515">
        <v>12.6997</v>
      </c>
      <c r="F484" s="408">
        <f>IFERROR(E484*'01 Prod Physique Boites'!H481,"-")</f>
        <v>0</v>
      </c>
      <c r="G484" s="409">
        <f>IFERROR(E484*'01 Prod Physique Boites'!L481,"-")</f>
        <v>0</v>
      </c>
      <c r="H484" s="387">
        <v>13.25</v>
      </c>
      <c r="I484" s="425">
        <f>IFERROR(H484*(F484/E484),"-")</f>
        <v>0</v>
      </c>
      <c r="J484" s="662">
        <f t="shared" ref="J484:J486" si="310">IFERROR(H484*(G484/E484),"-")</f>
        <v>0</v>
      </c>
    </row>
    <row r="485" spans="1:10" ht="23.4" x14ac:dyDescent="0.3">
      <c r="A485" s="277" t="s">
        <v>109</v>
      </c>
      <c r="B485" s="929"/>
      <c r="C485" s="305" t="s">
        <v>27</v>
      </c>
      <c r="D485" s="305" t="s">
        <v>311</v>
      </c>
      <c r="E485" s="512">
        <v>17.8202</v>
      </c>
      <c r="F485" s="408">
        <f>IFERROR(E485*'01 Prod Physique Boites'!H482,"-")</f>
        <v>0</v>
      </c>
      <c r="G485" s="409">
        <f>IFERROR(E485*'01 Prod Physique Boites'!L482,"-")</f>
        <v>0</v>
      </c>
      <c r="H485" s="391">
        <v>24.93</v>
      </c>
      <c r="I485" s="427">
        <f>IFERROR(H485*(F485/E485),"-")</f>
        <v>0</v>
      </c>
      <c r="J485" s="663">
        <f t="shared" si="310"/>
        <v>0</v>
      </c>
    </row>
    <row r="486" spans="1:10" ht="24" thickBot="1" x14ac:dyDescent="0.35">
      <c r="A486" s="277" t="s">
        <v>109</v>
      </c>
      <c r="B486" s="929"/>
      <c r="C486" s="305" t="s">
        <v>27</v>
      </c>
      <c r="D486" s="306" t="s">
        <v>259</v>
      </c>
      <c r="E486" s="512">
        <v>17.8202</v>
      </c>
      <c r="F486" s="408">
        <f>IFERROR(E486*'01 Prod Physique Boites'!H483,"-")</f>
        <v>0</v>
      </c>
      <c r="G486" s="409">
        <f>IFERROR(E486*'01 Prod Physique Boites'!L483,"-")</f>
        <v>0</v>
      </c>
      <c r="H486" s="391">
        <v>24.93</v>
      </c>
      <c r="I486" s="429">
        <f>IFERROR(H486*(F486/E486),"-")</f>
        <v>0</v>
      </c>
      <c r="J486" s="664">
        <f t="shared" si="310"/>
        <v>0</v>
      </c>
    </row>
    <row r="487" spans="1:10" ht="24" thickBot="1" x14ac:dyDescent="0.35">
      <c r="A487" s="277" t="s">
        <v>109</v>
      </c>
      <c r="B487" s="929"/>
      <c r="C487" s="310"/>
      <c r="D487" s="311" t="s">
        <v>55</v>
      </c>
      <c r="E487" s="403"/>
      <c r="F487" s="420">
        <f t="shared" ref="F487:G487" si="311">SUM(F484:F486)</f>
        <v>0</v>
      </c>
      <c r="G487" s="421">
        <f t="shared" si="311"/>
        <v>0</v>
      </c>
      <c r="H487" s="404"/>
      <c r="I487" s="420">
        <f t="shared" ref="I487:J487" si="312">SUM(I484:I486)</f>
        <v>0</v>
      </c>
      <c r="J487" s="436">
        <f t="shared" si="312"/>
        <v>0</v>
      </c>
    </row>
    <row r="488" spans="1:10" ht="24" thickBot="1" x14ac:dyDescent="0.35">
      <c r="A488" s="702" t="s">
        <v>109</v>
      </c>
      <c r="B488" s="932" t="s">
        <v>171</v>
      </c>
      <c r="C488" s="933"/>
      <c r="D488" s="934"/>
      <c r="E488" s="405"/>
      <c r="F488" s="422">
        <f t="shared" ref="F488:G488" si="313">+F483+F487</f>
        <v>1585531.35</v>
      </c>
      <c r="G488" s="423">
        <f t="shared" si="313"/>
        <v>5394190.2767999992</v>
      </c>
      <c r="H488" s="406"/>
      <c r="I488" s="422">
        <f t="shared" ref="I488:J488" si="314">+I483+I487</f>
        <v>2092030.2</v>
      </c>
      <c r="J488" s="437">
        <f t="shared" si="314"/>
        <v>8060860.0800000001</v>
      </c>
    </row>
    <row r="489" spans="1:10" ht="23.4" x14ac:dyDescent="0.3">
      <c r="A489" s="277" t="s">
        <v>109</v>
      </c>
      <c r="B489" s="929" t="s">
        <v>30</v>
      </c>
      <c r="C489" s="309" t="s">
        <v>375</v>
      </c>
      <c r="D489" s="303" t="s">
        <v>193</v>
      </c>
      <c r="E489" s="515">
        <v>15.2788</v>
      </c>
      <c r="F489" s="408">
        <f>IFERROR(E489*'01 Prod Physique Boites'!H486,"-")</f>
        <v>0</v>
      </c>
      <c r="G489" s="409">
        <f>IFERROR(E489*'01 Prod Physique Boites'!L486,"-")</f>
        <v>0</v>
      </c>
      <c r="H489" s="387">
        <v>23.65</v>
      </c>
      <c r="I489" s="425">
        <f>IFERROR(H489*(F489/E489),"-")</f>
        <v>0</v>
      </c>
      <c r="J489" s="426">
        <f t="shared" ref="J489:J491" si="315">IFERROR(H489*(G489/E489),"-")</f>
        <v>0</v>
      </c>
    </row>
    <row r="490" spans="1:10" ht="23.4" x14ac:dyDescent="0.3">
      <c r="A490" s="277" t="s">
        <v>109</v>
      </c>
      <c r="B490" s="929"/>
      <c r="C490" s="309" t="s">
        <v>368</v>
      </c>
      <c r="D490" s="309" t="s">
        <v>324</v>
      </c>
      <c r="E490" s="516">
        <v>22.6356</v>
      </c>
      <c r="F490" s="408">
        <f>IFERROR(E490*'01 Prod Physique Boites'!H487,"-")</f>
        <v>0</v>
      </c>
      <c r="G490" s="409">
        <f>IFERROR(E490*'01 Prod Physique Boites'!L487,"-")</f>
        <v>0</v>
      </c>
      <c r="H490" s="391">
        <v>34.26</v>
      </c>
      <c r="I490" s="427">
        <f>IFERROR(H490*(F490/E490),"-")</f>
        <v>0</v>
      </c>
      <c r="J490" s="428">
        <f t="shared" si="315"/>
        <v>0</v>
      </c>
    </row>
    <row r="491" spans="1:10" ht="24" thickBot="1" x14ac:dyDescent="0.35">
      <c r="A491" s="277" t="s">
        <v>109</v>
      </c>
      <c r="B491" s="929"/>
      <c r="C491" s="306" t="s">
        <v>327</v>
      </c>
      <c r="D491" s="306"/>
      <c r="E491" s="512">
        <v>25.751300000000001</v>
      </c>
      <c r="F491" s="408">
        <f>IFERROR(E491*'01 Prod Physique Boites'!H488,"-")</f>
        <v>0</v>
      </c>
      <c r="G491" s="409">
        <f>IFERROR(E491*'01 Prod Physique Boites'!L488,"-")</f>
        <v>0</v>
      </c>
      <c r="H491" s="393">
        <v>37.89</v>
      </c>
      <c r="I491" s="429">
        <f>IFERROR(H491*(F491/E491),"-")</f>
        <v>0</v>
      </c>
      <c r="J491" s="430">
        <f t="shared" si="315"/>
        <v>0</v>
      </c>
    </row>
    <row r="492" spans="1:10" ht="24" thickBot="1" x14ac:dyDescent="0.35">
      <c r="A492" s="277" t="s">
        <v>109</v>
      </c>
      <c r="B492" s="929"/>
      <c r="C492" s="307"/>
      <c r="D492" s="308" t="s">
        <v>53</v>
      </c>
      <c r="E492" s="396"/>
      <c r="F492" s="412">
        <f t="shared" ref="F492:G492" si="316">SUM(F489:F491)</f>
        <v>0</v>
      </c>
      <c r="G492" s="413">
        <f t="shared" si="316"/>
        <v>0</v>
      </c>
      <c r="H492" s="397"/>
      <c r="I492" s="412">
        <f t="shared" ref="I492" si="317">SUM(I489:I491)</f>
        <v>0</v>
      </c>
      <c r="J492" s="431">
        <f>SUM(J489:J491)</f>
        <v>0</v>
      </c>
    </row>
    <row r="493" spans="1:10" ht="23.4" x14ac:dyDescent="0.3">
      <c r="A493" s="277" t="s">
        <v>109</v>
      </c>
      <c r="B493" s="929"/>
      <c r="C493" s="303" t="s">
        <v>352</v>
      </c>
      <c r="D493" s="303"/>
      <c r="E493" s="515">
        <v>22.094999999999999</v>
      </c>
      <c r="F493" s="408">
        <f>IFERROR(E493*'01 Prod Physique Boites'!H490,"-")</f>
        <v>0</v>
      </c>
      <c r="G493" s="409">
        <f>IFERROR(E493*'01 Prod Physique Boites'!L490,"-")</f>
        <v>0</v>
      </c>
      <c r="H493" s="387">
        <v>37.11</v>
      </c>
      <c r="I493" s="425">
        <f>IFERROR(H493*(F493/E493),"-")</f>
        <v>0</v>
      </c>
      <c r="J493" s="426">
        <f t="shared" ref="J493:J495" si="318">IFERROR(H493*(G493/E493),"-")</f>
        <v>0</v>
      </c>
    </row>
    <row r="494" spans="1:10" ht="23.4" x14ac:dyDescent="0.3">
      <c r="A494" s="277" t="s">
        <v>109</v>
      </c>
      <c r="B494" s="929"/>
      <c r="C494" s="309" t="s">
        <v>397</v>
      </c>
      <c r="D494" s="309" t="s">
        <v>259</v>
      </c>
      <c r="E494" s="516">
        <v>27.917000000000002</v>
      </c>
      <c r="F494" s="408">
        <f>IFERROR(E494*'01 Prod Physique Boites'!H491,"-")</f>
        <v>418084.99200000003</v>
      </c>
      <c r="G494" s="409">
        <f>IFERROR(E494*'01 Prod Physique Boites'!L491,"-")</f>
        <v>7055184.2400000002</v>
      </c>
      <c r="H494" s="391">
        <v>39</v>
      </c>
      <c r="I494" s="427">
        <f>IFERROR(H494*(F494/E494),"-")</f>
        <v>584064</v>
      </c>
      <c r="J494" s="428">
        <f t="shared" si="318"/>
        <v>9856080</v>
      </c>
    </row>
    <row r="495" spans="1:10" ht="24" thickBot="1" x14ac:dyDescent="0.35">
      <c r="A495" s="277" t="s">
        <v>109</v>
      </c>
      <c r="B495" s="929"/>
      <c r="C495" s="306" t="s">
        <v>146</v>
      </c>
      <c r="D495" s="306"/>
      <c r="E495" s="512">
        <v>25.4041</v>
      </c>
      <c r="F495" s="408">
        <f>IFERROR(E495*'01 Prod Physique Boites'!H492,"-")</f>
        <v>0</v>
      </c>
      <c r="G495" s="409">
        <f>IFERROR(E495*'01 Prod Physique Boites'!L492,"-")</f>
        <v>0</v>
      </c>
      <c r="H495" s="393">
        <v>28.21</v>
      </c>
      <c r="I495" s="429">
        <f>IFERROR(H495*(F495/E495),"-")</f>
        <v>0</v>
      </c>
      <c r="J495" s="430">
        <f t="shared" si="318"/>
        <v>0</v>
      </c>
    </row>
    <row r="496" spans="1:10" ht="24" thickBot="1" x14ac:dyDescent="0.35">
      <c r="A496" s="277" t="s">
        <v>109</v>
      </c>
      <c r="B496" s="929"/>
      <c r="C496" s="310"/>
      <c r="D496" s="311" t="s">
        <v>54</v>
      </c>
      <c r="E496" s="403"/>
      <c r="F496" s="420">
        <f t="shared" ref="F496:G496" si="319">SUM(F493:F495)</f>
        <v>418084.99200000003</v>
      </c>
      <c r="G496" s="421">
        <f t="shared" si="319"/>
        <v>7055184.2400000002</v>
      </c>
      <c r="H496" s="404"/>
      <c r="I496" s="420">
        <f t="shared" ref="I496" si="320">SUM(I493:I495)</f>
        <v>584064</v>
      </c>
      <c r="J496" s="436">
        <f>SUM(J493:J495)</f>
        <v>9856080</v>
      </c>
    </row>
    <row r="497" spans="1:10" ht="24" thickBot="1" x14ac:dyDescent="0.35">
      <c r="A497" s="277" t="s">
        <v>109</v>
      </c>
      <c r="B497" s="932" t="s">
        <v>172</v>
      </c>
      <c r="C497" s="933"/>
      <c r="D497" s="934"/>
      <c r="E497" s="405"/>
      <c r="F497" s="422">
        <f t="shared" ref="F497:G497" si="321">+F492+F496</f>
        <v>418084.99200000003</v>
      </c>
      <c r="G497" s="423">
        <f t="shared" si="321"/>
        <v>7055184.2400000002</v>
      </c>
      <c r="H497" s="406"/>
      <c r="I497" s="422">
        <f t="shared" ref="I497:J497" si="322">+I492+I496</f>
        <v>584064</v>
      </c>
      <c r="J497" s="437">
        <f t="shared" si="322"/>
        <v>9856080</v>
      </c>
    </row>
    <row r="498" spans="1:10" ht="24" thickBot="1" x14ac:dyDescent="0.35">
      <c r="A498" s="277" t="s">
        <v>109</v>
      </c>
      <c r="B498" s="617" t="s">
        <v>32</v>
      </c>
      <c r="C498" s="698"/>
      <c r="D498" s="316"/>
      <c r="E498" s="517">
        <v>12.2659</v>
      </c>
      <c r="F498" s="414">
        <f>IFERROR(E498*'01 Prod Physique Boites'!H495,"-")</f>
        <v>0</v>
      </c>
      <c r="G498" s="415">
        <f>IFERROR(E498*'01 Prod Physique Boites'!L495,"-")</f>
        <v>0</v>
      </c>
      <c r="H498" s="398"/>
      <c r="I498" s="432">
        <f>IFERROR(H498*(F498/E498),"-")</f>
        <v>0</v>
      </c>
      <c r="J498" s="433">
        <f>IFERROR(H498*(G498/E498),"-")</f>
        <v>0</v>
      </c>
    </row>
    <row r="499" spans="1:10" ht="24" thickBot="1" x14ac:dyDescent="0.35">
      <c r="A499" s="277" t="s">
        <v>109</v>
      </c>
      <c r="B499" s="926" t="s">
        <v>21</v>
      </c>
      <c r="C499" s="927"/>
      <c r="D499" s="928"/>
      <c r="E499" s="399"/>
      <c r="F499" s="416">
        <f t="shared" ref="F499" si="323">+F488+F497+F498</f>
        <v>2003616.3420000002</v>
      </c>
      <c r="G499" s="417">
        <f>+G488+G497+G498</f>
        <v>12449374.516799999</v>
      </c>
      <c r="H499" s="400"/>
      <c r="I499" s="416">
        <f t="shared" ref="I499:J499" si="324">+I488+I497+I498</f>
        <v>2676094.2000000002</v>
      </c>
      <c r="J499" s="434">
        <f t="shared" si="324"/>
        <v>17916940.079999998</v>
      </c>
    </row>
    <row r="500" spans="1:10" ht="24" thickBot="1" x14ac:dyDescent="0.35">
      <c r="A500" s="277" t="s">
        <v>109</v>
      </c>
      <c r="B500" s="900" t="s">
        <v>180</v>
      </c>
      <c r="C500" s="901"/>
      <c r="D500" s="902"/>
      <c r="E500" s="401"/>
      <c r="F500" s="418">
        <f t="shared" ref="F500:G500" si="325">+F499</f>
        <v>2003616.3420000002</v>
      </c>
      <c r="G500" s="419">
        <f t="shared" si="325"/>
        <v>12449374.516799999</v>
      </c>
      <c r="H500" s="402"/>
      <c r="I500" s="418">
        <f t="shared" ref="I500:J500" si="326">+I499</f>
        <v>2676094.2000000002</v>
      </c>
      <c r="J500" s="435">
        <f t="shared" si="326"/>
        <v>17916940.079999998</v>
      </c>
    </row>
    <row r="501" spans="1:10" ht="23.4" x14ac:dyDescent="0.3">
      <c r="A501" s="271" t="s">
        <v>110</v>
      </c>
      <c r="B501" s="903" t="s">
        <v>33</v>
      </c>
      <c r="C501" s="317" t="s">
        <v>121</v>
      </c>
      <c r="D501" s="317"/>
      <c r="E501" s="513">
        <v>254.89750000000001</v>
      </c>
      <c r="F501" s="408">
        <f>IFERROR(E501*'01 Prod Physique Boites'!H498,"-")</f>
        <v>0</v>
      </c>
      <c r="G501" s="409">
        <f>IFERROR(E501*'01 Prod Physique Boites'!L498,"-")</f>
        <v>0</v>
      </c>
      <c r="H501" s="387">
        <v>445.38</v>
      </c>
      <c r="I501" s="425">
        <f>IFERROR(H501*(F501/E501),"-")</f>
        <v>0</v>
      </c>
      <c r="J501" s="426">
        <f t="shared" ref="J501:J503" si="327">IFERROR(H501*(G501/E501),"-")</f>
        <v>0</v>
      </c>
    </row>
    <row r="502" spans="1:10" ht="23.4" x14ac:dyDescent="0.3">
      <c r="A502" s="277" t="s">
        <v>110</v>
      </c>
      <c r="B502" s="904"/>
      <c r="C502" s="318" t="s">
        <v>274</v>
      </c>
      <c r="D502" s="318"/>
      <c r="E502" s="514">
        <v>246.51390000000001</v>
      </c>
      <c r="F502" s="408">
        <f>IFERROR(E502*'01 Prod Physique Boites'!H499,"-")</f>
        <v>271165.28999999998</v>
      </c>
      <c r="G502" s="409">
        <f>IFERROR(E502*'01 Prod Physique Boites'!L499,"-")</f>
        <v>532470.02399999998</v>
      </c>
      <c r="H502" s="391">
        <v>430.02</v>
      </c>
      <c r="I502" s="427">
        <f>IFERROR(H502*(F502/E502),"-")</f>
        <v>473021.99999999988</v>
      </c>
      <c r="J502" s="428">
        <f t="shared" si="327"/>
        <v>928843.2</v>
      </c>
    </row>
    <row r="503" spans="1:10" ht="24" thickBot="1" x14ac:dyDescent="0.35">
      <c r="A503" s="277" t="s">
        <v>110</v>
      </c>
      <c r="B503" s="905"/>
      <c r="C503" s="319" t="s">
        <v>34</v>
      </c>
      <c r="D503" s="319"/>
      <c r="E503" s="511">
        <v>225.7713</v>
      </c>
      <c r="F503" s="408">
        <f>IFERROR(E503*'01 Prod Physique Boites'!H500,"-")</f>
        <v>0</v>
      </c>
      <c r="G503" s="409">
        <f>IFERROR(E503*'01 Prod Physique Boites'!L500,"-")</f>
        <v>0</v>
      </c>
      <c r="H503" s="393"/>
      <c r="I503" s="429">
        <f>IFERROR(H503*(F503/E503),"-")</f>
        <v>0</v>
      </c>
      <c r="J503" s="430">
        <f t="shared" si="327"/>
        <v>0</v>
      </c>
    </row>
    <row r="504" spans="1:10" ht="24" thickBot="1" x14ac:dyDescent="0.35">
      <c r="A504" s="277" t="s">
        <v>110</v>
      </c>
      <c r="B504" s="906" t="s">
        <v>35</v>
      </c>
      <c r="C504" s="907"/>
      <c r="D504" s="908"/>
      <c r="E504" s="396"/>
      <c r="F504" s="412">
        <f t="shared" ref="F504:G504" si="328">SUM(F501:F503)</f>
        <v>271165.28999999998</v>
      </c>
      <c r="G504" s="413">
        <f t="shared" si="328"/>
        <v>532470.02399999998</v>
      </c>
      <c r="H504" s="397"/>
      <c r="I504" s="412">
        <f t="shared" ref="I504:J504" si="329">SUM(I501:I503)</f>
        <v>473021.99999999988</v>
      </c>
      <c r="J504" s="431">
        <f t="shared" si="329"/>
        <v>928843.2</v>
      </c>
    </row>
    <row r="505" spans="1:10" ht="23.4" x14ac:dyDescent="0.3">
      <c r="A505" s="277" t="s">
        <v>110</v>
      </c>
      <c r="B505" s="903" t="s">
        <v>36</v>
      </c>
      <c r="C505" s="317" t="s">
        <v>121</v>
      </c>
      <c r="D505" s="317"/>
      <c r="E505" s="513">
        <v>254.89750000000001</v>
      </c>
      <c r="F505" s="408">
        <f>IFERROR(E505*'01 Prod Physique Boites'!H502,"-")</f>
        <v>0</v>
      </c>
      <c r="G505" s="409">
        <f>IFERROR(E505*'01 Prod Physique Boites'!L502,"-")</f>
        <v>0</v>
      </c>
      <c r="H505" s="387">
        <v>445.38</v>
      </c>
      <c r="I505" s="425">
        <f>IFERROR(H505*(F505/E505),"-")</f>
        <v>0</v>
      </c>
      <c r="J505" s="426">
        <f t="shared" ref="J505:J508" si="330">IFERROR(H505*(G505/E505),"-")</f>
        <v>0</v>
      </c>
    </row>
    <row r="506" spans="1:10" ht="23.4" x14ac:dyDescent="0.3">
      <c r="A506" s="277" t="s">
        <v>110</v>
      </c>
      <c r="B506" s="904"/>
      <c r="C506" s="318" t="s">
        <v>274</v>
      </c>
      <c r="D506" s="318"/>
      <c r="E506" s="514">
        <v>246.51390000000001</v>
      </c>
      <c r="F506" s="408">
        <f>IFERROR(E506*'01 Prod Physique Boites'!H503,"-")</f>
        <v>0</v>
      </c>
      <c r="G506" s="409">
        <f>IFERROR(E506*'01 Prod Physique Boites'!L503,"-")</f>
        <v>0</v>
      </c>
      <c r="H506" s="391">
        <v>430.02</v>
      </c>
      <c r="I506" s="427">
        <f>IFERROR(H506*(F506/E506),"-")</f>
        <v>0</v>
      </c>
      <c r="J506" s="428">
        <f t="shared" si="330"/>
        <v>0</v>
      </c>
    </row>
    <row r="507" spans="1:10" ht="23.4" x14ac:dyDescent="0.3">
      <c r="A507" s="277" t="s">
        <v>110</v>
      </c>
      <c r="B507" s="904"/>
      <c r="C507" s="318" t="s">
        <v>201</v>
      </c>
      <c r="D507" s="318" t="s">
        <v>200</v>
      </c>
      <c r="E507" s="514">
        <v>254.89750000000001</v>
      </c>
      <c r="F507" s="408">
        <f>IFERROR(E507*'01 Prod Physique Boites'!H504,"-")</f>
        <v>0</v>
      </c>
      <c r="G507" s="409">
        <f>IFERROR(E507*'01 Prod Physique Boites'!L504,"-")</f>
        <v>0</v>
      </c>
      <c r="H507" s="391"/>
      <c r="I507" s="427">
        <f>IFERROR(H507*(F507/E507),"-")</f>
        <v>0</v>
      </c>
      <c r="J507" s="428">
        <f t="shared" si="330"/>
        <v>0</v>
      </c>
    </row>
    <row r="508" spans="1:10" ht="24" thickBot="1" x14ac:dyDescent="0.35">
      <c r="A508" s="277" t="s">
        <v>110</v>
      </c>
      <c r="B508" s="905"/>
      <c r="C508" s="319" t="s">
        <v>37</v>
      </c>
      <c r="D508" s="319"/>
      <c r="E508" s="511">
        <v>229.99359999999999</v>
      </c>
      <c r="F508" s="408">
        <f>IFERROR(E508*'01 Prod Physique Boites'!H505,"-")</f>
        <v>0</v>
      </c>
      <c r="G508" s="409">
        <f>IFERROR(E508*'01 Prod Physique Boites'!L505,"-")</f>
        <v>0</v>
      </c>
      <c r="H508" s="393"/>
      <c r="I508" s="429">
        <f>IFERROR(H508*(F508/E508),"-")</f>
        <v>0</v>
      </c>
      <c r="J508" s="430">
        <f t="shared" si="330"/>
        <v>0</v>
      </c>
    </row>
    <row r="509" spans="1:10" ht="24" thickBot="1" x14ac:dyDescent="0.35">
      <c r="A509" s="277" t="s">
        <v>110</v>
      </c>
      <c r="B509" s="906" t="s">
        <v>38</v>
      </c>
      <c r="C509" s="907"/>
      <c r="D509" s="908"/>
      <c r="E509" s="396"/>
      <c r="F509" s="412">
        <f t="shared" ref="F509:G509" si="331">SUM(F505:F508)</f>
        <v>0</v>
      </c>
      <c r="G509" s="413">
        <f t="shared" si="331"/>
        <v>0</v>
      </c>
      <c r="H509" s="397"/>
      <c r="I509" s="412">
        <f>SUM(I505:I508)</f>
        <v>0</v>
      </c>
      <c r="J509" s="431">
        <f>SUM(J505:J508)</f>
        <v>0</v>
      </c>
    </row>
    <row r="510" spans="1:10" ht="23.4" x14ac:dyDescent="0.3">
      <c r="A510" s="277" t="s">
        <v>110</v>
      </c>
      <c r="B510" s="903" t="s">
        <v>39</v>
      </c>
      <c r="C510" s="320" t="s">
        <v>124</v>
      </c>
      <c r="D510" s="320"/>
      <c r="E510" s="513">
        <v>195.2808</v>
      </c>
      <c r="F510" s="408">
        <f>IFERROR(E510*'01 Prod Physique Boites'!H507,"-")</f>
        <v>0</v>
      </c>
      <c r="G510" s="409">
        <f>IFERROR(E510*'01 Prod Physique Boites'!L507,"-")</f>
        <v>0</v>
      </c>
      <c r="H510" s="387"/>
      <c r="I510" s="425">
        <f>IFERROR(H510*(F510/E510),"-")</f>
        <v>0</v>
      </c>
      <c r="J510" s="426">
        <f t="shared" ref="J510:J511" si="332">IFERROR(H510*(G510/E510),"-")</f>
        <v>0</v>
      </c>
    </row>
    <row r="511" spans="1:10" ht="24" thickBot="1" x14ac:dyDescent="0.35">
      <c r="A511" s="277" t="s">
        <v>110</v>
      </c>
      <c r="B511" s="905"/>
      <c r="C511" s="290" t="s">
        <v>140</v>
      </c>
      <c r="D511" s="290"/>
      <c r="E511" s="511">
        <v>189.91890000000001</v>
      </c>
      <c r="F511" s="408">
        <f>IFERROR(E511*'01 Prod Physique Boites'!H508,"-")</f>
        <v>0</v>
      </c>
      <c r="G511" s="409">
        <f>IFERROR(E511*'01 Prod Physique Boites'!L508,"-")</f>
        <v>0</v>
      </c>
      <c r="H511" s="393">
        <v>320.35000000000002</v>
      </c>
      <c r="I511" s="429">
        <f>IFERROR(H511*(F511/E511),"-")</f>
        <v>0</v>
      </c>
      <c r="J511" s="430">
        <f t="shared" si="332"/>
        <v>0</v>
      </c>
    </row>
    <row r="512" spans="1:10" ht="24" thickBot="1" x14ac:dyDescent="0.35">
      <c r="A512" s="702" t="s">
        <v>110</v>
      </c>
      <c r="B512" s="906" t="s">
        <v>40</v>
      </c>
      <c r="C512" s="907"/>
      <c r="D512" s="908"/>
      <c r="E512" s="396"/>
      <c r="F512" s="412">
        <f>SUM(F510:F511)</f>
        <v>0</v>
      </c>
      <c r="G512" s="413">
        <f t="shared" ref="G512" si="333">SUM(G510:G511)</f>
        <v>0</v>
      </c>
      <c r="H512" s="397"/>
      <c r="I512" s="412">
        <f t="shared" ref="I512:J512" si="334">SUM(I510:I511)</f>
        <v>0</v>
      </c>
      <c r="J512" s="431">
        <f t="shared" si="334"/>
        <v>0</v>
      </c>
    </row>
    <row r="513" spans="1:10" ht="23.4" x14ac:dyDescent="0.3">
      <c r="A513" s="277" t="s">
        <v>110</v>
      </c>
      <c r="B513" s="903" t="s">
        <v>41</v>
      </c>
      <c r="C513" s="272" t="s">
        <v>346</v>
      </c>
      <c r="D513" s="272" t="s">
        <v>263</v>
      </c>
      <c r="E513" s="515">
        <v>37.248699999999999</v>
      </c>
      <c r="F513" s="408">
        <f>IFERROR(E513*'01 Prod Physique Boites'!H510,"-")</f>
        <v>107276.25599999999</v>
      </c>
      <c r="G513" s="409">
        <f>IFERROR(E513*'01 Prod Physique Boites'!L510,"-")</f>
        <v>1423645.314</v>
      </c>
      <c r="H513" s="387">
        <v>71.44</v>
      </c>
      <c r="I513" s="425">
        <f>IFERROR(H513*(F513/E513),"-")</f>
        <v>205747.19999999998</v>
      </c>
      <c r="J513" s="426">
        <f>IFERROR(H513*(G513/E513),"-")</f>
        <v>2730436.8</v>
      </c>
    </row>
    <row r="514" spans="1:10" ht="23.4" x14ac:dyDescent="0.3">
      <c r="A514" s="277" t="s">
        <v>110</v>
      </c>
      <c r="B514" s="904"/>
      <c r="C514" s="272" t="s">
        <v>165</v>
      </c>
      <c r="D514" s="278"/>
      <c r="E514" s="515">
        <v>37.248699999999999</v>
      </c>
      <c r="F514" s="408">
        <f>IFERROR(E514*'01 Prod Physique Boites'!H511,"-")</f>
        <v>0</v>
      </c>
      <c r="G514" s="409">
        <f>IFERROR(E514*'01 Prod Physique Boites'!L511,"-")</f>
        <v>0</v>
      </c>
      <c r="H514" s="391"/>
      <c r="I514" s="427">
        <f>IFERROR(H514*(F514/E514),"-")</f>
        <v>0</v>
      </c>
      <c r="J514" s="428">
        <f t="shared" ref="J514:J517" si="335">IFERROR(H514*(G514/E514),"-")</f>
        <v>0</v>
      </c>
    </row>
    <row r="515" spans="1:10" ht="23.4" x14ac:dyDescent="0.3">
      <c r="A515" s="277" t="s">
        <v>110</v>
      </c>
      <c r="B515" s="904"/>
      <c r="C515" s="278" t="s">
        <v>423</v>
      </c>
      <c r="D515" s="272" t="s">
        <v>263</v>
      </c>
      <c r="E515" s="516">
        <v>38.466099999999997</v>
      </c>
      <c r="F515" s="408">
        <f>IFERROR(E515*'01 Prod Physique Boites'!H512,"-")</f>
        <v>623150.81999999995</v>
      </c>
      <c r="G515" s="409">
        <f>IFERROR(E515*'01 Prod Physique Boites'!L512,"-")</f>
        <v>1287845.0279999999</v>
      </c>
      <c r="H515" s="391">
        <v>71.44</v>
      </c>
      <c r="I515" s="427">
        <f>IFERROR(H515*(F515/E515),"-")</f>
        <v>1157328</v>
      </c>
      <c r="J515" s="428">
        <f t="shared" si="335"/>
        <v>2391811.1999999997</v>
      </c>
    </row>
    <row r="516" spans="1:10" ht="23.4" x14ac:dyDescent="0.3">
      <c r="A516" s="277" t="s">
        <v>110</v>
      </c>
      <c r="B516" s="904"/>
      <c r="C516" s="278" t="s">
        <v>166</v>
      </c>
      <c r="D516" s="278"/>
      <c r="E516" s="516">
        <v>37.248699999999999</v>
      </c>
      <c r="F516" s="408">
        <f>IFERROR(E516*'01 Prod Physique Boites'!H513,"-")</f>
        <v>0</v>
      </c>
      <c r="G516" s="409">
        <f>IFERROR(E516*'01 Prod Physique Boites'!L513,"-")</f>
        <v>0</v>
      </c>
      <c r="H516" s="391"/>
      <c r="I516" s="427">
        <f>IFERROR(H516*(F516/E516),"-")</f>
        <v>0</v>
      </c>
      <c r="J516" s="428">
        <f t="shared" si="335"/>
        <v>0</v>
      </c>
    </row>
    <row r="517" spans="1:10" ht="24" thickBot="1" x14ac:dyDescent="0.35">
      <c r="A517" s="277" t="s">
        <v>110</v>
      </c>
      <c r="B517" s="905"/>
      <c r="C517" s="282" t="s">
        <v>167</v>
      </c>
      <c r="D517" s="282"/>
      <c r="E517" s="512">
        <v>33.711399999999998</v>
      </c>
      <c r="F517" s="408">
        <f>IFERROR(E517*'01 Prod Physique Boites'!H514,"-")</f>
        <v>0</v>
      </c>
      <c r="G517" s="409">
        <f>IFERROR(E517*'01 Prod Physique Boites'!L514,"-")</f>
        <v>0</v>
      </c>
      <c r="H517" s="393"/>
      <c r="I517" s="429">
        <f>IFERROR(H517*(F517/E517),"-")</f>
        <v>0</v>
      </c>
      <c r="J517" s="430">
        <f t="shared" si="335"/>
        <v>0</v>
      </c>
    </row>
    <row r="518" spans="1:10" ht="24" thickBot="1" x14ac:dyDescent="0.35">
      <c r="A518" s="277" t="s">
        <v>110</v>
      </c>
      <c r="B518" s="906" t="s">
        <v>42</v>
      </c>
      <c r="C518" s="907"/>
      <c r="D518" s="908"/>
      <c r="E518" s="396"/>
      <c r="F518" s="412">
        <f>SUM(F513:F517)</f>
        <v>730427.07599999988</v>
      </c>
      <c r="G518" s="413">
        <f>SUM(G513:G517)</f>
        <v>2711490.3420000002</v>
      </c>
      <c r="H518" s="397"/>
      <c r="I518" s="412">
        <f>SUM(I513:I517)</f>
        <v>1363075.2</v>
      </c>
      <c r="J518" s="412">
        <f>SUM(J513:J517)</f>
        <v>5122248</v>
      </c>
    </row>
    <row r="519" spans="1:10" ht="23.4" x14ac:dyDescent="0.3">
      <c r="A519" s="277" t="s">
        <v>110</v>
      </c>
      <c r="B519" s="903" t="s">
        <v>43</v>
      </c>
      <c r="C519" s="272" t="s">
        <v>204</v>
      </c>
      <c r="D519" s="272" t="s">
        <v>200</v>
      </c>
      <c r="E519" s="515">
        <v>30.7499</v>
      </c>
      <c r="F519" s="408">
        <f>IFERROR(E519*'01 Prod Physique Boites'!H516,"-")</f>
        <v>0</v>
      </c>
      <c r="G519" s="409">
        <f>IFERROR(E519*'01 Prod Physique Boites'!L516,"-")</f>
        <v>0</v>
      </c>
      <c r="H519" s="387"/>
      <c r="I519" s="425">
        <f>IFERROR(H519*(F519/E519),"-")</f>
        <v>0</v>
      </c>
      <c r="J519" s="426">
        <f>IFERROR(H519*(G519/E519),"-")</f>
        <v>0</v>
      </c>
    </row>
    <row r="520" spans="1:10" ht="23.4" x14ac:dyDescent="0.3">
      <c r="A520" s="277" t="s">
        <v>110</v>
      </c>
      <c r="B520" s="904"/>
      <c r="C520" s="278" t="s">
        <v>168</v>
      </c>
      <c r="D520" s="278"/>
      <c r="E520" s="516">
        <v>28.7</v>
      </c>
      <c r="F520" s="408">
        <f>IFERROR(E520*'01 Prod Physique Boites'!H517,"-")</f>
        <v>0</v>
      </c>
      <c r="G520" s="409">
        <f>IFERROR(E520*'01 Prod Physique Boites'!L517,"-")</f>
        <v>0</v>
      </c>
      <c r="H520" s="391"/>
      <c r="I520" s="427">
        <f>IFERROR(H520*(F520/E520),"-")</f>
        <v>0</v>
      </c>
      <c r="J520" s="428">
        <f t="shared" ref="J520:J521" si="336">IFERROR(H520*(G520/E520),"-")</f>
        <v>0</v>
      </c>
    </row>
    <row r="521" spans="1:10" ht="24" thickBot="1" x14ac:dyDescent="0.35">
      <c r="A521" s="277" t="s">
        <v>110</v>
      </c>
      <c r="B521" s="905"/>
      <c r="C521" s="282" t="s">
        <v>204</v>
      </c>
      <c r="D521" s="282" t="s">
        <v>203</v>
      </c>
      <c r="E521" s="512">
        <v>30.073599999999999</v>
      </c>
      <c r="F521" s="408">
        <f>IFERROR(E521*'01 Prod Physique Boites'!H518,"-")</f>
        <v>0</v>
      </c>
      <c r="G521" s="409">
        <f>IFERROR(E521*'01 Prod Physique Boites'!L518,"-")</f>
        <v>0</v>
      </c>
      <c r="H521" s="393"/>
      <c r="I521" s="429">
        <f>IFERROR(H521*(F521/E521),"-")</f>
        <v>0</v>
      </c>
      <c r="J521" s="430">
        <f t="shared" si="336"/>
        <v>0</v>
      </c>
    </row>
    <row r="522" spans="1:10" ht="24" thickBot="1" x14ac:dyDescent="0.35">
      <c r="A522" s="277" t="s">
        <v>110</v>
      </c>
      <c r="B522" s="909" t="s">
        <v>44</v>
      </c>
      <c r="C522" s="910"/>
      <c r="D522" s="911"/>
      <c r="E522" s="396"/>
      <c r="F522" s="412">
        <f t="shared" ref="F522:G522" si="337">SUM(F519:F521)</f>
        <v>0</v>
      </c>
      <c r="G522" s="413">
        <f t="shared" si="337"/>
        <v>0</v>
      </c>
      <c r="H522" s="397"/>
      <c r="I522" s="412">
        <f t="shared" ref="I522:J522" si="338">SUM(I519:I521)</f>
        <v>0</v>
      </c>
      <c r="J522" s="431">
        <f t="shared" si="338"/>
        <v>0</v>
      </c>
    </row>
    <row r="523" spans="1:10" ht="23.4" x14ac:dyDescent="0.3">
      <c r="A523" s="277" t="s">
        <v>110</v>
      </c>
      <c r="B523" s="903" t="s">
        <v>45</v>
      </c>
      <c r="C523" s="272" t="s">
        <v>169</v>
      </c>
      <c r="D523" s="272"/>
      <c r="E523" s="515">
        <v>36.684899999999999</v>
      </c>
      <c r="F523" s="408">
        <f>IFERROR(E523*'01 Prod Physique Boites'!H520,"-")</f>
        <v>0</v>
      </c>
      <c r="G523" s="409">
        <f>IFERROR(E523*'01 Prod Physique Boites'!L520,"-")</f>
        <v>0</v>
      </c>
      <c r="H523" s="387"/>
      <c r="I523" s="388" t="s">
        <v>209</v>
      </c>
      <c r="J523" s="389" t="s">
        <v>209</v>
      </c>
    </row>
    <row r="524" spans="1:10" ht="24" thickBot="1" x14ac:dyDescent="0.35">
      <c r="A524" s="277" t="s">
        <v>110</v>
      </c>
      <c r="B524" s="905"/>
      <c r="C524" s="282" t="s">
        <v>170</v>
      </c>
      <c r="D524" s="282"/>
      <c r="E524" s="512">
        <v>37.002800000000001</v>
      </c>
      <c r="F524" s="408">
        <f>IFERROR(E524*'01 Prod Physique Boites'!H521,"-")</f>
        <v>0</v>
      </c>
      <c r="G524" s="409">
        <f>IFERROR(E524*'01 Prod Physique Boites'!L521,"-")</f>
        <v>0</v>
      </c>
      <c r="H524" s="393"/>
      <c r="I524" s="394" t="s">
        <v>209</v>
      </c>
      <c r="J524" s="395" t="s">
        <v>209</v>
      </c>
    </row>
    <row r="525" spans="1:10" ht="24" thickBot="1" x14ac:dyDescent="0.35">
      <c r="A525" s="277" t="s">
        <v>110</v>
      </c>
      <c r="B525" s="909" t="s">
        <v>46</v>
      </c>
      <c r="C525" s="910"/>
      <c r="D525" s="911"/>
      <c r="E525" s="396"/>
      <c r="F525" s="412">
        <f t="shared" ref="F525:G525" si="339">SUM(F523:F524)</f>
        <v>0</v>
      </c>
      <c r="G525" s="413">
        <f t="shared" si="339"/>
        <v>0</v>
      </c>
      <c r="H525" s="397"/>
      <c r="I525" s="412">
        <f t="shared" ref="I525:J525" si="340">SUM(I523:I524)</f>
        <v>0</v>
      </c>
      <c r="J525" s="431">
        <f t="shared" si="340"/>
        <v>0</v>
      </c>
    </row>
    <row r="526" spans="1:10" ht="24" thickBot="1" x14ac:dyDescent="0.35">
      <c r="A526" s="277" t="s">
        <v>110</v>
      </c>
      <c r="B526" s="912" t="s">
        <v>25</v>
      </c>
      <c r="C526" s="913"/>
      <c r="D526" s="914"/>
      <c r="E526" s="399"/>
      <c r="F526" s="416">
        <f t="shared" ref="F526:G526" si="341">+F504+F509+F512+F518+F522+F525</f>
        <v>1001592.3659999999</v>
      </c>
      <c r="G526" s="417">
        <f t="shared" si="341"/>
        <v>3243960.3660000004</v>
      </c>
      <c r="H526" s="400"/>
      <c r="I526" s="416">
        <f>+I504+I509+I512+I518+I522+I525</f>
        <v>1836097.1999999997</v>
      </c>
      <c r="J526" s="434">
        <f>+J504+J509+J512+J518+J522+J525</f>
        <v>6051091.2000000002</v>
      </c>
    </row>
    <row r="527" spans="1:10" ht="24" thickBot="1" x14ac:dyDescent="0.35">
      <c r="A527" s="324" t="s">
        <v>110</v>
      </c>
      <c r="B527" s="901" t="s">
        <v>182</v>
      </c>
      <c r="C527" s="901"/>
      <c r="D527" s="902"/>
      <c r="E527" s="401"/>
      <c r="F527" s="418">
        <f t="shared" ref="F527:G527" si="342">+F526</f>
        <v>1001592.3659999999</v>
      </c>
      <c r="G527" s="419">
        <f t="shared" si="342"/>
        <v>3243960.3660000004</v>
      </c>
      <c r="H527" s="402"/>
      <c r="I527" s="418">
        <f t="shared" ref="I527" si="343">+I526</f>
        <v>1836097.1999999997</v>
      </c>
      <c r="J527" s="435">
        <f>+J526</f>
        <v>6051091.2000000002</v>
      </c>
    </row>
    <row r="528" spans="1:10" ht="24.6" thickBot="1" x14ac:dyDescent="0.35">
      <c r="A528" s="325"/>
      <c r="B528" s="915" t="s">
        <v>183</v>
      </c>
      <c r="C528" s="916"/>
      <c r="D528" s="917"/>
      <c r="E528" s="407"/>
      <c r="F528" s="424">
        <f t="shared" ref="F528:G528" si="344">+F473+F500+F527</f>
        <v>4140107.1792000001</v>
      </c>
      <c r="G528" s="424">
        <f t="shared" si="344"/>
        <v>26753187.797699999</v>
      </c>
      <c r="H528" s="407"/>
      <c r="I528" s="424">
        <f t="shared" ref="I528:J528" si="345">+I473+I500+I527</f>
        <v>6560378.1072000004</v>
      </c>
      <c r="J528" s="438">
        <f t="shared" si="345"/>
        <v>42506017.532399997</v>
      </c>
    </row>
    <row r="529" spans="1:10" ht="23.4" x14ac:dyDescent="0.3">
      <c r="A529" s="935" t="s">
        <v>1</v>
      </c>
      <c r="B529" s="938" t="s">
        <v>2</v>
      </c>
      <c r="C529" s="941" t="s">
        <v>3</v>
      </c>
      <c r="D529" s="941" t="s">
        <v>93</v>
      </c>
      <c r="E529" s="965" t="s">
        <v>176</v>
      </c>
      <c r="F529" s="966"/>
      <c r="G529" s="966"/>
      <c r="H529" s="451"/>
      <c r="I529" s="451"/>
      <c r="J529" s="452"/>
    </row>
    <row r="530" spans="1:10" ht="23.4" x14ac:dyDescent="0.3">
      <c r="A530" s="936"/>
      <c r="B530" s="939"/>
      <c r="C530" s="942"/>
      <c r="D530" s="942"/>
      <c r="E530" s="967" t="s">
        <v>178</v>
      </c>
      <c r="F530" s="968"/>
      <c r="G530" s="969"/>
      <c r="H530" s="967" t="s">
        <v>177</v>
      </c>
      <c r="I530" s="968"/>
      <c r="J530" s="969"/>
    </row>
    <row r="531" spans="1:10" ht="46.8" x14ac:dyDescent="0.3">
      <c r="A531" s="937"/>
      <c r="B531" s="963"/>
      <c r="C531" s="964"/>
      <c r="D531" s="964"/>
      <c r="E531" s="385" t="s">
        <v>179</v>
      </c>
      <c r="F531" s="711" t="s">
        <v>11</v>
      </c>
      <c r="G531" s="712" t="s">
        <v>12</v>
      </c>
      <c r="H531" s="970" t="s">
        <v>179</v>
      </c>
      <c r="I531" s="972" t="s">
        <v>145</v>
      </c>
      <c r="J531" s="974" t="s">
        <v>12</v>
      </c>
    </row>
    <row r="532" spans="1:10" ht="24" thickBot="1" x14ac:dyDescent="0.35">
      <c r="A532" s="937"/>
      <c r="B532" s="940"/>
      <c r="C532" s="943"/>
      <c r="D532" s="943"/>
      <c r="E532" s="976">
        <v>44508</v>
      </c>
      <c r="F532" s="977"/>
      <c r="G532" s="978"/>
      <c r="H532" s="971"/>
      <c r="I532" s="973"/>
      <c r="J532" s="975"/>
    </row>
    <row r="533" spans="1:10" ht="23.4" x14ac:dyDescent="0.3">
      <c r="A533" s="271" t="s">
        <v>111</v>
      </c>
      <c r="B533" s="922" t="s">
        <v>16</v>
      </c>
      <c r="C533" s="272" t="s">
        <v>186</v>
      </c>
      <c r="D533" s="272" t="s">
        <v>184</v>
      </c>
      <c r="E533" s="515">
        <v>81.360699999999994</v>
      </c>
      <c r="F533" s="408">
        <f>IFERROR(E533*'01 Prod Physique Boites'!H529,"-")</f>
        <v>0</v>
      </c>
      <c r="G533" s="408">
        <f>IFERROR(E533*'01 Prod Physique Boites'!L529,"-")</f>
        <v>0</v>
      </c>
      <c r="H533" s="387">
        <v>0</v>
      </c>
      <c r="I533" s="425">
        <f>IFERROR(H533*(F533/E533),"-")</f>
        <v>0</v>
      </c>
      <c r="J533" s="426">
        <f t="shared" ref="J533:J535" si="346">IFERROR(H533*(G533/E533),"-")</f>
        <v>0</v>
      </c>
    </row>
    <row r="534" spans="1:10" ht="23.4" x14ac:dyDescent="0.3">
      <c r="A534" s="277" t="s">
        <v>111</v>
      </c>
      <c r="B534" s="923"/>
      <c r="C534" s="278" t="s">
        <v>190</v>
      </c>
      <c r="D534" s="278" t="s">
        <v>101</v>
      </c>
      <c r="E534" s="516">
        <v>81.360699999999994</v>
      </c>
      <c r="F534" s="408">
        <f>IFERROR(E534*'01 Prod Physique Boites'!H530,"-")</f>
        <v>0</v>
      </c>
      <c r="G534" s="408">
        <f>IFERROR(E534*'01 Prod Physique Boites'!L530,"-")</f>
        <v>0</v>
      </c>
      <c r="H534" s="391">
        <v>0</v>
      </c>
      <c r="I534" s="425">
        <f>IFERROR(H534*(F534/E534),"-")</f>
        <v>0</v>
      </c>
      <c r="J534" s="426">
        <f t="shared" si="346"/>
        <v>0</v>
      </c>
    </row>
    <row r="535" spans="1:10" ht="23.4" x14ac:dyDescent="0.3">
      <c r="A535" s="277" t="s">
        <v>111</v>
      </c>
      <c r="B535" s="923"/>
      <c r="C535" s="278" t="s">
        <v>187</v>
      </c>
      <c r="D535" s="278" t="s">
        <v>185</v>
      </c>
      <c r="E535" s="516">
        <v>55.476900000000001</v>
      </c>
      <c r="F535" s="408">
        <f>IFERROR(E535*'01 Prod Physique Boites'!H531,"-")</f>
        <v>0</v>
      </c>
      <c r="G535" s="408">
        <f>IFERROR(E535*'01 Prod Physique Boites'!L531,"-")</f>
        <v>0</v>
      </c>
      <c r="H535" s="391">
        <v>0</v>
      </c>
      <c r="I535" s="425">
        <f>IFERROR(H535*(F535/E535),"-")</f>
        <v>0</v>
      </c>
      <c r="J535" s="426">
        <f t="shared" si="346"/>
        <v>0</v>
      </c>
    </row>
    <row r="536" spans="1:10" ht="24" thickBot="1" x14ac:dyDescent="0.35">
      <c r="A536" s="277" t="s">
        <v>111</v>
      </c>
      <c r="B536" s="924"/>
      <c r="C536" s="282" t="s">
        <v>289</v>
      </c>
      <c r="D536" s="282" t="s">
        <v>256</v>
      </c>
      <c r="E536" s="512">
        <v>60.703499999999998</v>
      </c>
      <c r="F536" s="408">
        <f>IFERROR(E536*'01 Prod Physique Boites'!H532,"-")</f>
        <v>808084.99199999997</v>
      </c>
      <c r="G536" s="408">
        <f>IFERROR(E536*'01 Prod Physique Boites'!L532,"-")</f>
        <v>4506627.84</v>
      </c>
      <c r="H536" s="393">
        <v>111.0883</v>
      </c>
      <c r="I536" s="425">
        <f>IFERROR(H536*(F536/E536),"-")</f>
        <v>1478807.4495999999</v>
      </c>
      <c r="J536" s="426">
        <f>IFERROR(H536*(G536/E536),"-")</f>
        <v>8247195.392</v>
      </c>
    </row>
    <row r="537" spans="1:10" ht="24" thickBot="1" x14ac:dyDescent="0.35">
      <c r="A537" s="277" t="s">
        <v>111</v>
      </c>
      <c r="B537" s="906" t="s">
        <v>47</v>
      </c>
      <c r="C537" s="907"/>
      <c r="D537" s="908"/>
      <c r="E537" s="396"/>
      <c r="F537" s="412">
        <f t="shared" ref="F537:G537" si="347">SUM(F533:F536)</f>
        <v>808084.99199999997</v>
      </c>
      <c r="G537" s="413">
        <f t="shared" si="347"/>
        <v>4506627.84</v>
      </c>
      <c r="H537" s="397"/>
      <c r="I537" s="412">
        <f t="shared" ref="I537:J537" si="348">SUM(I533:I536)</f>
        <v>1478807.4495999999</v>
      </c>
      <c r="J537" s="431">
        <f t="shared" si="348"/>
        <v>8247195.392</v>
      </c>
    </row>
    <row r="538" spans="1:10" ht="23.4" x14ac:dyDescent="0.3">
      <c r="A538" s="277" t="s">
        <v>111</v>
      </c>
      <c r="B538" s="922" t="s">
        <v>17</v>
      </c>
      <c r="C538" s="272" t="s">
        <v>331</v>
      </c>
      <c r="D538" s="272"/>
      <c r="E538" s="515">
        <v>12.5275</v>
      </c>
      <c r="F538" s="408">
        <f>IFERROR(E538*'01 Prod Physique Boites'!H534,"-")</f>
        <v>0</v>
      </c>
      <c r="G538" s="408">
        <f>IFERROR(E538*'01 Prod Physique Boites'!L534,"-")</f>
        <v>0</v>
      </c>
      <c r="H538" s="387">
        <v>18.836400000000001</v>
      </c>
      <c r="I538" s="425">
        <f t="shared" ref="I538:I544" si="349">IFERROR(H538*(F538/E538),"-")</f>
        <v>0</v>
      </c>
      <c r="J538" s="426">
        <f t="shared" ref="J538:J543" si="350">IFERROR(H538*(G538/E538),"-")</f>
        <v>0</v>
      </c>
    </row>
    <row r="539" spans="1:10" ht="23.4" x14ac:dyDescent="0.3">
      <c r="A539" s="277" t="s">
        <v>111</v>
      </c>
      <c r="B539" s="923"/>
      <c r="C539" s="278" t="s">
        <v>421</v>
      </c>
      <c r="D539" s="278" t="s">
        <v>257</v>
      </c>
      <c r="E539" s="718">
        <v>13.002700000000001</v>
      </c>
      <c r="F539" s="408">
        <f>IFERROR(E539*'01 Prod Physique Boites'!H535,"-")</f>
        <v>0</v>
      </c>
      <c r="G539" s="408">
        <f>IFERROR(E539*'01 Prod Physique Boites'!L535,"-")</f>
        <v>3294468.0936000003</v>
      </c>
      <c r="H539" s="391">
        <v>21.18</v>
      </c>
      <c r="I539" s="427">
        <f t="shared" si="349"/>
        <v>0</v>
      </c>
      <c r="J539" s="428">
        <f t="shared" si="350"/>
        <v>5366334.24</v>
      </c>
    </row>
    <row r="540" spans="1:10" ht="23.4" x14ac:dyDescent="0.3">
      <c r="A540" s="277" t="s">
        <v>111</v>
      </c>
      <c r="B540" s="923"/>
      <c r="C540" s="278" t="s">
        <v>392</v>
      </c>
      <c r="D540" s="278" t="s">
        <v>205</v>
      </c>
      <c r="E540" s="516">
        <v>12.9049</v>
      </c>
      <c r="F540" s="408">
        <f>IFERROR(E540*'01 Prod Physique Boites'!H536,"-")</f>
        <v>0</v>
      </c>
      <c r="G540" s="408">
        <f>IFERROR(E540*'01 Prod Physique Boites'!L536,"-")</f>
        <v>0</v>
      </c>
      <c r="H540" s="391">
        <v>20.6602</v>
      </c>
      <c r="I540" s="427">
        <f t="shared" si="349"/>
        <v>0</v>
      </c>
      <c r="J540" s="428">
        <f t="shared" si="350"/>
        <v>0</v>
      </c>
    </row>
    <row r="541" spans="1:10" ht="23.4" x14ac:dyDescent="0.3">
      <c r="A541" s="277" t="s">
        <v>111</v>
      </c>
      <c r="B541" s="923"/>
      <c r="C541" s="278" t="s">
        <v>330</v>
      </c>
      <c r="D541" s="278" t="s">
        <v>206</v>
      </c>
      <c r="E541" s="516">
        <v>13.078200000000001</v>
      </c>
      <c r="F541" s="408">
        <f>IFERROR(E541*'01 Prod Physique Boites'!H537,"-")</f>
        <v>0</v>
      </c>
      <c r="G541" s="408">
        <f>IFERROR(E541*'01 Prod Physique Boites'!L537,"-")</f>
        <v>24011.575200000003</v>
      </c>
      <c r="H541" s="391">
        <v>20.66</v>
      </c>
      <c r="I541" s="427">
        <f t="shared" si="349"/>
        <v>0</v>
      </c>
      <c r="J541" s="428">
        <f t="shared" si="350"/>
        <v>37931.760000000002</v>
      </c>
    </row>
    <row r="542" spans="1:10" ht="23.4" x14ac:dyDescent="0.3">
      <c r="A542" s="277" t="s">
        <v>111</v>
      </c>
      <c r="B542" s="923"/>
      <c r="C542" s="278" t="s">
        <v>377</v>
      </c>
      <c r="D542" s="278" t="s">
        <v>371</v>
      </c>
      <c r="E542" s="516">
        <v>13.1958</v>
      </c>
      <c r="F542" s="408">
        <f>IFERROR(E542*'01 Prod Physique Boites'!H538,"-")</f>
        <v>0</v>
      </c>
      <c r="G542" s="408">
        <f>IFERROR(E542*'01 Prod Physique Boites'!L538,"-")</f>
        <v>109683.4896</v>
      </c>
      <c r="H542" s="391">
        <v>21.28</v>
      </c>
      <c r="I542" s="427">
        <f t="shared" si="349"/>
        <v>0</v>
      </c>
      <c r="J542" s="428">
        <f t="shared" si="350"/>
        <v>176879.36000000002</v>
      </c>
    </row>
    <row r="543" spans="1:10" ht="23.4" x14ac:dyDescent="0.3">
      <c r="A543" s="277" t="s">
        <v>111</v>
      </c>
      <c r="B543" s="923"/>
      <c r="C543" s="278" t="s">
        <v>433</v>
      </c>
      <c r="D543" s="278" t="s">
        <v>207</v>
      </c>
      <c r="E543" s="516">
        <v>12.9049</v>
      </c>
      <c r="F543" s="408">
        <f>IFERROR(E543*'01 Prod Physique Boites'!H539,"-")</f>
        <v>394889.94</v>
      </c>
      <c r="G543" s="408">
        <f>IFERROR(E543*'01 Prod Physique Boites'!L539,"-")</f>
        <v>394889.94</v>
      </c>
      <c r="H543" s="391">
        <v>0</v>
      </c>
      <c r="I543" s="427">
        <f t="shared" si="349"/>
        <v>0</v>
      </c>
      <c r="J543" s="428">
        <f t="shared" si="350"/>
        <v>0</v>
      </c>
    </row>
    <row r="544" spans="1:10" ht="24" thickBot="1" x14ac:dyDescent="0.35">
      <c r="A544" s="277" t="s">
        <v>111</v>
      </c>
      <c r="B544" s="924"/>
      <c r="C544" s="282" t="s">
        <v>416</v>
      </c>
      <c r="D544" s="282" t="s">
        <v>189</v>
      </c>
      <c r="E544" s="512">
        <v>13.6509</v>
      </c>
      <c r="F544" s="408">
        <f>IFERROR(E544*'01 Prod Physique Boites'!H540,"-")</f>
        <v>0</v>
      </c>
      <c r="G544" s="408">
        <f>IFERROR(E544*'01 Prod Physique Boites'!L540,"-")</f>
        <v>1002522.096</v>
      </c>
      <c r="H544" s="393">
        <v>21.18</v>
      </c>
      <c r="I544" s="429">
        <f t="shared" si="349"/>
        <v>0</v>
      </c>
      <c r="J544" s="430">
        <f>IFERROR(H544*(G544/E544),"-")</f>
        <v>1555459.2</v>
      </c>
    </row>
    <row r="545" spans="1:10" ht="24" thickBot="1" x14ac:dyDescent="0.35">
      <c r="A545" s="277" t="s">
        <v>111</v>
      </c>
      <c r="B545" s="906" t="s">
        <v>48</v>
      </c>
      <c r="C545" s="907"/>
      <c r="D545" s="908"/>
      <c r="E545" s="396"/>
      <c r="F545" s="412">
        <f t="shared" ref="F545:G545" si="351">SUM(F538:F544)</f>
        <v>394889.94</v>
      </c>
      <c r="G545" s="413">
        <f t="shared" si="351"/>
        <v>4825575.1944000004</v>
      </c>
      <c r="H545" s="397"/>
      <c r="I545" s="412">
        <f t="shared" ref="I545" si="352">SUM(I538:I544)</f>
        <v>0</v>
      </c>
      <c r="J545" s="431">
        <f>SUM(J538:J544)</f>
        <v>7136604.5600000005</v>
      </c>
    </row>
    <row r="546" spans="1:10" ht="23.4" x14ac:dyDescent="0.3">
      <c r="A546" s="277" t="s">
        <v>111</v>
      </c>
      <c r="B546" s="922" t="s">
        <v>18</v>
      </c>
      <c r="C546" s="272" t="s">
        <v>359</v>
      </c>
      <c r="D546" s="272" t="s">
        <v>99</v>
      </c>
      <c r="E546" s="515">
        <v>17.8202</v>
      </c>
      <c r="F546" s="408">
        <f>IFERROR(E546*'01 Prod Physique Boites'!H542,"-")</f>
        <v>0</v>
      </c>
      <c r="G546" s="409">
        <f>IFERROR(E546*'01 Prod Physique Boites'!L542,"-")</f>
        <v>0</v>
      </c>
      <c r="H546" s="387">
        <v>24.93</v>
      </c>
      <c r="I546" s="425">
        <f t="shared" ref="I546:I552" si="353">IFERROR(H546*(F546/E546),"-")</f>
        <v>0</v>
      </c>
      <c r="J546" s="426">
        <f t="shared" ref="J546:J548" si="354">IFERROR(H546*(G546/E546),"-")</f>
        <v>0</v>
      </c>
    </row>
    <row r="547" spans="1:10" ht="23.4" x14ac:dyDescent="0.3">
      <c r="A547" s="277" t="s">
        <v>111</v>
      </c>
      <c r="B547" s="923"/>
      <c r="C547" s="278" t="s">
        <v>138</v>
      </c>
      <c r="D547" s="278"/>
      <c r="E547" s="516">
        <v>17.8202</v>
      </c>
      <c r="F547" s="408">
        <f>IFERROR(E547*'01 Prod Physique Boites'!H543,"-")</f>
        <v>0</v>
      </c>
      <c r="G547" s="409">
        <f>IFERROR(E547*'01 Prod Physique Boites'!L543,"-")</f>
        <v>0</v>
      </c>
      <c r="H547" s="391">
        <v>0</v>
      </c>
      <c r="I547" s="427">
        <f t="shared" si="353"/>
        <v>0</v>
      </c>
      <c r="J547" s="428">
        <f t="shared" si="354"/>
        <v>0</v>
      </c>
    </row>
    <row r="548" spans="1:10" ht="23.4" x14ac:dyDescent="0.3">
      <c r="A548" s="277" t="s">
        <v>111</v>
      </c>
      <c r="B548" s="923"/>
      <c r="C548" s="278" t="s">
        <v>123</v>
      </c>
      <c r="D548" s="278"/>
      <c r="E548" s="516">
        <v>16.4071</v>
      </c>
      <c r="F548" s="408">
        <f>IFERROR(E548*'01 Prod Physique Boites'!H544,"-")</f>
        <v>0</v>
      </c>
      <c r="G548" s="409">
        <f>IFERROR(E548*'01 Prod Physique Boites'!L544,"-")</f>
        <v>0</v>
      </c>
      <c r="H548" s="391">
        <v>0</v>
      </c>
      <c r="I548" s="427">
        <f t="shared" si="353"/>
        <v>0</v>
      </c>
      <c r="J548" s="428">
        <f t="shared" si="354"/>
        <v>0</v>
      </c>
    </row>
    <row r="549" spans="1:10" ht="23.4" x14ac:dyDescent="0.3">
      <c r="A549" s="277" t="s">
        <v>111</v>
      </c>
      <c r="B549" s="923"/>
      <c r="C549" s="278" t="s">
        <v>130</v>
      </c>
      <c r="D549" s="278"/>
      <c r="E549" s="516">
        <v>17.8202</v>
      </c>
      <c r="F549" s="408">
        <f>IFERROR(E549*'01 Prod Physique Boites'!H545,"-")</f>
        <v>0</v>
      </c>
      <c r="G549" s="409">
        <f>IFERROR(E549*'01 Prod Physique Boites'!L545,"-")</f>
        <v>0</v>
      </c>
      <c r="H549" s="391"/>
      <c r="I549" s="427">
        <f t="shared" si="353"/>
        <v>0</v>
      </c>
      <c r="J549" s="428">
        <f>IFERROR(H549*(G549/E549),"-")</f>
        <v>0</v>
      </c>
    </row>
    <row r="550" spans="1:10" ht="23.4" x14ac:dyDescent="0.3">
      <c r="A550" s="277" t="s">
        <v>111</v>
      </c>
      <c r="B550" s="923"/>
      <c r="C550" s="278" t="s">
        <v>191</v>
      </c>
      <c r="D550" s="278" t="s">
        <v>192</v>
      </c>
      <c r="E550" s="516">
        <v>17.8202</v>
      </c>
      <c r="F550" s="408">
        <f>IFERROR(E550*'01 Prod Physique Boites'!H546,"-")</f>
        <v>0</v>
      </c>
      <c r="G550" s="409">
        <f>IFERROR(E550*'01 Prod Physique Boites'!L546,"-")</f>
        <v>0</v>
      </c>
      <c r="H550" s="391"/>
      <c r="I550" s="427">
        <f t="shared" si="353"/>
        <v>0</v>
      </c>
      <c r="J550" s="428">
        <f t="shared" ref="J550:J552" si="355">IFERROR(H550*(G550/E550),"-")</f>
        <v>0</v>
      </c>
    </row>
    <row r="551" spans="1:10" ht="23.4" x14ac:dyDescent="0.3">
      <c r="A551" s="277" t="s">
        <v>111</v>
      </c>
      <c r="B551" s="923"/>
      <c r="C551" s="278" t="s">
        <v>194</v>
      </c>
      <c r="D551" s="278" t="s">
        <v>193</v>
      </c>
      <c r="E551" s="516">
        <v>16.7288</v>
      </c>
      <c r="F551" s="408">
        <f>IFERROR(E551*'01 Prod Physique Boites'!H547,"-")</f>
        <v>0</v>
      </c>
      <c r="G551" s="409">
        <f>IFERROR(E551*'01 Prod Physique Boites'!L547,"-")</f>
        <v>0</v>
      </c>
      <c r="H551" s="391"/>
      <c r="I551" s="427">
        <f t="shared" si="353"/>
        <v>0</v>
      </c>
      <c r="J551" s="428">
        <f t="shared" si="355"/>
        <v>0</v>
      </c>
    </row>
    <row r="552" spans="1:10" ht="24" thickBot="1" x14ac:dyDescent="0.35">
      <c r="A552" s="277" t="s">
        <v>111</v>
      </c>
      <c r="B552" s="924"/>
      <c r="C552" s="290" t="s">
        <v>195</v>
      </c>
      <c r="D552" s="290" t="s">
        <v>115</v>
      </c>
      <c r="E552" s="512">
        <v>17.8202</v>
      </c>
      <c r="F552" s="408">
        <f>IFERROR(E552*'01 Prod Physique Boites'!H548,"-")</f>
        <v>0</v>
      </c>
      <c r="G552" s="409">
        <f>IFERROR(E552*'01 Prod Physique Boites'!L548,"-")</f>
        <v>0</v>
      </c>
      <c r="H552" s="393"/>
      <c r="I552" s="429">
        <f t="shared" si="353"/>
        <v>0</v>
      </c>
      <c r="J552" s="430">
        <f t="shared" si="355"/>
        <v>0</v>
      </c>
    </row>
    <row r="553" spans="1:10" ht="24" thickBot="1" x14ac:dyDescent="0.35">
      <c r="A553" s="277" t="s">
        <v>111</v>
      </c>
      <c r="B553" s="906" t="s">
        <v>29</v>
      </c>
      <c r="C553" s="907"/>
      <c r="D553" s="908"/>
      <c r="E553" s="397"/>
      <c r="F553" s="412">
        <f t="shared" ref="F553:G553" si="356">SUM(F546:F552)</f>
        <v>0</v>
      </c>
      <c r="G553" s="413">
        <f t="shared" si="356"/>
        <v>0</v>
      </c>
      <c r="H553" s="397"/>
      <c r="I553" s="412">
        <f t="shared" ref="I553:J553" si="357">SUM(I546:I552)</f>
        <v>0</v>
      </c>
      <c r="J553" s="431">
        <f t="shared" si="357"/>
        <v>0</v>
      </c>
    </row>
    <row r="554" spans="1:10" ht="23.4" x14ac:dyDescent="0.3">
      <c r="A554" s="277"/>
      <c r="B554" s="918" t="s">
        <v>19</v>
      </c>
      <c r="C554" s="678" t="s">
        <v>260</v>
      </c>
      <c r="D554" s="676" t="s">
        <v>192</v>
      </c>
      <c r="E554" s="517">
        <v>12.2659</v>
      </c>
      <c r="F554" s="703">
        <f>IFERROR(E554*'01 Prod Physique Boites'!H550,"-")</f>
        <v>621733.93920000002</v>
      </c>
      <c r="G554" s="703">
        <f>IFERROR(E554*'01 Prod Physique Boites'!L550,"-")</f>
        <v>1865201.8176</v>
      </c>
      <c r="H554" s="704">
        <v>14.79</v>
      </c>
      <c r="I554" s="703">
        <f t="shared" ref="I554:I555" si="358">IFERROR(H554*(F554/E554),"-")</f>
        <v>749675.5199999999</v>
      </c>
      <c r="J554" s="703">
        <f>IFERROR(H554*(G554/E554),"-")</f>
        <v>2249026.5600000001</v>
      </c>
    </row>
    <row r="555" spans="1:10" ht="24" thickBot="1" x14ac:dyDescent="0.35">
      <c r="A555" s="713" t="s">
        <v>111</v>
      </c>
      <c r="B555" s="920"/>
      <c r="C555" s="679" t="s">
        <v>417</v>
      </c>
      <c r="D555" s="677"/>
      <c r="E555" s="285">
        <v>0</v>
      </c>
      <c r="F555" s="414">
        <f>IFERROR(E555*'01 Prod Physique Boites'!H551,"-")</f>
        <v>0</v>
      </c>
      <c r="G555" s="415">
        <f>IFERROR(E555*'01 Prod Physique Boites'!L551,"-")</f>
        <v>0</v>
      </c>
      <c r="H555" s="398">
        <v>0</v>
      </c>
      <c r="I555" s="432" t="str">
        <f t="shared" si="358"/>
        <v>-</v>
      </c>
      <c r="J555" s="433" t="str">
        <f t="shared" ref="J555" si="359">IFERROR(I555*(G555/F555),"-")</f>
        <v>-</v>
      </c>
    </row>
    <row r="556" spans="1:10" ht="24" thickBot="1" x14ac:dyDescent="0.35">
      <c r="A556" s="277" t="s">
        <v>111</v>
      </c>
      <c r="B556" s="906" t="s">
        <v>49</v>
      </c>
      <c r="C556" s="907"/>
      <c r="D556" s="908"/>
      <c r="E556" s="396"/>
      <c r="F556" s="412">
        <f t="shared" ref="F556:G556" si="360">SUM(F555)</f>
        <v>0</v>
      </c>
      <c r="G556" s="413">
        <f t="shared" si="360"/>
        <v>0</v>
      </c>
      <c r="H556" s="397"/>
      <c r="I556" s="412">
        <f t="shared" ref="I556:J556" si="361">SUM(I555)</f>
        <v>0</v>
      </c>
      <c r="J556" s="431">
        <f t="shared" si="361"/>
        <v>0</v>
      </c>
    </row>
    <row r="557" spans="1:10" ht="23.4" x14ac:dyDescent="0.3">
      <c r="A557" s="277" t="s">
        <v>111</v>
      </c>
      <c r="B557" s="922" t="s">
        <v>20</v>
      </c>
      <c r="C557" s="297" t="s">
        <v>370</v>
      </c>
      <c r="D557" s="297" t="s">
        <v>324</v>
      </c>
      <c r="E557" s="515">
        <v>26.032900000000001</v>
      </c>
      <c r="F557" s="408">
        <f>IFERROR(E557*'01 Prod Physique Boites'!H553,"-")</f>
        <v>0</v>
      </c>
      <c r="G557" s="409">
        <f>IFERROR(E557*'01 Prod Physique Boites'!L553,"-")</f>
        <v>0</v>
      </c>
      <c r="H557" s="387">
        <v>36.44</v>
      </c>
      <c r="I557" s="425">
        <f>IFERROR(H557*(F557/E557),"-")</f>
        <v>0</v>
      </c>
      <c r="J557" s="426">
        <f t="shared" ref="J557:J559" si="362">IFERROR(H557*(G557/E557),"-")</f>
        <v>0</v>
      </c>
    </row>
    <row r="558" spans="1:10" ht="23.4" x14ac:dyDescent="0.3">
      <c r="A558" s="277" t="s">
        <v>111</v>
      </c>
      <c r="B558" s="923"/>
      <c r="C558" s="298" t="s">
        <v>122</v>
      </c>
      <c r="D558" s="298"/>
      <c r="E558" s="390">
        <v>24.2607</v>
      </c>
      <c r="F558" s="408">
        <f>IFERROR(E558*'01 Prod Physique Boites'!H554,"-")</f>
        <v>0</v>
      </c>
      <c r="G558" s="409">
        <f>IFERROR(E558*'01 Prod Physique Boites'!L554,"-")</f>
        <v>0</v>
      </c>
      <c r="H558" s="391">
        <v>37.369999999999997</v>
      </c>
      <c r="I558" s="427">
        <f>IFERROR(H558*(F558/E558),"-")</f>
        <v>0</v>
      </c>
      <c r="J558" s="428">
        <f t="shared" si="362"/>
        <v>0</v>
      </c>
    </row>
    <row r="559" spans="1:10" ht="24" thickBot="1" x14ac:dyDescent="0.35">
      <c r="A559" s="277" t="s">
        <v>111</v>
      </c>
      <c r="B559" s="924"/>
      <c r="C559" s="299" t="s">
        <v>128</v>
      </c>
      <c r="D559" s="299"/>
      <c r="E559" s="392">
        <v>26.035799999999998</v>
      </c>
      <c r="F559" s="408">
        <f>IFERROR(E559*'01 Prod Physique Boites'!H555,"-")</f>
        <v>0</v>
      </c>
      <c r="G559" s="409">
        <f>IFERROR(E559*'01 Prod Physique Boites'!L555,"-")</f>
        <v>0</v>
      </c>
      <c r="H559" s="393">
        <v>37.11</v>
      </c>
      <c r="I559" s="429">
        <f>IFERROR(H559*(F559/E559),"-")</f>
        <v>0</v>
      </c>
      <c r="J559" s="430">
        <f t="shared" si="362"/>
        <v>0</v>
      </c>
    </row>
    <row r="560" spans="1:10" ht="24" thickBot="1" x14ac:dyDescent="0.35">
      <c r="A560" s="277" t="s">
        <v>111</v>
      </c>
      <c r="B560" s="907" t="s">
        <v>50</v>
      </c>
      <c r="C560" s="907"/>
      <c r="D560" s="925"/>
      <c r="E560" s="396"/>
      <c r="F560" s="412">
        <f t="shared" ref="F560:G560" si="363">SUM(F557:F559)</f>
        <v>0</v>
      </c>
      <c r="G560" s="413">
        <f t="shared" si="363"/>
        <v>0</v>
      </c>
      <c r="H560" s="397"/>
      <c r="I560" s="412">
        <f t="shared" ref="I560:J560" si="364">SUM(I557:I559)</f>
        <v>0</v>
      </c>
      <c r="J560" s="431">
        <f t="shared" si="364"/>
        <v>0</v>
      </c>
    </row>
    <row r="561" spans="1:10" ht="24" thickBot="1" x14ac:dyDescent="0.35">
      <c r="A561" s="277" t="s">
        <v>111</v>
      </c>
      <c r="B561" s="926" t="s">
        <v>21</v>
      </c>
      <c r="C561" s="927"/>
      <c r="D561" s="928"/>
      <c r="E561" s="399"/>
      <c r="F561" s="416">
        <f>+F537+F545+F553+F556+F560</f>
        <v>1202974.932</v>
      </c>
      <c r="G561" s="417">
        <f>+G537+G545+G553+G556+G560</f>
        <v>9332203.0344000012</v>
      </c>
      <c r="H561" s="400"/>
      <c r="I561" s="416">
        <f t="shared" ref="I561" si="365">+I537+I545+I553+I556+I560</f>
        <v>1478807.4495999999</v>
      </c>
      <c r="J561" s="434">
        <f>+J537+J545+J553+J556+J560</f>
        <v>15383799.952</v>
      </c>
    </row>
    <row r="562" spans="1:10" ht="23.4" x14ac:dyDescent="0.3">
      <c r="A562" s="277" t="s">
        <v>111</v>
      </c>
      <c r="B562" s="922" t="s">
        <v>22</v>
      </c>
      <c r="C562" s="272" t="s">
        <v>133</v>
      </c>
      <c r="D562" s="272"/>
      <c r="E562" s="386">
        <v>22.820599999999999</v>
      </c>
      <c r="F562" s="408">
        <f>IFERROR(E562*'01 Prod Physique Boites'!H558,"-")</f>
        <v>0</v>
      </c>
      <c r="G562" s="409">
        <f>IFERROR(E562*'01 Prod Physique Boites'!L558,"-")</f>
        <v>0</v>
      </c>
      <c r="H562" s="387">
        <v>27.5</v>
      </c>
      <c r="I562" s="425">
        <f>IFERROR(H562*(F562/E562),"-")</f>
        <v>0</v>
      </c>
      <c r="J562" s="426">
        <f t="shared" ref="J562:J565" si="366">IFERROR(H562*(G562/E562),"-")</f>
        <v>0</v>
      </c>
    </row>
    <row r="563" spans="1:10" ht="23.4" x14ac:dyDescent="0.3">
      <c r="A563" s="277" t="s">
        <v>111</v>
      </c>
      <c r="B563" s="923"/>
      <c r="C563" s="301" t="s">
        <v>291</v>
      </c>
      <c r="D563" s="301" t="s">
        <v>196</v>
      </c>
      <c r="E563" s="390">
        <v>23.570699999999999</v>
      </c>
      <c r="F563" s="408">
        <f>IFERROR(E563*'01 Prod Physique Boites'!H559,"-")</f>
        <v>0</v>
      </c>
      <c r="G563" s="409">
        <f>IFERROR(E563*'01 Prod Physique Boites'!L559,"-")</f>
        <v>0</v>
      </c>
      <c r="H563" s="391">
        <v>27.5</v>
      </c>
      <c r="I563" s="427">
        <f>IFERROR(H563*(F563/E563),"-")</f>
        <v>0</v>
      </c>
      <c r="J563" s="428">
        <f t="shared" si="366"/>
        <v>0</v>
      </c>
    </row>
    <row r="564" spans="1:10" ht="23.4" x14ac:dyDescent="0.3">
      <c r="A564" s="277" t="s">
        <v>111</v>
      </c>
      <c r="B564" s="923"/>
      <c r="C564" s="301" t="s">
        <v>198</v>
      </c>
      <c r="D564" s="301" t="s">
        <v>100</v>
      </c>
      <c r="E564" s="390">
        <v>22.238499999999998</v>
      </c>
      <c r="F564" s="408">
        <f>IFERROR(E564*'01 Prod Physique Boites'!H560,"-")</f>
        <v>0</v>
      </c>
      <c r="G564" s="409">
        <f>IFERROR(E564*'01 Prod Physique Boites'!L560,"-")</f>
        <v>0</v>
      </c>
      <c r="H564" s="391">
        <v>24</v>
      </c>
      <c r="I564" s="427">
        <f>IFERROR(H564*(F564/E564),"-")</f>
        <v>0</v>
      </c>
      <c r="J564" s="428">
        <f t="shared" si="366"/>
        <v>0</v>
      </c>
    </row>
    <row r="565" spans="1:10" ht="24" thickBot="1" x14ac:dyDescent="0.35">
      <c r="A565" s="277" t="s">
        <v>111</v>
      </c>
      <c r="B565" s="924"/>
      <c r="C565" s="282" t="s">
        <v>197</v>
      </c>
      <c r="D565" s="282" t="s">
        <v>100</v>
      </c>
      <c r="E565" s="392">
        <v>23.5685</v>
      </c>
      <c r="F565" s="408">
        <f>IFERROR(E565*'01 Prod Physique Boites'!H561,"-")</f>
        <v>0</v>
      </c>
      <c r="G565" s="409">
        <f>IFERROR(E565*'01 Prod Physique Boites'!L561,"-")</f>
        <v>0</v>
      </c>
      <c r="H565" s="393">
        <v>24</v>
      </c>
      <c r="I565" s="429">
        <f>IFERROR(H565*(F565/E565),"-")</f>
        <v>0</v>
      </c>
      <c r="J565" s="430">
        <f t="shared" si="366"/>
        <v>0</v>
      </c>
    </row>
    <row r="566" spans="1:10" ht="24" thickBot="1" x14ac:dyDescent="0.35">
      <c r="A566" s="277" t="s">
        <v>111</v>
      </c>
      <c r="B566" s="906" t="s">
        <v>51</v>
      </c>
      <c r="C566" s="907"/>
      <c r="D566" s="908"/>
      <c r="E566" s="396"/>
      <c r="F566" s="412">
        <f t="shared" ref="F566:G566" si="367">SUM(F562:F565)</f>
        <v>0</v>
      </c>
      <c r="G566" s="413">
        <f t="shared" si="367"/>
        <v>0</v>
      </c>
      <c r="H566" s="397"/>
      <c r="I566" s="412">
        <f t="shared" ref="I566:J566" si="368">SUM(I562:I565)</f>
        <v>0</v>
      </c>
      <c r="J566" s="431">
        <f t="shared" si="368"/>
        <v>0</v>
      </c>
    </row>
    <row r="567" spans="1:10" ht="23.4" x14ac:dyDescent="0.3">
      <c r="A567" s="277" t="s">
        <v>111</v>
      </c>
      <c r="B567" s="922" t="s">
        <v>23</v>
      </c>
      <c r="C567" s="302" t="s">
        <v>348</v>
      </c>
      <c r="D567" s="302" t="s">
        <v>263</v>
      </c>
      <c r="E567" s="386">
        <v>101.4935</v>
      </c>
      <c r="F567" s="408">
        <f>IFERROR(E567*'01 Prod Physique Boites'!H563,"-")</f>
        <v>0</v>
      </c>
      <c r="G567" s="409">
        <f>IFERROR(E567*'01 Prod Physique Boites'!L563,"-")</f>
        <v>0</v>
      </c>
      <c r="H567" s="391">
        <v>160.44999999999999</v>
      </c>
      <c r="I567" s="425">
        <f t="shared" ref="I567:I574" si="369">IFERROR(H567*(F567/E567),"-")</f>
        <v>0</v>
      </c>
      <c r="J567" s="426">
        <f t="shared" ref="J567:J574" si="370">IFERROR(H567*(G567/E567),"-")</f>
        <v>0</v>
      </c>
    </row>
    <row r="568" spans="1:10" ht="23.4" x14ac:dyDescent="0.3">
      <c r="A568" s="277" t="s">
        <v>111</v>
      </c>
      <c r="B568" s="923"/>
      <c r="C568" s="278" t="s">
        <v>24</v>
      </c>
      <c r="D568" s="278" t="s">
        <v>263</v>
      </c>
      <c r="E568" s="390">
        <v>101.4935</v>
      </c>
      <c r="F568" s="408">
        <f>IFERROR(E568*'01 Prod Physique Boites'!H564,"-")</f>
        <v>0</v>
      </c>
      <c r="G568" s="409">
        <f>IFERROR(E568*'01 Prod Physique Boites'!L564,"-")</f>
        <v>2930624.8125</v>
      </c>
      <c r="H568" s="391">
        <v>160.44999999999999</v>
      </c>
      <c r="I568" s="427">
        <f t="shared" si="369"/>
        <v>0</v>
      </c>
      <c r="J568" s="428">
        <f t="shared" si="370"/>
        <v>4632993.75</v>
      </c>
    </row>
    <row r="569" spans="1:10" ht="23.4" x14ac:dyDescent="0.3">
      <c r="A569" s="277" t="s">
        <v>111</v>
      </c>
      <c r="B569" s="923"/>
      <c r="C569" s="278" t="s">
        <v>261</v>
      </c>
      <c r="D569" s="278" t="s">
        <v>263</v>
      </c>
      <c r="E569" s="390">
        <v>101.4935</v>
      </c>
      <c r="F569" s="408">
        <f>IFERROR(E569*'01 Prod Physique Boites'!H565,"-")</f>
        <v>0</v>
      </c>
      <c r="G569" s="409">
        <f>IFERROR(E569*'01 Prod Physique Boites'!L565,"-")</f>
        <v>0</v>
      </c>
      <c r="H569" s="391">
        <v>160.44999999999999</v>
      </c>
      <c r="I569" s="427">
        <f t="shared" si="369"/>
        <v>0</v>
      </c>
      <c r="J569" s="428">
        <f t="shared" si="370"/>
        <v>0</v>
      </c>
    </row>
    <row r="570" spans="1:10" ht="23.4" x14ac:dyDescent="0.3">
      <c r="A570" s="277" t="s">
        <v>111</v>
      </c>
      <c r="B570" s="923"/>
      <c r="C570" s="278" t="s">
        <v>262</v>
      </c>
      <c r="D570" s="278" t="s">
        <v>263</v>
      </c>
      <c r="E570" s="390">
        <v>101.4935</v>
      </c>
      <c r="F570" s="408">
        <f>IFERROR(E570*'01 Prod Physique Boites'!H566,"-")</f>
        <v>0</v>
      </c>
      <c r="G570" s="409">
        <f>IFERROR(E570*'01 Prod Physique Boites'!L566,"-")</f>
        <v>0</v>
      </c>
      <c r="H570" s="391">
        <v>160.44999999999999</v>
      </c>
      <c r="I570" s="427">
        <f t="shared" si="369"/>
        <v>0</v>
      </c>
      <c r="J570" s="428">
        <f t="shared" si="370"/>
        <v>0</v>
      </c>
    </row>
    <row r="571" spans="1:10" ht="23.4" x14ac:dyDescent="0.3">
      <c r="A571" s="277" t="s">
        <v>111</v>
      </c>
      <c r="B571" s="923"/>
      <c r="C571" s="301" t="s">
        <v>264</v>
      </c>
      <c r="D571" s="278" t="s">
        <v>263</v>
      </c>
      <c r="E571" s="390">
        <v>101.4935</v>
      </c>
      <c r="F571" s="408">
        <f>IFERROR(E571*'01 Prod Physique Boites'!H567,"-")</f>
        <v>0</v>
      </c>
      <c r="G571" s="409">
        <f>IFERROR(E571*'01 Prod Physique Boites'!L567,"-")</f>
        <v>0</v>
      </c>
      <c r="H571" s="391">
        <v>160.44999999999999</v>
      </c>
      <c r="I571" s="427">
        <f t="shared" si="369"/>
        <v>0</v>
      </c>
      <c r="J571" s="428">
        <f t="shared" si="370"/>
        <v>0</v>
      </c>
    </row>
    <row r="572" spans="1:10" ht="23.4" x14ac:dyDescent="0.3">
      <c r="A572" s="277" t="s">
        <v>111</v>
      </c>
      <c r="B572" s="923"/>
      <c r="C572" s="301" t="s">
        <v>265</v>
      </c>
      <c r="D572" s="278" t="s">
        <v>263</v>
      </c>
      <c r="E572" s="390">
        <v>101.4935</v>
      </c>
      <c r="F572" s="408">
        <f>IFERROR(E572*'01 Prod Physique Boites'!H568,"-")</f>
        <v>0</v>
      </c>
      <c r="G572" s="409">
        <f>IFERROR(E572*'01 Prod Physique Boites'!L568,"-")</f>
        <v>0</v>
      </c>
      <c r="H572" s="391">
        <v>160.44999999999999</v>
      </c>
      <c r="I572" s="427">
        <f t="shared" si="369"/>
        <v>0</v>
      </c>
      <c r="J572" s="428">
        <f t="shared" si="370"/>
        <v>0</v>
      </c>
    </row>
    <row r="573" spans="1:10" ht="23.4" x14ac:dyDescent="0.3">
      <c r="A573" s="277" t="s">
        <v>111</v>
      </c>
      <c r="B573" s="923"/>
      <c r="C573" s="301" t="s">
        <v>266</v>
      </c>
      <c r="D573" s="278" t="s">
        <v>268</v>
      </c>
      <c r="E573" s="390">
        <v>101.4935</v>
      </c>
      <c r="F573" s="408">
        <f>IFERROR(E573*'01 Prod Physique Boites'!H569,"-")</f>
        <v>0</v>
      </c>
      <c r="G573" s="409">
        <f>IFERROR(E573*'01 Prod Physique Boites'!L569,"-")</f>
        <v>0</v>
      </c>
      <c r="H573" s="391">
        <v>160.44999999999999</v>
      </c>
      <c r="I573" s="427">
        <f t="shared" si="369"/>
        <v>0</v>
      </c>
      <c r="J573" s="428">
        <f t="shared" si="370"/>
        <v>0</v>
      </c>
    </row>
    <row r="574" spans="1:10" ht="24" thickBot="1" x14ac:dyDescent="0.35">
      <c r="A574" s="277" t="s">
        <v>111</v>
      </c>
      <c r="B574" s="924"/>
      <c r="C574" s="301" t="s">
        <v>267</v>
      </c>
      <c r="D574" s="278" t="s">
        <v>263</v>
      </c>
      <c r="E574" s="392">
        <v>101.4935</v>
      </c>
      <c r="F574" s="408">
        <f>IFERROR(E574*'01 Prod Physique Boites'!H570,"-")</f>
        <v>0</v>
      </c>
      <c r="G574" s="409">
        <f>IFERROR(E574*'01 Prod Physique Boites'!L570,"-")</f>
        <v>0</v>
      </c>
      <c r="H574" s="391">
        <v>160.44999999999999</v>
      </c>
      <c r="I574" s="429">
        <f t="shared" si="369"/>
        <v>0</v>
      </c>
      <c r="J574" s="430">
        <f t="shared" si="370"/>
        <v>0</v>
      </c>
    </row>
    <row r="575" spans="1:10" ht="24" thickBot="1" x14ac:dyDescent="0.35">
      <c r="A575" s="277" t="s">
        <v>111</v>
      </c>
      <c r="B575" s="906" t="s">
        <v>52</v>
      </c>
      <c r="C575" s="907"/>
      <c r="D575" s="908"/>
      <c r="E575" s="396"/>
      <c r="F575" s="412">
        <f t="shared" ref="F575:G575" si="371">SUM(F567:F574)</f>
        <v>0</v>
      </c>
      <c r="G575" s="413">
        <f t="shared" si="371"/>
        <v>2930624.8125</v>
      </c>
      <c r="H575" s="397"/>
      <c r="I575" s="412">
        <f t="shared" ref="I575:J575" si="372">SUM(I567:I574)</f>
        <v>0</v>
      </c>
      <c r="J575" s="431">
        <f t="shared" si="372"/>
        <v>4632993.75</v>
      </c>
    </row>
    <row r="576" spans="1:10" ht="24" thickBot="1" x14ac:dyDescent="0.35">
      <c r="A576" s="277" t="s">
        <v>111</v>
      </c>
      <c r="B576" s="926" t="s">
        <v>25</v>
      </c>
      <c r="C576" s="927"/>
      <c r="D576" s="928"/>
      <c r="E576" s="399"/>
      <c r="F576" s="416">
        <f t="shared" ref="F576:G576" si="373">+F566+F575</f>
        <v>0</v>
      </c>
      <c r="G576" s="417">
        <f t="shared" si="373"/>
        <v>2930624.8125</v>
      </c>
      <c r="H576" s="400"/>
      <c r="I576" s="416">
        <f t="shared" ref="I576:J576" si="374">+I566+I575</f>
        <v>0</v>
      </c>
      <c r="J576" s="434">
        <f t="shared" si="374"/>
        <v>4632993.75</v>
      </c>
    </row>
    <row r="577" spans="1:10" ht="24" thickBot="1" x14ac:dyDescent="0.35">
      <c r="A577" s="277" t="s">
        <v>111</v>
      </c>
      <c r="B577" s="900" t="s">
        <v>181</v>
      </c>
      <c r="C577" s="901"/>
      <c r="D577" s="902"/>
      <c r="E577" s="401"/>
      <c r="F577" s="418">
        <f t="shared" ref="F577:G577" si="375">+F561+F576</f>
        <v>1202974.932</v>
      </c>
      <c r="G577" s="419">
        <f t="shared" si="375"/>
        <v>12262827.846900001</v>
      </c>
      <c r="H577" s="402"/>
      <c r="I577" s="418">
        <f t="shared" ref="I577:J577" si="376">+I561+I576</f>
        <v>1478807.4495999999</v>
      </c>
      <c r="J577" s="435">
        <f t="shared" si="376"/>
        <v>20016793.702</v>
      </c>
    </row>
    <row r="578" spans="1:10" ht="23.4" x14ac:dyDescent="0.3">
      <c r="A578" s="271" t="s">
        <v>109</v>
      </c>
      <c r="B578" s="929" t="s">
        <v>26</v>
      </c>
      <c r="C578" s="303" t="s">
        <v>334</v>
      </c>
      <c r="D578" s="305" t="s">
        <v>192</v>
      </c>
      <c r="E578" s="515">
        <v>13.1272</v>
      </c>
      <c r="F578" s="408">
        <f>IFERROR(E578*'01 Prod Physique Boites'!H574,"-")</f>
        <v>0</v>
      </c>
      <c r="G578" s="409">
        <f>IFERROR(E578*'01 Prod Physique Boites'!L574,"-")</f>
        <v>4229820.1295999996</v>
      </c>
      <c r="H578" s="387">
        <v>20.76</v>
      </c>
      <c r="I578" s="425">
        <f t="shared" ref="I578:I586" si="377">IFERROR(H578*(F578/E578),"-")</f>
        <v>0</v>
      </c>
      <c r="J578" s="662">
        <f t="shared" ref="J578:J586" si="378">IFERROR(H578*(G578/E578),"-")</f>
        <v>6689245.6799999997</v>
      </c>
    </row>
    <row r="579" spans="1:10" ht="23.4" x14ac:dyDescent="0.3">
      <c r="A579" s="277" t="s">
        <v>109</v>
      </c>
      <c r="B579" s="929"/>
      <c r="C579" s="304" t="s">
        <v>199</v>
      </c>
      <c r="D579" s="304" t="s">
        <v>115</v>
      </c>
      <c r="E579" s="516">
        <v>14.608000000000001</v>
      </c>
      <c r="F579" s="408">
        <f>IFERROR(E579*'01 Prod Physique Boites'!H575,"-")</f>
        <v>0</v>
      </c>
      <c r="G579" s="409">
        <f>IFERROR(E579*'01 Prod Physique Boites'!L575,"-")</f>
        <v>0</v>
      </c>
      <c r="H579" s="391">
        <v>24.93</v>
      </c>
      <c r="I579" s="427">
        <f t="shared" si="377"/>
        <v>0</v>
      </c>
      <c r="J579" s="663">
        <f t="shared" si="378"/>
        <v>0</v>
      </c>
    </row>
    <row r="580" spans="1:10" ht="23.4" x14ac:dyDescent="0.3">
      <c r="A580" s="277" t="s">
        <v>109</v>
      </c>
      <c r="B580" s="929"/>
      <c r="C580" s="305" t="s">
        <v>27</v>
      </c>
      <c r="D580" s="305" t="s">
        <v>310</v>
      </c>
      <c r="E580" s="512">
        <v>17.8202</v>
      </c>
      <c r="F580" s="408">
        <f>IFERROR(E580*'01 Prod Physique Boites'!H576,"-")</f>
        <v>0</v>
      </c>
      <c r="G580" s="409">
        <f>IFERROR(E580*'01 Prod Physique Boites'!L576,"-")</f>
        <v>0</v>
      </c>
      <c r="H580" s="391">
        <v>24.93</v>
      </c>
      <c r="I580" s="427">
        <f t="shared" si="377"/>
        <v>0</v>
      </c>
      <c r="J580" s="663">
        <f t="shared" si="378"/>
        <v>0</v>
      </c>
    </row>
    <row r="581" spans="1:10" ht="23.4" x14ac:dyDescent="0.3">
      <c r="A581" s="277" t="s">
        <v>109</v>
      </c>
      <c r="B581" s="929"/>
      <c r="C581" s="305" t="s">
        <v>27</v>
      </c>
      <c r="D581" s="305" t="s">
        <v>311</v>
      </c>
      <c r="E581" s="512">
        <v>17.8202</v>
      </c>
      <c r="F581" s="408">
        <f>IFERROR(E581*'01 Prod Physique Boites'!H577,"-")</f>
        <v>0</v>
      </c>
      <c r="G581" s="409">
        <f>IFERROR(E581*'01 Prod Physique Boites'!L577,"-")</f>
        <v>0</v>
      </c>
      <c r="H581" s="391">
        <v>24.93</v>
      </c>
      <c r="I581" s="427">
        <f t="shared" si="377"/>
        <v>0</v>
      </c>
      <c r="J581" s="663">
        <f t="shared" si="378"/>
        <v>0</v>
      </c>
    </row>
    <row r="582" spans="1:10" ht="23.4" x14ac:dyDescent="0.3">
      <c r="A582" s="277" t="s">
        <v>109</v>
      </c>
      <c r="B582" s="929"/>
      <c r="C582" s="305" t="s">
        <v>325</v>
      </c>
      <c r="D582" s="305" t="s">
        <v>324</v>
      </c>
      <c r="E582" s="512">
        <v>14.608000000000001</v>
      </c>
      <c r="F582" s="408">
        <f>IFERROR(E582*'01 Prod Physique Boites'!H578,"-")</f>
        <v>0</v>
      </c>
      <c r="G582" s="409">
        <f>IFERROR(E582*'01 Prod Physique Boites'!L578,"-")</f>
        <v>0</v>
      </c>
      <c r="H582" s="391">
        <v>24.93</v>
      </c>
      <c r="I582" s="427">
        <f t="shared" si="377"/>
        <v>0</v>
      </c>
      <c r="J582" s="663">
        <f t="shared" si="378"/>
        <v>0</v>
      </c>
    </row>
    <row r="583" spans="1:10" ht="23.4" x14ac:dyDescent="0.3">
      <c r="A583" s="277"/>
      <c r="B583" s="929"/>
      <c r="C583" s="305" t="s">
        <v>325</v>
      </c>
      <c r="D583" s="305" t="s">
        <v>192</v>
      </c>
      <c r="E583" s="512">
        <v>14.608000000000001</v>
      </c>
      <c r="F583" s="408">
        <f>IFERROR(E583*'01 Prod Physique Boites'!H579,"-")</f>
        <v>0</v>
      </c>
      <c r="G583" s="409">
        <f>IFERROR(E583*'01 Prod Physique Boites'!L579,"-")</f>
        <v>0</v>
      </c>
      <c r="H583" s="393">
        <v>21.22</v>
      </c>
      <c r="I583" s="427">
        <f t="shared" si="377"/>
        <v>0</v>
      </c>
      <c r="J583" s="664">
        <f t="shared" si="378"/>
        <v>0</v>
      </c>
    </row>
    <row r="584" spans="1:10" ht="23.4" x14ac:dyDescent="0.3">
      <c r="A584" s="277"/>
      <c r="B584" s="929"/>
      <c r="C584" s="305" t="s">
        <v>325</v>
      </c>
      <c r="D584" s="305" t="s">
        <v>101</v>
      </c>
      <c r="E584" s="512">
        <v>17.8202</v>
      </c>
      <c r="F584" s="408">
        <f>IFERROR(E584*'01 Prod Physique Boites'!H580,"-")</f>
        <v>0</v>
      </c>
      <c r="G584" s="409">
        <f>IFERROR(E584*'01 Prod Physique Boites'!L580,"-")</f>
        <v>0</v>
      </c>
      <c r="H584" s="393">
        <v>24.93</v>
      </c>
      <c r="I584" s="429">
        <f t="shared" si="377"/>
        <v>0</v>
      </c>
      <c r="J584" s="664">
        <f t="shared" si="378"/>
        <v>0</v>
      </c>
    </row>
    <row r="585" spans="1:10" ht="23.4" x14ac:dyDescent="0.3">
      <c r="A585" s="277"/>
      <c r="B585" s="929"/>
      <c r="C585" s="305" t="s">
        <v>393</v>
      </c>
      <c r="D585" s="305" t="s">
        <v>394</v>
      </c>
      <c r="E585" s="512">
        <v>17.8202</v>
      </c>
      <c r="F585" s="408">
        <f>IFERROR(E585*'01 Prod Physique Boites'!H581,"-")</f>
        <v>1346886.3563999999</v>
      </c>
      <c r="G585" s="409">
        <f>IFERROR(E585*'01 Prod Physique Boites'!L581,"-")</f>
        <v>2410217.6904000002</v>
      </c>
      <c r="H585" s="393">
        <v>21.22</v>
      </c>
      <c r="I585" s="429">
        <f t="shared" si="377"/>
        <v>1603850.0399999998</v>
      </c>
      <c r="J585" s="664">
        <f t="shared" si="378"/>
        <v>2870047.44</v>
      </c>
    </row>
    <row r="586" spans="1:10" ht="24" thickBot="1" x14ac:dyDescent="0.35">
      <c r="A586" s="277" t="s">
        <v>109</v>
      </c>
      <c r="B586" s="929"/>
      <c r="C586" s="306" t="s">
        <v>326</v>
      </c>
      <c r="D586" s="305" t="s">
        <v>324</v>
      </c>
      <c r="E586" s="512">
        <v>12.6997</v>
      </c>
      <c r="F586" s="408">
        <f>IFERROR(E586*'01 Prod Physique Boites'!H582,"-")</f>
        <v>0</v>
      </c>
      <c r="G586" s="409">
        <f>IFERROR(E586*'01 Prod Physique Boites'!L582,"-")</f>
        <v>101038.8132</v>
      </c>
      <c r="H586" s="393">
        <v>13.25</v>
      </c>
      <c r="I586" s="429">
        <f t="shared" si="377"/>
        <v>0</v>
      </c>
      <c r="J586" s="664">
        <f t="shared" si="378"/>
        <v>105417</v>
      </c>
    </row>
    <row r="587" spans="1:10" ht="24" thickBot="1" x14ac:dyDescent="0.35">
      <c r="A587" s="277" t="s">
        <v>109</v>
      </c>
      <c r="B587" s="930"/>
      <c r="C587" s="307"/>
      <c r="D587" s="308" t="s">
        <v>55</v>
      </c>
      <c r="E587" s="396"/>
      <c r="F587" s="412">
        <f>SUM(F578:F586)</f>
        <v>1346886.3563999999</v>
      </c>
      <c r="G587" s="413">
        <f t="shared" ref="G587" si="379">SUM(G578:G586)</f>
        <v>6741076.6332</v>
      </c>
      <c r="H587" s="397"/>
      <c r="I587" s="412">
        <f t="shared" ref="I587" si="380">SUM(I578:I586)</f>
        <v>1603850.0399999998</v>
      </c>
      <c r="J587" s="431">
        <f>SUM(J578:J586)</f>
        <v>9664710.1199999992</v>
      </c>
    </row>
    <row r="588" spans="1:10" ht="23.4" x14ac:dyDescent="0.3">
      <c r="A588" s="277" t="s">
        <v>109</v>
      </c>
      <c r="B588" s="931" t="s">
        <v>28</v>
      </c>
      <c r="C588" s="303" t="s">
        <v>27</v>
      </c>
      <c r="D588" s="303" t="s">
        <v>193</v>
      </c>
      <c r="E588" s="515">
        <v>12.6997</v>
      </c>
      <c r="F588" s="408">
        <f>IFERROR(E588*'01 Prod Physique Boites'!H584,"-")</f>
        <v>0</v>
      </c>
      <c r="G588" s="409">
        <f>IFERROR(E588*'01 Prod Physique Boites'!L584,"-")</f>
        <v>0</v>
      </c>
      <c r="H588" s="387">
        <v>13.25</v>
      </c>
      <c r="I588" s="425">
        <f>IFERROR(H588*(F588/E588),"-")</f>
        <v>0</v>
      </c>
      <c r="J588" s="662">
        <f t="shared" ref="J588:J590" si="381">IFERROR(H588*(G588/E588),"-")</f>
        <v>0</v>
      </c>
    </row>
    <row r="589" spans="1:10" ht="23.4" x14ac:dyDescent="0.3">
      <c r="A589" s="277" t="s">
        <v>109</v>
      </c>
      <c r="B589" s="929"/>
      <c r="C589" s="305" t="s">
        <v>27</v>
      </c>
      <c r="D589" s="305" t="s">
        <v>311</v>
      </c>
      <c r="E589" s="512">
        <v>17.8202</v>
      </c>
      <c r="F589" s="408">
        <f>IFERROR(E589*'01 Prod Physique Boites'!H585,"-")</f>
        <v>0</v>
      </c>
      <c r="G589" s="409">
        <f>IFERROR(E589*'01 Prod Physique Boites'!L585,"-")</f>
        <v>0</v>
      </c>
      <c r="H589" s="391">
        <v>24.93</v>
      </c>
      <c r="I589" s="427">
        <f>IFERROR(H589*(F589/E589),"-")</f>
        <v>0</v>
      </c>
      <c r="J589" s="663">
        <f t="shared" si="381"/>
        <v>0</v>
      </c>
    </row>
    <row r="590" spans="1:10" ht="24" thickBot="1" x14ac:dyDescent="0.35">
      <c r="A590" s="277" t="s">
        <v>109</v>
      </c>
      <c r="B590" s="929"/>
      <c r="C590" s="305" t="s">
        <v>27</v>
      </c>
      <c r="D590" s="306" t="s">
        <v>259</v>
      </c>
      <c r="E590" s="512">
        <v>17.8202</v>
      </c>
      <c r="F590" s="408">
        <f>IFERROR(E590*'01 Prod Physique Boites'!H586,"-")</f>
        <v>0</v>
      </c>
      <c r="G590" s="409">
        <f>IFERROR(E590*'01 Prod Physique Boites'!L586,"-")</f>
        <v>0</v>
      </c>
      <c r="H590" s="391">
        <v>24.93</v>
      </c>
      <c r="I590" s="429">
        <f>IFERROR(H590*(F590/E590),"-")</f>
        <v>0</v>
      </c>
      <c r="J590" s="664">
        <f t="shared" si="381"/>
        <v>0</v>
      </c>
    </row>
    <row r="591" spans="1:10" ht="24" thickBot="1" x14ac:dyDescent="0.35">
      <c r="A591" s="277" t="s">
        <v>109</v>
      </c>
      <c r="B591" s="929"/>
      <c r="C591" s="310"/>
      <c r="D591" s="311" t="s">
        <v>55</v>
      </c>
      <c r="E591" s="403"/>
      <c r="F591" s="420">
        <f t="shared" ref="F591:G591" si="382">SUM(F588:F590)</f>
        <v>0</v>
      </c>
      <c r="G591" s="421">
        <f t="shared" si="382"/>
        <v>0</v>
      </c>
      <c r="H591" s="404"/>
      <c r="I591" s="420">
        <f t="shared" ref="I591:J591" si="383">SUM(I588:I590)</f>
        <v>0</v>
      </c>
      <c r="J591" s="436">
        <f t="shared" si="383"/>
        <v>0</v>
      </c>
    </row>
    <row r="592" spans="1:10" ht="24" thickBot="1" x14ac:dyDescent="0.35">
      <c r="A592" s="713" t="s">
        <v>109</v>
      </c>
      <c r="B592" s="932" t="s">
        <v>171</v>
      </c>
      <c r="C592" s="933"/>
      <c r="D592" s="934"/>
      <c r="E592" s="405"/>
      <c r="F592" s="422">
        <f t="shared" ref="F592:G592" si="384">+F587+F591</f>
        <v>1346886.3563999999</v>
      </c>
      <c r="G592" s="423">
        <f t="shared" si="384"/>
        <v>6741076.6332</v>
      </c>
      <c r="H592" s="406"/>
      <c r="I592" s="422">
        <f t="shared" ref="I592:J592" si="385">+I587+I591</f>
        <v>1603850.0399999998</v>
      </c>
      <c r="J592" s="437">
        <f t="shared" si="385"/>
        <v>9664710.1199999992</v>
      </c>
    </row>
    <row r="593" spans="1:10" ht="23.4" x14ac:dyDescent="0.3">
      <c r="A593" s="277" t="s">
        <v>109</v>
      </c>
      <c r="B593" s="929" t="s">
        <v>30</v>
      </c>
      <c r="C593" s="309" t="s">
        <v>375</v>
      </c>
      <c r="D593" s="303" t="s">
        <v>193</v>
      </c>
      <c r="E593" s="515">
        <v>15.2788</v>
      </c>
      <c r="F593" s="408">
        <f>IFERROR(E593*'01 Prod Physique Boites'!H589,"-")</f>
        <v>0</v>
      </c>
      <c r="G593" s="409">
        <f>IFERROR(E593*'01 Prod Physique Boites'!L589,"-")</f>
        <v>0</v>
      </c>
      <c r="H593" s="387">
        <v>23.65</v>
      </c>
      <c r="I593" s="425">
        <f>IFERROR(H593*(F593/E593),"-")</f>
        <v>0</v>
      </c>
      <c r="J593" s="426">
        <f t="shared" ref="J593:J595" si="386">IFERROR(H593*(G593/E593),"-")</f>
        <v>0</v>
      </c>
    </row>
    <row r="594" spans="1:10" ht="23.4" x14ac:dyDescent="0.3">
      <c r="A594" s="277" t="s">
        <v>109</v>
      </c>
      <c r="B594" s="929"/>
      <c r="C594" s="309" t="s">
        <v>368</v>
      </c>
      <c r="D594" s="309" t="s">
        <v>324</v>
      </c>
      <c r="E594" s="516">
        <v>22.6356</v>
      </c>
      <c r="F594" s="408">
        <f>IFERROR(E594*'01 Prod Physique Boites'!H590,"-")</f>
        <v>0</v>
      </c>
      <c r="G594" s="409">
        <f>IFERROR(E594*'01 Prod Physique Boites'!L590,"-")</f>
        <v>0</v>
      </c>
      <c r="H594" s="391">
        <v>34.26</v>
      </c>
      <c r="I594" s="427">
        <f>IFERROR(H594*(F594/E594),"-")</f>
        <v>0</v>
      </c>
      <c r="J594" s="428">
        <f t="shared" si="386"/>
        <v>0</v>
      </c>
    </row>
    <row r="595" spans="1:10" ht="24" thickBot="1" x14ac:dyDescent="0.35">
      <c r="A595" s="277" t="s">
        <v>109</v>
      </c>
      <c r="B595" s="929"/>
      <c r="C595" s="306" t="s">
        <v>327</v>
      </c>
      <c r="D595" s="306"/>
      <c r="E595" s="512">
        <v>25.751300000000001</v>
      </c>
      <c r="F595" s="408">
        <f>IFERROR(E595*'01 Prod Physique Boites'!H591,"-")</f>
        <v>0</v>
      </c>
      <c r="G595" s="409">
        <f>IFERROR(E595*'01 Prod Physique Boites'!L591,"-")</f>
        <v>0</v>
      </c>
      <c r="H595" s="393">
        <v>37.89</v>
      </c>
      <c r="I595" s="429">
        <f>IFERROR(H595*(F595/E595),"-")</f>
        <v>0</v>
      </c>
      <c r="J595" s="430">
        <f t="shared" si="386"/>
        <v>0</v>
      </c>
    </row>
    <row r="596" spans="1:10" ht="24" thickBot="1" x14ac:dyDescent="0.35">
      <c r="A596" s="277" t="s">
        <v>109</v>
      </c>
      <c r="B596" s="929"/>
      <c r="C596" s="307"/>
      <c r="D596" s="308" t="s">
        <v>53</v>
      </c>
      <c r="E596" s="396"/>
      <c r="F596" s="412">
        <f t="shared" ref="F596:G596" si="387">SUM(F593:F595)</f>
        <v>0</v>
      </c>
      <c r="G596" s="413">
        <f t="shared" si="387"/>
        <v>0</v>
      </c>
      <c r="H596" s="397"/>
      <c r="I596" s="412">
        <f t="shared" ref="I596" si="388">SUM(I593:I595)</f>
        <v>0</v>
      </c>
      <c r="J596" s="431">
        <f>SUM(J593:J595)</f>
        <v>0</v>
      </c>
    </row>
    <row r="597" spans="1:10" ht="23.4" x14ac:dyDescent="0.3">
      <c r="A597" s="277" t="s">
        <v>109</v>
      </c>
      <c r="B597" s="929"/>
      <c r="C597" s="303" t="s">
        <v>352</v>
      </c>
      <c r="D597" s="303"/>
      <c r="E597" s="515">
        <v>22.094999999999999</v>
      </c>
      <c r="F597" s="408">
        <f>IFERROR(E597*'01 Prod Physique Boites'!H593,"-")</f>
        <v>0</v>
      </c>
      <c r="G597" s="409">
        <f>IFERROR(E597*'01 Prod Physique Boites'!L593,"-")</f>
        <v>0</v>
      </c>
      <c r="H597" s="387">
        <v>37.11</v>
      </c>
      <c r="I597" s="425">
        <f>IFERROR(H597*(F597/E597),"-")</f>
        <v>0</v>
      </c>
      <c r="J597" s="426">
        <f t="shared" ref="J597:J599" si="389">IFERROR(H597*(G597/E597),"-")</f>
        <v>0</v>
      </c>
    </row>
    <row r="598" spans="1:10" ht="23.4" x14ac:dyDescent="0.3">
      <c r="A598" s="277" t="s">
        <v>109</v>
      </c>
      <c r="B598" s="929"/>
      <c r="C598" s="309" t="s">
        <v>397</v>
      </c>
      <c r="D598" s="309" t="s">
        <v>259</v>
      </c>
      <c r="E598" s="516">
        <v>27.917000000000002</v>
      </c>
      <c r="F598" s="408">
        <f>IFERROR(E598*'01 Prod Physique Boites'!H594,"-")</f>
        <v>1045212.4800000001</v>
      </c>
      <c r="G598" s="409">
        <f>IFERROR(E598*'01 Prod Physique Boites'!L594,"-")</f>
        <v>8100396.7200000007</v>
      </c>
      <c r="H598" s="391">
        <v>39</v>
      </c>
      <c r="I598" s="427">
        <f>IFERROR(H598*(F598/E598),"-")</f>
        <v>1460160</v>
      </c>
      <c r="J598" s="428">
        <f t="shared" si="389"/>
        <v>11316240</v>
      </c>
    </row>
    <row r="599" spans="1:10" ht="24" thickBot="1" x14ac:dyDescent="0.35">
      <c r="A599" s="277" t="s">
        <v>109</v>
      </c>
      <c r="B599" s="929"/>
      <c r="C599" s="306" t="s">
        <v>146</v>
      </c>
      <c r="D599" s="306"/>
      <c r="E599" s="512">
        <v>25.4041</v>
      </c>
      <c r="F599" s="408">
        <f>IFERROR(E599*'01 Prod Physique Boites'!H595,"-")</f>
        <v>0</v>
      </c>
      <c r="G599" s="409">
        <f>IFERROR(E599*'01 Prod Physique Boites'!L595,"-")</f>
        <v>0</v>
      </c>
      <c r="H599" s="393">
        <v>28.21</v>
      </c>
      <c r="I599" s="429">
        <f>IFERROR(H599*(F599/E599),"-")</f>
        <v>0</v>
      </c>
      <c r="J599" s="430">
        <f t="shared" si="389"/>
        <v>0</v>
      </c>
    </row>
    <row r="600" spans="1:10" ht="24" thickBot="1" x14ac:dyDescent="0.35">
      <c r="A600" s="277" t="s">
        <v>109</v>
      </c>
      <c r="B600" s="929"/>
      <c r="C600" s="310"/>
      <c r="D600" s="311" t="s">
        <v>54</v>
      </c>
      <c r="E600" s="403"/>
      <c r="F600" s="420">
        <f t="shared" ref="F600:G600" si="390">SUM(F597:F599)</f>
        <v>1045212.4800000001</v>
      </c>
      <c r="G600" s="421">
        <f t="shared" si="390"/>
        <v>8100396.7200000007</v>
      </c>
      <c r="H600" s="404"/>
      <c r="I600" s="420">
        <f t="shared" ref="I600" si="391">SUM(I597:I599)</f>
        <v>1460160</v>
      </c>
      <c r="J600" s="436">
        <f>SUM(J597:J599)</f>
        <v>11316240</v>
      </c>
    </row>
    <row r="601" spans="1:10" ht="24" thickBot="1" x14ac:dyDescent="0.35">
      <c r="A601" s="277" t="s">
        <v>109</v>
      </c>
      <c r="B601" s="932" t="s">
        <v>172</v>
      </c>
      <c r="C601" s="933"/>
      <c r="D601" s="934"/>
      <c r="E601" s="405"/>
      <c r="F601" s="422">
        <f t="shared" ref="F601:G601" si="392">+F596+F600</f>
        <v>1045212.4800000001</v>
      </c>
      <c r="G601" s="423">
        <f t="shared" si="392"/>
        <v>8100396.7200000007</v>
      </c>
      <c r="H601" s="406"/>
      <c r="I601" s="422">
        <f t="shared" ref="I601:J601" si="393">+I596+I600</f>
        <v>1460160</v>
      </c>
      <c r="J601" s="437">
        <f t="shared" si="393"/>
        <v>11316240</v>
      </c>
    </row>
    <row r="602" spans="1:10" ht="24" thickBot="1" x14ac:dyDescent="0.35">
      <c r="A602" s="277" t="s">
        <v>109</v>
      </c>
      <c r="B602" s="617" t="s">
        <v>32</v>
      </c>
      <c r="C602" s="709"/>
      <c r="D602" s="316"/>
      <c r="E602" s="517">
        <v>12.2659</v>
      </c>
      <c r="F602" s="414">
        <f>IFERROR(E602*'01 Prod Physique Boites'!H598,"-")</f>
        <v>0</v>
      </c>
      <c r="G602" s="415">
        <f>IFERROR(E602*'01 Prod Physique Boites'!L598,"-")</f>
        <v>0</v>
      </c>
      <c r="H602" s="398"/>
      <c r="I602" s="432">
        <f>IFERROR(H602*(F602/E602),"-")</f>
        <v>0</v>
      </c>
      <c r="J602" s="433">
        <f>IFERROR(H602*(G602/E602),"-")</f>
        <v>0</v>
      </c>
    </row>
    <row r="603" spans="1:10" ht="24" thickBot="1" x14ac:dyDescent="0.35">
      <c r="A603" s="277" t="s">
        <v>109</v>
      </c>
      <c r="B603" s="926" t="s">
        <v>21</v>
      </c>
      <c r="C603" s="927"/>
      <c r="D603" s="928"/>
      <c r="E603" s="399"/>
      <c r="F603" s="416">
        <f t="shared" ref="F603" si="394">+F592+F601+F602</f>
        <v>2392098.8363999999</v>
      </c>
      <c r="G603" s="417">
        <f>+G592+G601+G602</f>
        <v>14841473.3532</v>
      </c>
      <c r="H603" s="400"/>
      <c r="I603" s="416">
        <f t="shared" ref="I603:J603" si="395">+I592+I601+I602</f>
        <v>3064010.04</v>
      </c>
      <c r="J603" s="434">
        <f t="shared" si="395"/>
        <v>20980950.119999997</v>
      </c>
    </row>
    <row r="604" spans="1:10" ht="24" thickBot="1" x14ac:dyDescent="0.35">
      <c r="A604" s="277" t="s">
        <v>109</v>
      </c>
      <c r="B604" s="900" t="s">
        <v>180</v>
      </c>
      <c r="C604" s="901"/>
      <c r="D604" s="902"/>
      <c r="E604" s="401"/>
      <c r="F604" s="418">
        <f t="shared" ref="F604:G604" si="396">+F603</f>
        <v>2392098.8363999999</v>
      </c>
      <c r="G604" s="419">
        <f t="shared" si="396"/>
        <v>14841473.3532</v>
      </c>
      <c r="H604" s="402"/>
      <c r="I604" s="418">
        <f t="shared" ref="I604:J604" si="397">+I603</f>
        <v>3064010.04</v>
      </c>
      <c r="J604" s="435">
        <f t="shared" si="397"/>
        <v>20980950.119999997</v>
      </c>
    </row>
    <row r="605" spans="1:10" ht="23.4" x14ac:dyDescent="0.3">
      <c r="A605" s="271" t="s">
        <v>110</v>
      </c>
      <c r="B605" s="903" t="s">
        <v>33</v>
      </c>
      <c r="C605" s="317" t="s">
        <v>121</v>
      </c>
      <c r="D605" s="317"/>
      <c r="E605" s="513">
        <v>254.89750000000001</v>
      </c>
      <c r="F605" s="408">
        <f>IFERROR(E605*'01 Prod Physique Boites'!H601,"-")</f>
        <v>0</v>
      </c>
      <c r="G605" s="409">
        <f>IFERROR(E605*'01 Prod Physique Boites'!L601,"-")</f>
        <v>0</v>
      </c>
      <c r="H605" s="387">
        <v>445.38</v>
      </c>
      <c r="I605" s="425">
        <f>IFERROR(H605*(F605/E605),"-")</f>
        <v>0</v>
      </c>
      <c r="J605" s="426">
        <f t="shared" ref="J605:J607" si="398">IFERROR(H605*(G605/E605),"-")</f>
        <v>0</v>
      </c>
    </row>
    <row r="606" spans="1:10" ht="23.4" x14ac:dyDescent="0.3">
      <c r="A606" s="277" t="s">
        <v>110</v>
      </c>
      <c r="B606" s="904"/>
      <c r="C606" s="318" t="s">
        <v>274</v>
      </c>
      <c r="D606" s="318"/>
      <c r="E606" s="514">
        <v>246.51390000000001</v>
      </c>
      <c r="F606" s="408">
        <f>IFERROR(E606*'01 Prod Physique Boites'!H602,"-")</f>
        <v>345119.46</v>
      </c>
      <c r="G606" s="409">
        <f>IFERROR(E606*'01 Prod Physique Boites'!L602,"-")</f>
        <v>877589.48400000005</v>
      </c>
      <c r="H606" s="391">
        <v>430.02</v>
      </c>
      <c r="I606" s="427">
        <f>IFERROR(H606*(F606/E606),"-")</f>
        <v>602028</v>
      </c>
      <c r="J606" s="428">
        <f t="shared" si="398"/>
        <v>1530871.2</v>
      </c>
    </row>
    <row r="607" spans="1:10" ht="24" thickBot="1" x14ac:dyDescent="0.35">
      <c r="A607" s="277" t="s">
        <v>110</v>
      </c>
      <c r="B607" s="905"/>
      <c r="C607" s="319" t="s">
        <v>34</v>
      </c>
      <c r="D607" s="319"/>
      <c r="E607" s="511">
        <v>225.7713</v>
      </c>
      <c r="F607" s="408">
        <f>IFERROR(E607*'01 Prod Physique Boites'!H603,"-")</f>
        <v>0</v>
      </c>
      <c r="G607" s="409">
        <f>IFERROR(E607*'01 Prod Physique Boites'!L603,"-")</f>
        <v>0</v>
      </c>
      <c r="H607" s="393"/>
      <c r="I607" s="429">
        <f>IFERROR(H607*(F607/E607),"-")</f>
        <v>0</v>
      </c>
      <c r="J607" s="430">
        <f t="shared" si="398"/>
        <v>0</v>
      </c>
    </row>
    <row r="608" spans="1:10" ht="24" thickBot="1" x14ac:dyDescent="0.35">
      <c r="A608" s="277" t="s">
        <v>110</v>
      </c>
      <c r="B608" s="906" t="s">
        <v>35</v>
      </c>
      <c r="C608" s="907"/>
      <c r="D608" s="908"/>
      <c r="E608" s="396"/>
      <c r="F608" s="412">
        <f t="shared" ref="F608:G608" si="399">SUM(F605:F607)</f>
        <v>345119.46</v>
      </c>
      <c r="G608" s="413">
        <f t="shared" si="399"/>
        <v>877589.48400000005</v>
      </c>
      <c r="H608" s="397"/>
      <c r="I608" s="412">
        <f t="shared" ref="I608:J608" si="400">SUM(I605:I607)</f>
        <v>602028</v>
      </c>
      <c r="J608" s="431">
        <f t="shared" si="400"/>
        <v>1530871.2</v>
      </c>
    </row>
    <row r="609" spans="1:10" ht="23.4" x14ac:dyDescent="0.3">
      <c r="A609" s="277" t="s">
        <v>110</v>
      </c>
      <c r="B609" s="903" t="s">
        <v>36</v>
      </c>
      <c r="C609" s="317" t="s">
        <v>121</v>
      </c>
      <c r="D609" s="317"/>
      <c r="E609" s="513">
        <v>254.89750000000001</v>
      </c>
      <c r="F609" s="408">
        <f>IFERROR(E609*'01 Prod Physique Boites'!H605,"-")</f>
        <v>0</v>
      </c>
      <c r="G609" s="409">
        <f>IFERROR(E609*'01 Prod Physique Boites'!L605,"-")</f>
        <v>0</v>
      </c>
      <c r="H609" s="387">
        <v>445.38</v>
      </c>
      <c r="I609" s="425">
        <f>IFERROR(H609*(F609/E609),"-")</f>
        <v>0</v>
      </c>
      <c r="J609" s="426">
        <f t="shared" ref="J609:J612" si="401">IFERROR(H609*(G609/E609),"-")</f>
        <v>0</v>
      </c>
    </row>
    <row r="610" spans="1:10" ht="23.4" x14ac:dyDescent="0.3">
      <c r="A610" s="277" t="s">
        <v>110</v>
      </c>
      <c r="B610" s="904"/>
      <c r="C610" s="318" t="s">
        <v>274</v>
      </c>
      <c r="D610" s="318"/>
      <c r="E610" s="514">
        <v>246.51390000000001</v>
      </c>
      <c r="F610" s="408">
        <f>IFERROR(E610*'01 Prod Physique Boites'!H606,"-")</f>
        <v>0</v>
      </c>
      <c r="G610" s="409">
        <f>IFERROR(E610*'01 Prod Physique Boites'!L606,"-")</f>
        <v>0</v>
      </c>
      <c r="H610" s="391">
        <v>430.02</v>
      </c>
      <c r="I610" s="427">
        <f>IFERROR(H610*(F610/E610),"-")</f>
        <v>0</v>
      </c>
      <c r="J610" s="428">
        <f t="shared" si="401"/>
        <v>0</v>
      </c>
    </row>
    <row r="611" spans="1:10" ht="23.4" x14ac:dyDescent="0.3">
      <c r="A611" s="277" t="s">
        <v>110</v>
      </c>
      <c r="B611" s="904"/>
      <c r="C611" s="318" t="s">
        <v>201</v>
      </c>
      <c r="D611" s="318" t="s">
        <v>200</v>
      </c>
      <c r="E611" s="514">
        <v>254.89750000000001</v>
      </c>
      <c r="F611" s="408">
        <f>IFERROR(E611*'01 Prod Physique Boites'!H607,"-")</f>
        <v>0</v>
      </c>
      <c r="G611" s="409">
        <f>IFERROR(E611*'01 Prod Physique Boites'!L607,"-")</f>
        <v>0</v>
      </c>
      <c r="H611" s="391"/>
      <c r="I611" s="427">
        <f>IFERROR(H611*(F611/E611),"-")</f>
        <v>0</v>
      </c>
      <c r="J611" s="428">
        <f t="shared" si="401"/>
        <v>0</v>
      </c>
    </row>
    <row r="612" spans="1:10" ht="24" thickBot="1" x14ac:dyDescent="0.35">
      <c r="A612" s="277" t="s">
        <v>110</v>
      </c>
      <c r="B612" s="905"/>
      <c r="C612" s="319" t="s">
        <v>37</v>
      </c>
      <c r="D612" s="319"/>
      <c r="E612" s="511">
        <v>229.99359999999999</v>
      </c>
      <c r="F612" s="408">
        <f>IFERROR(E612*'01 Prod Physique Boites'!H608,"-")</f>
        <v>0</v>
      </c>
      <c r="G612" s="409">
        <f>IFERROR(E612*'01 Prod Physique Boites'!L608,"-")</f>
        <v>0</v>
      </c>
      <c r="H612" s="393"/>
      <c r="I612" s="429">
        <f>IFERROR(H612*(F612/E612),"-")</f>
        <v>0</v>
      </c>
      <c r="J612" s="430">
        <f t="shared" si="401"/>
        <v>0</v>
      </c>
    </row>
    <row r="613" spans="1:10" ht="24" thickBot="1" x14ac:dyDescent="0.35">
      <c r="A613" s="277" t="s">
        <v>110</v>
      </c>
      <c r="B613" s="906" t="s">
        <v>38</v>
      </c>
      <c r="C613" s="907"/>
      <c r="D613" s="908"/>
      <c r="E613" s="396"/>
      <c r="F613" s="412">
        <f t="shared" ref="F613:G613" si="402">SUM(F609:F612)</f>
        <v>0</v>
      </c>
      <c r="G613" s="413">
        <f t="shared" si="402"/>
        <v>0</v>
      </c>
      <c r="H613" s="397"/>
      <c r="I613" s="412">
        <f>SUM(I609:I612)</f>
        <v>0</v>
      </c>
      <c r="J613" s="431">
        <f>SUM(J609:J612)</f>
        <v>0</v>
      </c>
    </row>
    <row r="614" spans="1:10" ht="23.4" x14ac:dyDescent="0.3">
      <c r="A614" s="277" t="s">
        <v>110</v>
      </c>
      <c r="B614" s="903" t="s">
        <v>39</v>
      </c>
      <c r="C614" s="320" t="s">
        <v>124</v>
      </c>
      <c r="D614" s="320"/>
      <c r="E614" s="513">
        <v>195.2808</v>
      </c>
      <c r="F614" s="408">
        <f>IFERROR(E614*'01 Prod Physique Boites'!H610,"-")</f>
        <v>0</v>
      </c>
      <c r="G614" s="409">
        <f>IFERROR(E614*'01 Prod Physique Boites'!L610,"-")</f>
        <v>0</v>
      </c>
      <c r="H614" s="387"/>
      <c r="I614" s="425">
        <f>IFERROR(H614*(F614/E614),"-")</f>
        <v>0</v>
      </c>
      <c r="J614" s="426">
        <f t="shared" ref="J614:J615" si="403">IFERROR(H614*(G614/E614),"-")</f>
        <v>0</v>
      </c>
    </row>
    <row r="615" spans="1:10" ht="24" thickBot="1" x14ac:dyDescent="0.35">
      <c r="A615" s="277" t="s">
        <v>110</v>
      </c>
      <c r="B615" s="905"/>
      <c r="C615" s="290" t="s">
        <v>140</v>
      </c>
      <c r="D615" s="290"/>
      <c r="E615" s="511">
        <v>189.91890000000001</v>
      </c>
      <c r="F615" s="408">
        <f>IFERROR(E615*'01 Prod Physique Boites'!H611,"-")</f>
        <v>0</v>
      </c>
      <c r="G615" s="409">
        <f>IFERROR(E615*'01 Prod Physique Boites'!L611,"-")</f>
        <v>0</v>
      </c>
      <c r="H615" s="393">
        <v>320.35000000000002</v>
      </c>
      <c r="I615" s="429">
        <f>IFERROR(H615*(F615/E615),"-")</f>
        <v>0</v>
      </c>
      <c r="J615" s="430">
        <f t="shared" si="403"/>
        <v>0</v>
      </c>
    </row>
    <row r="616" spans="1:10" ht="24" thickBot="1" x14ac:dyDescent="0.35">
      <c r="A616" s="713" t="s">
        <v>110</v>
      </c>
      <c r="B616" s="906" t="s">
        <v>40</v>
      </c>
      <c r="C616" s="907"/>
      <c r="D616" s="908"/>
      <c r="E616" s="396"/>
      <c r="F616" s="412">
        <f>SUM(F614:F615)</f>
        <v>0</v>
      </c>
      <c r="G616" s="413">
        <f t="shared" ref="G616" si="404">SUM(G614:G615)</f>
        <v>0</v>
      </c>
      <c r="H616" s="397"/>
      <c r="I616" s="412">
        <f t="shared" ref="I616:J616" si="405">SUM(I614:I615)</f>
        <v>0</v>
      </c>
      <c r="J616" s="431">
        <f t="shared" si="405"/>
        <v>0</v>
      </c>
    </row>
    <row r="617" spans="1:10" ht="23.4" x14ac:dyDescent="0.3">
      <c r="A617" s="277" t="s">
        <v>110</v>
      </c>
      <c r="B617" s="903" t="s">
        <v>41</v>
      </c>
      <c r="C617" s="272" t="s">
        <v>346</v>
      </c>
      <c r="D617" s="272" t="s">
        <v>263</v>
      </c>
      <c r="E617" s="515">
        <v>37.248699999999999</v>
      </c>
      <c r="F617" s="408">
        <f>IFERROR(E617*'01 Prod Physique Boites'!H613,"-")</f>
        <v>751380.77639999997</v>
      </c>
      <c r="G617" s="409">
        <f>IFERROR(E617*'01 Prod Physique Boites'!L613,"-")</f>
        <v>2175026.0904000001</v>
      </c>
      <c r="H617" s="387">
        <v>71.44</v>
      </c>
      <c r="I617" s="425">
        <f>IFERROR(H617*(F617/E617),"-")</f>
        <v>1441087.68</v>
      </c>
      <c r="J617" s="426">
        <f>IFERROR(H617*(G617/E617),"-")</f>
        <v>4171524.48</v>
      </c>
    </row>
    <row r="618" spans="1:10" ht="23.4" x14ac:dyDescent="0.3">
      <c r="A618" s="277" t="s">
        <v>110</v>
      </c>
      <c r="B618" s="904"/>
      <c r="C618" s="272" t="s">
        <v>165</v>
      </c>
      <c r="D618" s="278"/>
      <c r="E618" s="515">
        <v>37.248699999999999</v>
      </c>
      <c r="F618" s="408">
        <f>IFERROR(E618*'01 Prod Physique Boites'!H614,"-")</f>
        <v>0</v>
      </c>
      <c r="G618" s="409">
        <f>IFERROR(E618*'01 Prod Physique Boites'!L614,"-")</f>
        <v>0</v>
      </c>
      <c r="H618" s="391"/>
      <c r="I618" s="427">
        <f>IFERROR(H618*(F618/E618),"-")</f>
        <v>0</v>
      </c>
      <c r="J618" s="428">
        <f t="shared" ref="J618:J621" si="406">IFERROR(H618*(G618/E618),"-")</f>
        <v>0</v>
      </c>
    </row>
    <row r="619" spans="1:10" ht="23.4" x14ac:dyDescent="0.3">
      <c r="A619" s="277" t="s">
        <v>110</v>
      </c>
      <c r="B619" s="904"/>
      <c r="C619" s="278" t="s">
        <v>423</v>
      </c>
      <c r="D619" s="272" t="s">
        <v>263</v>
      </c>
      <c r="E619" s="516">
        <v>38.466099999999997</v>
      </c>
      <c r="F619" s="408">
        <f>IFERROR(E619*'01 Prod Physique Boites'!H615,"-")</f>
        <v>18463.727999999999</v>
      </c>
      <c r="G619" s="409">
        <f>IFERROR(E619*'01 Prod Physique Boites'!L615,"-")</f>
        <v>1306308.7559999998</v>
      </c>
      <c r="H619" s="391">
        <v>71.44</v>
      </c>
      <c r="I619" s="427">
        <f>IFERROR(H619*(F619/E619),"-")</f>
        <v>34291.199999999997</v>
      </c>
      <c r="J619" s="428">
        <f t="shared" si="406"/>
        <v>2426102.4</v>
      </c>
    </row>
    <row r="620" spans="1:10" ht="23.4" x14ac:dyDescent="0.3">
      <c r="A620" s="277" t="s">
        <v>110</v>
      </c>
      <c r="B620" s="904"/>
      <c r="C620" s="278" t="s">
        <v>166</v>
      </c>
      <c r="D620" s="278"/>
      <c r="E620" s="516">
        <v>37.248699999999999</v>
      </c>
      <c r="F620" s="408">
        <f>IFERROR(E620*'01 Prod Physique Boites'!H616,"-")</f>
        <v>0</v>
      </c>
      <c r="G620" s="409">
        <f>IFERROR(E620*'01 Prod Physique Boites'!L616,"-")</f>
        <v>0</v>
      </c>
      <c r="H620" s="391"/>
      <c r="I620" s="427">
        <f>IFERROR(H620*(F620/E620),"-")</f>
        <v>0</v>
      </c>
      <c r="J620" s="428">
        <f t="shared" si="406"/>
        <v>0</v>
      </c>
    </row>
    <row r="621" spans="1:10" ht="24" thickBot="1" x14ac:dyDescent="0.35">
      <c r="A621" s="277" t="s">
        <v>110</v>
      </c>
      <c r="B621" s="905"/>
      <c r="C621" s="282" t="s">
        <v>167</v>
      </c>
      <c r="D621" s="282"/>
      <c r="E621" s="512">
        <v>33.711399999999998</v>
      </c>
      <c r="F621" s="408">
        <f>IFERROR(E621*'01 Prod Physique Boites'!H617,"-")</f>
        <v>0</v>
      </c>
      <c r="G621" s="409">
        <f>IFERROR(E621*'01 Prod Physique Boites'!L617,"-")</f>
        <v>0</v>
      </c>
      <c r="H621" s="393"/>
      <c r="I621" s="429">
        <f>IFERROR(H621*(F621/E621),"-")</f>
        <v>0</v>
      </c>
      <c r="J621" s="430">
        <f t="shared" si="406"/>
        <v>0</v>
      </c>
    </row>
    <row r="622" spans="1:10" ht="24" thickBot="1" x14ac:dyDescent="0.35">
      <c r="A622" s="277" t="s">
        <v>110</v>
      </c>
      <c r="B622" s="906" t="s">
        <v>42</v>
      </c>
      <c r="C622" s="907"/>
      <c r="D622" s="908"/>
      <c r="E622" s="396"/>
      <c r="F622" s="412">
        <f>SUM(F617:F621)</f>
        <v>769844.50439999998</v>
      </c>
      <c r="G622" s="413">
        <f>SUM(G617:G621)</f>
        <v>3481334.8464000002</v>
      </c>
      <c r="H622" s="397"/>
      <c r="I622" s="412">
        <f>SUM(I617:I621)</f>
        <v>1475378.88</v>
      </c>
      <c r="J622" s="412">
        <f>SUM(J617:J621)</f>
        <v>6597626.8799999999</v>
      </c>
    </row>
    <row r="623" spans="1:10" ht="23.4" x14ac:dyDescent="0.3">
      <c r="A623" s="277" t="s">
        <v>110</v>
      </c>
      <c r="B623" s="903" t="s">
        <v>43</v>
      </c>
      <c r="C623" s="272" t="s">
        <v>204</v>
      </c>
      <c r="D623" s="272" t="s">
        <v>200</v>
      </c>
      <c r="E623" s="515">
        <v>30.7499</v>
      </c>
      <c r="F623" s="408">
        <f>IFERROR(E623*'01 Prod Physique Boites'!H619,"-")</f>
        <v>0</v>
      </c>
      <c r="G623" s="409">
        <f>IFERROR(E623*'01 Prod Physique Boites'!L619,"-")</f>
        <v>0</v>
      </c>
      <c r="H623" s="387"/>
      <c r="I623" s="425">
        <f>IFERROR(H623*(F623/E623),"-")</f>
        <v>0</v>
      </c>
      <c r="J623" s="426">
        <f>IFERROR(H623*(G623/E623),"-")</f>
        <v>0</v>
      </c>
    </row>
    <row r="624" spans="1:10" ht="23.4" x14ac:dyDescent="0.3">
      <c r="A624" s="277" t="s">
        <v>110</v>
      </c>
      <c r="B624" s="904"/>
      <c r="C624" s="278" t="s">
        <v>168</v>
      </c>
      <c r="D624" s="278"/>
      <c r="E624" s="516">
        <v>28.7</v>
      </c>
      <c r="F624" s="408">
        <f>IFERROR(E624*'01 Prod Physique Boites'!H620,"-")</f>
        <v>0</v>
      </c>
      <c r="G624" s="409">
        <f>IFERROR(E624*'01 Prod Physique Boites'!L620,"-")</f>
        <v>0</v>
      </c>
      <c r="H624" s="391"/>
      <c r="I624" s="427">
        <f>IFERROR(H624*(F624/E624),"-")</f>
        <v>0</v>
      </c>
      <c r="J624" s="428">
        <f t="shared" ref="J624:J625" si="407">IFERROR(H624*(G624/E624),"-")</f>
        <v>0</v>
      </c>
    </row>
    <row r="625" spans="1:10" ht="24" thickBot="1" x14ac:dyDescent="0.35">
      <c r="A625" s="277" t="s">
        <v>110</v>
      </c>
      <c r="B625" s="905"/>
      <c r="C625" s="282" t="s">
        <v>204</v>
      </c>
      <c r="D625" s="282" t="s">
        <v>203</v>
      </c>
      <c r="E625" s="512">
        <v>30.073599999999999</v>
      </c>
      <c r="F625" s="408">
        <f>IFERROR(E625*'01 Prod Physique Boites'!H621,"-")</f>
        <v>0</v>
      </c>
      <c r="G625" s="409">
        <f>IFERROR(E625*'01 Prod Physique Boites'!L621,"-")</f>
        <v>0</v>
      </c>
      <c r="H625" s="393"/>
      <c r="I625" s="429">
        <f>IFERROR(H625*(F625/E625),"-")</f>
        <v>0</v>
      </c>
      <c r="J625" s="430">
        <f t="shared" si="407"/>
        <v>0</v>
      </c>
    </row>
    <row r="626" spans="1:10" ht="24" thickBot="1" x14ac:dyDescent="0.35">
      <c r="A626" s="277" t="s">
        <v>110</v>
      </c>
      <c r="B626" s="909" t="s">
        <v>44</v>
      </c>
      <c r="C626" s="910"/>
      <c r="D626" s="911"/>
      <c r="E626" s="396"/>
      <c r="F626" s="412">
        <f t="shared" ref="F626:G626" si="408">SUM(F623:F625)</f>
        <v>0</v>
      </c>
      <c r="G626" s="413">
        <f t="shared" si="408"/>
        <v>0</v>
      </c>
      <c r="H626" s="397"/>
      <c r="I626" s="412">
        <f t="shared" ref="I626:J626" si="409">SUM(I623:I625)</f>
        <v>0</v>
      </c>
      <c r="J626" s="431">
        <f t="shared" si="409"/>
        <v>0</v>
      </c>
    </row>
    <row r="627" spans="1:10" ht="23.4" x14ac:dyDescent="0.3">
      <c r="A627" s="277" t="s">
        <v>110</v>
      </c>
      <c r="B627" s="903" t="s">
        <v>45</v>
      </c>
      <c r="C627" s="272" t="s">
        <v>169</v>
      </c>
      <c r="D627" s="272"/>
      <c r="E627" s="515">
        <v>36.684899999999999</v>
      </c>
      <c r="F627" s="408">
        <f>IFERROR(E627*'01 Prod Physique Boites'!H623,"-")</f>
        <v>0</v>
      </c>
      <c r="G627" s="409">
        <f>IFERROR(E627*'01 Prod Physique Boites'!L623,"-")</f>
        <v>0</v>
      </c>
      <c r="H627" s="387"/>
      <c r="I627" s="388" t="s">
        <v>209</v>
      </c>
      <c r="J627" s="389" t="s">
        <v>209</v>
      </c>
    </row>
    <row r="628" spans="1:10" ht="24" thickBot="1" x14ac:dyDescent="0.35">
      <c r="A628" s="277" t="s">
        <v>110</v>
      </c>
      <c r="B628" s="905"/>
      <c r="C628" s="282" t="s">
        <v>170</v>
      </c>
      <c r="D628" s="282"/>
      <c r="E628" s="512">
        <v>37.002800000000001</v>
      </c>
      <c r="F628" s="408">
        <f>IFERROR(E628*'01 Prod Physique Boites'!H624,"-")</f>
        <v>0</v>
      </c>
      <c r="G628" s="409">
        <f>IFERROR(E628*'01 Prod Physique Boites'!L624,"-")</f>
        <v>0</v>
      </c>
      <c r="H628" s="393"/>
      <c r="I628" s="394" t="s">
        <v>209</v>
      </c>
      <c r="J628" s="395" t="s">
        <v>209</v>
      </c>
    </row>
    <row r="629" spans="1:10" ht="24" thickBot="1" x14ac:dyDescent="0.35">
      <c r="A629" s="277" t="s">
        <v>110</v>
      </c>
      <c r="B629" s="909" t="s">
        <v>46</v>
      </c>
      <c r="C629" s="910"/>
      <c r="D629" s="911"/>
      <c r="E629" s="396"/>
      <c r="F629" s="412">
        <f t="shared" ref="F629:G629" si="410">SUM(F627:F628)</f>
        <v>0</v>
      </c>
      <c r="G629" s="413">
        <f t="shared" si="410"/>
        <v>0</v>
      </c>
      <c r="H629" s="397"/>
      <c r="I629" s="412">
        <f t="shared" ref="I629:J629" si="411">SUM(I627:I628)</f>
        <v>0</v>
      </c>
      <c r="J629" s="431">
        <f t="shared" si="411"/>
        <v>0</v>
      </c>
    </row>
    <row r="630" spans="1:10" ht="24" thickBot="1" x14ac:dyDescent="0.35">
      <c r="A630" s="277" t="s">
        <v>110</v>
      </c>
      <c r="B630" s="912" t="s">
        <v>25</v>
      </c>
      <c r="C630" s="913"/>
      <c r="D630" s="914"/>
      <c r="E630" s="399"/>
      <c r="F630" s="416">
        <f t="shared" ref="F630:G630" si="412">+F608+F613+F616+F622+F626+F629</f>
        <v>1114963.9643999999</v>
      </c>
      <c r="G630" s="417">
        <f t="shared" si="412"/>
        <v>4358924.3304000003</v>
      </c>
      <c r="H630" s="400"/>
      <c r="I630" s="416">
        <f>+I608+I613+I616+I622+I626+I629</f>
        <v>2077406.88</v>
      </c>
      <c r="J630" s="434">
        <f>+J608+J613+J616+J622+J626+J629</f>
        <v>8128498.0800000001</v>
      </c>
    </row>
    <row r="631" spans="1:10" ht="24" thickBot="1" x14ac:dyDescent="0.35">
      <c r="A631" s="324" t="s">
        <v>110</v>
      </c>
      <c r="B631" s="901" t="s">
        <v>182</v>
      </c>
      <c r="C631" s="901"/>
      <c r="D631" s="902"/>
      <c r="E631" s="401"/>
      <c r="F631" s="418">
        <f t="shared" ref="F631:G631" si="413">+F630</f>
        <v>1114963.9643999999</v>
      </c>
      <c r="G631" s="419">
        <f t="shared" si="413"/>
        <v>4358924.3304000003</v>
      </c>
      <c r="H631" s="402"/>
      <c r="I631" s="418">
        <f t="shared" ref="I631" si="414">+I630</f>
        <v>2077406.88</v>
      </c>
      <c r="J631" s="435">
        <f>+J630</f>
        <v>8128498.0800000001</v>
      </c>
    </row>
    <row r="632" spans="1:10" ht="24.6" thickBot="1" x14ac:dyDescent="0.35">
      <c r="A632" s="325"/>
      <c r="B632" s="915" t="s">
        <v>183</v>
      </c>
      <c r="C632" s="916"/>
      <c r="D632" s="917"/>
      <c r="E632" s="407"/>
      <c r="F632" s="424">
        <f t="shared" ref="F632:G632" si="415">+F577+F604+F631</f>
        <v>4710037.7327999994</v>
      </c>
      <c r="G632" s="424">
        <f t="shared" si="415"/>
        <v>31463225.530500002</v>
      </c>
      <c r="H632" s="407"/>
      <c r="I632" s="424">
        <f t="shared" ref="I632:J632" si="416">+I577+I604+I631</f>
        <v>6620224.3695999999</v>
      </c>
      <c r="J632" s="438">
        <f t="shared" si="416"/>
        <v>49126241.901999995</v>
      </c>
    </row>
    <row r="633" spans="1:10" ht="23.4" x14ac:dyDescent="0.3">
      <c r="A633" s="935" t="s">
        <v>1</v>
      </c>
      <c r="B633" s="938" t="s">
        <v>2</v>
      </c>
      <c r="C633" s="941" t="s">
        <v>3</v>
      </c>
      <c r="D633" s="941" t="s">
        <v>93</v>
      </c>
      <c r="E633" s="965" t="s">
        <v>176</v>
      </c>
      <c r="F633" s="966"/>
      <c r="G633" s="966"/>
      <c r="H633" s="451"/>
      <c r="I633" s="451"/>
      <c r="J633" s="452"/>
    </row>
    <row r="634" spans="1:10" ht="23.4" x14ac:dyDescent="0.3">
      <c r="A634" s="936"/>
      <c r="B634" s="939"/>
      <c r="C634" s="942"/>
      <c r="D634" s="942"/>
      <c r="E634" s="967" t="s">
        <v>178</v>
      </c>
      <c r="F634" s="968"/>
      <c r="G634" s="969"/>
      <c r="H634" s="967" t="s">
        <v>177</v>
      </c>
      <c r="I634" s="968"/>
      <c r="J634" s="969"/>
    </row>
    <row r="635" spans="1:10" ht="46.8" x14ac:dyDescent="0.3">
      <c r="A635" s="937"/>
      <c r="B635" s="963"/>
      <c r="C635" s="964"/>
      <c r="D635" s="964"/>
      <c r="E635" s="385" t="s">
        <v>179</v>
      </c>
      <c r="F635" s="715" t="s">
        <v>11</v>
      </c>
      <c r="G635" s="716" t="s">
        <v>12</v>
      </c>
      <c r="H635" s="970" t="s">
        <v>179</v>
      </c>
      <c r="I635" s="972" t="s">
        <v>145</v>
      </c>
      <c r="J635" s="974" t="s">
        <v>12</v>
      </c>
    </row>
    <row r="636" spans="1:10" ht="24" thickBot="1" x14ac:dyDescent="0.35">
      <c r="A636" s="937"/>
      <c r="B636" s="940"/>
      <c r="C636" s="943"/>
      <c r="D636" s="943"/>
      <c r="E636" s="976">
        <v>44509</v>
      </c>
      <c r="F636" s="977"/>
      <c r="G636" s="978"/>
      <c r="H636" s="971"/>
      <c r="I636" s="973"/>
      <c r="J636" s="975"/>
    </row>
    <row r="637" spans="1:10" ht="23.4" x14ac:dyDescent="0.3">
      <c r="A637" s="271" t="s">
        <v>111</v>
      </c>
      <c r="B637" s="922" t="s">
        <v>16</v>
      </c>
      <c r="C637" s="272" t="s">
        <v>186</v>
      </c>
      <c r="D637" s="272" t="s">
        <v>184</v>
      </c>
      <c r="E637" s="515">
        <v>81.360699999999994</v>
      </c>
      <c r="F637" s="408">
        <f>IFERROR(E637*'01 Prod Physique Boites'!H632,"-")</f>
        <v>0</v>
      </c>
      <c r="G637" s="408">
        <f>IFERROR(E637*'01 Prod Physique Boites'!L632,"-")</f>
        <v>0</v>
      </c>
      <c r="H637" s="387">
        <v>0</v>
      </c>
      <c r="I637" s="425">
        <f>IFERROR(H637*(F637/E637),"-")</f>
        <v>0</v>
      </c>
      <c r="J637" s="426">
        <f t="shared" ref="J637:J639" si="417">IFERROR(H637*(G637/E637),"-")</f>
        <v>0</v>
      </c>
    </row>
    <row r="638" spans="1:10" ht="23.4" x14ac:dyDescent="0.3">
      <c r="A638" s="277" t="s">
        <v>111</v>
      </c>
      <c r="B638" s="923"/>
      <c r="C638" s="278" t="s">
        <v>190</v>
      </c>
      <c r="D638" s="278" t="s">
        <v>101</v>
      </c>
      <c r="E638" s="516">
        <v>81.360699999999994</v>
      </c>
      <c r="F638" s="408">
        <f>IFERROR(E638*'01 Prod Physique Boites'!H633,"-")</f>
        <v>0</v>
      </c>
      <c r="G638" s="408">
        <f>IFERROR(E638*'01 Prod Physique Boites'!L633,"-")</f>
        <v>0</v>
      </c>
      <c r="H638" s="391">
        <v>0</v>
      </c>
      <c r="I638" s="425">
        <f>IFERROR(H638*(F638/E638),"-")</f>
        <v>0</v>
      </c>
      <c r="J638" s="426">
        <f t="shared" si="417"/>
        <v>0</v>
      </c>
    </row>
    <row r="639" spans="1:10" ht="23.4" x14ac:dyDescent="0.3">
      <c r="A639" s="277" t="s">
        <v>111</v>
      </c>
      <c r="B639" s="923"/>
      <c r="C639" s="278" t="s">
        <v>187</v>
      </c>
      <c r="D639" s="278" t="s">
        <v>185</v>
      </c>
      <c r="E639" s="516">
        <v>55.476900000000001</v>
      </c>
      <c r="F639" s="408">
        <f>IFERROR(E639*'01 Prod Physique Boites'!H634,"-")</f>
        <v>0</v>
      </c>
      <c r="G639" s="408">
        <f>IFERROR(E639*'01 Prod Physique Boites'!L634,"-")</f>
        <v>0</v>
      </c>
      <c r="H639" s="391">
        <v>0</v>
      </c>
      <c r="I639" s="425">
        <f>IFERROR(H639*(F639/E639),"-")</f>
        <v>0</v>
      </c>
      <c r="J639" s="426">
        <f t="shared" si="417"/>
        <v>0</v>
      </c>
    </row>
    <row r="640" spans="1:10" ht="24" thickBot="1" x14ac:dyDescent="0.35">
      <c r="A640" s="277" t="s">
        <v>111</v>
      </c>
      <c r="B640" s="924"/>
      <c r="C640" s="282" t="s">
        <v>289</v>
      </c>
      <c r="D640" s="282" t="s">
        <v>256</v>
      </c>
      <c r="E640" s="512">
        <v>60.703499999999998</v>
      </c>
      <c r="F640" s="408">
        <f>IFERROR(E640*'01 Prod Physique Boites'!H635,"-")</f>
        <v>745924.60800000001</v>
      </c>
      <c r="G640" s="408">
        <f>IFERROR(E640*'01 Prod Physique Boites'!L635,"-")</f>
        <v>5252552.4479999999</v>
      </c>
      <c r="H640" s="393">
        <v>111.0883</v>
      </c>
      <c r="I640" s="425">
        <f>IFERROR(H640*(F640/E640),"-")</f>
        <v>1365053.0304</v>
      </c>
      <c r="J640" s="426">
        <f>IFERROR(H640*(G640/E640),"-")</f>
        <v>9612248.4223999996</v>
      </c>
    </row>
    <row r="641" spans="1:10" ht="24" thickBot="1" x14ac:dyDescent="0.35">
      <c r="A641" s="277" t="s">
        <v>111</v>
      </c>
      <c r="B641" s="906" t="s">
        <v>47</v>
      </c>
      <c r="C641" s="907"/>
      <c r="D641" s="908"/>
      <c r="E641" s="396"/>
      <c r="F641" s="412">
        <f t="shared" ref="F641:G641" si="418">SUM(F637:F640)</f>
        <v>745924.60800000001</v>
      </c>
      <c r="G641" s="413">
        <f t="shared" si="418"/>
        <v>5252552.4479999999</v>
      </c>
      <c r="H641" s="397"/>
      <c r="I641" s="412">
        <f t="shared" ref="I641:J641" si="419">SUM(I637:I640)</f>
        <v>1365053.0304</v>
      </c>
      <c r="J641" s="431">
        <f t="shared" si="419"/>
        <v>9612248.4223999996</v>
      </c>
    </row>
    <row r="642" spans="1:10" ht="23.4" x14ac:dyDescent="0.3">
      <c r="A642" s="277" t="s">
        <v>111</v>
      </c>
      <c r="B642" s="922" t="s">
        <v>17</v>
      </c>
      <c r="C642" s="272" t="s">
        <v>331</v>
      </c>
      <c r="D642" s="272"/>
      <c r="E642" s="515">
        <v>12.5275</v>
      </c>
      <c r="F642" s="408">
        <f>IFERROR(E642*'01 Prod Physique Boites'!H637,"-")</f>
        <v>0</v>
      </c>
      <c r="G642" s="408">
        <f>IFERROR(E642*'01 Prod Physique Boites'!L637,"-")</f>
        <v>0</v>
      </c>
      <c r="H642" s="387">
        <v>18.836400000000001</v>
      </c>
      <c r="I642" s="425">
        <f t="shared" ref="I642:I648" si="420">IFERROR(H642*(F642/E642),"-")</f>
        <v>0</v>
      </c>
      <c r="J642" s="426">
        <f t="shared" ref="J642:J647" si="421">IFERROR(H642*(G642/E642),"-")</f>
        <v>0</v>
      </c>
    </row>
    <row r="643" spans="1:10" ht="23.4" x14ac:dyDescent="0.3">
      <c r="A643" s="277" t="s">
        <v>111</v>
      </c>
      <c r="B643" s="923"/>
      <c r="C643" s="278" t="s">
        <v>421</v>
      </c>
      <c r="D643" s="278" t="s">
        <v>257</v>
      </c>
      <c r="E643" s="516">
        <v>13.002700000000001</v>
      </c>
      <c r="F643" s="408">
        <f>IFERROR(E643*'01 Prod Physique Boites'!H638,"-")</f>
        <v>0</v>
      </c>
      <c r="G643" s="408">
        <f>IFERROR(E643*'01 Prod Physique Boites'!L638,"-")</f>
        <v>3294468.0936000003</v>
      </c>
      <c r="H643" s="391">
        <v>21.18</v>
      </c>
      <c r="I643" s="427">
        <f t="shared" si="420"/>
        <v>0</v>
      </c>
      <c r="J643" s="428">
        <f t="shared" si="421"/>
        <v>5366334.24</v>
      </c>
    </row>
    <row r="644" spans="1:10" ht="23.4" x14ac:dyDescent="0.3">
      <c r="A644" s="277" t="s">
        <v>111</v>
      </c>
      <c r="B644" s="923"/>
      <c r="C644" s="278" t="s">
        <v>441</v>
      </c>
      <c r="D644" s="278" t="s">
        <v>205</v>
      </c>
      <c r="E644" s="516">
        <v>12.9049</v>
      </c>
      <c r="F644" s="408">
        <f>IFERROR(E644*'01 Prod Physique Boites'!H639,"-")</f>
        <v>0</v>
      </c>
      <c r="G644" s="408">
        <f>IFERROR(E644*'01 Prod Physique Boites'!L639,"-")</f>
        <v>0</v>
      </c>
      <c r="H644" s="391">
        <v>20.6602</v>
      </c>
      <c r="I644" s="427">
        <f t="shared" si="420"/>
        <v>0</v>
      </c>
      <c r="J644" s="428">
        <f t="shared" si="421"/>
        <v>0</v>
      </c>
    </row>
    <row r="645" spans="1:10" ht="23.4" x14ac:dyDescent="0.3">
      <c r="A645" s="277" t="s">
        <v>111</v>
      </c>
      <c r="B645" s="923"/>
      <c r="C645" s="278" t="s">
        <v>330</v>
      </c>
      <c r="D645" s="278" t="s">
        <v>206</v>
      </c>
      <c r="E645" s="516">
        <v>13.078200000000001</v>
      </c>
      <c r="F645" s="408">
        <f>IFERROR(E645*'01 Prod Physique Boites'!H640,"-")</f>
        <v>0</v>
      </c>
      <c r="G645" s="408">
        <f>IFERROR(E645*'01 Prod Physique Boites'!L640,"-")</f>
        <v>24011.575200000003</v>
      </c>
      <c r="H645" s="391">
        <v>20.66</v>
      </c>
      <c r="I645" s="427">
        <f t="shared" si="420"/>
        <v>0</v>
      </c>
      <c r="J645" s="428">
        <f t="shared" si="421"/>
        <v>37931.760000000002</v>
      </c>
    </row>
    <row r="646" spans="1:10" ht="23.4" x14ac:dyDescent="0.3">
      <c r="A646" s="277" t="s">
        <v>111</v>
      </c>
      <c r="B646" s="923"/>
      <c r="C646" s="278" t="s">
        <v>377</v>
      </c>
      <c r="D646" s="278" t="s">
        <v>371</v>
      </c>
      <c r="E646" s="516">
        <v>13.1958</v>
      </c>
      <c r="F646" s="408">
        <f>IFERROR(E646*'01 Prod Physique Boites'!H641,"-")</f>
        <v>0</v>
      </c>
      <c r="G646" s="408">
        <f>IFERROR(E646*'01 Prod Physique Boites'!L641,"-")</f>
        <v>109683.4896</v>
      </c>
      <c r="H646" s="391">
        <v>21.28</v>
      </c>
      <c r="I646" s="427">
        <f t="shared" si="420"/>
        <v>0</v>
      </c>
      <c r="J646" s="428">
        <f t="shared" si="421"/>
        <v>176879.36000000002</v>
      </c>
    </row>
    <row r="647" spans="1:10" ht="23.4" x14ac:dyDescent="0.3">
      <c r="A647" s="277" t="s">
        <v>111</v>
      </c>
      <c r="B647" s="923"/>
      <c r="C647" s="278" t="s">
        <v>433</v>
      </c>
      <c r="D647" s="278" t="s">
        <v>207</v>
      </c>
      <c r="E647" s="516">
        <v>12.9049</v>
      </c>
      <c r="F647" s="408">
        <f>IFERROR(E647*'01 Prod Physique Boites'!H642,"-")</f>
        <v>157955.976</v>
      </c>
      <c r="G647" s="408">
        <f>IFERROR(E647*'01 Prod Physique Boites'!L642,"-")</f>
        <v>552845.91599999997</v>
      </c>
      <c r="H647" s="391">
        <v>20.66</v>
      </c>
      <c r="I647" s="427">
        <f t="shared" si="420"/>
        <v>252878.4</v>
      </c>
      <c r="J647" s="428">
        <f t="shared" si="421"/>
        <v>885074.4</v>
      </c>
    </row>
    <row r="648" spans="1:10" ht="24" thickBot="1" x14ac:dyDescent="0.35">
      <c r="A648" s="277" t="s">
        <v>111</v>
      </c>
      <c r="B648" s="924"/>
      <c r="C648" s="282" t="s">
        <v>416</v>
      </c>
      <c r="D648" s="282" t="s">
        <v>189</v>
      </c>
      <c r="E648" s="512">
        <v>13.6509</v>
      </c>
      <c r="F648" s="408">
        <f>IFERROR(E648*'01 Prod Physique Boites'!H643,"-")</f>
        <v>0</v>
      </c>
      <c r="G648" s="408">
        <f>IFERROR(E648*'01 Prod Physique Boites'!L643,"-")</f>
        <v>1002522.096</v>
      </c>
      <c r="H648" s="393">
        <v>21.18</v>
      </c>
      <c r="I648" s="429">
        <f t="shared" si="420"/>
        <v>0</v>
      </c>
      <c r="J648" s="430">
        <f>IFERROR(H648*(G648/E648),"-")</f>
        <v>1555459.2</v>
      </c>
    </row>
    <row r="649" spans="1:10" ht="24" thickBot="1" x14ac:dyDescent="0.35">
      <c r="A649" s="277" t="s">
        <v>111</v>
      </c>
      <c r="B649" s="906" t="s">
        <v>48</v>
      </c>
      <c r="C649" s="907"/>
      <c r="D649" s="908"/>
      <c r="E649" s="396"/>
      <c r="F649" s="412">
        <f t="shared" ref="F649:G649" si="422">SUM(F642:F648)</f>
        <v>157955.976</v>
      </c>
      <c r="G649" s="413">
        <f t="shared" si="422"/>
        <v>4983531.1704000002</v>
      </c>
      <c r="H649" s="397"/>
      <c r="I649" s="412">
        <f t="shared" ref="I649" si="423">SUM(I642:I648)</f>
        <v>252878.4</v>
      </c>
      <c r="J649" s="431">
        <f>SUM(J642:J648)</f>
        <v>8021678.9600000009</v>
      </c>
    </row>
    <row r="650" spans="1:10" ht="23.4" x14ac:dyDescent="0.3">
      <c r="A650" s="277" t="s">
        <v>111</v>
      </c>
      <c r="B650" s="922" t="s">
        <v>18</v>
      </c>
      <c r="C650" s="272" t="s">
        <v>359</v>
      </c>
      <c r="D650" s="272" t="s">
        <v>99</v>
      </c>
      <c r="E650" s="515">
        <v>17.8202</v>
      </c>
      <c r="F650" s="408">
        <f>IFERROR(E650*'01 Prod Physique Boites'!H645,"-")</f>
        <v>0</v>
      </c>
      <c r="G650" s="409">
        <f>IFERROR(E650*'01 Prod Physique Boites'!L645,"-")</f>
        <v>0</v>
      </c>
      <c r="H650" s="387">
        <v>24.93</v>
      </c>
      <c r="I650" s="425">
        <f t="shared" ref="I650:I656" si="424">IFERROR(H650*(F650/E650),"-")</f>
        <v>0</v>
      </c>
      <c r="J650" s="426">
        <f t="shared" ref="J650:J652" si="425">IFERROR(H650*(G650/E650),"-")</f>
        <v>0</v>
      </c>
    </row>
    <row r="651" spans="1:10" ht="23.4" x14ac:dyDescent="0.3">
      <c r="A651" s="277" t="s">
        <v>111</v>
      </c>
      <c r="B651" s="923"/>
      <c r="C651" s="278" t="s">
        <v>138</v>
      </c>
      <c r="D651" s="278"/>
      <c r="E651" s="516">
        <v>17.8202</v>
      </c>
      <c r="F651" s="408">
        <f>IFERROR(E651*'01 Prod Physique Boites'!H646,"-")</f>
        <v>0</v>
      </c>
      <c r="G651" s="409">
        <f>IFERROR(E651*'01 Prod Physique Boites'!L646,"-")</f>
        <v>0</v>
      </c>
      <c r="H651" s="391">
        <v>0</v>
      </c>
      <c r="I651" s="427">
        <f t="shared" si="424"/>
        <v>0</v>
      </c>
      <c r="J651" s="428">
        <f t="shared" si="425"/>
        <v>0</v>
      </c>
    </row>
    <row r="652" spans="1:10" ht="23.4" x14ac:dyDescent="0.3">
      <c r="A652" s="277" t="s">
        <v>111</v>
      </c>
      <c r="B652" s="923"/>
      <c r="C652" s="278" t="s">
        <v>123</v>
      </c>
      <c r="D652" s="278"/>
      <c r="E652" s="516">
        <v>16.4071</v>
      </c>
      <c r="F652" s="408">
        <f>IFERROR(E652*'01 Prod Physique Boites'!H647,"-")</f>
        <v>0</v>
      </c>
      <c r="G652" s="409">
        <f>IFERROR(E652*'01 Prod Physique Boites'!L647,"-")</f>
        <v>0</v>
      </c>
      <c r="H652" s="391">
        <v>0</v>
      </c>
      <c r="I652" s="427">
        <f t="shared" si="424"/>
        <v>0</v>
      </c>
      <c r="J652" s="428">
        <f t="shared" si="425"/>
        <v>0</v>
      </c>
    </row>
    <row r="653" spans="1:10" ht="23.4" x14ac:dyDescent="0.3">
      <c r="A653" s="277" t="s">
        <v>111</v>
      </c>
      <c r="B653" s="923"/>
      <c r="C653" s="278" t="s">
        <v>130</v>
      </c>
      <c r="D653" s="278"/>
      <c r="E653" s="516">
        <v>17.8202</v>
      </c>
      <c r="F653" s="408">
        <f>IFERROR(E653*'01 Prod Physique Boites'!H648,"-")</f>
        <v>0</v>
      </c>
      <c r="G653" s="409">
        <f>IFERROR(E653*'01 Prod Physique Boites'!L648,"-")</f>
        <v>0</v>
      </c>
      <c r="H653" s="391"/>
      <c r="I653" s="427">
        <f t="shared" si="424"/>
        <v>0</v>
      </c>
      <c r="J653" s="428">
        <f>IFERROR(H653*(G653/E653),"-")</f>
        <v>0</v>
      </c>
    </row>
    <row r="654" spans="1:10" ht="23.4" x14ac:dyDescent="0.3">
      <c r="A654" s="277" t="s">
        <v>111</v>
      </c>
      <c r="B654" s="923"/>
      <c r="C654" s="278" t="s">
        <v>191</v>
      </c>
      <c r="D654" s="278" t="s">
        <v>192</v>
      </c>
      <c r="E654" s="516">
        <v>17.8202</v>
      </c>
      <c r="F654" s="408">
        <f>IFERROR(E654*'01 Prod Physique Boites'!H649,"-")</f>
        <v>0</v>
      </c>
      <c r="G654" s="409">
        <f>IFERROR(E654*'01 Prod Physique Boites'!L649,"-")</f>
        <v>0</v>
      </c>
      <c r="H654" s="391"/>
      <c r="I654" s="427">
        <f t="shared" si="424"/>
        <v>0</v>
      </c>
      <c r="J654" s="428">
        <f t="shared" ref="J654:J656" si="426">IFERROR(H654*(G654/E654),"-")</f>
        <v>0</v>
      </c>
    </row>
    <row r="655" spans="1:10" ht="23.4" x14ac:dyDescent="0.3">
      <c r="A655" s="277" t="s">
        <v>111</v>
      </c>
      <c r="B655" s="923"/>
      <c r="C655" s="278" t="s">
        <v>194</v>
      </c>
      <c r="D655" s="278" t="s">
        <v>193</v>
      </c>
      <c r="E655" s="516">
        <v>16.7288</v>
      </c>
      <c r="F655" s="408">
        <f>IFERROR(E655*'01 Prod Physique Boites'!H650,"-")</f>
        <v>0</v>
      </c>
      <c r="G655" s="409">
        <f>IFERROR(E655*'01 Prod Physique Boites'!L650,"-")</f>
        <v>0</v>
      </c>
      <c r="H655" s="391"/>
      <c r="I655" s="427">
        <f t="shared" si="424"/>
        <v>0</v>
      </c>
      <c r="J655" s="428">
        <f t="shared" si="426"/>
        <v>0</v>
      </c>
    </row>
    <row r="656" spans="1:10" ht="24" thickBot="1" x14ac:dyDescent="0.35">
      <c r="A656" s="277" t="s">
        <v>111</v>
      </c>
      <c r="B656" s="924"/>
      <c r="C656" s="290" t="s">
        <v>195</v>
      </c>
      <c r="D656" s="290" t="s">
        <v>115</v>
      </c>
      <c r="E656" s="512">
        <v>17.8202</v>
      </c>
      <c r="F656" s="408">
        <f>IFERROR(E656*'01 Prod Physique Boites'!H651,"-")</f>
        <v>0</v>
      </c>
      <c r="G656" s="409">
        <f>IFERROR(E656*'01 Prod Physique Boites'!L651,"-")</f>
        <v>0</v>
      </c>
      <c r="H656" s="393"/>
      <c r="I656" s="429">
        <f t="shared" si="424"/>
        <v>0</v>
      </c>
      <c r="J656" s="430">
        <f t="shared" si="426"/>
        <v>0</v>
      </c>
    </row>
    <row r="657" spans="1:10" ht="24" thickBot="1" x14ac:dyDescent="0.35">
      <c r="A657" s="277" t="s">
        <v>111</v>
      </c>
      <c r="B657" s="906" t="s">
        <v>29</v>
      </c>
      <c r="C657" s="907"/>
      <c r="D657" s="908"/>
      <c r="E657" s="397"/>
      <c r="F657" s="412">
        <f t="shared" ref="F657:G657" si="427">SUM(F650:F656)</f>
        <v>0</v>
      </c>
      <c r="G657" s="413">
        <f t="shared" si="427"/>
        <v>0</v>
      </c>
      <c r="H657" s="397"/>
      <c r="I657" s="412">
        <f t="shared" ref="I657:J657" si="428">SUM(I650:I656)</f>
        <v>0</v>
      </c>
      <c r="J657" s="431">
        <f t="shared" si="428"/>
        <v>0</v>
      </c>
    </row>
    <row r="658" spans="1:10" ht="23.4" x14ac:dyDescent="0.3">
      <c r="A658" s="277"/>
      <c r="B658" s="918" t="s">
        <v>19</v>
      </c>
      <c r="C658" s="678" t="s">
        <v>260</v>
      </c>
      <c r="D658" s="676" t="s">
        <v>192</v>
      </c>
      <c r="E658" s="517">
        <v>12.2659</v>
      </c>
      <c r="F658" s="703">
        <f>IFERROR(E658*'01 Prod Physique Boites'!H653,"-")</f>
        <v>932600.90879999998</v>
      </c>
      <c r="G658" s="703">
        <f>IFERROR(E658*'01 Prod Physique Boites'!L653,"-")</f>
        <v>2797802.7264</v>
      </c>
      <c r="H658" s="704">
        <v>14.79</v>
      </c>
      <c r="I658" s="703">
        <f t="shared" ref="I658:I659" si="429">IFERROR(H658*(F658/E658),"-")</f>
        <v>1124513.28</v>
      </c>
      <c r="J658" s="703">
        <f>IFERROR(H658*(G658/E658),"-")</f>
        <v>3373539.84</v>
      </c>
    </row>
    <row r="659" spans="1:10" ht="24" thickBot="1" x14ac:dyDescent="0.35">
      <c r="A659" s="717" t="s">
        <v>111</v>
      </c>
      <c r="B659" s="920"/>
      <c r="C659" s="679" t="s">
        <v>417</v>
      </c>
      <c r="D659" s="677"/>
      <c r="E659" s="285">
        <v>0</v>
      </c>
      <c r="F659" s="414">
        <f>IFERROR(E659*'01 Prod Physique Boites'!H654,"-")</f>
        <v>0</v>
      </c>
      <c r="G659" s="415">
        <f>IFERROR(E659*'01 Prod Physique Boites'!L654,"-")</f>
        <v>0</v>
      </c>
      <c r="H659" s="398">
        <v>0</v>
      </c>
      <c r="I659" s="432" t="str">
        <f t="shared" si="429"/>
        <v>-</v>
      </c>
      <c r="J659" s="433" t="str">
        <f t="shared" ref="J659" si="430">IFERROR(I659*(G659/F659),"-")</f>
        <v>-</v>
      </c>
    </row>
    <row r="660" spans="1:10" ht="24" thickBot="1" x14ac:dyDescent="0.35">
      <c r="A660" s="277" t="s">
        <v>111</v>
      </c>
      <c r="B660" s="906" t="s">
        <v>49</v>
      </c>
      <c r="C660" s="907"/>
      <c r="D660" s="908"/>
      <c r="E660" s="396"/>
      <c r="F660" s="412">
        <f t="shared" ref="F660:G660" si="431">SUM(F659)</f>
        <v>0</v>
      </c>
      <c r="G660" s="413">
        <f t="shared" si="431"/>
        <v>0</v>
      </c>
      <c r="H660" s="397"/>
      <c r="I660" s="412">
        <f t="shared" ref="I660:J660" si="432">SUM(I659)</f>
        <v>0</v>
      </c>
      <c r="J660" s="431">
        <f t="shared" si="432"/>
        <v>0</v>
      </c>
    </row>
    <row r="661" spans="1:10" ht="23.4" x14ac:dyDescent="0.3">
      <c r="A661" s="277" t="s">
        <v>111</v>
      </c>
      <c r="B661" s="922" t="s">
        <v>20</v>
      </c>
      <c r="C661" s="297" t="s">
        <v>370</v>
      </c>
      <c r="D661" s="297" t="s">
        <v>324</v>
      </c>
      <c r="E661" s="515">
        <v>26.032900000000001</v>
      </c>
      <c r="F661" s="408">
        <f>IFERROR(E661*'01 Prod Physique Boites'!H656,"-")</f>
        <v>0</v>
      </c>
      <c r="G661" s="409">
        <f>IFERROR(E661*'01 Prod Physique Boites'!L656,"-")</f>
        <v>0</v>
      </c>
      <c r="H661" s="387">
        <v>36.44</v>
      </c>
      <c r="I661" s="425">
        <f>IFERROR(H661*(F661/E661),"-")</f>
        <v>0</v>
      </c>
      <c r="J661" s="426">
        <f t="shared" ref="J661:J663" si="433">IFERROR(H661*(G661/E661),"-")</f>
        <v>0</v>
      </c>
    </row>
    <row r="662" spans="1:10" ht="23.4" x14ac:dyDescent="0.3">
      <c r="A662" s="277" t="s">
        <v>111</v>
      </c>
      <c r="B662" s="923"/>
      <c r="C662" s="298" t="s">
        <v>122</v>
      </c>
      <c r="D662" s="298"/>
      <c r="E662" s="390">
        <v>24.2607</v>
      </c>
      <c r="F662" s="408">
        <f>IFERROR(E662*'01 Prod Physique Boites'!H657,"-")</f>
        <v>0</v>
      </c>
      <c r="G662" s="409">
        <f>IFERROR(E662*'01 Prod Physique Boites'!L657,"-")</f>
        <v>0</v>
      </c>
      <c r="H662" s="391">
        <v>37.369999999999997</v>
      </c>
      <c r="I662" s="427">
        <f>IFERROR(H662*(F662/E662),"-")</f>
        <v>0</v>
      </c>
      <c r="J662" s="428">
        <f t="shared" si="433"/>
        <v>0</v>
      </c>
    </row>
    <row r="663" spans="1:10" ht="24" thickBot="1" x14ac:dyDescent="0.35">
      <c r="A663" s="277" t="s">
        <v>111</v>
      </c>
      <c r="B663" s="924"/>
      <c r="C663" s="299" t="s">
        <v>128</v>
      </c>
      <c r="D663" s="299"/>
      <c r="E663" s="392">
        <v>26.035799999999998</v>
      </c>
      <c r="F663" s="408">
        <f>IFERROR(E663*'01 Prod Physique Boites'!H658,"-")</f>
        <v>0</v>
      </c>
      <c r="G663" s="409">
        <f>IFERROR(E663*'01 Prod Physique Boites'!L658,"-")</f>
        <v>0</v>
      </c>
      <c r="H663" s="393">
        <v>37.11</v>
      </c>
      <c r="I663" s="429">
        <f>IFERROR(H663*(F663/E663),"-")</f>
        <v>0</v>
      </c>
      <c r="J663" s="430">
        <f t="shared" si="433"/>
        <v>0</v>
      </c>
    </row>
    <row r="664" spans="1:10" ht="24" thickBot="1" x14ac:dyDescent="0.35">
      <c r="A664" s="277" t="s">
        <v>111</v>
      </c>
      <c r="B664" s="907" t="s">
        <v>50</v>
      </c>
      <c r="C664" s="907"/>
      <c r="D664" s="925"/>
      <c r="E664" s="396"/>
      <c r="F664" s="412">
        <f t="shared" ref="F664:G664" si="434">SUM(F661:F663)</f>
        <v>0</v>
      </c>
      <c r="G664" s="413">
        <f t="shared" si="434"/>
        <v>0</v>
      </c>
      <c r="H664" s="397"/>
      <c r="I664" s="412">
        <f t="shared" ref="I664:J664" si="435">SUM(I661:I663)</f>
        <v>0</v>
      </c>
      <c r="J664" s="431">
        <f t="shared" si="435"/>
        <v>0</v>
      </c>
    </row>
    <row r="665" spans="1:10" ht="24" thickBot="1" x14ac:dyDescent="0.35">
      <c r="A665" s="277" t="s">
        <v>111</v>
      </c>
      <c r="B665" s="926" t="s">
        <v>21</v>
      </c>
      <c r="C665" s="927"/>
      <c r="D665" s="928"/>
      <c r="E665" s="399"/>
      <c r="F665" s="416">
        <f>+F641+F649+F657+F660+F664</f>
        <v>903880.58400000003</v>
      </c>
      <c r="G665" s="417">
        <f>+G641+G649+G657+G660+G664</f>
        <v>10236083.6184</v>
      </c>
      <c r="H665" s="400"/>
      <c r="I665" s="416">
        <f t="shared" ref="I665" si="436">+I641+I649+I657+I660+I664</f>
        <v>1617931.4304</v>
      </c>
      <c r="J665" s="434">
        <f>+J641+J649+J657+J660+J664</f>
        <v>17633927.382399999</v>
      </c>
    </row>
    <row r="666" spans="1:10" ht="23.4" x14ac:dyDescent="0.3">
      <c r="A666" s="277" t="s">
        <v>111</v>
      </c>
      <c r="B666" s="922" t="s">
        <v>22</v>
      </c>
      <c r="C666" s="272" t="s">
        <v>133</v>
      </c>
      <c r="D666" s="272"/>
      <c r="E666" s="386">
        <v>22.820599999999999</v>
      </c>
      <c r="F666" s="408">
        <f>IFERROR(E666*'01 Prod Physique Boites'!H661,"-")</f>
        <v>0</v>
      </c>
      <c r="G666" s="409">
        <f>IFERROR(E666*'01 Prod Physique Boites'!L661,"-")</f>
        <v>0</v>
      </c>
      <c r="H666" s="387">
        <v>27.5</v>
      </c>
      <c r="I666" s="425">
        <f>IFERROR(H666*(F666/E666),"-")</f>
        <v>0</v>
      </c>
      <c r="J666" s="426">
        <f t="shared" ref="J666:J669" si="437">IFERROR(H666*(G666/E666),"-")</f>
        <v>0</v>
      </c>
    </row>
    <row r="667" spans="1:10" ht="23.4" x14ac:dyDescent="0.3">
      <c r="A667" s="277" t="s">
        <v>111</v>
      </c>
      <c r="B667" s="923"/>
      <c r="C667" s="301" t="s">
        <v>291</v>
      </c>
      <c r="D667" s="301" t="s">
        <v>196</v>
      </c>
      <c r="E667" s="390">
        <v>23.570699999999999</v>
      </c>
      <c r="F667" s="408">
        <f>IFERROR(E667*'01 Prod Physique Boites'!H662,"-")</f>
        <v>0</v>
      </c>
      <c r="G667" s="409">
        <f>IFERROR(E667*'01 Prod Physique Boites'!L662,"-")</f>
        <v>0</v>
      </c>
      <c r="H667" s="391">
        <v>27.5</v>
      </c>
      <c r="I667" s="427">
        <f>IFERROR(H667*(F667/E667),"-")</f>
        <v>0</v>
      </c>
      <c r="J667" s="428">
        <f t="shared" si="437"/>
        <v>0</v>
      </c>
    </row>
    <row r="668" spans="1:10" ht="23.4" x14ac:dyDescent="0.3">
      <c r="A668" s="277" t="s">
        <v>111</v>
      </c>
      <c r="B668" s="923"/>
      <c r="C668" s="301" t="s">
        <v>198</v>
      </c>
      <c r="D668" s="301" t="s">
        <v>100</v>
      </c>
      <c r="E668" s="390">
        <v>22.238499999999998</v>
      </c>
      <c r="F668" s="408">
        <f>IFERROR(E668*'01 Prod Physique Boites'!H663,"-")</f>
        <v>0</v>
      </c>
      <c r="G668" s="409">
        <f>IFERROR(E668*'01 Prod Physique Boites'!L663,"-")</f>
        <v>0</v>
      </c>
      <c r="H668" s="391">
        <v>24</v>
      </c>
      <c r="I668" s="427">
        <f>IFERROR(H668*(F668/E668),"-")</f>
        <v>0</v>
      </c>
      <c r="J668" s="428">
        <f t="shared" si="437"/>
        <v>0</v>
      </c>
    </row>
    <row r="669" spans="1:10" ht="24" thickBot="1" x14ac:dyDescent="0.35">
      <c r="A669" s="277" t="s">
        <v>111</v>
      </c>
      <c r="B669" s="924"/>
      <c r="C669" s="282" t="s">
        <v>197</v>
      </c>
      <c r="D669" s="282" t="s">
        <v>100</v>
      </c>
      <c r="E669" s="392">
        <v>23.5685</v>
      </c>
      <c r="F669" s="408">
        <f>IFERROR(E669*'01 Prod Physique Boites'!H664,"-")</f>
        <v>0</v>
      </c>
      <c r="G669" s="409">
        <f>IFERROR(E669*'01 Prod Physique Boites'!L664,"-")</f>
        <v>0</v>
      </c>
      <c r="H669" s="393">
        <v>24</v>
      </c>
      <c r="I669" s="429">
        <f>IFERROR(H669*(F669/E669),"-")</f>
        <v>0</v>
      </c>
      <c r="J669" s="430">
        <f t="shared" si="437"/>
        <v>0</v>
      </c>
    </row>
    <row r="670" spans="1:10" ht="24" thickBot="1" x14ac:dyDescent="0.35">
      <c r="A670" s="277" t="s">
        <v>111</v>
      </c>
      <c r="B670" s="906" t="s">
        <v>51</v>
      </c>
      <c r="C670" s="907"/>
      <c r="D670" s="908"/>
      <c r="E670" s="396"/>
      <c r="F670" s="412">
        <f t="shared" ref="F670:G670" si="438">SUM(F666:F669)</f>
        <v>0</v>
      </c>
      <c r="G670" s="413">
        <f t="shared" si="438"/>
        <v>0</v>
      </c>
      <c r="H670" s="397"/>
      <c r="I670" s="412">
        <f t="shared" ref="I670:J670" si="439">SUM(I666:I669)</f>
        <v>0</v>
      </c>
      <c r="J670" s="431">
        <f t="shared" si="439"/>
        <v>0</v>
      </c>
    </row>
    <row r="671" spans="1:10" ht="23.4" x14ac:dyDescent="0.3">
      <c r="A671" s="277" t="s">
        <v>111</v>
      </c>
      <c r="B671" s="922" t="s">
        <v>23</v>
      </c>
      <c r="C671" s="302" t="s">
        <v>348</v>
      </c>
      <c r="D671" s="302" t="s">
        <v>263</v>
      </c>
      <c r="E671" s="386">
        <v>101.4935</v>
      </c>
      <c r="F671" s="408">
        <f>IFERROR(E671*'01 Prod Physique Boites'!H666,"-")</f>
        <v>0</v>
      </c>
      <c r="G671" s="409">
        <f>IFERROR(E671*'01 Prod Physique Boites'!L666,"-")</f>
        <v>0</v>
      </c>
      <c r="H671" s="391">
        <v>160.44999999999999</v>
      </c>
      <c r="I671" s="425">
        <f t="shared" ref="I671:I678" si="440">IFERROR(H671*(F671/E671),"-")</f>
        <v>0</v>
      </c>
      <c r="J671" s="426">
        <f t="shared" ref="J671:J678" si="441">IFERROR(H671*(G671/E671),"-")</f>
        <v>0</v>
      </c>
    </row>
    <row r="672" spans="1:10" ht="23.4" x14ac:dyDescent="0.3">
      <c r="A672" s="277" t="s">
        <v>111</v>
      </c>
      <c r="B672" s="923"/>
      <c r="C672" s="278" t="s">
        <v>24</v>
      </c>
      <c r="D672" s="278" t="s">
        <v>263</v>
      </c>
      <c r="E672" s="390">
        <v>101.4935</v>
      </c>
      <c r="F672" s="408">
        <f>IFERROR(E672*'01 Prod Physique Boites'!H667,"-")</f>
        <v>266420.4375</v>
      </c>
      <c r="G672" s="409">
        <f>IFERROR(E672*'01 Prod Physique Boites'!L667,"-")</f>
        <v>3197045.25</v>
      </c>
      <c r="H672" s="391">
        <v>160.44999999999999</v>
      </c>
      <c r="I672" s="427">
        <f t="shared" si="440"/>
        <v>421181.24999999994</v>
      </c>
      <c r="J672" s="428">
        <f t="shared" si="441"/>
        <v>5054175</v>
      </c>
    </row>
    <row r="673" spans="1:10" ht="23.4" x14ac:dyDescent="0.3">
      <c r="A673" s="277" t="s">
        <v>111</v>
      </c>
      <c r="B673" s="923"/>
      <c r="C673" s="278" t="s">
        <v>261</v>
      </c>
      <c r="D673" s="278" t="s">
        <v>263</v>
      </c>
      <c r="E673" s="390">
        <v>101.4935</v>
      </c>
      <c r="F673" s="408">
        <f>IFERROR(E673*'01 Prod Physique Boites'!H668,"-")</f>
        <v>0</v>
      </c>
      <c r="G673" s="409">
        <f>IFERROR(E673*'01 Prod Physique Boites'!L668,"-")</f>
        <v>0</v>
      </c>
      <c r="H673" s="391">
        <v>160.44999999999999</v>
      </c>
      <c r="I673" s="427">
        <f t="shared" si="440"/>
        <v>0</v>
      </c>
      <c r="J673" s="428">
        <f t="shared" si="441"/>
        <v>0</v>
      </c>
    </row>
    <row r="674" spans="1:10" ht="23.4" x14ac:dyDescent="0.3">
      <c r="A674" s="277" t="s">
        <v>111</v>
      </c>
      <c r="B674" s="923"/>
      <c r="C674" s="278" t="s">
        <v>262</v>
      </c>
      <c r="D674" s="278" t="s">
        <v>263</v>
      </c>
      <c r="E674" s="390">
        <v>101.4935</v>
      </c>
      <c r="F674" s="408">
        <f>IFERROR(E674*'01 Prod Physique Boites'!H669,"-")</f>
        <v>0</v>
      </c>
      <c r="G674" s="409">
        <f>IFERROR(E674*'01 Prod Physique Boites'!L669,"-")</f>
        <v>0</v>
      </c>
      <c r="H674" s="391">
        <v>160.44999999999999</v>
      </c>
      <c r="I674" s="427">
        <f t="shared" si="440"/>
        <v>0</v>
      </c>
      <c r="J674" s="428">
        <f t="shared" si="441"/>
        <v>0</v>
      </c>
    </row>
    <row r="675" spans="1:10" ht="23.4" x14ac:dyDescent="0.3">
      <c r="A675" s="277" t="s">
        <v>111</v>
      </c>
      <c r="B675" s="923"/>
      <c r="C675" s="301" t="s">
        <v>264</v>
      </c>
      <c r="D675" s="278" t="s">
        <v>263</v>
      </c>
      <c r="E675" s="390">
        <v>101.4935</v>
      </c>
      <c r="F675" s="408">
        <f>IFERROR(E675*'01 Prod Physique Boites'!H670,"-")</f>
        <v>0</v>
      </c>
      <c r="G675" s="409">
        <f>IFERROR(E675*'01 Prod Physique Boites'!L670,"-")</f>
        <v>0</v>
      </c>
      <c r="H675" s="391">
        <v>160.44999999999999</v>
      </c>
      <c r="I675" s="427">
        <f t="shared" si="440"/>
        <v>0</v>
      </c>
      <c r="J675" s="428">
        <f t="shared" si="441"/>
        <v>0</v>
      </c>
    </row>
    <row r="676" spans="1:10" ht="23.4" x14ac:dyDescent="0.3">
      <c r="A676" s="277" t="s">
        <v>111</v>
      </c>
      <c r="B676" s="923"/>
      <c r="C676" s="301" t="s">
        <v>265</v>
      </c>
      <c r="D676" s="278" t="s">
        <v>263</v>
      </c>
      <c r="E676" s="390">
        <v>101.4935</v>
      </c>
      <c r="F676" s="408">
        <f>IFERROR(E676*'01 Prod Physique Boites'!H671,"-")</f>
        <v>0</v>
      </c>
      <c r="G676" s="409">
        <f>IFERROR(E676*'01 Prod Physique Boites'!L671,"-")</f>
        <v>0</v>
      </c>
      <c r="H676" s="391">
        <v>160.44999999999999</v>
      </c>
      <c r="I676" s="427">
        <f t="shared" si="440"/>
        <v>0</v>
      </c>
      <c r="J676" s="428">
        <f t="shared" si="441"/>
        <v>0</v>
      </c>
    </row>
    <row r="677" spans="1:10" ht="23.4" x14ac:dyDescent="0.3">
      <c r="A677" s="277" t="s">
        <v>111</v>
      </c>
      <c r="B677" s="923"/>
      <c r="C677" s="301" t="s">
        <v>266</v>
      </c>
      <c r="D677" s="278" t="s">
        <v>268</v>
      </c>
      <c r="E677" s="390">
        <v>101.4935</v>
      </c>
      <c r="F677" s="408">
        <f>IFERROR(E677*'01 Prod Physique Boites'!H672,"-")</f>
        <v>0</v>
      </c>
      <c r="G677" s="409">
        <f>IFERROR(E677*'01 Prod Physique Boites'!L672,"-")</f>
        <v>0</v>
      </c>
      <c r="H677" s="391">
        <v>160.44999999999999</v>
      </c>
      <c r="I677" s="427">
        <f t="shared" si="440"/>
        <v>0</v>
      </c>
      <c r="J677" s="428">
        <f t="shared" si="441"/>
        <v>0</v>
      </c>
    </row>
    <row r="678" spans="1:10" ht="24" thickBot="1" x14ac:dyDescent="0.35">
      <c r="A678" s="277" t="s">
        <v>111</v>
      </c>
      <c r="B678" s="924"/>
      <c r="C678" s="301" t="s">
        <v>267</v>
      </c>
      <c r="D678" s="278" t="s">
        <v>263</v>
      </c>
      <c r="E678" s="392">
        <v>101.4935</v>
      </c>
      <c r="F678" s="408">
        <f>IFERROR(E678*'01 Prod Physique Boites'!H673,"-")</f>
        <v>710454.5</v>
      </c>
      <c r="G678" s="409">
        <f>IFERROR(E678*'01 Prod Physique Boites'!L673,"-")</f>
        <v>710454.5</v>
      </c>
      <c r="H678" s="391">
        <v>160.44999999999999</v>
      </c>
      <c r="I678" s="429">
        <f t="shared" si="440"/>
        <v>1123150</v>
      </c>
      <c r="J678" s="430">
        <f t="shared" si="441"/>
        <v>1123150</v>
      </c>
    </row>
    <row r="679" spans="1:10" ht="24" thickBot="1" x14ac:dyDescent="0.35">
      <c r="A679" s="277" t="s">
        <v>111</v>
      </c>
      <c r="B679" s="906" t="s">
        <v>52</v>
      </c>
      <c r="C679" s="907"/>
      <c r="D679" s="908"/>
      <c r="E679" s="396"/>
      <c r="F679" s="412">
        <f t="shared" ref="F679:G679" si="442">SUM(F671:F678)</f>
        <v>976874.9375</v>
      </c>
      <c r="G679" s="413">
        <f t="shared" si="442"/>
        <v>3907499.75</v>
      </c>
      <c r="H679" s="397"/>
      <c r="I679" s="412">
        <f t="shared" ref="I679:J679" si="443">SUM(I671:I678)</f>
        <v>1544331.25</v>
      </c>
      <c r="J679" s="431">
        <f t="shared" si="443"/>
        <v>6177325</v>
      </c>
    </row>
    <row r="680" spans="1:10" ht="24" thickBot="1" x14ac:dyDescent="0.35">
      <c r="A680" s="277" t="s">
        <v>111</v>
      </c>
      <c r="B680" s="926" t="s">
        <v>25</v>
      </c>
      <c r="C680" s="927"/>
      <c r="D680" s="928"/>
      <c r="E680" s="399"/>
      <c r="F680" s="416">
        <f t="shared" ref="F680:G680" si="444">+F670+F679</f>
        <v>976874.9375</v>
      </c>
      <c r="G680" s="417">
        <f t="shared" si="444"/>
        <v>3907499.75</v>
      </c>
      <c r="H680" s="400"/>
      <c r="I680" s="416">
        <f t="shared" ref="I680:J680" si="445">+I670+I679</f>
        <v>1544331.25</v>
      </c>
      <c r="J680" s="434">
        <f t="shared" si="445"/>
        <v>6177325</v>
      </c>
    </row>
    <row r="681" spans="1:10" ht="24" thickBot="1" x14ac:dyDescent="0.35">
      <c r="A681" s="277" t="s">
        <v>111</v>
      </c>
      <c r="B681" s="900" t="s">
        <v>181</v>
      </c>
      <c r="C681" s="901"/>
      <c r="D681" s="902"/>
      <c r="E681" s="401"/>
      <c r="F681" s="418">
        <f t="shared" ref="F681:G681" si="446">+F665+F680</f>
        <v>1880755.5215</v>
      </c>
      <c r="G681" s="419">
        <f t="shared" si="446"/>
        <v>14143583.3684</v>
      </c>
      <c r="H681" s="402"/>
      <c r="I681" s="418">
        <f t="shared" ref="I681:J681" si="447">+I665+I680</f>
        <v>3162262.6804</v>
      </c>
      <c r="J681" s="435">
        <f t="shared" si="447"/>
        <v>23811252.382399999</v>
      </c>
    </row>
    <row r="682" spans="1:10" ht="23.4" x14ac:dyDescent="0.3">
      <c r="A682" s="271" t="s">
        <v>109</v>
      </c>
      <c r="B682" s="929" t="s">
        <v>26</v>
      </c>
      <c r="C682" s="303" t="s">
        <v>334</v>
      </c>
      <c r="D682" s="305" t="s">
        <v>192</v>
      </c>
      <c r="E682" s="515">
        <v>13.1272</v>
      </c>
      <c r="F682" s="408">
        <f>IFERROR(E682*'01 Prod Physique Boites'!H677,"-")</f>
        <v>0</v>
      </c>
      <c r="G682" s="409">
        <f>IFERROR(E682*'01 Prod Physique Boites'!L677,"-")</f>
        <v>4229820.1295999996</v>
      </c>
      <c r="H682" s="387">
        <v>20.76</v>
      </c>
      <c r="I682" s="425">
        <f t="shared" ref="I682:I690" si="448">IFERROR(H682*(F682/E682),"-")</f>
        <v>0</v>
      </c>
      <c r="J682" s="662">
        <f t="shared" ref="J682:J690" si="449">IFERROR(H682*(G682/E682),"-")</f>
        <v>6689245.6799999997</v>
      </c>
    </row>
    <row r="683" spans="1:10" ht="23.4" x14ac:dyDescent="0.3">
      <c r="A683" s="277" t="s">
        <v>109</v>
      </c>
      <c r="B683" s="929"/>
      <c r="C683" s="304" t="s">
        <v>199</v>
      </c>
      <c r="D683" s="304" t="s">
        <v>115</v>
      </c>
      <c r="E683" s="516">
        <v>14.608000000000001</v>
      </c>
      <c r="F683" s="408">
        <f>IFERROR(E683*'01 Prod Physique Boites'!H678,"-")</f>
        <v>0</v>
      </c>
      <c r="G683" s="409">
        <f>IFERROR(E683*'01 Prod Physique Boites'!L678,"-")</f>
        <v>0</v>
      </c>
      <c r="H683" s="391">
        <v>24.93</v>
      </c>
      <c r="I683" s="427">
        <f t="shared" si="448"/>
        <v>0</v>
      </c>
      <c r="J683" s="663">
        <f t="shared" si="449"/>
        <v>0</v>
      </c>
    </row>
    <row r="684" spans="1:10" ht="23.4" x14ac:dyDescent="0.3">
      <c r="A684" s="277" t="s">
        <v>109</v>
      </c>
      <c r="B684" s="929"/>
      <c r="C684" s="305" t="s">
        <v>27</v>
      </c>
      <c r="D684" s="305" t="s">
        <v>310</v>
      </c>
      <c r="E684" s="512">
        <v>17.8202</v>
      </c>
      <c r="F684" s="408">
        <f>IFERROR(E684*'01 Prod Physique Boites'!H679,"-")</f>
        <v>0</v>
      </c>
      <c r="G684" s="409">
        <f>IFERROR(E684*'01 Prod Physique Boites'!L679,"-")</f>
        <v>0</v>
      </c>
      <c r="H684" s="391">
        <v>24.93</v>
      </c>
      <c r="I684" s="427">
        <f t="shared" si="448"/>
        <v>0</v>
      </c>
      <c r="J684" s="663">
        <f t="shared" si="449"/>
        <v>0</v>
      </c>
    </row>
    <row r="685" spans="1:10" ht="23.4" x14ac:dyDescent="0.3">
      <c r="A685" s="277" t="s">
        <v>109</v>
      </c>
      <c r="B685" s="929"/>
      <c r="C685" s="305" t="s">
        <v>27</v>
      </c>
      <c r="D685" s="305" t="s">
        <v>311</v>
      </c>
      <c r="E685" s="512">
        <v>17.8202</v>
      </c>
      <c r="F685" s="408">
        <f>IFERROR(E685*'01 Prod Physique Boites'!H680,"-")</f>
        <v>0</v>
      </c>
      <c r="G685" s="409">
        <f>IFERROR(E685*'01 Prod Physique Boites'!L680,"-")</f>
        <v>0</v>
      </c>
      <c r="H685" s="391">
        <v>24.93</v>
      </c>
      <c r="I685" s="427">
        <f t="shared" si="448"/>
        <v>0</v>
      </c>
      <c r="J685" s="663">
        <f t="shared" si="449"/>
        <v>0</v>
      </c>
    </row>
    <row r="686" spans="1:10" ht="23.4" x14ac:dyDescent="0.3">
      <c r="A686" s="277" t="s">
        <v>109</v>
      </c>
      <c r="B686" s="929"/>
      <c r="C686" s="305" t="s">
        <v>325</v>
      </c>
      <c r="D686" s="305" t="s">
        <v>324</v>
      </c>
      <c r="E686" s="512">
        <v>14.608000000000001</v>
      </c>
      <c r="F686" s="408">
        <f>IFERROR(E686*'01 Prod Physique Boites'!H681,"-")</f>
        <v>0</v>
      </c>
      <c r="G686" s="409">
        <f>IFERROR(E686*'01 Prod Physique Boites'!L681,"-")</f>
        <v>0</v>
      </c>
      <c r="H686" s="391">
        <v>24.93</v>
      </c>
      <c r="I686" s="427">
        <f t="shared" si="448"/>
        <v>0</v>
      </c>
      <c r="J686" s="663">
        <f t="shared" si="449"/>
        <v>0</v>
      </c>
    </row>
    <row r="687" spans="1:10" ht="23.4" x14ac:dyDescent="0.3">
      <c r="A687" s="277"/>
      <c r="B687" s="929"/>
      <c r="C687" s="305" t="s">
        <v>325</v>
      </c>
      <c r="D687" s="305" t="s">
        <v>192</v>
      </c>
      <c r="E687" s="512">
        <v>14.608000000000001</v>
      </c>
      <c r="F687" s="408">
        <f>IFERROR(E687*'01 Prod Physique Boites'!H682,"-")</f>
        <v>0</v>
      </c>
      <c r="G687" s="409">
        <f>IFERROR(E687*'01 Prod Physique Boites'!L682,"-")</f>
        <v>0</v>
      </c>
      <c r="H687" s="393">
        <v>21.22</v>
      </c>
      <c r="I687" s="427">
        <f t="shared" si="448"/>
        <v>0</v>
      </c>
      <c r="J687" s="664">
        <f t="shared" si="449"/>
        <v>0</v>
      </c>
    </row>
    <row r="688" spans="1:10" ht="23.4" x14ac:dyDescent="0.3">
      <c r="A688" s="277"/>
      <c r="B688" s="929"/>
      <c r="C688" s="305" t="s">
        <v>325</v>
      </c>
      <c r="D688" s="305" t="s">
        <v>101</v>
      </c>
      <c r="E688" s="512">
        <v>17.8202</v>
      </c>
      <c r="F688" s="408">
        <f>IFERROR(E688*'01 Prod Physique Boites'!H683,"-")</f>
        <v>0</v>
      </c>
      <c r="G688" s="409">
        <f>IFERROR(E688*'01 Prod Physique Boites'!L683,"-")</f>
        <v>0</v>
      </c>
      <c r="H688" s="393">
        <v>24.93</v>
      </c>
      <c r="I688" s="429">
        <f t="shared" si="448"/>
        <v>0</v>
      </c>
      <c r="J688" s="664">
        <f t="shared" si="449"/>
        <v>0</v>
      </c>
    </row>
    <row r="689" spans="1:10" ht="23.4" x14ac:dyDescent="0.3">
      <c r="A689" s="277"/>
      <c r="B689" s="929"/>
      <c r="C689" s="305" t="s">
        <v>393</v>
      </c>
      <c r="D689" s="305" t="s">
        <v>394</v>
      </c>
      <c r="E689" s="512">
        <v>17.8202</v>
      </c>
      <c r="F689" s="408">
        <f>IFERROR(E689*'01 Prod Physique Boites'!H684,"-")</f>
        <v>2055773.9124</v>
      </c>
      <c r="G689" s="409">
        <f>IFERROR(E689*'01 Prod Physique Boites'!L684,"-")</f>
        <v>4465991.6027999995</v>
      </c>
      <c r="H689" s="393">
        <v>21.22</v>
      </c>
      <c r="I689" s="429">
        <f t="shared" si="448"/>
        <v>2447981.6399999997</v>
      </c>
      <c r="J689" s="664">
        <f t="shared" si="449"/>
        <v>5318029.0799999991</v>
      </c>
    </row>
    <row r="690" spans="1:10" ht="24" thickBot="1" x14ac:dyDescent="0.35">
      <c r="A690" s="277" t="s">
        <v>109</v>
      </c>
      <c r="B690" s="929"/>
      <c r="C690" s="306" t="s">
        <v>326</v>
      </c>
      <c r="D690" s="305" t="s">
        <v>324</v>
      </c>
      <c r="E690" s="512">
        <v>12.6997</v>
      </c>
      <c r="F690" s="408">
        <f>IFERROR(E690*'01 Prod Physique Boites'!H685,"-")</f>
        <v>0</v>
      </c>
      <c r="G690" s="409">
        <f>IFERROR(E690*'01 Prod Physique Boites'!L685,"-")</f>
        <v>101038.8132</v>
      </c>
      <c r="H690" s="393">
        <v>13.25</v>
      </c>
      <c r="I690" s="429">
        <f t="shared" si="448"/>
        <v>0</v>
      </c>
      <c r="J690" s="664">
        <f t="shared" si="449"/>
        <v>105417</v>
      </c>
    </row>
    <row r="691" spans="1:10" ht="24" thickBot="1" x14ac:dyDescent="0.35">
      <c r="A691" s="277" t="s">
        <v>109</v>
      </c>
      <c r="B691" s="930"/>
      <c r="C691" s="307"/>
      <c r="D691" s="308" t="s">
        <v>55</v>
      </c>
      <c r="E691" s="396"/>
      <c r="F691" s="412">
        <f>SUM(F682:F690)</f>
        <v>2055773.9124</v>
      </c>
      <c r="G691" s="413">
        <f t="shared" ref="G691" si="450">SUM(G682:G690)</f>
        <v>8796850.5456000008</v>
      </c>
      <c r="H691" s="397"/>
      <c r="I691" s="412">
        <f t="shared" ref="I691" si="451">SUM(I682:I690)</f>
        <v>2447981.6399999997</v>
      </c>
      <c r="J691" s="431">
        <f>SUM(J682:J690)</f>
        <v>12112691.759999998</v>
      </c>
    </row>
    <row r="692" spans="1:10" ht="23.4" x14ac:dyDescent="0.3">
      <c r="A692" s="277" t="s">
        <v>109</v>
      </c>
      <c r="B692" s="931" t="s">
        <v>28</v>
      </c>
      <c r="C692" s="303" t="s">
        <v>27</v>
      </c>
      <c r="D692" s="303" t="s">
        <v>193</v>
      </c>
      <c r="E692" s="515">
        <v>12.6997</v>
      </c>
      <c r="F692" s="408">
        <f>IFERROR(E692*'01 Prod Physique Boites'!H687,"-")</f>
        <v>0</v>
      </c>
      <c r="G692" s="409">
        <f>IFERROR(E692*'01 Prod Physique Boites'!L687,"-")</f>
        <v>0</v>
      </c>
      <c r="H692" s="387">
        <v>13.25</v>
      </c>
      <c r="I692" s="425">
        <f>IFERROR(H692*(F692/E692),"-")</f>
        <v>0</v>
      </c>
      <c r="J692" s="662">
        <f t="shared" ref="J692:J694" si="452">IFERROR(H692*(G692/E692),"-")</f>
        <v>0</v>
      </c>
    </row>
    <row r="693" spans="1:10" ht="23.4" x14ac:dyDescent="0.3">
      <c r="A693" s="277" t="s">
        <v>109</v>
      </c>
      <c r="B693" s="929"/>
      <c r="C693" s="305" t="s">
        <v>27</v>
      </c>
      <c r="D693" s="305" t="s">
        <v>311</v>
      </c>
      <c r="E693" s="512">
        <v>17.8202</v>
      </c>
      <c r="F693" s="408">
        <f>IFERROR(E693*'01 Prod Physique Boites'!H688,"-")</f>
        <v>0</v>
      </c>
      <c r="G693" s="409">
        <f>IFERROR(E693*'01 Prod Physique Boites'!L688,"-")</f>
        <v>0</v>
      </c>
      <c r="H693" s="391">
        <v>24.93</v>
      </c>
      <c r="I693" s="427">
        <f>IFERROR(H693*(F693/E693),"-")</f>
        <v>0</v>
      </c>
      <c r="J693" s="663">
        <f t="shared" si="452"/>
        <v>0</v>
      </c>
    </row>
    <row r="694" spans="1:10" ht="24" thickBot="1" x14ac:dyDescent="0.35">
      <c r="A694" s="277" t="s">
        <v>109</v>
      </c>
      <c r="B694" s="929"/>
      <c r="C694" s="305" t="s">
        <v>27</v>
      </c>
      <c r="D694" s="306" t="s">
        <v>259</v>
      </c>
      <c r="E694" s="512">
        <v>17.8202</v>
      </c>
      <c r="F694" s="408">
        <f>IFERROR(E694*'01 Prod Physique Boites'!H689,"-")</f>
        <v>0</v>
      </c>
      <c r="G694" s="409">
        <f>IFERROR(E694*'01 Prod Physique Boites'!L689,"-")</f>
        <v>0</v>
      </c>
      <c r="H694" s="391">
        <v>24.93</v>
      </c>
      <c r="I694" s="429">
        <f>IFERROR(H694*(F694/E694),"-")</f>
        <v>0</v>
      </c>
      <c r="J694" s="664">
        <f t="shared" si="452"/>
        <v>0</v>
      </c>
    </row>
    <row r="695" spans="1:10" ht="24" thickBot="1" x14ac:dyDescent="0.35">
      <c r="A695" s="277" t="s">
        <v>109</v>
      </c>
      <c r="B695" s="929"/>
      <c r="C695" s="310"/>
      <c r="D695" s="311" t="s">
        <v>55</v>
      </c>
      <c r="E695" s="403"/>
      <c r="F695" s="420">
        <f t="shared" ref="F695:G695" si="453">SUM(F692:F694)</f>
        <v>0</v>
      </c>
      <c r="G695" s="421">
        <f t="shared" si="453"/>
        <v>0</v>
      </c>
      <c r="H695" s="404"/>
      <c r="I695" s="420">
        <f t="shared" ref="I695:J695" si="454">SUM(I692:I694)</f>
        <v>0</v>
      </c>
      <c r="J695" s="436">
        <f t="shared" si="454"/>
        <v>0</v>
      </c>
    </row>
    <row r="696" spans="1:10" ht="24" thickBot="1" x14ac:dyDescent="0.35">
      <c r="A696" s="717" t="s">
        <v>109</v>
      </c>
      <c r="B696" s="932" t="s">
        <v>171</v>
      </c>
      <c r="C696" s="933"/>
      <c r="D696" s="934"/>
      <c r="E696" s="405"/>
      <c r="F696" s="422">
        <f t="shared" ref="F696:G696" si="455">+F691+F695</f>
        <v>2055773.9124</v>
      </c>
      <c r="G696" s="423">
        <f t="shared" si="455"/>
        <v>8796850.5456000008</v>
      </c>
      <c r="H696" s="406"/>
      <c r="I696" s="422">
        <f t="shared" ref="I696:J696" si="456">+I691+I695</f>
        <v>2447981.6399999997</v>
      </c>
      <c r="J696" s="437">
        <f t="shared" si="456"/>
        <v>12112691.759999998</v>
      </c>
    </row>
    <row r="697" spans="1:10" ht="23.4" x14ac:dyDescent="0.3">
      <c r="A697" s="277" t="s">
        <v>109</v>
      </c>
      <c r="B697" s="929" t="s">
        <v>30</v>
      </c>
      <c r="C697" s="309" t="s">
        <v>375</v>
      </c>
      <c r="D697" s="303" t="s">
        <v>193</v>
      </c>
      <c r="E697" s="515">
        <v>15.2788</v>
      </c>
      <c r="F697" s="408">
        <f>IFERROR(E697*'01 Prod Physique Boites'!H692,"-")</f>
        <v>0</v>
      </c>
      <c r="G697" s="409">
        <f>IFERROR(E697*'01 Prod Physique Boites'!L692,"-")</f>
        <v>0</v>
      </c>
      <c r="H697" s="387">
        <v>23.65</v>
      </c>
      <c r="I697" s="425">
        <f>IFERROR(H697*(F697/E697),"-")</f>
        <v>0</v>
      </c>
      <c r="J697" s="426">
        <f t="shared" ref="J697:J699" si="457">IFERROR(H697*(G697/E697),"-")</f>
        <v>0</v>
      </c>
    </row>
    <row r="698" spans="1:10" ht="23.4" x14ac:dyDescent="0.3">
      <c r="A698" s="277" t="s">
        <v>109</v>
      </c>
      <c r="B698" s="929"/>
      <c r="C698" s="309" t="s">
        <v>368</v>
      </c>
      <c r="D698" s="309" t="s">
        <v>324</v>
      </c>
      <c r="E698" s="516">
        <v>22.6356</v>
      </c>
      <c r="F698" s="408">
        <f>IFERROR(E698*'01 Prod Physique Boites'!H693,"-")</f>
        <v>0</v>
      </c>
      <c r="G698" s="409">
        <f>IFERROR(E698*'01 Prod Physique Boites'!L693,"-")</f>
        <v>0</v>
      </c>
      <c r="H698" s="391">
        <v>34.26</v>
      </c>
      <c r="I698" s="427">
        <f>IFERROR(H698*(F698/E698),"-")</f>
        <v>0</v>
      </c>
      <c r="J698" s="428">
        <f t="shared" si="457"/>
        <v>0</v>
      </c>
    </row>
    <row r="699" spans="1:10" ht="24" thickBot="1" x14ac:dyDescent="0.35">
      <c r="A699" s="277" t="s">
        <v>109</v>
      </c>
      <c r="B699" s="929"/>
      <c r="C699" s="306" t="s">
        <v>327</v>
      </c>
      <c r="D699" s="306"/>
      <c r="E699" s="512">
        <v>25.751300000000001</v>
      </c>
      <c r="F699" s="408">
        <f>IFERROR(E699*'01 Prod Physique Boites'!H694,"-")</f>
        <v>0</v>
      </c>
      <c r="G699" s="409">
        <f>IFERROR(E699*'01 Prod Physique Boites'!L694,"-")</f>
        <v>0</v>
      </c>
      <c r="H699" s="393">
        <v>37.89</v>
      </c>
      <c r="I699" s="429">
        <f>IFERROR(H699*(F699/E699),"-")</f>
        <v>0</v>
      </c>
      <c r="J699" s="430">
        <f t="shared" si="457"/>
        <v>0</v>
      </c>
    </row>
    <row r="700" spans="1:10" ht="24" thickBot="1" x14ac:dyDescent="0.35">
      <c r="A700" s="277" t="s">
        <v>109</v>
      </c>
      <c r="B700" s="929"/>
      <c r="C700" s="307"/>
      <c r="D700" s="308" t="s">
        <v>53</v>
      </c>
      <c r="E700" s="396"/>
      <c r="F700" s="412">
        <f t="shared" ref="F700:G700" si="458">SUM(F697:F699)</f>
        <v>0</v>
      </c>
      <c r="G700" s="413">
        <f t="shared" si="458"/>
        <v>0</v>
      </c>
      <c r="H700" s="397"/>
      <c r="I700" s="412">
        <f t="shared" ref="I700" si="459">SUM(I697:I699)</f>
        <v>0</v>
      </c>
      <c r="J700" s="431">
        <f>SUM(J697:J699)</f>
        <v>0</v>
      </c>
    </row>
    <row r="701" spans="1:10" ht="23.4" x14ac:dyDescent="0.3">
      <c r="A701" s="277" t="s">
        <v>109</v>
      </c>
      <c r="B701" s="929"/>
      <c r="C701" s="303" t="s">
        <v>352</v>
      </c>
      <c r="D701" s="303"/>
      <c r="E701" s="515">
        <v>22.094999999999999</v>
      </c>
      <c r="F701" s="408">
        <f>IFERROR(E701*'01 Prod Physique Boites'!H696,"-")</f>
        <v>0</v>
      </c>
      <c r="G701" s="409">
        <f>IFERROR(E701*'01 Prod Physique Boites'!L696,"-")</f>
        <v>0</v>
      </c>
      <c r="H701" s="387">
        <v>37.11</v>
      </c>
      <c r="I701" s="425">
        <f>IFERROR(H701*(F701/E701),"-")</f>
        <v>0</v>
      </c>
      <c r="J701" s="426">
        <f t="shared" ref="J701:J703" si="460">IFERROR(H701*(G701/E701),"-")</f>
        <v>0</v>
      </c>
    </row>
    <row r="702" spans="1:10" ht="23.4" x14ac:dyDescent="0.3">
      <c r="A702" s="277" t="s">
        <v>109</v>
      </c>
      <c r="B702" s="929"/>
      <c r="C702" s="309" t="s">
        <v>397</v>
      </c>
      <c r="D702" s="309" t="s">
        <v>259</v>
      </c>
      <c r="E702" s="516">
        <v>27.917000000000002</v>
      </c>
      <c r="F702" s="408">
        <f>IFERROR(E702*'01 Prod Physique Boites'!H697,"-")</f>
        <v>679388.11200000008</v>
      </c>
      <c r="G702" s="409">
        <f>IFERROR(E702*'01 Prod Physique Boites'!L697,"-")</f>
        <v>8779784.8320000004</v>
      </c>
      <c r="H702" s="391">
        <v>39</v>
      </c>
      <c r="I702" s="427">
        <f>IFERROR(H702*(F702/E702),"-")</f>
        <v>949104</v>
      </c>
      <c r="J702" s="428">
        <f t="shared" si="460"/>
        <v>12265344</v>
      </c>
    </row>
    <row r="703" spans="1:10" ht="24" thickBot="1" x14ac:dyDescent="0.35">
      <c r="A703" s="277" t="s">
        <v>109</v>
      </c>
      <c r="B703" s="929"/>
      <c r="C703" s="306" t="s">
        <v>146</v>
      </c>
      <c r="D703" s="306"/>
      <c r="E703" s="512">
        <v>25.4041</v>
      </c>
      <c r="F703" s="408">
        <f>IFERROR(E703*'01 Prod Physique Boites'!H698,"-")</f>
        <v>0</v>
      </c>
      <c r="G703" s="409">
        <f>IFERROR(E703*'01 Prod Physique Boites'!L698,"-")</f>
        <v>0</v>
      </c>
      <c r="H703" s="393">
        <v>28.21</v>
      </c>
      <c r="I703" s="429">
        <f>IFERROR(H703*(F703/E703),"-")</f>
        <v>0</v>
      </c>
      <c r="J703" s="430">
        <f t="shared" si="460"/>
        <v>0</v>
      </c>
    </row>
    <row r="704" spans="1:10" ht="24" thickBot="1" x14ac:dyDescent="0.35">
      <c r="A704" s="277" t="s">
        <v>109</v>
      </c>
      <c r="B704" s="929"/>
      <c r="C704" s="310"/>
      <c r="D704" s="311" t="s">
        <v>54</v>
      </c>
      <c r="E704" s="403"/>
      <c r="F704" s="420">
        <f t="shared" ref="F704:G704" si="461">SUM(F701:F703)</f>
        <v>679388.11200000008</v>
      </c>
      <c r="G704" s="421">
        <f t="shared" si="461"/>
        <v>8779784.8320000004</v>
      </c>
      <c r="H704" s="404"/>
      <c r="I704" s="420">
        <f t="shared" ref="I704" si="462">SUM(I701:I703)</f>
        <v>949104</v>
      </c>
      <c r="J704" s="436">
        <f>SUM(J701:J703)</f>
        <v>12265344</v>
      </c>
    </row>
    <row r="705" spans="1:10" ht="24" thickBot="1" x14ac:dyDescent="0.35">
      <c r="A705" s="277" t="s">
        <v>109</v>
      </c>
      <c r="B705" s="932" t="s">
        <v>172</v>
      </c>
      <c r="C705" s="933"/>
      <c r="D705" s="934"/>
      <c r="E705" s="405"/>
      <c r="F705" s="422">
        <f t="shared" ref="F705:G705" si="463">+F700+F704</f>
        <v>679388.11200000008</v>
      </c>
      <c r="G705" s="423">
        <f t="shared" si="463"/>
        <v>8779784.8320000004</v>
      </c>
      <c r="H705" s="406"/>
      <c r="I705" s="422">
        <f t="shared" ref="I705:J705" si="464">+I700+I704</f>
        <v>949104</v>
      </c>
      <c r="J705" s="437">
        <f t="shared" si="464"/>
        <v>12265344</v>
      </c>
    </row>
    <row r="706" spans="1:10" ht="24" thickBot="1" x14ac:dyDescent="0.35">
      <c r="A706" s="277" t="s">
        <v>109</v>
      </c>
      <c r="B706" s="617" t="s">
        <v>32</v>
      </c>
      <c r="C706" s="714"/>
      <c r="D706" s="316"/>
      <c r="E706" s="517">
        <v>12.2659</v>
      </c>
      <c r="F706" s="414">
        <f>IFERROR(E706*'01 Prod Physique Boites'!H701,"-")</f>
        <v>0</v>
      </c>
      <c r="G706" s="415">
        <f>IFERROR(E706*'01 Prod Physique Boites'!L701,"-")</f>
        <v>0</v>
      </c>
      <c r="H706" s="398"/>
      <c r="I706" s="432">
        <f>IFERROR(H706*(F706/E706),"-")</f>
        <v>0</v>
      </c>
      <c r="J706" s="433">
        <f>IFERROR(H706*(G706/E706),"-")</f>
        <v>0</v>
      </c>
    </row>
    <row r="707" spans="1:10" ht="24" thickBot="1" x14ac:dyDescent="0.35">
      <c r="A707" s="277" t="s">
        <v>109</v>
      </c>
      <c r="B707" s="926" t="s">
        <v>21</v>
      </c>
      <c r="C707" s="927"/>
      <c r="D707" s="928"/>
      <c r="E707" s="399"/>
      <c r="F707" s="416">
        <f t="shared" ref="F707" si="465">+F696+F705+F706</f>
        <v>2735162.0244</v>
      </c>
      <c r="G707" s="417">
        <f>+G696+G705+G706</f>
        <v>17576635.377599999</v>
      </c>
      <c r="H707" s="400"/>
      <c r="I707" s="416">
        <f t="shared" ref="I707:J707" si="466">+I696+I705+I706</f>
        <v>3397085.6399999997</v>
      </c>
      <c r="J707" s="434">
        <f t="shared" si="466"/>
        <v>24378035.759999998</v>
      </c>
    </row>
    <row r="708" spans="1:10" ht="24" thickBot="1" x14ac:dyDescent="0.35">
      <c r="A708" s="277" t="s">
        <v>109</v>
      </c>
      <c r="B708" s="900" t="s">
        <v>180</v>
      </c>
      <c r="C708" s="901"/>
      <c r="D708" s="902"/>
      <c r="E708" s="401"/>
      <c r="F708" s="418">
        <f t="shared" ref="F708:G708" si="467">+F707</f>
        <v>2735162.0244</v>
      </c>
      <c r="G708" s="419">
        <f t="shared" si="467"/>
        <v>17576635.377599999</v>
      </c>
      <c r="H708" s="402"/>
      <c r="I708" s="418">
        <f t="shared" ref="I708:J708" si="468">+I707</f>
        <v>3397085.6399999997</v>
      </c>
      <c r="J708" s="435">
        <f t="shared" si="468"/>
        <v>24378035.759999998</v>
      </c>
    </row>
    <row r="709" spans="1:10" ht="23.4" x14ac:dyDescent="0.3">
      <c r="A709" s="271" t="s">
        <v>110</v>
      </c>
      <c r="B709" s="903" t="s">
        <v>33</v>
      </c>
      <c r="C709" s="317" t="s">
        <v>121</v>
      </c>
      <c r="D709" s="317"/>
      <c r="E709" s="513">
        <v>254.89750000000001</v>
      </c>
      <c r="F709" s="408">
        <f>IFERROR(E709*'01 Prod Physique Boites'!H704,"-")</f>
        <v>0</v>
      </c>
      <c r="G709" s="409">
        <f>IFERROR(E709*'01 Prod Physique Boites'!L704,"-")</f>
        <v>0</v>
      </c>
      <c r="H709" s="387">
        <v>445.38</v>
      </c>
      <c r="I709" s="425">
        <f>IFERROR(H709*(F709/E709),"-")</f>
        <v>0</v>
      </c>
      <c r="J709" s="426">
        <f t="shared" ref="J709:J711" si="469">IFERROR(H709*(G709/E709),"-")</f>
        <v>0</v>
      </c>
    </row>
    <row r="710" spans="1:10" ht="23.4" x14ac:dyDescent="0.3">
      <c r="A710" s="277" t="s">
        <v>110</v>
      </c>
      <c r="B710" s="904"/>
      <c r="C710" s="318" t="s">
        <v>274</v>
      </c>
      <c r="D710" s="318"/>
      <c r="E710" s="514">
        <v>246.51390000000001</v>
      </c>
      <c r="F710" s="408">
        <f>IFERROR(E710*'01 Prod Physique Boites'!H705,"-")</f>
        <v>566981.97</v>
      </c>
      <c r="G710" s="409">
        <f>IFERROR(E710*'01 Prod Physique Boites'!L705,"-")</f>
        <v>1444571.4540000001</v>
      </c>
      <c r="H710" s="391">
        <v>430.02</v>
      </c>
      <c r="I710" s="427">
        <f>IFERROR(H710*(F710/E710),"-")</f>
        <v>989046</v>
      </c>
      <c r="J710" s="428">
        <f t="shared" si="469"/>
        <v>2519917.1999999997</v>
      </c>
    </row>
    <row r="711" spans="1:10" ht="24" thickBot="1" x14ac:dyDescent="0.35">
      <c r="A711" s="277" t="s">
        <v>110</v>
      </c>
      <c r="B711" s="905"/>
      <c r="C711" s="319" t="s">
        <v>34</v>
      </c>
      <c r="D711" s="319"/>
      <c r="E711" s="511">
        <v>225.7713</v>
      </c>
      <c r="F711" s="408">
        <f>IFERROR(E711*'01 Prod Physique Boites'!H706,"-")</f>
        <v>0</v>
      </c>
      <c r="G711" s="409">
        <f>IFERROR(E711*'01 Prod Physique Boites'!L706,"-")</f>
        <v>0</v>
      </c>
      <c r="H711" s="393"/>
      <c r="I711" s="429">
        <f>IFERROR(H711*(F711/E711),"-")</f>
        <v>0</v>
      </c>
      <c r="J711" s="430">
        <f t="shared" si="469"/>
        <v>0</v>
      </c>
    </row>
    <row r="712" spans="1:10" ht="24" thickBot="1" x14ac:dyDescent="0.35">
      <c r="A712" s="277" t="s">
        <v>110</v>
      </c>
      <c r="B712" s="906" t="s">
        <v>35</v>
      </c>
      <c r="C712" s="907"/>
      <c r="D712" s="908"/>
      <c r="E712" s="396"/>
      <c r="F712" s="412">
        <f t="shared" ref="F712:G712" si="470">SUM(F709:F711)</f>
        <v>566981.97</v>
      </c>
      <c r="G712" s="413">
        <f t="shared" si="470"/>
        <v>1444571.4540000001</v>
      </c>
      <c r="H712" s="397"/>
      <c r="I712" s="412">
        <f t="shared" ref="I712:J712" si="471">SUM(I709:I711)</f>
        <v>989046</v>
      </c>
      <c r="J712" s="431">
        <f t="shared" si="471"/>
        <v>2519917.1999999997</v>
      </c>
    </row>
    <row r="713" spans="1:10" ht="23.4" x14ac:dyDescent="0.3">
      <c r="A713" s="277" t="s">
        <v>110</v>
      </c>
      <c r="B713" s="903" t="s">
        <v>36</v>
      </c>
      <c r="C713" s="317" t="s">
        <v>121</v>
      </c>
      <c r="D713" s="317"/>
      <c r="E713" s="513">
        <v>254.89750000000001</v>
      </c>
      <c r="F713" s="408">
        <f>IFERROR(E713*'01 Prod Physique Boites'!H708,"-")</f>
        <v>0</v>
      </c>
      <c r="G713" s="409">
        <f>IFERROR(E713*'01 Prod Physique Boites'!L708,"-")</f>
        <v>0</v>
      </c>
      <c r="H713" s="387">
        <v>445.38</v>
      </c>
      <c r="I713" s="425">
        <f>IFERROR(H713*(F713/E713),"-")</f>
        <v>0</v>
      </c>
      <c r="J713" s="426">
        <f t="shared" ref="J713:J716" si="472">IFERROR(H713*(G713/E713),"-")</f>
        <v>0</v>
      </c>
    </row>
    <row r="714" spans="1:10" ht="23.4" x14ac:dyDescent="0.3">
      <c r="A714" s="277" t="s">
        <v>110</v>
      </c>
      <c r="B714" s="904"/>
      <c r="C714" s="318" t="s">
        <v>274</v>
      </c>
      <c r="D714" s="318"/>
      <c r="E714" s="514">
        <v>246.51390000000001</v>
      </c>
      <c r="F714" s="408">
        <f>IFERROR(E714*'01 Prod Physique Boites'!H709,"-")</f>
        <v>1262151.1680000001</v>
      </c>
      <c r="G714" s="409">
        <f>IFERROR(E714*'01 Prod Physique Boites'!L709,"-")</f>
        <v>1262151.1680000001</v>
      </c>
      <c r="H714" s="391">
        <v>430.02</v>
      </c>
      <c r="I714" s="427">
        <f>IFERROR(H714*(F714/E714),"-")</f>
        <v>2201702.3999999999</v>
      </c>
      <c r="J714" s="428">
        <f t="shared" si="472"/>
        <v>2201702.3999999999</v>
      </c>
    </row>
    <row r="715" spans="1:10" ht="23.4" x14ac:dyDescent="0.3">
      <c r="A715" s="277" t="s">
        <v>110</v>
      </c>
      <c r="B715" s="904"/>
      <c r="C715" s="318" t="s">
        <v>201</v>
      </c>
      <c r="D715" s="318" t="s">
        <v>200</v>
      </c>
      <c r="E715" s="514">
        <v>254.89750000000001</v>
      </c>
      <c r="F715" s="408">
        <f>IFERROR(E715*'01 Prod Physique Boites'!H710,"-")</f>
        <v>0</v>
      </c>
      <c r="G715" s="409">
        <f>IFERROR(E715*'01 Prod Physique Boites'!L710,"-")</f>
        <v>0</v>
      </c>
      <c r="H715" s="391"/>
      <c r="I715" s="427">
        <f>IFERROR(H715*(F715/E715),"-")</f>
        <v>0</v>
      </c>
      <c r="J715" s="428">
        <f t="shared" si="472"/>
        <v>0</v>
      </c>
    </row>
    <row r="716" spans="1:10" ht="24" thickBot="1" x14ac:dyDescent="0.35">
      <c r="A716" s="277" t="s">
        <v>110</v>
      </c>
      <c r="B716" s="905"/>
      <c r="C716" s="319" t="s">
        <v>37</v>
      </c>
      <c r="D716" s="319"/>
      <c r="E716" s="511">
        <v>229.99359999999999</v>
      </c>
      <c r="F716" s="408">
        <f>IFERROR(E716*'01 Prod Physique Boites'!H711,"-")</f>
        <v>0</v>
      </c>
      <c r="G716" s="409">
        <f>IFERROR(E716*'01 Prod Physique Boites'!L711,"-")</f>
        <v>0</v>
      </c>
      <c r="H716" s="393"/>
      <c r="I716" s="429">
        <f>IFERROR(H716*(F716/E716),"-")</f>
        <v>0</v>
      </c>
      <c r="J716" s="430">
        <f t="shared" si="472"/>
        <v>0</v>
      </c>
    </row>
    <row r="717" spans="1:10" ht="24" thickBot="1" x14ac:dyDescent="0.35">
      <c r="A717" s="277" t="s">
        <v>110</v>
      </c>
      <c r="B717" s="906" t="s">
        <v>38</v>
      </c>
      <c r="C717" s="907"/>
      <c r="D717" s="908"/>
      <c r="E717" s="396"/>
      <c r="F717" s="412">
        <f t="shared" ref="F717:G717" si="473">SUM(F713:F716)</f>
        <v>1262151.1680000001</v>
      </c>
      <c r="G717" s="413">
        <f t="shared" si="473"/>
        <v>1262151.1680000001</v>
      </c>
      <c r="H717" s="397"/>
      <c r="I717" s="412">
        <f>SUM(I713:I716)</f>
        <v>2201702.3999999999</v>
      </c>
      <c r="J717" s="431">
        <f>SUM(J713:J716)</f>
        <v>2201702.3999999999</v>
      </c>
    </row>
    <row r="718" spans="1:10" ht="23.4" x14ac:dyDescent="0.3">
      <c r="A718" s="277" t="s">
        <v>110</v>
      </c>
      <c r="B718" s="903" t="s">
        <v>39</v>
      </c>
      <c r="C718" s="320" t="s">
        <v>124</v>
      </c>
      <c r="D718" s="320"/>
      <c r="E718" s="513">
        <v>195.2808</v>
      </c>
      <c r="F718" s="408">
        <f>IFERROR(E718*'01 Prod Physique Boites'!H713,"-")</f>
        <v>0</v>
      </c>
      <c r="G718" s="409">
        <f>IFERROR(E718*'01 Prod Physique Boites'!L713,"-")</f>
        <v>0</v>
      </c>
      <c r="H718" s="387"/>
      <c r="I718" s="425">
        <f>IFERROR(H718*(F718/E718),"-")</f>
        <v>0</v>
      </c>
      <c r="J718" s="426">
        <f t="shared" ref="J718:J719" si="474">IFERROR(H718*(G718/E718),"-")</f>
        <v>0</v>
      </c>
    </row>
    <row r="719" spans="1:10" ht="24" thickBot="1" x14ac:dyDescent="0.35">
      <c r="A719" s="277" t="s">
        <v>110</v>
      </c>
      <c r="B719" s="905"/>
      <c r="C719" s="290" t="s">
        <v>140</v>
      </c>
      <c r="D719" s="290"/>
      <c r="E719" s="511">
        <v>189.91890000000001</v>
      </c>
      <c r="F719" s="408">
        <f>IFERROR(E719*'01 Prod Physique Boites'!H714,"-")</f>
        <v>0</v>
      </c>
      <c r="G719" s="409">
        <f>IFERROR(E719*'01 Prod Physique Boites'!L714,"-")</f>
        <v>0</v>
      </c>
      <c r="H719" s="393">
        <v>320.35000000000002</v>
      </c>
      <c r="I719" s="429">
        <f>IFERROR(H719*(F719/E719),"-")</f>
        <v>0</v>
      </c>
      <c r="J719" s="430">
        <f t="shared" si="474"/>
        <v>0</v>
      </c>
    </row>
    <row r="720" spans="1:10" ht="24" thickBot="1" x14ac:dyDescent="0.35">
      <c r="A720" s="717" t="s">
        <v>110</v>
      </c>
      <c r="B720" s="906" t="s">
        <v>40</v>
      </c>
      <c r="C720" s="907"/>
      <c r="D720" s="908"/>
      <c r="E720" s="396"/>
      <c r="F720" s="412">
        <f>SUM(F718:F719)</f>
        <v>0</v>
      </c>
      <c r="G720" s="413">
        <f t="shared" ref="G720" si="475">SUM(G718:G719)</f>
        <v>0</v>
      </c>
      <c r="H720" s="397"/>
      <c r="I720" s="412">
        <f t="shared" ref="I720:J720" si="476">SUM(I718:I719)</f>
        <v>0</v>
      </c>
      <c r="J720" s="431">
        <f t="shared" si="476"/>
        <v>0</v>
      </c>
    </row>
    <row r="721" spans="1:10" ht="23.4" x14ac:dyDescent="0.3">
      <c r="A721" s="277" t="s">
        <v>110</v>
      </c>
      <c r="B721" s="903" t="s">
        <v>41</v>
      </c>
      <c r="C721" s="272" t="s">
        <v>346</v>
      </c>
      <c r="D721" s="272" t="s">
        <v>263</v>
      </c>
      <c r="E721" s="515">
        <v>37.248699999999999</v>
      </c>
      <c r="F721" s="408">
        <f>IFERROR(E721*'01 Prod Physique Boites'!H716,"-")</f>
        <v>1062481.9188000001</v>
      </c>
      <c r="G721" s="409">
        <f>IFERROR(E721*'01 Prod Physique Boites'!L716,"-")</f>
        <v>3237508.0091999997</v>
      </c>
      <c r="H721" s="387">
        <v>71.44</v>
      </c>
      <c r="I721" s="425">
        <f>IFERROR(H721*(F721/E721),"-")</f>
        <v>2037754.5600000003</v>
      </c>
      <c r="J721" s="426">
        <f>IFERROR(H721*(G721/E721),"-")</f>
        <v>6209279.04</v>
      </c>
    </row>
    <row r="722" spans="1:10" ht="23.4" x14ac:dyDescent="0.3">
      <c r="A722" s="277" t="s">
        <v>110</v>
      </c>
      <c r="B722" s="904"/>
      <c r="C722" s="272" t="s">
        <v>165</v>
      </c>
      <c r="D722" s="278"/>
      <c r="E722" s="515">
        <v>37.248699999999999</v>
      </c>
      <c r="F722" s="408">
        <f>IFERROR(E722*'01 Prod Physique Boites'!H717,"-")</f>
        <v>0</v>
      </c>
      <c r="G722" s="409">
        <f>IFERROR(E722*'01 Prod Physique Boites'!L717,"-")</f>
        <v>0</v>
      </c>
      <c r="H722" s="391"/>
      <c r="I722" s="427">
        <f>IFERROR(H722*(F722/E722),"-")</f>
        <v>0</v>
      </c>
      <c r="J722" s="428">
        <f t="shared" ref="J722:J725" si="477">IFERROR(H722*(G722/E722),"-")</f>
        <v>0</v>
      </c>
    </row>
    <row r="723" spans="1:10" ht="23.4" x14ac:dyDescent="0.3">
      <c r="A723" s="277" t="s">
        <v>110</v>
      </c>
      <c r="B723" s="904"/>
      <c r="C723" s="278" t="s">
        <v>423</v>
      </c>
      <c r="D723" s="272" t="s">
        <v>263</v>
      </c>
      <c r="E723" s="516">
        <v>38.466099999999997</v>
      </c>
      <c r="F723" s="408">
        <f>IFERROR(E723*'01 Prod Physique Boites'!H718,"-")</f>
        <v>0</v>
      </c>
      <c r="G723" s="409">
        <f>IFERROR(E723*'01 Prod Physique Boites'!L718,"-")</f>
        <v>1306308.7559999998</v>
      </c>
      <c r="H723" s="391">
        <v>71.44</v>
      </c>
      <c r="I723" s="427">
        <f>IFERROR(H723*(F723/E723),"-")</f>
        <v>0</v>
      </c>
      <c r="J723" s="428">
        <f t="shared" si="477"/>
        <v>2426102.4</v>
      </c>
    </row>
    <row r="724" spans="1:10" ht="23.4" x14ac:dyDescent="0.3">
      <c r="A724" s="277" t="s">
        <v>110</v>
      </c>
      <c r="B724" s="904"/>
      <c r="C724" s="278" t="s">
        <v>166</v>
      </c>
      <c r="D724" s="278"/>
      <c r="E724" s="516">
        <v>37.248699999999999</v>
      </c>
      <c r="F724" s="408">
        <f>IFERROR(E724*'01 Prod Physique Boites'!H719,"-")</f>
        <v>0</v>
      </c>
      <c r="G724" s="409">
        <f>IFERROR(E724*'01 Prod Physique Boites'!L719,"-")</f>
        <v>0</v>
      </c>
      <c r="H724" s="391"/>
      <c r="I724" s="427">
        <f>IFERROR(H724*(F724/E724),"-")</f>
        <v>0</v>
      </c>
      <c r="J724" s="428">
        <f t="shared" si="477"/>
        <v>0</v>
      </c>
    </row>
    <row r="725" spans="1:10" ht="24" thickBot="1" x14ac:dyDescent="0.35">
      <c r="A725" s="277" t="s">
        <v>110</v>
      </c>
      <c r="B725" s="905"/>
      <c r="C725" s="282" t="s">
        <v>167</v>
      </c>
      <c r="D725" s="282"/>
      <c r="E725" s="512">
        <v>33.711399999999998</v>
      </c>
      <c r="F725" s="408">
        <f>IFERROR(E725*'01 Prod Physique Boites'!H720,"-")</f>
        <v>0</v>
      </c>
      <c r="G725" s="409">
        <f>IFERROR(E725*'01 Prod Physique Boites'!L720,"-")</f>
        <v>0</v>
      </c>
      <c r="H725" s="393"/>
      <c r="I725" s="429">
        <f>IFERROR(H725*(F725/E725),"-")</f>
        <v>0</v>
      </c>
      <c r="J725" s="430">
        <f t="shared" si="477"/>
        <v>0</v>
      </c>
    </row>
    <row r="726" spans="1:10" ht="24" thickBot="1" x14ac:dyDescent="0.35">
      <c r="A726" s="277" t="s">
        <v>110</v>
      </c>
      <c r="B726" s="906" t="s">
        <v>42</v>
      </c>
      <c r="C726" s="907"/>
      <c r="D726" s="908"/>
      <c r="E726" s="396"/>
      <c r="F726" s="412">
        <f>SUM(F721:F725)</f>
        <v>1062481.9188000001</v>
      </c>
      <c r="G726" s="413">
        <f>SUM(G721:G725)</f>
        <v>4543816.7651999993</v>
      </c>
      <c r="H726" s="397"/>
      <c r="I726" s="412">
        <f>SUM(I721:I725)</f>
        <v>2037754.5600000003</v>
      </c>
      <c r="J726" s="412">
        <f>SUM(J721:J725)</f>
        <v>8635381.4399999995</v>
      </c>
    </row>
    <row r="727" spans="1:10" ht="23.4" x14ac:dyDescent="0.3">
      <c r="A727" s="277" t="s">
        <v>110</v>
      </c>
      <c r="B727" s="903" t="s">
        <v>43</v>
      </c>
      <c r="C727" s="272" t="s">
        <v>204</v>
      </c>
      <c r="D727" s="272" t="s">
        <v>200</v>
      </c>
      <c r="E727" s="515">
        <v>30.7499</v>
      </c>
      <c r="F727" s="408">
        <f>IFERROR(E727*'01 Prod Physique Boites'!H722,"-")</f>
        <v>0</v>
      </c>
      <c r="G727" s="409">
        <f>IFERROR(E727*'01 Prod Physique Boites'!L722,"-")</f>
        <v>0</v>
      </c>
      <c r="H727" s="387"/>
      <c r="I727" s="425">
        <f>IFERROR(H727*(F727/E727),"-")</f>
        <v>0</v>
      </c>
      <c r="J727" s="426">
        <f>IFERROR(H727*(G727/E727),"-")</f>
        <v>0</v>
      </c>
    </row>
    <row r="728" spans="1:10" ht="23.4" x14ac:dyDescent="0.3">
      <c r="A728" s="277" t="s">
        <v>110</v>
      </c>
      <c r="B728" s="904"/>
      <c r="C728" s="278" t="s">
        <v>168</v>
      </c>
      <c r="D728" s="278"/>
      <c r="E728" s="516">
        <v>28.7</v>
      </c>
      <c r="F728" s="408">
        <f>IFERROR(E728*'01 Prod Physique Boites'!H723,"-")</f>
        <v>0</v>
      </c>
      <c r="G728" s="409">
        <f>IFERROR(E728*'01 Prod Physique Boites'!L723,"-")</f>
        <v>0</v>
      </c>
      <c r="H728" s="391"/>
      <c r="I728" s="427">
        <f>IFERROR(H728*(F728/E728),"-")</f>
        <v>0</v>
      </c>
      <c r="J728" s="428">
        <f t="shared" ref="J728:J729" si="478">IFERROR(H728*(G728/E728),"-")</f>
        <v>0</v>
      </c>
    </row>
    <row r="729" spans="1:10" ht="24" thickBot="1" x14ac:dyDescent="0.35">
      <c r="A729" s="277" t="s">
        <v>110</v>
      </c>
      <c r="B729" s="905"/>
      <c r="C729" s="282" t="s">
        <v>204</v>
      </c>
      <c r="D729" s="282" t="s">
        <v>203</v>
      </c>
      <c r="E729" s="512">
        <v>30.073599999999999</v>
      </c>
      <c r="F729" s="408">
        <f>IFERROR(E729*'01 Prod Physique Boites'!H724,"-")</f>
        <v>0</v>
      </c>
      <c r="G729" s="409">
        <f>IFERROR(E729*'01 Prod Physique Boites'!L724,"-")</f>
        <v>0</v>
      </c>
      <c r="H729" s="393"/>
      <c r="I729" s="429">
        <f>IFERROR(H729*(F729/E729),"-")</f>
        <v>0</v>
      </c>
      <c r="J729" s="430">
        <f t="shared" si="478"/>
        <v>0</v>
      </c>
    </row>
    <row r="730" spans="1:10" ht="24" thickBot="1" x14ac:dyDescent="0.35">
      <c r="A730" s="277" t="s">
        <v>110</v>
      </c>
      <c r="B730" s="909" t="s">
        <v>44</v>
      </c>
      <c r="C730" s="910"/>
      <c r="D730" s="911"/>
      <c r="E730" s="396"/>
      <c r="F730" s="412">
        <f t="shared" ref="F730:G730" si="479">SUM(F727:F729)</f>
        <v>0</v>
      </c>
      <c r="G730" s="413">
        <f t="shared" si="479"/>
        <v>0</v>
      </c>
      <c r="H730" s="397"/>
      <c r="I730" s="412">
        <f t="shared" ref="I730:J730" si="480">SUM(I727:I729)</f>
        <v>0</v>
      </c>
      <c r="J730" s="431">
        <f t="shared" si="480"/>
        <v>0</v>
      </c>
    </row>
    <row r="731" spans="1:10" ht="23.4" x14ac:dyDescent="0.3">
      <c r="A731" s="277" t="s">
        <v>110</v>
      </c>
      <c r="B731" s="903" t="s">
        <v>45</v>
      </c>
      <c r="C731" s="272" t="s">
        <v>169</v>
      </c>
      <c r="D731" s="272"/>
      <c r="E731" s="515">
        <v>36.684899999999999</v>
      </c>
      <c r="F731" s="408">
        <f>IFERROR(E731*'01 Prod Physique Boites'!H726,"-")</f>
        <v>0</v>
      </c>
      <c r="G731" s="409">
        <f>IFERROR(E731*'01 Prod Physique Boites'!L726,"-")</f>
        <v>0</v>
      </c>
      <c r="H731" s="387"/>
      <c r="I731" s="388" t="s">
        <v>209</v>
      </c>
      <c r="J731" s="389" t="s">
        <v>209</v>
      </c>
    </row>
    <row r="732" spans="1:10" ht="24" thickBot="1" x14ac:dyDescent="0.35">
      <c r="A732" s="277" t="s">
        <v>110</v>
      </c>
      <c r="B732" s="905"/>
      <c r="C732" s="282" t="s">
        <v>170</v>
      </c>
      <c r="D732" s="282"/>
      <c r="E732" s="512">
        <v>37.002800000000001</v>
      </c>
      <c r="F732" s="408">
        <f>IFERROR(E732*'01 Prod Physique Boites'!H727,"-")</f>
        <v>0</v>
      </c>
      <c r="G732" s="409">
        <f>IFERROR(E732*'01 Prod Physique Boites'!L727,"-")</f>
        <v>0</v>
      </c>
      <c r="H732" s="393"/>
      <c r="I732" s="394" t="s">
        <v>209</v>
      </c>
      <c r="J732" s="395" t="s">
        <v>209</v>
      </c>
    </row>
    <row r="733" spans="1:10" ht="24" thickBot="1" x14ac:dyDescent="0.35">
      <c r="A733" s="277" t="s">
        <v>110</v>
      </c>
      <c r="B733" s="909" t="s">
        <v>46</v>
      </c>
      <c r="C733" s="910"/>
      <c r="D733" s="911"/>
      <c r="E733" s="396"/>
      <c r="F733" s="412">
        <f t="shared" ref="F733:G733" si="481">SUM(F731:F732)</f>
        <v>0</v>
      </c>
      <c r="G733" s="413">
        <f t="shared" si="481"/>
        <v>0</v>
      </c>
      <c r="H733" s="397"/>
      <c r="I733" s="412">
        <f t="shared" ref="I733:J733" si="482">SUM(I731:I732)</f>
        <v>0</v>
      </c>
      <c r="J733" s="431">
        <f t="shared" si="482"/>
        <v>0</v>
      </c>
    </row>
    <row r="734" spans="1:10" ht="24" thickBot="1" x14ac:dyDescent="0.35">
      <c r="A734" s="277" t="s">
        <v>110</v>
      </c>
      <c r="B734" s="912" t="s">
        <v>25</v>
      </c>
      <c r="C734" s="913"/>
      <c r="D734" s="914"/>
      <c r="E734" s="399"/>
      <c r="F734" s="416">
        <f t="shared" ref="F734:G734" si="483">+F712+F717+F720+F726+F730+F733</f>
        <v>2891615.0568000004</v>
      </c>
      <c r="G734" s="417">
        <f t="shared" si="483"/>
        <v>7250539.3871999998</v>
      </c>
      <c r="H734" s="400"/>
      <c r="I734" s="416">
        <f>+I712+I717+I720+I726+I730+I733</f>
        <v>5228502.96</v>
      </c>
      <c r="J734" s="434">
        <f>+J712+J717+J720+J726+J730+J733</f>
        <v>13357001.039999999</v>
      </c>
    </row>
    <row r="735" spans="1:10" ht="24" thickBot="1" x14ac:dyDescent="0.35">
      <c r="A735" s="324" t="s">
        <v>110</v>
      </c>
      <c r="B735" s="901" t="s">
        <v>182</v>
      </c>
      <c r="C735" s="901"/>
      <c r="D735" s="902"/>
      <c r="E735" s="401"/>
      <c r="F735" s="418">
        <f t="shared" ref="F735:G735" si="484">+F734</f>
        <v>2891615.0568000004</v>
      </c>
      <c r="G735" s="419">
        <f t="shared" si="484"/>
        <v>7250539.3871999998</v>
      </c>
      <c r="H735" s="402"/>
      <c r="I735" s="418">
        <f t="shared" ref="I735" si="485">+I734</f>
        <v>5228502.96</v>
      </c>
      <c r="J735" s="435">
        <f>+J734</f>
        <v>13357001.039999999</v>
      </c>
    </row>
    <row r="736" spans="1:10" ht="24.6" thickBot="1" x14ac:dyDescent="0.35">
      <c r="A736" s="325"/>
      <c r="B736" s="915" t="s">
        <v>183</v>
      </c>
      <c r="C736" s="916"/>
      <c r="D736" s="917"/>
      <c r="E736" s="407"/>
      <c r="F736" s="424">
        <f t="shared" ref="F736:G736" si="486">+F681+F708+F735</f>
        <v>7507532.6027000006</v>
      </c>
      <c r="G736" s="424">
        <f t="shared" si="486"/>
        <v>38970758.133199997</v>
      </c>
      <c r="H736" s="407"/>
      <c r="I736" s="424">
        <f t="shared" ref="I736:J736" si="487">+I681+I708+I735</f>
        <v>11787851.280400001</v>
      </c>
      <c r="J736" s="438">
        <f t="shared" si="487"/>
        <v>61546289.182399996</v>
      </c>
    </row>
    <row r="737" spans="1:10" ht="23.4" x14ac:dyDescent="0.3">
      <c r="A737" s="935" t="s">
        <v>1</v>
      </c>
      <c r="B737" s="938" t="s">
        <v>2</v>
      </c>
      <c r="C737" s="941" t="s">
        <v>3</v>
      </c>
      <c r="D737" s="941" t="s">
        <v>93</v>
      </c>
      <c r="E737" s="965" t="s">
        <v>176</v>
      </c>
      <c r="F737" s="966"/>
      <c r="G737" s="966"/>
      <c r="H737" s="451"/>
      <c r="I737" s="451"/>
      <c r="J737" s="452"/>
    </row>
    <row r="738" spans="1:10" ht="23.4" x14ac:dyDescent="0.3">
      <c r="A738" s="936"/>
      <c r="B738" s="939"/>
      <c r="C738" s="942"/>
      <c r="D738" s="942"/>
      <c r="E738" s="967" t="s">
        <v>178</v>
      </c>
      <c r="F738" s="968"/>
      <c r="G738" s="969"/>
      <c r="H738" s="967" t="s">
        <v>177</v>
      </c>
      <c r="I738" s="968"/>
      <c r="J738" s="969"/>
    </row>
    <row r="739" spans="1:10" ht="46.8" x14ac:dyDescent="0.3">
      <c r="A739" s="937"/>
      <c r="B739" s="963"/>
      <c r="C739" s="964"/>
      <c r="D739" s="964"/>
      <c r="E739" s="385" t="s">
        <v>179</v>
      </c>
      <c r="F739" s="730" t="s">
        <v>11</v>
      </c>
      <c r="G739" s="731" t="s">
        <v>12</v>
      </c>
      <c r="H739" s="970" t="s">
        <v>179</v>
      </c>
      <c r="I739" s="972" t="s">
        <v>145</v>
      </c>
      <c r="J739" s="974" t="s">
        <v>12</v>
      </c>
    </row>
    <row r="740" spans="1:10" ht="24" thickBot="1" x14ac:dyDescent="0.35">
      <c r="A740" s="937"/>
      <c r="B740" s="940"/>
      <c r="C740" s="943"/>
      <c r="D740" s="943"/>
      <c r="E740" s="976">
        <v>44510</v>
      </c>
      <c r="F740" s="977"/>
      <c r="G740" s="978"/>
      <c r="H740" s="971"/>
      <c r="I740" s="973"/>
      <c r="J740" s="975"/>
    </row>
    <row r="741" spans="1:10" ht="23.4" x14ac:dyDescent="0.3">
      <c r="A741" s="271" t="s">
        <v>111</v>
      </c>
      <c r="B741" s="922" t="s">
        <v>16</v>
      </c>
      <c r="C741" s="272" t="s">
        <v>186</v>
      </c>
      <c r="D741" s="272" t="s">
        <v>184</v>
      </c>
      <c r="E741" s="515">
        <v>81.360699999999994</v>
      </c>
      <c r="F741" s="408">
        <f>IFERROR(E741*'01 Prod Physique Boites'!H735,"-")</f>
        <v>0</v>
      </c>
      <c r="G741" s="408">
        <f>IFERROR(E741*'01 Prod Physique Boites'!L735,"-")</f>
        <v>0</v>
      </c>
      <c r="H741" s="387">
        <v>0</v>
      </c>
      <c r="I741" s="425">
        <f>IFERROR(H741*(F741/E741),"-")</f>
        <v>0</v>
      </c>
      <c r="J741" s="426">
        <f t="shared" ref="J741:J743" si="488">IFERROR(H741*(G741/E741),"-")</f>
        <v>0</v>
      </c>
    </row>
    <row r="742" spans="1:10" ht="23.4" x14ac:dyDescent="0.3">
      <c r="A742" s="277" t="s">
        <v>111</v>
      </c>
      <c r="B742" s="923"/>
      <c r="C742" s="278" t="s">
        <v>190</v>
      </c>
      <c r="D742" s="278" t="s">
        <v>101</v>
      </c>
      <c r="E742" s="516">
        <v>81.360699999999994</v>
      </c>
      <c r="F742" s="408">
        <f>IFERROR(E742*'01 Prod Physique Boites'!H736,"-")</f>
        <v>0</v>
      </c>
      <c r="G742" s="408">
        <f>IFERROR(E742*'01 Prod Physique Boites'!L736,"-")</f>
        <v>0</v>
      </c>
      <c r="H742" s="391">
        <v>0</v>
      </c>
      <c r="I742" s="425">
        <f>IFERROR(H742*(F742/E742),"-")</f>
        <v>0</v>
      </c>
      <c r="J742" s="426">
        <f t="shared" si="488"/>
        <v>0</v>
      </c>
    </row>
    <row r="743" spans="1:10" ht="23.4" x14ac:dyDescent="0.3">
      <c r="A743" s="277" t="s">
        <v>111</v>
      </c>
      <c r="B743" s="923"/>
      <c r="C743" s="278" t="s">
        <v>187</v>
      </c>
      <c r="D743" s="278" t="s">
        <v>185</v>
      </c>
      <c r="E743" s="516">
        <v>55.476900000000001</v>
      </c>
      <c r="F743" s="408">
        <f>IFERROR(E743*'01 Prod Physique Boites'!H737,"-")</f>
        <v>0</v>
      </c>
      <c r="G743" s="408">
        <f>IFERROR(E743*'01 Prod Physique Boites'!L737,"-")</f>
        <v>0</v>
      </c>
      <c r="H743" s="391">
        <v>0</v>
      </c>
      <c r="I743" s="425">
        <f>IFERROR(H743*(F743/E743),"-")</f>
        <v>0</v>
      </c>
      <c r="J743" s="426">
        <f t="shared" si="488"/>
        <v>0</v>
      </c>
    </row>
    <row r="744" spans="1:10" ht="24" thickBot="1" x14ac:dyDescent="0.35">
      <c r="A744" s="277" t="s">
        <v>111</v>
      </c>
      <c r="B744" s="924"/>
      <c r="C744" s="282" t="s">
        <v>289</v>
      </c>
      <c r="D744" s="282" t="s">
        <v>256</v>
      </c>
      <c r="E744" s="512">
        <v>60.703499999999998</v>
      </c>
      <c r="F744" s="408">
        <f>IFERROR(E744*'01 Prod Physique Boites'!H738,"-")</f>
        <v>621603.83999999997</v>
      </c>
      <c r="G744" s="408">
        <f>IFERROR(E744*'01 Prod Physique Boites'!L738,"-")</f>
        <v>5874156.2879999997</v>
      </c>
      <c r="H744" s="393">
        <v>111.0883</v>
      </c>
      <c r="I744" s="425">
        <f>IFERROR(H744*(F744/E744),"-")</f>
        <v>1137544.192</v>
      </c>
      <c r="J744" s="426">
        <f>IFERROR(H744*(G744/E744),"-")</f>
        <v>10749792.614400001</v>
      </c>
    </row>
    <row r="745" spans="1:10" ht="24" thickBot="1" x14ac:dyDescent="0.35">
      <c r="A745" s="277" t="s">
        <v>111</v>
      </c>
      <c r="B745" s="906" t="s">
        <v>47</v>
      </c>
      <c r="C745" s="907"/>
      <c r="D745" s="908"/>
      <c r="E745" s="396"/>
      <c r="F745" s="412">
        <f t="shared" ref="F745:G745" si="489">SUM(F741:F744)</f>
        <v>621603.83999999997</v>
      </c>
      <c r="G745" s="413">
        <f t="shared" si="489"/>
        <v>5874156.2879999997</v>
      </c>
      <c r="H745" s="397"/>
      <c r="I745" s="412">
        <f t="shared" ref="I745:J745" si="490">SUM(I741:I744)</f>
        <v>1137544.192</v>
      </c>
      <c r="J745" s="431">
        <f t="shared" si="490"/>
        <v>10749792.614400001</v>
      </c>
    </row>
    <row r="746" spans="1:10" ht="23.4" x14ac:dyDescent="0.3">
      <c r="A746" s="277" t="s">
        <v>111</v>
      </c>
      <c r="B746" s="922" t="s">
        <v>17</v>
      </c>
      <c r="C746" s="272" t="s">
        <v>331</v>
      </c>
      <c r="D746" s="272"/>
      <c r="E746" s="515">
        <v>12.5275</v>
      </c>
      <c r="F746" s="408">
        <f>IFERROR(E746*'01 Prod Physique Boites'!H740,"-")</f>
        <v>0</v>
      </c>
      <c r="G746" s="408">
        <f>IFERROR(E746*'01 Prod Physique Boites'!L740,"-")</f>
        <v>0</v>
      </c>
      <c r="H746" s="387">
        <v>18.836400000000001</v>
      </c>
      <c r="I746" s="425">
        <f t="shared" ref="I746:I752" si="491">IFERROR(H746*(F746/E746),"-")</f>
        <v>0</v>
      </c>
      <c r="J746" s="426">
        <f t="shared" ref="J746:J751" si="492">IFERROR(H746*(G746/E746),"-")</f>
        <v>0</v>
      </c>
    </row>
    <row r="747" spans="1:10" ht="23.4" x14ac:dyDescent="0.3">
      <c r="A747" s="277" t="s">
        <v>111</v>
      </c>
      <c r="B747" s="923"/>
      <c r="C747" s="278" t="s">
        <v>421</v>
      </c>
      <c r="D747" s="278" t="s">
        <v>257</v>
      </c>
      <c r="E747" s="516">
        <v>13.002700000000001</v>
      </c>
      <c r="F747" s="408">
        <f>IFERROR(E747*'01 Prod Physique Boites'!H741,"-")</f>
        <v>0</v>
      </c>
      <c r="G747" s="408">
        <f>IFERROR(E747*'01 Prod Physique Boites'!L741,"-")</f>
        <v>3294468.0936000003</v>
      </c>
      <c r="H747" s="391">
        <v>21.18</v>
      </c>
      <c r="I747" s="427">
        <f t="shared" si="491"/>
        <v>0</v>
      </c>
      <c r="J747" s="428">
        <f t="shared" si="492"/>
        <v>5366334.24</v>
      </c>
    </row>
    <row r="748" spans="1:10" ht="23.4" x14ac:dyDescent="0.3">
      <c r="A748" s="277" t="s">
        <v>111</v>
      </c>
      <c r="B748" s="923"/>
      <c r="C748" s="278" t="s">
        <v>441</v>
      </c>
      <c r="D748" s="278" t="s">
        <v>205</v>
      </c>
      <c r="E748" s="516">
        <v>12.9049</v>
      </c>
      <c r="F748" s="408">
        <f>IFERROR(E748*'01 Prod Physique Boites'!H742,"-")</f>
        <v>0</v>
      </c>
      <c r="G748" s="408">
        <f>IFERROR(E748*'01 Prod Physique Boites'!L742,"-")</f>
        <v>0</v>
      </c>
      <c r="H748" s="391">
        <v>20.6602</v>
      </c>
      <c r="I748" s="427">
        <f t="shared" si="491"/>
        <v>0</v>
      </c>
      <c r="J748" s="428">
        <f t="shared" si="492"/>
        <v>0</v>
      </c>
    </row>
    <row r="749" spans="1:10" ht="23.4" x14ac:dyDescent="0.3">
      <c r="A749" s="277" t="s">
        <v>111</v>
      </c>
      <c r="B749" s="923"/>
      <c r="C749" s="278" t="s">
        <v>330</v>
      </c>
      <c r="D749" s="278" t="s">
        <v>206</v>
      </c>
      <c r="E749" s="516">
        <v>13.078200000000001</v>
      </c>
      <c r="F749" s="408">
        <f>IFERROR(E749*'01 Prod Physique Boites'!H743,"-")</f>
        <v>0</v>
      </c>
      <c r="G749" s="408">
        <f>IFERROR(E749*'01 Prod Physique Boites'!L743,"-")</f>
        <v>24011.575200000003</v>
      </c>
      <c r="H749" s="391">
        <v>20.66</v>
      </c>
      <c r="I749" s="427">
        <f t="shared" si="491"/>
        <v>0</v>
      </c>
      <c r="J749" s="428">
        <f t="shared" si="492"/>
        <v>37931.760000000002</v>
      </c>
    </row>
    <row r="750" spans="1:10" ht="23.4" x14ac:dyDescent="0.3">
      <c r="A750" s="277" t="s">
        <v>111</v>
      </c>
      <c r="B750" s="923"/>
      <c r="C750" s="278" t="s">
        <v>377</v>
      </c>
      <c r="D750" s="278" t="s">
        <v>371</v>
      </c>
      <c r="E750" s="516">
        <v>13.1958</v>
      </c>
      <c r="F750" s="408">
        <f>IFERROR(E750*'01 Prod Physique Boites'!H744,"-")</f>
        <v>0</v>
      </c>
      <c r="G750" s="408">
        <f>IFERROR(E750*'01 Prod Physique Boites'!L744,"-")</f>
        <v>109683.4896</v>
      </c>
      <c r="H750" s="391">
        <v>21.28</v>
      </c>
      <c r="I750" s="427">
        <f t="shared" si="491"/>
        <v>0</v>
      </c>
      <c r="J750" s="428">
        <f t="shared" si="492"/>
        <v>176879.36000000002</v>
      </c>
    </row>
    <row r="751" spans="1:10" ht="23.4" x14ac:dyDescent="0.3">
      <c r="A751" s="277" t="s">
        <v>111</v>
      </c>
      <c r="B751" s="923"/>
      <c r="C751" s="278" t="s">
        <v>443</v>
      </c>
      <c r="D751" s="278" t="s">
        <v>207</v>
      </c>
      <c r="E751" s="516">
        <v>12.9049</v>
      </c>
      <c r="F751" s="408">
        <f>IFERROR(E751*'01 Prod Physique Boites'!H745,"-")</f>
        <v>1184669.82</v>
      </c>
      <c r="G751" s="408">
        <f>IFERROR(E751*'01 Prod Physique Boites'!L745,"-")</f>
        <v>1737515.736</v>
      </c>
      <c r="H751" s="391">
        <v>20.66</v>
      </c>
      <c r="I751" s="427">
        <f t="shared" si="491"/>
        <v>1896588.0000000002</v>
      </c>
      <c r="J751" s="428">
        <f t="shared" si="492"/>
        <v>2781662.4</v>
      </c>
    </row>
    <row r="752" spans="1:10" ht="24" thickBot="1" x14ac:dyDescent="0.35">
      <c r="A752" s="277" t="s">
        <v>111</v>
      </c>
      <c r="B752" s="924"/>
      <c r="C752" s="282" t="s">
        <v>416</v>
      </c>
      <c r="D752" s="282" t="s">
        <v>189</v>
      </c>
      <c r="E752" s="512">
        <v>13.6509</v>
      </c>
      <c r="F752" s="408">
        <f>IFERROR(E752*'01 Prod Physique Boites'!H746,"-")</f>
        <v>0</v>
      </c>
      <c r="G752" s="408">
        <f>IFERROR(E752*'01 Prod Physique Boites'!L746,"-")</f>
        <v>1002522.096</v>
      </c>
      <c r="H752" s="393">
        <v>21.18</v>
      </c>
      <c r="I752" s="429">
        <f t="shared" si="491"/>
        <v>0</v>
      </c>
      <c r="J752" s="430">
        <f>IFERROR(H752*(G752/E752),"-")</f>
        <v>1555459.2</v>
      </c>
    </row>
    <row r="753" spans="1:10" ht="24" thickBot="1" x14ac:dyDescent="0.35">
      <c r="A753" s="277" t="s">
        <v>111</v>
      </c>
      <c r="B753" s="906" t="s">
        <v>48</v>
      </c>
      <c r="C753" s="907"/>
      <c r="D753" s="908"/>
      <c r="E753" s="396"/>
      <c r="F753" s="412">
        <f t="shared" ref="F753:G753" si="493">SUM(F746:F752)</f>
        <v>1184669.82</v>
      </c>
      <c r="G753" s="413">
        <f t="shared" si="493"/>
        <v>6168200.9904000005</v>
      </c>
      <c r="H753" s="397"/>
      <c r="I753" s="412">
        <f t="shared" ref="I753" si="494">SUM(I746:I752)</f>
        <v>1896588.0000000002</v>
      </c>
      <c r="J753" s="431">
        <f>SUM(J746:J752)</f>
        <v>9918266.959999999</v>
      </c>
    </row>
    <row r="754" spans="1:10" ht="23.4" x14ac:dyDescent="0.3">
      <c r="A754" s="277" t="s">
        <v>111</v>
      </c>
      <c r="B754" s="922" t="s">
        <v>18</v>
      </c>
      <c r="C754" s="272" t="s">
        <v>359</v>
      </c>
      <c r="D754" s="272" t="s">
        <v>99</v>
      </c>
      <c r="E754" s="515">
        <v>17.8202</v>
      </c>
      <c r="F754" s="408">
        <f>IFERROR(E754*'01 Prod Physique Boites'!H748,"-")</f>
        <v>0</v>
      </c>
      <c r="G754" s="409">
        <f>IFERROR(E754*'01 Prod Physique Boites'!L748,"-")</f>
        <v>0</v>
      </c>
      <c r="H754" s="387">
        <v>24.93</v>
      </c>
      <c r="I754" s="425">
        <f t="shared" ref="I754:I760" si="495">IFERROR(H754*(F754/E754),"-")</f>
        <v>0</v>
      </c>
      <c r="J754" s="426">
        <f t="shared" ref="J754:J756" si="496">IFERROR(H754*(G754/E754),"-")</f>
        <v>0</v>
      </c>
    </row>
    <row r="755" spans="1:10" ht="23.4" x14ac:dyDescent="0.3">
      <c r="A755" s="277" t="s">
        <v>111</v>
      </c>
      <c r="B755" s="923"/>
      <c r="C755" s="278" t="s">
        <v>138</v>
      </c>
      <c r="D755" s="278"/>
      <c r="E755" s="516">
        <v>17.8202</v>
      </c>
      <c r="F755" s="408">
        <f>IFERROR(E755*'01 Prod Physique Boites'!H749,"-")</f>
        <v>0</v>
      </c>
      <c r="G755" s="409">
        <f>IFERROR(E755*'01 Prod Physique Boites'!L749,"-")</f>
        <v>0</v>
      </c>
      <c r="H755" s="391">
        <v>0</v>
      </c>
      <c r="I755" s="427">
        <f t="shared" si="495"/>
        <v>0</v>
      </c>
      <c r="J755" s="428">
        <f t="shared" si="496"/>
        <v>0</v>
      </c>
    </row>
    <row r="756" spans="1:10" ht="23.4" x14ac:dyDescent="0.3">
      <c r="A756" s="277" t="s">
        <v>111</v>
      </c>
      <c r="B756" s="923"/>
      <c r="C756" s="278" t="s">
        <v>123</v>
      </c>
      <c r="D756" s="278"/>
      <c r="E756" s="516">
        <v>16.4071</v>
      </c>
      <c r="F756" s="408">
        <f>IFERROR(E756*'01 Prod Physique Boites'!H750,"-")</f>
        <v>0</v>
      </c>
      <c r="G756" s="409">
        <f>IFERROR(E756*'01 Prod Physique Boites'!L750,"-")</f>
        <v>0</v>
      </c>
      <c r="H756" s="391">
        <v>0</v>
      </c>
      <c r="I756" s="427">
        <f t="shared" si="495"/>
        <v>0</v>
      </c>
      <c r="J756" s="428">
        <f t="shared" si="496"/>
        <v>0</v>
      </c>
    </row>
    <row r="757" spans="1:10" ht="23.4" x14ac:dyDescent="0.3">
      <c r="A757" s="277" t="s">
        <v>111</v>
      </c>
      <c r="B757" s="923"/>
      <c r="C757" s="278" t="s">
        <v>130</v>
      </c>
      <c r="D757" s="278"/>
      <c r="E757" s="516">
        <v>17.8202</v>
      </c>
      <c r="F757" s="408">
        <f>IFERROR(E757*'01 Prod Physique Boites'!H751,"-")</f>
        <v>0</v>
      </c>
      <c r="G757" s="409">
        <f>IFERROR(E757*'01 Prod Physique Boites'!L751,"-")</f>
        <v>0</v>
      </c>
      <c r="H757" s="391"/>
      <c r="I757" s="427">
        <f t="shared" si="495"/>
        <v>0</v>
      </c>
      <c r="J757" s="428">
        <f>IFERROR(H757*(G757/E757),"-")</f>
        <v>0</v>
      </c>
    </row>
    <row r="758" spans="1:10" ht="23.4" x14ac:dyDescent="0.3">
      <c r="A758" s="277" t="s">
        <v>111</v>
      </c>
      <c r="B758" s="923"/>
      <c r="C758" s="278" t="s">
        <v>191</v>
      </c>
      <c r="D758" s="278" t="s">
        <v>192</v>
      </c>
      <c r="E758" s="516">
        <v>17.8202</v>
      </c>
      <c r="F758" s="408">
        <f>IFERROR(E758*'01 Prod Physique Boites'!H752,"-")</f>
        <v>0</v>
      </c>
      <c r="G758" s="409">
        <f>IFERROR(E758*'01 Prod Physique Boites'!L752,"-")</f>
        <v>0</v>
      </c>
      <c r="H758" s="391"/>
      <c r="I758" s="427">
        <f t="shared" si="495"/>
        <v>0</v>
      </c>
      <c r="J758" s="428">
        <f t="shared" ref="J758:J760" si="497">IFERROR(H758*(G758/E758),"-")</f>
        <v>0</v>
      </c>
    </row>
    <row r="759" spans="1:10" ht="23.4" x14ac:dyDescent="0.3">
      <c r="A759" s="277" t="s">
        <v>111</v>
      </c>
      <c r="B759" s="923"/>
      <c r="C759" s="278" t="s">
        <v>194</v>
      </c>
      <c r="D759" s="278" t="s">
        <v>193</v>
      </c>
      <c r="E759" s="516">
        <v>16.7288</v>
      </c>
      <c r="F759" s="408">
        <f>IFERROR(E759*'01 Prod Physique Boites'!H753,"-")</f>
        <v>0</v>
      </c>
      <c r="G759" s="409">
        <f>IFERROR(E759*'01 Prod Physique Boites'!L753,"-")</f>
        <v>0</v>
      </c>
      <c r="H759" s="391"/>
      <c r="I759" s="427">
        <f t="shared" si="495"/>
        <v>0</v>
      </c>
      <c r="J759" s="428">
        <f t="shared" si="497"/>
        <v>0</v>
      </c>
    </row>
    <row r="760" spans="1:10" ht="24" thickBot="1" x14ac:dyDescent="0.35">
      <c r="A760" s="277" t="s">
        <v>111</v>
      </c>
      <c r="B760" s="924"/>
      <c r="C760" s="290" t="s">
        <v>195</v>
      </c>
      <c r="D760" s="290" t="s">
        <v>115</v>
      </c>
      <c r="E760" s="512">
        <v>17.8202</v>
      </c>
      <c r="F760" s="408">
        <f>IFERROR(E760*'01 Prod Physique Boites'!H754,"-")</f>
        <v>0</v>
      </c>
      <c r="G760" s="409">
        <f>IFERROR(E760*'01 Prod Physique Boites'!L754,"-")</f>
        <v>0</v>
      </c>
      <c r="H760" s="393"/>
      <c r="I760" s="429">
        <f t="shared" si="495"/>
        <v>0</v>
      </c>
      <c r="J760" s="430">
        <f t="shared" si="497"/>
        <v>0</v>
      </c>
    </row>
    <row r="761" spans="1:10" ht="24" thickBot="1" x14ac:dyDescent="0.35">
      <c r="A761" s="277" t="s">
        <v>111</v>
      </c>
      <c r="B761" s="906" t="s">
        <v>29</v>
      </c>
      <c r="C761" s="907"/>
      <c r="D761" s="908"/>
      <c r="E761" s="397"/>
      <c r="F761" s="412">
        <f t="shared" ref="F761:G761" si="498">SUM(F754:F760)</f>
        <v>0</v>
      </c>
      <c r="G761" s="413">
        <f t="shared" si="498"/>
        <v>0</v>
      </c>
      <c r="H761" s="397"/>
      <c r="I761" s="412">
        <f t="shared" ref="I761:J761" si="499">SUM(I754:I760)</f>
        <v>0</v>
      </c>
      <c r="J761" s="431">
        <f t="shared" si="499"/>
        <v>0</v>
      </c>
    </row>
    <row r="762" spans="1:10" ht="23.4" x14ac:dyDescent="0.3">
      <c r="A762" s="277"/>
      <c r="B762" s="918" t="s">
        <v>19</v>
      </c>
      <c r="C762" s="678" t="s">
        <v>260</v>
      </c>
      <c r="D762" s="676" t="s">
        <v>192</v>
      </c>
      <c r="E762" s="517">
        <v>12.2659</v>
      </c>
      <c r="F762" s="703">
        <f>IFERROR(E762*'01 Prod Physique Boites'!H756,"-")</f>
        <v>518111.61600000004</v>
      </c>
      <c r="G762" s="703">
        <f>IFERROR(E762*'01 Prod Physique Boites'!L756,"-")</f>
        <v>3315914.3424</v>
      </c>
      <c r="H762" s="704">
        <v>14.79</v>
      </c>
      <c r="I762" s="703">
        <f t="shared" ref="I762:I763" si="500">IFERROR(H762*(F762/E762),"-")</f>
        <v>624729.59999999998</v>
      </c>
      <c r="J762" s="703">
        <f>IFERROR(H762*(G762/E762),"-")</f>
        <v>3998269.4399999999</v>
      </c>
    </row>
    <row r="763" spans="1:10" ht="24" thickBot="1" x14ac:dyDescent="0.35">
      <c r="A763" s="732" t="s">
        <v>111</v>
      </c>
      <c r="B763" s="920"/>
      <c r="C763" s="679" t="s">
        <v>417</v>
      </c>
      <c r="D763" s="677"/>
      <c r="E763" s="285">
        <v>0</v>
      </c>
      <c r="F763" s="414">
        <f>IFERROR(E763*'01 Prod Physique Boites'!H757,"-")</f>
        <v>0</v>
      </c>
      <c r="G763" s="415">
        <f>IFERROR(E763*'01 Prod Physique Boites'!L757,"-")</f>
        <v>0</v>
      </c>
      <c r="H763" s="398">
        <v>0</v>
      </c>
      <c r="I763" s="432" t="str">
        <f t="shared" si="500"/>
        <v>-</v>
      </c>
      <c r="J763" s="433" t="str">
        <f t="shared" ref="J763" si="501">IFERROR(I763*(G763/F763),"-")</f>
        <v>-</v>
      </c>
    </row>
    <row r="764" spans="1:10" ht="24" thickBot="1" x14ac:dyDescent="0.35">
      <c r="A764" s="277" t="s">
        <v>111</v>
      </c>
      <c r="B764" s="906" t="s">
        <v>49</v>
      </c>
      <c r="C764" s="907"/>
      <c r="D764" s="908"/>
      <c r="E764" s="396"/>
      <c r="F764" s="412">
        <f t="shared" ref="F764:G764" si="502">SUM(F763)</f>
        <v>0</v>
      </c>
      <c r="G764" s="413">
        <f t="shared" si="502"/>
        <v>0</v>
      </c>
      <c r="H764" s="397"/>
      <c r="I764" s="412">
        <f t="shared" ref="I764:J764" si="503">SUM(I763)</f>
        <v>0</v>
      </c>
      <c r="J764" s="431">
        <f t="shared" si="503"/>
        <v>0</v>
      </c>
    </row>
    <row r="765" spans="1:10" ht="23.4" x14ac:dyDescent="0.3">
      <c r="A765" s="277" t="s">
        <v>111</v>
      </c>
      <c r="B765" s="922" t="s">
        <v>20</v>
      </c>
      <c r="C765" s="297" t="s">
        <v>370</v>
      </c>
      <c r="D765" s="297" t="s">
        <v>324</v>
      </c>
      <c r="E765" s="515">
        <v>26.032900000000001</v>
      </c>
      <c r="F765" s="408">
        <f>IFERROR(E765*'01 Prod Physique Boites'!H759,"-")</f>
        <v>0</v>
      </c>
      <c r="G765" s="409">
        <f>IFERROR(E765*'01 Prod Physique Boites'!L759,"-")</f>
        <v>0</v>
      </c>
      <c r="H765" s="387">
        <v>36.44</v>
      </c>
      <c r="I765" s="425">
        <f>IFERROR(H765*(F765/E765),"-")</f>
        <v>0</v>
      </c>
      <c r="J765" s="426">
        <f t="shared" ref="J765:J767" si="504">IFERROR(H765*(G765/E765),"-")</f>
        <v>0</v>
      </c>
    </row>
    <row r="766" spans="1:10" ht="23.4" x14ac:dyDescent="0.3">
      <c r="A766" s="277" t="s">
        <v>111</v>
      </c>
      <c r="B766" s="923"/>
      <c r="C766" s="298" t="s">
        <v>122</v>
      </c>
      <c r="D766" s="298"/>
      <c r="E766" s="390">
        <v>24.2607</v>
      </c>
      <c r="F766" s="408">
        <f>IFERROR(E766*'01 Prod Physique Boites'!H760,"-")</f>
        <v>0</v>
      </c>
      <c r="G766" s="409">
        <f>IFERROR(E766*'01 Prod Physique Boites'!L760,"-")</f>
        <v>0</v>
      </c>
      <c r="H766" s="391">
        <v>37.369999999999997</v>
      </c>
      <c r="I766" s="427">
        <f>IFERROR(H766*(F766/E766),"-")</f>
        <v>0</v>
      </c>
      <c r="J766" s="428">
        <f t="shared" si="504"/>
        <v>0</v>
      </c>
    </row>
    <row r="767" spans="1:10" ht="24" thickBot="1" x14ac:dyDescent="0.35">
      <c r="A767" s="277" t="s">
        <v>111</v>
      </c>
      <c r="B767" s="924"/>
      <c r="C767" s="299" t="s">
        <v>128</v>
      </c>
      <c r="D767" s="299"/>
      <c r="E767" s="392">
        <v>26.035799999999998</v>
      </c>
      <c r="F767" s="408">
        <f>IFERROR(E767*'01 Prod Physique Boites'!H761,"-")</f>
        <v>0</v>
      </c>
      <c r="G767" s="409">
        <f>IFERROR(E767*'01 Prod Physique Boites'!L761,"-")</f>
        <v>0</v>
      </c>
      <c r="H767" s="393">
        <v>37.11</v>
      </c>
      <c r="I767" s="429">
        <f>IFERROR(H767*(F767/E767),"-")</f>
        <v>0</v>
      </c>
      <c r="J767" s="430">
        <f t="shared" si="504"/>
        <v>0</v>
      </c>
    </row>
    <row r="768" spans="1:10" ht="24" thickBot="1" x14ac:dyDescent="0.35">
      <c r="A768" s="277" t="s">
        <v>111</v>
      </c>
      <c r="B768" s="907" t="s">
        <v>50</v>
      </c>
      <c r="C768" s="907"/>
      <c r="D768" s="925"/>
      <c r="E768" s="396"/>
      <c r="F768" s="412">
        <f t="shared" ref="F768:G768" si="505">SUM(F765:F767)</f>
        <v>0</v>
      </c>
      <c r="G768" s="413">
        <f t="shared" si="505"/>
        <v>0</v>
      </c>
      <c r="H768" s="397"/>
      <c r="I768" s="412">
        <f t="shared" ref="I768:J768" si="506">SUM(I765:I767)</f>
        <v>0</v>
      </c>
      <c r="J768" s="431">
        <f t="shared" si="506"/>
        <v>0</v>
      </c>
    </row>
    <row r="769" spans="1:10" ht="24" thickBot="1" x14ac:dyDescent="0.35">
      <c r="A769" s="277" t="s">
        <v>111</v>
      </c>
      <c r="B769" s="926" t="s">
        <v>21</v>
      </c>
      <c r="C769" s="927"/>
      <c r="D769" s="928"/>
      <c r="E769" s="399"/>
      <c r="F769" s="416">
        <f>+F745+F753+F761+F764+F768</f>
        <v>1806273.6600000001</v>
      </c>
      <c r="G769" s="417">
        <f>+G745+G753+G761+G764+G768</f>
        <v>12042357.2784</v>
      </c>
      <c r="H769" s="400"/>
      <c r="I769" s="416">
        <f t="shared" ref="I769" si="507">+I745+I753+I761+I764+I768</f>
        <v>3034132.1920000003</v>
      </c>
      <c r="J769" s="434">
        <f>+J745+J753+J761+J764+J768</f>
        <v>20668059.5744</v>
      </c>
    </row>
    <row r="770" spans="1:10" ht="23.4" x14ac:dyDescent="0.3">
      <c r="A770" s="277" t="s">
        <v>111</v>
      </c>
      <c r="B770" s="922" t="s">
        <v>22</v>
      </c>
      <c r="C770" s="272" t="s">
        <v>133</v>
      </c>
      <c r="D770" s="272"/>
      <c r="E770" s="386">
        <v>22.820599999999999</v>
      </c>
      <c r="F770" s="408">
        <f>IFERROR(E770*'01 Prod Physique Boites'!H764,"-")</f>
        <v>0</v>
      </c>
      <c r="G770" s="409">
        <f>IFERROR(E770*'01 Prod Physique Boites'!L764,"-")</f>
        <v>0</v>
      </c>
      <c r="H770" s="387">
        <v>27.5</v>
      </c>
      <c r="I770" s="425">
        <f>IFERROR(H770*(F770/E770),"-")</f>
        <v>0</v>
      </c>
      <c r="J770" s="426">
        <f t="shared" ref="J770:J773" si="508">IFERROR(H770*(G770/E770),"-")</f>
        <v>0</v>
      </c>
    </row>
    <row r="771" spans="1:10" ht="23.4" x14ac:dyDescent="0.3">
      <c r="A771" s="277" t="s">
        <v>111</v>
      </c>
      <c r="B771" s="923"/>
      <c r="C771" s="301" t="s">
        <v>291</v>
      </c>
      <c r="D771" s="301" t="s">
        <v>196</v>
      </c>
      <c r="E771" s="390">
        <v>23.570699999999999</v>
      </c>
      <c r="F771" s="408">
        <f>IFERROR(E771*'01 Prod Physique Boites'!H765,"-")</f>
        <v>0</v>
      </c>
      <c r="G771" s="409">
        <f>IFERROR(E771*'01 Prod Physique Boites'!L765,"-")</f>
        <v>0</v>
      </c>
      <c r="H771" s="391">
        <v>27.5</v>
      </c>
      <c r="I771" s="427">
        <f>IFERROR(H771*(F771/E771),"-")</f>
        <v>0</v>
      </c>
      <c r="J771" s="428">
        <f t="shared" si="508"/>
        <v>0</v>
      </c>
    </row>
    <row r="772" spans="1:10" ht="23.4" x14ac:dyDescent="0.3">
      <c r="A772" s="277" t="s">
        <v>111</v>
      </c>
      <c r="B772" s="923"/>
      <c r="C772" s="301" t="s">
        <v>198</v>
      </c>
      <c r="D772" s="301" t="s">
        <v>100</v>
      </c>
      <c r="E772" s="390">
        <v>22.238499999999998</v>
      </c>
      <c r="F772" s="408">
        <f>IFERROR(E772*'01 Prod Physique Boites'!H766,"-")</f>
        <v>0</v>
      </c>
      <c r="G772" s="409">
        <f>IFERROR(E772*'01 Prod Physique Boites'!L766,"-")</f>
        <v>0</v>
      </c>
      <c r="H772" s="391">
        <v>24</v>
      </c>
      <c r="I772" s="427">
        <f>IFERROR(H772*(F772/E772),"-")</f>
        <v>0</v>
      </c>
      <c r="J772" s="428">
        <f t="shared" si="508"/>
        <v>0</v>
      </c>
    </row>
    <row r="773" spans="1:10" ht="24" thickBot="1" x14ac:dyDescent="0.35">
      <c r="A773" s="277" t="s">
        <v>111</v>
      </c>
      <c r="B773" s="924"/>
      <c r="C773" s="282" t="s">
        <v>197</v>
      </c>
      <c r="D773" s="282" t="s">
        <v>100</v>
      </c>
      <c r="E773" s="392">
        <v>23.5685</v>
      </c>
      <c r="F773" s="408">
        <f>IFERROR(E773*'01 Prod Physique Boites'!H767,"-")</f>
        <v>0</v>
      </c>
      <c r="G773" s="409">
        <f>IFERROR(E773*'01 Prod Physique Boites'!L767,"-")</f>
        <v>0</v>
      </c>
      <c r="H773" s="393">
        <v>24</v>
      </c>
      <c r="I773" s="429">
        <f>IFERROR(H773*(F773/E773),"-")</f>
        <v>0</v>
      </c>
      <c r="J773" s="430">
        <f t="shared" si="508"/>
        <v>0</v>
      </c>
    </row>
    <row r="774" spans="1:10" ht="24" thickBot="1" x14ac:dyDescent="0.35">
      <c r="A774" s="277" t="s">
        <v>111</v>
      </c>
      <c r="B774" s="906" t="s">
        <v>51</v>
      </c>
      <c r="C774" s="907"/>
      <c r="D774" s="908"/>
      <c r="E774" s="396"/>
      <c r="F774" s="412">
        <f t="shared" ref="F774:G774" si="509">SUM(F770:F773)</f>
        <v>0</v>
      </c>
      <c r="G774" s="413">
        <f t="shared" si="509"/>
        <v>0</v>
      </c>
      <c r="H774" s="397"/>
      <c r="I774" s="412">
        <f t="shared" ref="I774:J774" si="510">SUM(I770:I773)</f>
        <v>0</v>
      </c>
      <c r="J774" s="431">
        <f t="shared" si="510"/>
        <v>0</v>
      </c>
    </row>
    <row r="775" spans="1:10" ht="23.4" x14ac:dyDescent="0.3">
      <c r="A775" s="277" t="s">
        <v>111</v>
      </c>
      <c r="B775" s="922" t="s">
        <v>23</v>
      </c>
      <c r="C775" s="302" t="s">
        <v>348</v>
      </c>
      <c r="D775" s="302" t="s">
        <v>263</v>
      </c>
      <c r="E775" s="386">
        <v>101.4935</v>
      </c>
      <c r="F775" s="408">
        <f>IFERROR(E775*'01 Prod Physique Boites'!H769,"-")</f>
        <v>0</v>
      </c>
      <c r="G775" s="409">
        <f>IFERROR(E775*'01 Prod Physique Boites'!L769,"-")</f>
        <v>0</v>
      </c>
      <c r="H775" s="391">
        <v>160.44999999999999</v>
      </c>
      <c r="I775" s="425">
        <f t="shared" ref="I775:I782" si="511">IFERROR(H775*(F775/E775),"-")</f>
        <v>0</v>
      </c>
      <c r="J775" s="426">
        <f t="shared" ref="J775:J782" si="512">IFERROR(H775*(G775/E775),"-")</f>
        <v>0</v>
      </c>
    </row>
    <row r="776" spans="1:10" ht="23.4" x14ac:dyDescent="0.3">
      <c r="A776" s="277" t="s">
        <v>111</v>
      </c>
      <c r="B776" s="923"/>
      <c r="C776" s="278" t="s">
        <v>24</v>
      </c>
      <c r="D776" s="278" t="s">
        <v>263</v>
      </c>
      <c r="E776" s="390">
        <v>101.4935</v>
      </c>
      <c r="F776" s="408">
        <f>IFERROR(E776*'01 Prod Physique Boites'!H770,"-")</f>
        <v>0</v>
      </c>
      <c r="G776" s="409">
        <f>IFERROR(E776*'01 Prod Physique Boites'!L770,"-")</f>
        <v>3197045.25</v>
      </c>
      <c r="H776" s="391">
        <v>160.44999999999999</v>
      </c>
      <c r="I776" s="427">
        <f t="shared" si="511"/>
        <v>0</v>
      </c>
      <c r="J776" s="428">
        <f t="shared" si="512"/>
        <v>5054175</v>
      </c>
    </row>
    <row r="777" spans="1:10" ht="23.4" x14ac:dyDescent="0.3">
      <c r="A777" s="277" t="s">
        <v>111</v>
      </c>
      <c r="B777" s="923"/>
      <c r="C777" s="278" t="s">
        <v>261</v>
      </c>
      <c r="D777" s="278" t="s">
        <v>263</v>
      </c>
      <c r="E777" s="390">
        <v>101.4935</v>
      </c>
      <c r="F777" s="408">
        <f>IFERROR(E777*'01 Prod Physique Boites'!H771,"-")</f>
        <v>0</v>
      </c>
      <c r="G777" s="409">
        <f>IFERROR(E777*'01 Prod Physique Boites'!L771,"-")</f>
        <v>0</v>
      </c>
      <c r="H777" s="391">
        <v>160.44999999999999</v>
      </c>
      <c r="I777" s="427">
        <f t="shared" si="511"/>
        <v>0</v>
      </c>
      <c r="J777" s="428">
        <f t="shared" si="512"/>
        <v>0</v>
      </c>
    </row>
    <row r="778" spans="1:10" ht="23.4" x14ac:dyDescent="0.3">
      <c r="A778" s="277" t="s">
        <v>111</v>
      </c>
      <c r="B778" s="923"/>
      <c r="C778" s="278" t="s">
        <v>262</v>
      </c>
      <c r="D778" s="278" t="s">
        <v>263</v>
      </c>
      <c r="E778" s="390">
        <v>101.4935</v>
      </c>
      <c r="F778" s="408">
        <f>IFERROR(E778*'01 Prod Physique Boites'!H772,"-")</f>
        <v>0</v>
      </c>
      <c r="G778" s="409">
        <f>IFERROR(E778*'01 Prod Physique Boites'!L772,"-")</f>
        <v>0</v>
      </c>
      <c r="H778" s="391">
        <v>160.44999999999999</v>
      </c>
      <c r="I778" s="427">
        <f t="shared" si="511"/>
        <v>0</v>
      </c>
      <c r="J778" s="428">
        <f t="shared" si="512"/>
        <v>0</v>
      </c>
    </row>
    <row r="779" spans="1:10" ht="23.4" x14ac:dyDescent="0.3">
      <c r="A779" s="277" t="s">
        <v>111</v>
      </c>
      <c r="B779" s="923"/>
      <c r="C779" s="301" t="s">
        <v>264</v>
      </c>
      <c r="D779" s="278" t="s">
        <v>263</v>
      </c>
      <c r="E779" s="390">
        <v>101.4935</v>
      </c>
      <c r="F779" s="408">
        <f>IFERROR(E779*'01 Prod Physique Boites'!H773,"-")</f>
        <v>0</v>
      </c>
      <c r="G779" s="409">
        <f>IFERROR(E779*'01 Prod Physique Boites'!L773,"-")</f>
        <v>0</v>
      </c>
      <c r="H779" s="391">
        <v>160.44999999999999</v>
      </c>
      <c r="I779" s="427">
        <f t="shared" si="511"/>
        <v>0</v>
      </c>
      <c r="J779" s="428">
        <f t="shared" si="512"/>
        <v>0</v>
      </c>
    </row>
    <row r="780" spans="1:10" ht="23.4" x14ac:dyDescent="0.3">
      <c r="A780" s="277" t="s">
        <v>111</v>
      </c>
      <c r="B780" s="923"/>
      <c r="C780" s="301" t="s">
        <v>265</v>
      </c>
      <c r="D780" s="278" t="s">
        <v>263</v>
      </c>
      <c r="E780" s="390">
        <v>101.4935</v>
      </c>
      <c r="F780" s="408">
        <f>IFERROR(E780*'01 Prod Physique Boites'!H774,"-")</f>
        <v>0</v>
      </c>
      <c r="G780" s="409">
        <f>IFERROR(E780*'01 Prod Physique Boites'!L774,"-")</f>
        <v>0</v>
      </c>
      <c r="H780" s="391">
        <v>160.44999999999999</v>
      </c>
      <c r="I780" s="427">
        <f t="shared" si="511"/>
        <v>0</v>
      </c>
      <c r="J780" s="428">
        <f t="shared" si="512"/>
        <v>0</v>
      </c>
    </row>
    <row r="781" spans="1:10" ht="23.4" x14ac:dyDescent="0.3">
      <c r="A781" s="277" t="s">
        <v>111</v>
      </c>
      <c r="B781" s="923"/>
      <c r="C781" s="301" t="s">
        <v>266</v>
      </c>
      <c r="D781" s="278" t="s">
        <v>268</v>
      </c>
      <c r="E781" s="390">
        <v>101.4935</v>
      </c>
      <c r="F781" s="408">
        <f>IFERROR(E781*'01 Prod Physique Boites'!H775,"-")</f>
        <v>888068.125</v>
      </c>
      <c r="G781" s="409">
        <f>IFERROR(E781*'01 Prod Physique Boites'!L775,"-")</f>
        <v>888068.125</v>
      </c>
      <c r="H781" s="391">
        <v>160.44999999999999</v>
      </c>
      <c r="I781" s="427">
        <f t="shared" si="511"/>
        <v>1403937.5</v>
      </c>
      <c r="J781" s="428">
        <f t="shared" si="512"/>
        <v>1403937.5</v>
      </c>
    </row>
    <row r="782" spans="1:10" ht="24" thickBot="1" x14ac:dyDescent="0.35">
      <c r="A782" s="277" t="s">
        <v>111</v>
      </c>
      <c r="B782" s="924"/>
      <c r="C782" s="301" t="s">
        <v>267</v>
      </c>
      <c r="D782" s="278" t="s">
        <v>263</v>
      </c>
      <c r="E782" s="392">
        <v>101.4935</v>
      </c>
      <c r="F782" s="408">
        <f>IFERROR(E782*'01 Prod Physique Boites'!H776,"-")</f>
        <v>710454.5</v>
      </c>
      <c r="G782" s="409">
        <f>IFERROR(E782*'01 Prod Physique Boites'!L776,"-")</f>
        <v>1420909</v>
      </c>
      <c r="H782" s="391">
        <v>160.44999999999999</v>
      </c>
      <c r="I782" s="429">
        <f t="shared" si="511"/>
        <v>1123150</v>
      </c>
      <c r="J782" s="430">
        <f t="shared" si="512"/>
        <v>2246300</v>
      </c>
    </row>
    <row r="783" spans="1:10" ht="24" thickBot="1" x14ac:dyDescent="0.35">
      <c r="A783" s="277" t="s">
        <v>111</v>
      </c>
      <c r="B783" s="906" t="s">
        <v>52</v>
      </c>
      <c r="C783" s="907"/>
      <c r="D783" s="908"/>
      <c r="E783" s="396"/>
      <c r="F783" s="412">
        <f t="shared" ref="F783:G783" si="513">SUM(F775:F782)</f>
        <v>1598522.625</v>
      </c>
      <c r="G783" s="413">
        <f t="shared" si="513"/>
        <v>5506022.375</v>
      </c>
      <c r="H783" s="397"/>
      <c r="I783" s="412">
        <f t="shared" ref="I783:J783" si="514">SUM(I775:I782)</f>
        <v>2527087.5</v>
      </c>
      <c r="J783" s="431">
        <f t="shared" si="514"/>
        <v>8704412.5</v>
      </c>
    </row>
    <row r="784" spans="1:10" ht="24" thickBot="1" x14ac:dyDescent="0.35">
      <c r="A784" s="277" t="s">
        <v>111</v>
      </c>
      <c r="B784" s="926" t="s">
        <v>25</v>
      </c>
      <c r="C784" s="927"/>
      <c r="D784" s="928"/>
      <c r="E784" s="399"/>
      <c r="F784" s="416">
        <f t="shared" ref="F784:G784" si="515">+F774+F783</f>
        <v>1598522.625</v>
      </c>
      <c r="G784" s="417">
        <f t="shared" si="515"/>
        <v>5506022.375</v>
      </c>
      <c r="H784" s="400"/>
      <c r="I784" s="416">
        <f t="shared" ref="I784:J784" si="516">+I774+I783</f>
        <v>2527087.5</v>
      </c>
      <c r="J784" s="434">
        <f t="shared" si="516"/>
        <v>8704412.5</v>
      </c>
    </row>
    <row r="785" spans="1:10" ht="24" thickBot="1" x14ac:dyDescent="0.35">
      <c r="A785" s="277" t="s">
        <v>111</v>
      </c>
      <c r="B785" s="900" t="s">
        <v>181</v>
      </c>
      <c r="C785" s="901"/>
      <c r="D785" s="902"/>
      <c r="E785" s="401"/>
      <c r="F785" s="418">
        <f t="shared" ref="F785:G785" si="517">+F769+F784</f>
        <v>3404796.2850000001</v>
      </c>
      <c r="G785" s="419">
        <f t="shared" si="517"/>
        <v>17548379.6534</v>
      </c>
      <c r="H785" s="402"/>
      <c r="I785" s="418">
        <f t="shared" ref="I785:J785" si="518">+I769+I784</f>
        <v>5561219.6919999998</v>
      </c>
      <c r="J785" s="435">
        <f t="shared" si="518"/>
        <v>29372472.0744</v>
      </c>
    </row>
    <row r="786" spans="1:10" ht="23.4" x14ac:dyDescent="0.3">
      <c r="A786" s="271" t="s">
        <v>109</v>
      </c>
      <c r="B786" s="929" t="s">
        <v>26</v>
      </c>
      <c r="C786" s="303" t="s">
        <v>334</v>
      </c>
      <c r="D786" s="305" t="s">
        <v>192</v>
      </c>
      <c r="E786" s="515">
        <v>13.1272</v>
      </c>
      <c r="F786" s="408">
        <f>IFERROR(E786*'01 Prod Physique Boites'!H780,"-")</f>
        <v>0</v>
      </c>
      <c r="G786" s="409">
        <f>IFERROR(E786*'01 Prod Physique Boites'!L780,"-")</f>
        <v>4229820.1295999996</v>
      </c>
      <c r="H786" s="387">
        <v>20.76</v>
      </c>
      <c r="I786" s="425">
        <f t="shared" ref="I786:I794" si="519">IFERROR(H786*(F786/E786),"-")</f>
        <v>0</v>
      </c>
      <c r="J786" s="662">
        <f t="shared" ref="J786:J794" si="520">IFERROR(H786*(G786/E786),"-")</f>
        <v>6689245.6799999997</v>
      </c>
    </row>
    <row r="787" spans="1:10" ht="23.4" x14ac:dyDescent="0.3">
      <c r="A787" s="277" t="s">
        <v>109</v>
      </c>
      <c r="B787" s="929"/>
      <c r="C787" s="304" t="s">
        <v>199</v>
      </c>
      <c r="D787" s="304" t="s">
        <v>115</v>
      </c>
      <c r="E787" s="516">
        <v>14.608000000000001</v>
      </c>
      <c r="F787" s="408">
        <f>IFERROR(E787*'01 Prod Physique Boites'!H781,"-")</f>
        <v>0</v>
      </c>
      <c r="G787" s="409">
        <f>IFERROR(E787*'01 Prod Physique Boites'!L781,"-")</f>
        <v>0</v>
      </c>
      <c r="H787" s="391">
        <v>24.93</v>
      </c>
      <c r="I787" s="427">
        <f t="shared" si="519"/>
        <v>0</v>
      </c>
      <c r="J787" s="663">
        <f t="shared" si="520"/>
        <v>0</v>
      </c>
    </row>
    <row r="788" spans="1:10" ht="23.4" x14ac:dyDescent="0.3">
      <c r="A788" s="277" t="s">
        <v>109</v>
      </c>
      <c r="B788" s="929"/>
      <c r="C788" s="305" t="s">
        <v>27</v>
      </c>
      <c r="D788" s="305" t="s">
        <v>310</v>
      </c>
      <c r="E788" s="512">
        <v>17.8202</v>
      </c>
      <c r="F788" s="408">
        <f>IFERROR(E788*'01 Prod Physique Boites'!H782,"-")</f>
        <v>0</v>
      </c>
      <c r="G788" s="409">
        <f>IFERROR(E788*'01 Prod Physique Boites'!L782,"-")</f>
        <v>0</v>
      </c>
      <c r="H788" s="391">
        <v>24.93</v>
      </c>
      <c r="I788" s="427">
        <f t="shared" si="519"/>
        <v>0</v>
      </c>
      <c r="J788" s="663">
        <f t="shared" si="520"/>
        <v>0</v>
      </c>
    </row>
    <row r="789" spans="1:10" ht="23.4" x14ac:dyDescent="0.3">
      <c r="A789" s="277" t="s">
        <v>109</v>
      </c>
      <c r="B789" s="929"/>
      <c r="C789" s="305" t="s">
        <v>27</v>
      </c>
      <c r="D789" s="305" t="s">
        <v>311</v>
      </c>
      <c r="E789" s="512">
        <v>17.8202</v>
      </c>
      <c r="F789" s="408">
        <f>IFERROR(E789*'01 Prod Physique Boites'!H783,"-")</f>
        <v>0</v>
      </c>
      <c r="G789" s="409">
        <f>IFERROR(E789*'01 Prod Physique Boites'!L783,"-")</f>
        <v>0</v>
      </c>
      <c r="H789" s="391">
        <v>24.93</v>
      </c>
      <c r="I789" s="427">
        <f t="shared" si="519"/>
        <v>0</v>
      </c>
      <c r="J789" s="663">
        <f t="shared" si="520"/>
        <v>0</v>
      </c>
    </row>
    <row r="790" spans="1:10" ht="23.4" x14ac:dyDescent="0.3">
      <c r="A790" s="277" t="s">
        <v>109</v>
      </c>
      <c r="B790" s="929"/>
      <c r="C790" s="305" t="s">
        <v>325</v>
      </c>
      <c r="D790" s="305" t="s">
        <v>324</v>
      </c>
      <c r="E790" s="512">
        <v>14.608000000000001</v>
      </c>
      <c r="F790" s="408">
        <f>IFERROR(E790*'01 Prod Physique Boites'!H784,"-")</f>
        <v>0</v>
      </c>
      <c r="G790" s="409">
        <f>IFERROR(E790*'01 Prod Physique Boites'!L784,"-")</f>
        <v>0</v>
      </c>
      <c r="H790" s="391">
        <v>24.93</v>
      </c>
      <c r="I790" s="427">
        <f t="shared" si="519"/>
        <v>0</v>
      </c>
      <c r="J790" s="663">
        <f t="shared" si="520"/>
        <v>0</v>
      </c>
    </row>
    <row r="791" spans="1:10" ht="23.4" x14ac:dyDescent="0.3">
      <c r="A791" s="277"/>
      <c r="B791" s="929"/>
      <c r="C791" s="305" t="s">
        <v>393</v>
      </c>
      <c r="D791" s="305" t="s">
        <v>192</v>
      </c>
      <c r="E791" s="512">
        <v>17.8202</v>
      </c>
      <c r="F791" s="408">
        <f>IFERROR(E791*'01 Prod Physique Boites'!H785,"-")</f>
        <v>0</v>
      </c>
      <c r="G791" s="409">
        <f>IFERROR(E791*'01 Prod Physique Boites'!L785,"-")</f>
        <v>0</v>
      </c>
      <c r="H791" s="393">
        <v>21.22</v>
      </c>
      <c r="I791" s="427">
        <f t="shared" si="519"/>
        <v>0</v>
      </c>
      <c r="J791" s="664">
        <f t="shared" si="520"/>
        <v>0</v>
      </c>
    </row>
    <row r="792" spans="1:10" ht="23.4" x14ac:dyDescent="0.3">
      <c r="A792" s="277"/>
      <c r="B792" s="929"/>
      <c r="C792" s="305" t="s">
        <v>325</v>
      </c>
      <c r="D792" s="305" t="s">
        <v>101</v>
      </c>
      <c r="E792" s="512">
        <v>17.8202</v>
      </c>
      <c r="F792" s="408">
        <f>IFERROR(E792*'01 Prod Physique Boites'!H786,"-")</f>
        <v>0</v>
      </c>
      <c r="G792" s="409">
        <f>IFERROR(E792*'01 Prod Physique Boites'!L786,"-")</f>
        <v>0</v>
      </c>
      <c r="H792" s="393">
        <v>24.93</v>
      </c>
      <c r="I792" s="429">
        <f t="shared" si="519"/>
        <v>0</v>
      </c>
      <c r="J792" s="664">
        <f t="shared" si="520"/>
        <v>0</v>
      </c>
    </row>
    <row r="793" spans="1:10" ht="23.4" x14ac:dyDescent="0.3">
      <c r="A793" s="277"/>
      <c r="B793" s="929"/>
      <c r="C793" s="305" t="s">
        <v>325</v>
      </c>
      <c r="D793" s="305" t="s">
        <v>394</v>
      </c>
      <c r="E793" s="512">
        <v>14.608000000000001</v>
      </c>
      <c r="F793" s="408">
        <f>IFERROR(E793*'01 Prod Physique Boites'!H787,"-")</f>
        <v>1278433.7280000001</v>
      </c>
      <c r="G793" s="409">
        <f>IFERROR(E793*'01 Prod Physique Boites'!L787,"-")</f>
        <v>4939403.04</v>
      </c>
      <c r="H793" s="393">
        <v>21.22</v>
      </c>
      <c r="I793" s="429">
        <f t="shared" si="519"/>
        <v>1857089.5199999998</v>
      </c>
      <c r="J793" s="664">
        <f t="shared" si="520"/>
        <v>7175118.5999999996</v>
      </c>
    </row>
    <row r="794" spans="1:10" ht="24" thickBot="1" x14ac:dyDescent="0.35">
      <c r="A794" s="277" t="s">
        <v>109</v>
      </c>
      <c r="B794" s="929"/>
      <c r="C794" s="306" t="s">
        <v>326</v>
      </c>
      <c r="D794" s="305" t="s">
        <v>324</v>
      </c>
      <c r="E794" s="512">
        <v>12.6997</v>
      </c>
      <c r="F794" s="408">
        <f>IFERROR(E794*'01 Prod Physique Boites'!H788,"-")</f>
        <v>0</v>
      </c>
      <c r="G794" s="409">
        <f>IFERROR(E794*'01 Prod Physique Boites'!L788,"-")</f>
        <v>101038.8132</v>
      </c>
      <c r="H794" s="393">
        <v>13.25</v>
      </c>
      <c r="I794" s="429">
        <f t="shared" si="519"/>
        <v>0</v>
      </c>
      <c r="J794" s="664">
        <f t="shared" si="520"/>
        <v>105417</v>
      </c>
    </row>
    <row r="795" spans="1:10" ht="24" thickBot="1" x14ac:dyDescent="0.35">
      <c r="A795" s="277" t="s">
        <v>109</v>
      </c>
      <c r="B795" s="930"/>
      <c r="C795" s="307"/>
      <c r="D795" s="308" t="s">
        <v>55</v>
      </c>
      <c r="E795" s="396"/>
      <c r="F795" s="412">
        <f>SUM(F786:F794)</f>
        <v>1278433.7280000001</v>
      </c>
      <c r="G795" s="413">
        <f t="shared" ref="G795" si="521">SUM(G786:G794)</f>
        <v>9270261.9827999994</v>
      </c>
      <c r="H795" s="397"/>
      <c r="I795" s="412">
        <f t="shared" ref="I795" si="522">SUM(I786:I794)</f>
        <v>1857089.5199999998</v>
      </c>
      <c r="J795" s="431">
        <f>SUM(J786:J794)</f>
        <v>13969781.279999999</v>
      </c>
    </row>
    <row r="796" spans="1:10" ht="23.4" x14ac:dyDescent="0.3">
      <c r="A796" s="277" t="s">
        <v>109</v>
      </c>
      <c r="B796" s="931" t="s">
        <v>28</v>
      </c>
      <c r="C796" s="303" t="s">
        <v>27</v>
      </c>
      <c r="D796" s="303" t="s">
        <v>193</v>
      </c>
      <c r="E796" s="515">
        <v>12.6997</v>
      </c>
      <c r="F796" s="408">
        <f>IFERROR(E796*'01 Prod Physique Boites'!H790,"-")</f>
        <v>0</v>
      </c>
      <c r="G796" s="409">
        <f>IFERROR(E796*'01 Prod Physique Boites'!L790,"-")</f>
        <v>0</v>
      </c>
      <c r="H796" s="387">
        <v>13.25</v>
      </c>
      <c r="I796" s="425">
        <f>IFERROR(H796*(F796/E796),"-")</f>
        <v>0</v>
      </c>
      <c r="J796" s="662">
        <f t="shared" ref="J796:J798" si="523">IFERROR(H796*(G796/E796),"-")</f>
        <v>0</v>
      </c>
    </row>
    <row r="797" spans="1:10" ht="23.4" x14ac:dyDescent="0.3">
      <c r="A797" s="277" t="s">
        <v>109</v>
      </c>
      <c r="B797" s="929"/>
      <c r="C797" s="305" t="s">
        <v>27</v>
      </c>
      <c r="D797" s="305" t="s">
        <v>311</v>
      </c>
      <c r="E797" s="512">
        <v>17.8202</v>
      </c>
      <c r="F797" s="408">
        <f>IFERROR(E797*'01 Prod Physique Boites'!H791,"-")</f>
        <v>0</v>
      </c>
      <c r="G797" s="409">
        <f>IFERROR(E797*'01 Prod Physique Boites'!L791,"-")</f>
        <v>0</v>
      </c>
      <c r="H797" s="391">
        <v>24.93</v>
      </c>
      <c r="I797" s="427">
        <f>IFERROR(H797*(F797/E797),"-")</f>
        <v>0</v>
      </c>
      <c r="J797" s="663">
        <f t="shared" si="523"/>
        <v>0</v>
      </c>
    </row>
    <row r="798" spans="1:10" ht="24" thickBot="1" x14ac:dyDescent="0.35">
      <c r="A798" s="277" t="s">
        <v>109</v>
      </c>
      <c r="B798" s="929"/>
      <c r="C798" s="305" t="s">
        <v>27</v>
      </c>
      <c r="D798" s="306" t="s">
        <v>259</v>
      </c>
      <c r="E798" s="512">
        <v>17.8202</v>
      </c>
      <c r="F798" s="408">
        <f>IFERROR(E798*'01 Prod Physique Boites'!H792,"-")</f>
        <v>0</v>
      </c>
      <c r="G798" s="409">
        <f>IFERROR(E798*'01 Prod Physique Boites'!L792,"-")</f>
        <v>0</v>
      </c>
      <c r="H798" s="391">
        <v>24.93</v>
      </c>
      <c r="I798" s="429">
        <f>IFERROR(H798*(F798/E798),"-")</f>
        <v>0</v>
      </c>
      <c r="J798" s="664">
        <f t="shared" si="523"/>
        <v>0</v>
      </c>
    </row>
    <row r="799" spans="1:10" ht="24" thickBot="1" x14ac:dyDescent="0.35">
      <c r="A799" s="277" t="s">
        <v>109</v>
      </c>
      <c r="B799" s="929"/>
      <c r="C799" s="310"/>
      <c r="D799" s="311" t="s">
        <v>55</v>
      </c>
      <c r="E799" s="403"/>
      <c r="F799" s="420">
        <f t="shared" ref="F799:G799" si="524">SUM(F796:F798)</f>
        <v>0</v>
      </c>
      <c r="G799" s="421">
        <f t="shared" si="524"/>
        <v>0</v>
      </c>
      <c r="H799" s="404"/>
      <c r="I799" s="420">
        <f t="shared" ref="I799:J799" si="525">SUM(I796:I798)</f>
        <v>0</v>
      </c>
      <c r="J799" s="436">
        <f t="shared" si="525"/>
        <v>0</v>
      </c>
    </row>
    <row r="800" spans="1:10" ht="24" thickBot="1" x14ac:dyDescent="0.35">
      <c r="A800" s="732" t="s">
        <v>109</v>
      </c>
      <c r="B800" s="932" t="s">
        <v>171</v>
      </c>
      <c r="C800" s="933"/>
      <c r="D800" s="934"/>
      <c r="E800" s="405"/>
      <c r="F800" s="422">
        <f t="shared" ref="F800:G800" si="526">+F795+F799</f>
        <v>1278433.7280000001</v>
      </c>
      <c r="G800" s="423">
        <f t="shared" si="526"/>
        <v>9270261.9827999994</v>
      </c>
      <c r="H800" s="406"/>
      <c r="I800" s="422">
        <f t="shared" ref="I800:J800" si="527">+I795+I799</f>
        <v>1857089.5199999998</v>
      </c>
      <c r="J800" s="437">
        <f t="shared" si="527"/>
        <v>13969781.279999999</v>
      </c>
    </row>
    <row r="801" spans="1:10" ht="23.4" x14ac:dyDescent="0.3">
      <c r="A801" s="277" t="s">
        <v>109</v>
      </c>
      <c r="B801" s="929" t="s">
        <v>30</v>
      </c>
      <c r="C801" s="309" t="s">
        <v>375</v>
      </c>
      <c r="D801" s="303" t="s">
        <v>193</v>
      </c>
      <c r="E801" s="515">
        <v>15.2788</v>
      </c>
      <c r="F801" s="408">
        <f>IFERROR(E801*'01 Prod Physique Boites'!H795,"-")</f>
        <v>0</v>
      </c>
      <c r="G801" s="409">
        <f>IFERROR(E801*'01 Prod Physique Boites'!L795,"-")</f>
        <v>0</v>
      </c>
      <c r="H801" s="387">
        <v>23.65</v>
      </c>
      <c r="I801" s="425">
        <f>IFERROR(H801*(F801/E801),"-")</f>
        <v>0</v>
      </c>
      <c r="J801" s="426">
        <f t="shared" ref="J801:J803" si="528">IFERROR(H801*(G801/E801),"-")</f>
        <v>0</v>
      </c>
    </row>
    <row r="802" spans="1:10" ht="23.4" x14ac:dyDescent="0.3">
      <c r="A802" s="277" t="s">
        <v>109</v>
      </c>
      <c r="B802" s="929"/>
      <c r="C802" s="309" t="s">
        <v>368</v>
      </c>
      <c r="D802" s="309" t="s">
        <v>324</v>
      </c>
      <c r="E802" s="516">
        <v>22.6356</v>
      </c>
      <c r="F802" s="408">
        <f>IFERROR(E802*'01 Prod Physique Boites'!H796,"-")</f>
        <v>0</v>
      </c>
      <c r="G802" s="409">
        <f>IFERROR(E802*'01 Prod Physique Boites'!L796,"-")</f>
        <v>0</v>
      </c>
      <c r="H802" s="391">
        <v>34.26</v>
      </c>
      <c r="I802" s="427">
        <f>IFERROR(H802*(F802/E802),"-")</f>
        <v>0</v>
      </c>
      <c r="J802" s="428">
        <f t="shared" si="528"/>
        <v>0</v>
      </c>
    </row>
    <row r="803" spans="1:10" ht="24" thickBot="1" x14ac:dyDescent="0.35">
      <c r="A803" s="277" t="s">
        <v>109</v>
      </c>
      <c r="B803" s="929"/>
      <c r="C803" s="306" t="s">
        <v>327</v>
      </c>
      <c r="D803" s="306"/>
      <c r="E803" s="512">
        <v>25.751300000000001</v>
      </c>
      <c r="F803" s="408">
        <f>IFERROR(E803*'01 Prod Physique Boites'!H797,"-")</f>
        <v>0</v>
      </c>
      <c r="G803" s="409">
        <f>IFERROR(E803*'01 Prod Physique Boites'!L797,"-")</f>
        <v>0</v>
      </c>
      <c r="H803" s="393">
        <v>37.89</v>
      </c>
      <c r="I803" s="429">
        <f>IFERROR(H803*(F803/E803),"-")</f>
        <v>0</v>
      </c>
      <c r="J803" s="430">
        <f t="shared" si="528"/>
        <v>0</v>
      </c>
    </row>
    <row r="804" spans="1:10" ht="24" thickBot="1" x14ac:dyDescent="0.35">
      <c r="A804" s="277" t="s">
        <v>109</v>
      </c>
      <c r="B804" s="929"/>
      <c r="C804" s="307"/>
      <c r="D804" s="308" t="s">
        <v>53</v>
      </c>
      <c r="E804" s="396"/>
      <c r="F804" s="412">
        <f t="shared" ref="F804:G804" si="529">SUM(F801:F803)</f>
        <v>0</v>
      </c>
      <c r="G804" s="413">
        <f t="shared" si="529"/>
        <v>0</v>
      </c>
      <c r="H804" s="397"/>
      <c r="I804" s="412">
        <f t="shared" ref="I804" si="530">SUM(I801:I803)</f>
        <v>0</v>
      </c>
      <c r="J804" s="431">
        <f>SUM(J801:J803)</f>
        <v>0</v>
      </c>
    </row>
    <row r="805" spans="1:10" ht="23.4" x14ac:dyDescent="0.3">
      <c r="A805" s="277" t="s">
        <v>109</v>
      </c>
      <c r="B805" s="929"/>
      <c r="C805" s="303" t="s">
        <v>352</v>
      </c>
      <c r="D805" s="303"/>
      <c r="E805" s="515">
        <v>22.094999999999999</v>
      </c>
      <c r="F805" s="408">
        <f>IFERROR(E805*'01 Prod Physique Boites'!H799,"-")</f>
        <v>0</v>
      </c>
      <c r="G805" s="409">
        <f>IFERROR(E805*'01 Prod Physique Boites'!L799,"-")</f>
        <v>0</v>
      </c>
      <c r="H805" s="387">
        <v>37.11</v>
      </c>
      <c r="I805" s="425">
        <f>IFERROR(H805*(F805/E805),"-")</f>
        <v>0</v>
      </c>
      <c r="J805" s="426">
        <f t="shared" ref="J805:J807" si="531">IFERROR(H805*(G805/E805),"-")</f>
        <v>0</v>
      </c>
    </row>
    <row r="806" spans="1:10" ht="23.4" x14ac:dyDescent="0.3">
      <c r="A806" s="277" t="s">
        <v>109</v>
      </c>
      <c r="B806" s="929"/>
      <c r="C806" s="309" t="s">
        <v>397</v>
      </c>
      <c r="D806" s="309" t="s">
        <v>259</v>
      </c>
      <c r="E806" s="516">
        <v>27.917000000000002</v>
      </c>
      <c r="F806" s="408">
        <f>IFERROR(E806*'01 Prod Physique Boites'!H800,"-")</f>
        <v>992951.85600000003</v>
      </c>
      <c r="G806" s="409">
        <f>IFERROR(E806*'01 Prod Physique Boites'!L800,"-")</f>
        <v>9772736.688000001</v>
      </c>
      <c r="H806" s="391">
        <v>39</v>
      </c>
      <c r="I806" s="427">
        <f>IFERROR(H806*(F806/E806),"-")</f>
        <v>1387152</v>
      </c>
      <c r="J806" s="428">
        <f t="shared" si="531"/>
        <v>13652496</v>
      </c>
    </row>
    <row r="807" spans="1:10" ht="24" thickBot="1" x14ac:dyDescent="0.35">
      <c r="A807" s="277" t="s">
        <v>109</v>
      </c>
      <c r="B807" s="929"/>
      <c r="C807" s="306" t="s">
        <v>146</v>
      </c>
      <c r="D807" s="306"/>
      <c r="E807" s="512">
        <v>25.4041</v>
      </c>
      <c r="F807" s="408">
        <f>IFERROR(E807*'01 Prod Physique Boites'!H801,"-")</f>
        <v>0</v>
      </c>
      <c r="G807" s="409">
        <f>IFERROR(E807*'01 Prod Physique Boites'!L801,"-")</f>
        <v>0</v>
      </c>
      <c r="H807" s="393">
        <v>28.21</v>
      </c>
      <c r="I807" s="429">
        <f>IFERROR(H807*(F807/E807),"-")</f>
        <v>0</v>
      </c>
      <c r="J807" s="430">
        <f t="shared" si="531"/>
        <v>0</v>
      </c>
    </row>
    <row r="808" spans="1:10" ht="24" thickBot="1" x14ac:dyDescent="0.35">
      <c r="A808" s="277" t="s">
        <v>109</v>
      </c>
      <c r="B808" s="929"/>
      <c r="C808" s="310"/>
      <c r="D808" s="311" t="s">
        <v>54</v>
      </c>
      <c r="E808" s="403"/>
      <c r="F808" s="420">
        <f t="shared" ref="F808:G808" si="532">SUM(F805:F807)</f>
        <v>992951.85600000003</v>
      </c>
      <c r="G808" s="421">
        <f t="shared" si="532"/>
        <v>9772736.688000001</v>
      </c>
      <c r="H808" s="404"/>
      <c r="I808" s="420">
        <f t="shared" ref="I808" si="533">SUM(I805:I807)</f>
        <v>1387152</v>
      </c>
      <c r="J808" s="436">
        <f>SUM(J805:J807)</f>
        <v>13652496</v>
      </c>
    </row>
    <row r="809" spans="1:10" ht="24" thickBot="1" x14ac:dyDescent="0.35">
      <c r="A809" s="277" t="s">
        <v>109</v>
      </c>
      <c r="B809" s="932" t="s">
        <v>172</v>
      </c>
      <c r="C809" s="933"/>
      <c r="D809" s="934"/>
      <c r="E809" s="405"/>
      <c r="F809" s="422">
        <f t="shared" ref="F809:G809" si="534">+F804+F808</f>
        <v>992951.85600000003</v>
      </c>
      <c r="G809" s="423">
        <f t="shared" si="534"/>
        <v>9772736.688000001</v>
      </c>
      <c r="H809" s="406"/>
      <c r="I809" s="422">
        <f t="shared" ref="I809:J809" si="535">+I804+I808</f>
        <v>1387152</v>
      </c>
      <c r="J809" s="437">
        <f t="shared" si="535"/>
        <v>13652496</v>
      </c>
    </row>
    <row r="810" spans="1:10" ht="24" thickBot="1" x14ac:dyDescent="0.35">
      <c r="A810" s="277" t="s">
        <v>109</v>
      </c>
      <c r="B810" s="617" t="s">
        <v>32</v>
      </c>
      <c r="C810" s="728"/>
      <c r="D810" s="316"/>
      <c r="E810" s="517">
        <v>12.2659</v>
      </c>
      <c r="F810" s="414">
        <f>IFERROR(E810*'01 Prod Physique Boites'!H804,"-")</f>
        <v>0</v>
      </c>
      <c r="G810" s="415">
        <f>IFERROR(E810*'01 Prod Physique Boites'!L804,"-")</f>
        <v>0</v>
      </c>
      <c r="H810" s="398"/>
      <c r="I810" s="432">
        <f>IFERROR(H810*(F810/E810),"-")</f>
        <v>0</v>
      </c>
      <c r="J810" s="433">
        <f>IFERROR(H810*(G810/E810),"-")</f>
        <v>0</v>
      </c>
    </row>
    <row r="811" spans="1:10" ht="24" thickBot="1" x14ac:dyDescent="0.35">
      <c r="A811" s="277" t="s">
        <v>109</v>
      </c>
      <c r="B811" s="926" t="s">
        <v>21</v>
      </c>
      <c r="C811" s="927"/>
      <c r="D811" s="928"/>
      <c r="E811" s="399"/>
      <c r="F811" s="416">
        <f t="shared" ref="F811" si="536">+F800+F809+F810</f>
        <v>2271385.5840000003</v>
      </c>
      <c r="G811" s="417">
        <f>+G800+G809+G810</f>
        <v>19042998.6708</v>
      </c>
      <c r="H811" s="400"/>
      <c r="I811" s="416">
        <f t="shared" ref="I811:J811" si="537">+I800+I809+I810</f>
        <v>3244241.5199999996</v>
      </c>
      <c r="J811" s="434">
        <f t="shared" si="537"/>
        <v>27622277.280000001</v>
      </c>
    </row>
    <row r="812" spans="1:10" ht="24" thickBot="1" x14ac:dyDescent="0.35">
      <c r="A812" s="277" t="s">
        <v>109</v>
      </c>
      <c r="B812" s="900" t="s">
        <v>180</v>
      </c>
      <c r="C812" s="901"/>
      <c r="D812" s="902"/>
      <c r="E812" s="401"/>
      <c r="F812" s="418">
        <f t="shared" ref="F812:G812" si="538">+F811</f>
        <v>2271385.5840000003</v>
      </c>
      <c r="G812" s="419">
        <f t="shared" si="538"/>
        <v>19042998.6708</v>
      </c>
      <c r="H812" s="402"/>
      <c r="I812" s="418">
        <f t="shared" ref="I812:J812" si="539">+I811</f>
        <v>3244241.5199999996</v>
      </c>
      <c r="J812" s="435">
        <f t="shared" si="539"/>
        <v>27622277.280000001</v>
      </c>
    </row>
    <row r="813" spans="1:10" ht="23.4" x14ac:dyDescent="0.3">
      <c r="A813" s="271" t="s">
        <v>110</v>
      </c>
      <c r="B813" s="903" t="s">
        <v>33</v>
      </c>
      <c r="C813" s="317" t="s">
        <v>121</v>
      </c>
      <c r="D813" s="317"/>
      <c r="E813" s="513">
        <v>254.89750000000001</v>
      </c>
      <c r="F813" s="408">
        <f>IFERROR(E813*'01 Prod Physique Boites'!H807,"-")</f>
        <v>0</v>
      </c>
      <c r="G813" s="409">
        <f>IFERROR(E813*'01 Prod Physique Boites'!L807,"-")</f>
        <v>0</v>
      </c>
      <c r="H813" s="387">
        <v>445.38</v>
      </c>
      <c r="I813" s="425">
        <f>IFERROR(H813*(F813/E813),"-")</f>
        <v>0</v>
      </c>
      <c r="J813" s="426">
        <f t="shared" ref="J813:J815" si="540">IFERROR(H813*(G813/E813),"-")</f>
        <v>0</v>
      </c>
    </row>
    <row r="814" spans="1:10" ht="23.4" x14ac:dyDescent="0.3">
      <c r="A814" s="277" t="s">
        <v>110</v>
      </c>
      <c r="B814" s="904"/>
      <c r="C814" s="318" t="s">
        <v>274</v>
      </c>
      <c r="D814" s="318"/>
      <c r="E814" s="514">
        <v>246.51390000000001</v>
      </c>
      <c r="F814" s="408">
        <f>IFERROR(E814*'01 Prod Physique Boites'!H808,"-")</f>
        <v>443725.02</v>
      </c>
      <c r="G814" s="409">
        <f>IFERROR(E814*'01 Prod Physique Boites'!L808,"-")</f>
        <v>1888296.4740000002</v>
      </c>
      <c r="H814" s="391">
        <v>430.02</v>
      </c>
      <c r="I814" s="427">
        <f>IFERROR(H814*(F814/E814),"-")</f>
        <v>774036</v>
      </c>
      <c r="J814" s="428">
        <f t="shared" si="540"/>
        <v>3293953.1999999997</v>
      </c>
    </row>
    <row r="815" spans="1:10" ht="24" thickBot="1" x14ac:dyDescent="0.35">
      <c r="A815" s="277" t="s">
        <v>110</v>
      </c>
      <c r="B815" s="905"/>
      <c r="C815" s="319" t="s">
        <v>34</v>
      </c>
      <c r="D815" s="319"/>
      <c r="E815" s="511">
        <v>225.7713</v>
      </c>
      <c r="F815" s="408">
        <f>IFERROR(E815*'01 Prod Physique Boites'!H809,"-")</f>
        <v>0</v>
      </c>
      <c r="G815" s="409">
        <f>IFERROR(E815*'01 Prod Physique Boites'!L809,"-")</f>
        <v>0</v>
      </c>
      <c r="H815" s="393"/>
      <c r="I815" s="429">
        <f>IFERROR(H815*(F815/E815),"-")</f>
        <v>0</v>
      </c>
      <c r="J815" s="430">
        <f t="shared" si="540"/>
        <v>0</v>
      </c>
    </row>
    <row r="816" spans="1:10" ht="24" thickBot="1" x14ac:dyDescent="0.35">
      <c r="A816" s="277" t="s">
        <v>110</v>
      </c>
      <c r="B816" s="906" t="s">
        <v>35</v>
      </c>
      <c r="C816" s="907"/>
      <c r="D816" s="908"/>
      <c r="E816" s="396"/>
      <c r="F816" s="412">
        <f t="shared" ref="F816:G816" si="541">SUM(F813:F815)</f>
        <v>443725.02</v>
      </c>
      <c r="G816" s="413">
        <f t="shared" si="541"/>
        <v>1888296.4740000002</v>
      </c>
      <c r="H816" s="397"/>
      <c r="I816" s="412">
        <f t="shared" ref="I816:J816" si="542">SUM(I813:I815)</f>
        <v>774036</v>
      </c>
      <c r="J816" s="431">
        <f t="shared" si="542"/>
        <v>3293953.1999999997</v>
      </c>
    </row>
    <row r="817" spans="1:10" ht="23.4" x14ac:dyDescent="0.3">
      <c r="A817" s="277" t="s">
        <v>110</v>
      </c>
      <c r="B817" s="903" t="s">
        <v>36</v>
      </c>
      <c r="C817" s="317" t="s">
        <v>121</v>
      </c>
      <c r="D817" s="317"/>
      <c r="E817" s="513">
        <v>254.89750000000001</v>
      </c>
      <c r="F817" s="408">
        <f>IFERROR(E817*'01 Prod Physique Boites'!H811,"-")</f>
        <v>0</v>
      </c>
      <c r="G817" s="409">
        <f>IFERROR(E817*'01 Prod Physique Boites'!L811,"-")</f>
        <v>0</v>
      </c>
      <c r="H817" s="387">
        <v>445.38</v>
      </c>
      <c r="I817" s="425">
        <f>IFERROR(H817*(F817/E817),"-")</f>
        <v>0</v>
      </c>
      <c r="J817" s="426">
        <f t="shared" ref="J817:J820" si="543">IFERROR(H817*(G817/E817),"-")</f>
        <v>0</v>
      </c>
    </row>
    <row r="818" spans="1:10" ht="23.4" x14ac:dyDescent="0.3">
      <c r="A818" s="277" t="s">
        <v>110</v>
      </c>
      <c r="B818" s="904"/>
      <c r="C818" s="318" t="s">
        <v>274</v>
      </c>
      <c r="D818" s="318"/>
      <c r="E818" s="514">
        <v>246.51390000000001</v>
      </c>
      <c r="F818" s="408">
        <f>IFERROR(E818*'01 Prod Physique Boites'!H812,"-")</f>
        <v>1025497.824</v>
      </c>
      <c r="G818" s="409">
        <f>IFERROR(E818*'01 Prod Physique Boites'!L812,"-")</f>
        <v>2287648.9920000001</v>
      </c>
      <c r="H818" s="391">
        <v>430.02</v>
      </c>
      <c r="I818" s="427">
        <f>IFERROR(H818*(F818/E818),"-")</f>
        <v>1788883.2</v>
      </c>
      <c r="J818" s="428">
        <f t="shared" si="543"/>
        <v>3990585.5999999996</v>
      </c>
    </row>
    <row r="819" spans="1:10" ht="23.4" x14ac:dyDescent="0.3">
      <c r="A819" s="277" t="s">
        <v>110</v>
      </c>
      <c r="B819" s="904"/>
      <c r="C819" s="318" t="s">
        <v>201</v>
      </c>
      <c r="D819" s="318" t="s">
        <v>200</v>
      </c>
      <c r="E819" s="514">
        <v>254.89750000000001</v>
      </c>
      <c r="F819" s="408">
        <f>IFERROR(E819*'01 Prod Physique Boites'!H813,"-")</f>
        <v>0</v>
      </c>
      <c r="G819" s="409">
        <f>IFERROR(E819*'01 Prod Physique Boites'!L813,"-")</f>
        <v>0</v>
      </c>
      <c r="H819" s="391"/>
      <c r="I819" s="427">
        <f>IFERROR(H819*(F819/E819),"-")</f>
        <v>0</v>
      </c>
      <c r="J819" s="428">
        <f t="shared" si="543"/>
        <v>0</v>
      </c>
    </row>
    <row r="820" spans="1:10" ht="24" thickBot="1" x14ac:dyDescent="0.35">
      <c r="A820" s="277" t="s">
        <v>110</v>
      </c>
      <c r="B820" s="905"/>
      <c r="C820" s="319" t="s">
        <v>37</v>
      </c>
      <c r="D820" s="319"/>
      <c r="E820" s="511">
        <v>229.99359999999999</v>
      </c>
      <c r="F820" s="408">
        <f>IFERROR(E820*'01 Prod Physique Boites'!H814,"-")</f>
        <v>0</v>
      </c>
      <c r="G820" s="409">
        <f>IFERROR(E820*'01 Prod Physique Boites'!L814,"-")</f>
        <v>0</v>
      </c>
      <c r="H820" s="393"/>
      <c r="I820" s="429">
        <f>IFERROR(H820*(F820/E820),"-")</f>
        <v>0</v>
      </c>
      <c r="J820" s="430">
        <f t="shared" si="543"/>
        <v>0</v>
      </c>
    </row>
    <row r="821" spans="1:10" ht="24" thickBot="1" x14ac:dyDescent="0.35">
      <c r="A821" s="277" t="s">
        <v>110</v>
      </c>
      <c r="B821" s="906" t="s">
        <v>38</v>
      </c>
      <c r="C821" s="907"/>
      <c r="D821" s="908"/>
      <c r="E821" s="396"/>
      <c r="F821" s="412">
        <f t="shared" ref="F821:G821" si="544">SUM(F817:F820)</f>
        <v>1025497.824</v>
      </c>
      <c r="G821" s="413">
        <f t="shared" si="544"/>
        <v>2287648.9920000001</v>
      </c>
      <c r="H821" s="397"/>
      <c r="I821" s="412">
        <f>SUM(I817:I820)</f>
        <v>1788883.2</v>
      </c>
      <c r="J821" s="431">
        <f>SUM(J817:J820)</f>
        <v>3990585.5999999996</v>
      </c>
    </row>
    <row r="822" spans="1:10" ht="23.4" x14ac:dyDescent="0.3">
      <c r="A822" s="277" t="s">
        <v>110</v>
      </c>
      <c r="B822" s="903" t="s">
        <v>39</v>
      </c>
      <c r="C822" s="320" t="s">
        <v>124</v>
      </c>
      <c r="D822" s="320"/>
      <c r="E822" s="513">
        <v>195.2808</v>
      </c>
      <c r="F822" s="408">
        <f>IFERROR(E822*'01 Prod Physique Boites'!H816,"-")</f>
        <v>0</v>
      </c>
      <c r="G822" s="409">
        <f>IFERROR(E822*'01 Prod Physique Boites'!L816,"-")</f>
        <v>0</v>
      </c>
      <c r="H822" s="387"/>
      <c r="I822" s="425">
        <f>IFERROR(H822*(F822/E822),"-")</f>
        <v>0</v>
      </c>
      <c r="J822" s="426">
        <f t="shared" ref="J822:J823" si="545">IFERROR(H822*(G822/E822),"-")</f>
        <v>0</v>
      </c>
    </row>
    <row r="823" spans="1:10" ht="24" thickBot="1" x14ac:dyDescent="0.35">
      <c r="A823" s="277" t="s">
        <v>110</v>
      </c>
      <c r="B823" s="905"/>
      <c r="C823" s="290" t="s">
        <v>140</v>
      </c>
      <c r="D823" s="290"/>
      <c r="E823" s="511">
        <v>189.91890000000001</v>
      </c>
      <c r="F823" s="408">
        <f>IFERROR(E823*'01 Prod Physique Boites'!H817,"-")</f>
        <v>0</v>
      </c>
      <c r="G823" s="409">
        <f>IFERROR(E823*'01 Prod Physique Boites'!L817,"-")</f>
        <v>0</v>
      </c>
      <c r="H823" s="393">
        <v>320.35000000000002</v>
      </c>
      <c r="I823" s="429">
        <f>IFERROR(H823*(F823/E823),"-")</f>
        <v>0</v>
      </c>
      <c r="J823" s="430">
        <f t="shared" si="545"/>
        <v>0</v>
      </c>
    </row>
    <row r="824" spans="1:10" ht="24" thickBot="1" x14ac:dyDescent="0.35">
      <c r="A824" s="732" t="s">
        <v>110</v>
      </c>
      <c r="B824" s="906" t="s">
        <v>40</v>
      </c>
      <c r="C824" s="907"/>
      <c r="D824" s="908"/>
      <c r="E824" s="396"/>
      <c r="F824" s="412">
        <f>SUM(F822:F823)</f>
        <v>0</v>
      </c>
      <c r="G824" s="413">
        <f t="shared" ref="G824" si="546">SUM(G822:G823)</f>
        <v>0</v>
      </c>
      <c r="H824" s="397"/>
      <c r="I824" s="412">
        <f t="shared" ref="I824:J824" si="547">SUM(I822:I823)</f>
        <v>0</v>
      </c>
      <c r="J824" s="431">
        <f t="shared" si="547"/>
        <v>0</v>
      </c>
    </row>
    <row r="825" spans="1:10" ht="23.4" x14ac:dyDescent="0.3">
      <c r="A825" s="277" t="s">
        <v>110</v>
      </c>
      <c r="B825" s="903" t="s">
        <v>41</v>
      </c>
      <c r="C825" s="272" t="s">
        <v>346</v>
      </c>
      <c r="D825" s="272" t="s">
        <v>263</v>
      </c>
      <c r="E825" s="515">
        <v>37.248699999999999</v>
      </c>
      <c r="F825" s="408">
        <f>IFERROR(E825*'01 Prod Physique Boites'!H819,"-")</f>
        <v>1279269.3528</v>
      </c>
      <c r="G825" s="409">
        <f>IFERROR(E825*'01 Prod Physique Boites'!L819,"-")</f>
        <v>4516777.3619999997</v>
      </c>
      <c r="H825" s="387">
        <v>71.44</v>
      </c>
      <c r="I825" s="425">
        <f>IFERROR(H825*(F825/E825),"-")</f>
        <v>2453535.36</v>
      </c>
      <c r="J825" s="426">
        <f>IFERROR(H825*(G825/E825),"-")</f>
        <v>8662814.4000000004</v>
      </c>
    </row>
    <row r="826" spans="1:10" ht="23.4" x14ac:dyDescent="0.3">
      <c r="A826" s="277" t="s">
        <v>110</v>
      </c>
      <c r="B826" s="904"/>
      <c r="C826" s="272" t="s">
        <v>165</v>
      </c>
      <c r="D826" s="278"/>
      <c r="E826" s="515">
        <v>37.248699999999999</v>
      </c>
      <c r="F826" s="408">
        <f>IFERROR(E826*'01 Prod Physique Boites'!H820,"-")</f>
        <v>0</v>
      </c>
      <c r="G826" s="409">
        <f>IFERROR(E826*'01 Prod Physique Boites'!L820,"-")</f>
        <v>0</v>
      </c>
      <c r="H826" s="391"/>
      <c r="I826" s="427">
        <f>IFERROR(H826*(F826/E826),"-")</f>
        <v>0</v>
      </c>
      <c r="J826" s="428">
        <f t="shared" ref="J826:J829" si="548">IFERROR(H826*(G826/E826),"-")</f>
        <v>0</v>
      </c>
    </row>
    <row r="827" spans="1:10" ht="23.4" x14ac:dyDescent="0.3">
      <c r="A827" s="277" t="s">
        <v>110</v>
      </c>
      <c r="B827" s="904"/>
      <c r="C827" s="278" t="s">
        <v>423</v>
      </c>
      <c r="D827" s="272" t="s">
        <v>263</v>
      </c>
      <c r="E827" s="516">
        <v>38.466099999999997</v>
      </c>
      <c r="F827" s="408">
        <f>IFERROR(E827*'01 Prod Physique Boites'!H821,"-")</f>
        <v>0</v>
      </c>
      <c r="G827" s="409">
        <f>IFERROR(E827*'01 Prod Physique Boites'!L821,"-")</f>
        <v>1306308.7559999998</v>
      </c>
      <c r="H827" s="391">
        <v>71.44</v>
      </c>
      <c r="I827" s="427">
        <f>IFERROR(H827*(F827/E827),"-")</f>
        <v>0</v>
      </c>
      <c r="J827" s="428">
        <f t="shared" si="548"/>
        <v>2426102.4</v>
      </c>
    </row>
    <row r="828" spans="1:10" ht="23.4" x14ac:dyDescent="0.3">
      <c r="A828" s="277" t="s">
        <v>110</v>
      </c>
      <c r="B828" s="904"/>
      <c r="C828" s="278" t="s">
        <v>166</v>
      </c>
      <c r="D828" s="278"/>
      <c r="E828" s="516">
        <v>37.248699999999999</v>
      </c>
      <c r="F828" s="408">
        <f>IFERROR(E828*'01 Prod Physique Boites'!H822,"-")</f>
        <v>0</v>
      </c>
      <c r="G828" s="409">
        <f>IFERROR(E828*'01 Prod Physique Boites'!L822,"-")</f>
        <v>0</v>
      </c>
      <c r="H828" s="391"/>
      <c r="I828" s="427">
        <f>IFERROR(H828*(F828/E828),"-")</f>
        <v>0</v>
      </c>
      <c r="J828" s="428">
        <f t="shared" si="548"/>
        <v>0</v>
      </c>
    </row>
    <row r="829" spans="1:10" ht="24" thickBot="1" x14ac:dyDescent="0.35">
      <c r="A829" s="277" t="s">
        <v>110</v>
      </c>
      <c r="B829" s="905"/>
      <c r="C829" s="282" t="s">
        <v>167</v>
      </c>
      <c r="D829" s="282"/>
      <c r="E829" s="512">
        <v>33.711399999999998</v>
      </c>
      <c r="F829" s="408">
        <f>IFERROR(E829*'01 Prod Physique Boites'!H823,"-")</f>
        <v>0</v>
      </c>
      <c r="G829" s="409">
        <f>IFERROR(E829*'01 Prod Physique Boites'!L823,"-")</f>
        <v>0</v>
      </c>
      <c r="H829" s="393"/>
      <c r="I829" s="429">
        <f>IFERROR(H829*(F829/E829),"-")</f>
        <v>0</v>
      </c>
      <c r="J829" s="430">
        <f t="shared" si="548"/>
        <v>0</v>
      </c>
    </row>
    <row r="830" spans="1:10" ht="24" thickBot="1" x14ac:dyDescent="0.35">
      <c r="A830" s="277" t="s">
        <v>110</v>
      </c>
      <c r="B830" s="906" t="s">
        <v>42</v>
      </c>
      <c r="C830" s="907"/>
      <c r="D830" s="908"/>
      <c r="E830" s="396"/>
      <c r="F830" s="412">
        <f>SUM(F825:F829)</f>
        <v>1279269.3528</v>
      </c>
      <c r="G830" s="413">
        <f>SUM(G825:G829)</f>
        <v>5823086.1179999998</v>
      </c>
      <c r="H830" s="397"/>
      <c r="I830" s="412">
        <f>SUM(I825:I829)</f>
        <v>2453535.36</v>
      </c>
      <c r="J830" s="412">
        <f>SUM(J825:J829)</f>
        <v>11088916.800000001</v>
      </c>
    </row>
    <row r="831" spans="1:10" ht="23.4" x14ac:dyDescent="0.3">
      <c r="A831" s="277" t="s">
        <v>110</v>
      </c>
      <c r="B831" s="903" t="s">
        <v>43</v>
      </c>
      <c r="C831" s="272" t="s">
        <v>204</v>
      </c>
      <c r="D831" s="272" t="s">
        <v>200</v>
      </c>
      <c r="E831" s="515">
        <v>30.7499</v>
      </c>
      <c r="F831" s="408">
        <f>IFERROR(E831*'01 Prod Physique Boites'!H825,"-")</f>
        <v>0</v>
      </c>
      <c r="G831" s="409">
        <f>IFERROR(E831*'01 Prod Physique Boites'!L825,"-")</f>
        <v>0</v>
      </c>
      <c r="H831" s="387"/>
      <c r="I831" s="425">
        <f>IFERROR(H831*(F831/E831),"-")</f>
        <v>0</v>
      </c>
      <c r="J831" s="426">
        <f>IFERROR(H831*(G831/E831),"-")</f>
        <v>0</v>
      </c>
    </row>
    <row r="832" spans="1:10" ht="23.4" x14ac:dyDescent="0.3">
      <c r="A832" s="277" t="s">
        <v>110</v>
      </c>
      <c r="B832" s="904"/>
      <c r="C832" s="278" t="s">
        <v>168</v>
      </c>
      <c r="D832" s="278"/>
      <c r="E832" s="516">
        <v>28.7</v>
      </c>
      <c r="F832" s="408">
        <f>IFERROR(E832*'01 Prod Physique Boites'!H826,"-")</f>
        <v>0</v>
      </c>
      <c r="G832" s="409">
        <f>IFERROR(E832*'01 Prod Physique Boites'!L826,"-")</f>
        <v>0</v>
      </c>
      <c r="H832" s="391"/>
      <c r="I832" s="427">
        <f>IFERROR(H832*(F832/E832),"-")</f>
        <v>0</v>
      </c>
      <c r="J832" s="428">
        <f t="shared" ref="J832:J833" si="549">IFERROR(H832*(G832/E832),"-")</f>
        <v>0</v>
      </c>
    </row>
    <row r="833" spans="1:10" ht="24" thickBot="1" x14ac:dyDescent="0.35">
      <c r="A833" s="277" t="s">
        <v>110</v>
      </c>
      <c r="B833" s="905"/>
      <c r="C833" s="282" t="s">
        <v>204</v>
      </c>
      <c r="D833" s="282" t="s">
        <v>203</v>
      </c>
      <c r="E833" s="512">
        <v>30.073599999999999</v>
      </c>
      <c r="F833" s="408">
        <f>IFERROR(E833*'01 Prod Physique Boites'!H827,"-")</f>
        <v>0</v>
      </c>
      <c r="G833" s="409">
        <f>IFERROR(E833*'01 Prod Physique Boites'!L827,"-")</f>
        <v>0</v>
      </c>
      <c r="H833" s="393"/>
      <c r="I833" s="429">
        <f>IFERROR(H833*(F833/E833),"-")</f>
        <v>0</v>
      </c>
      <c r="J833" s="430">
        <f t="shared" si="549"/>
        <v>0</v>
      </c>
    </row>
    <row r="834" spans="1:10" ht="24" thickBot="1" x14ac:dyDescent="0.35">
      <c r="A834" s="277" t="s">
        <v>110</v>
      </c>
      <c r="B834" s="909" t="s">
        <v>44</v>
      </c>
      <c r="C834" s="910"/>
      <c r="D834" s="911"/>
      <c r="E834" s="396"/>
      <c r="F834" s="412">
        <f t="shared" ref="F834:G834" si="550">SUM(F831:F833)</f>
        <v>0</v>
      </c>
      <c r="G834" s="413">
        <f t="shared" si="550"/>
        <v>0</v>
      </c>
      <c r="H834" s="397"/>
      <c r="I834" s="412">
        <f t="shared" ref="I834:J834" si="551">SUM(I831:I833)</f>
        <v>0</v>
      </c>
      <c r="J834" s="431">
        <f t="shared" si="551"/>
        <v>0</v>
      </c>
    </row>
    <row r="835" spans="1:10" ht="23.4" x14ac:dyDescent="0.3">
      <c r="A835" s="277" t="s">
        <v>110</v>
      </c>
      <c r="B835" s="903" t="s">
        <v>45</v>
      </c>
      <c r="C835" s="272" t="s">
        <v>169</v>
      </c>
      <c r="D835" s="272"/>
      <c r="E835" s="515">
        <v>36.684899999999999</v>
      </c>
      <c r="F835" s="408">
        <f>IFERROR(E835*'01 Prod Physique Boites'!H829,"-")</f>
        <v>0</v>
      </c>
      <c r="G835" s="409">
        <f>IFERROR(E835*'01 Prod Physique Boites'!L829,"-")</f>
        <v>0</v>
      </c>
      <c r="H835" s="387"/>
      <c r="I835" s="388" t="s">
        <v>209</v>
      </c>
      <c r="J835" s="389" t="s">
        <v>209</v>
      </c>
    </row>
    <row r="836" spans="1:10" ht="24" thickBot="1" x14ac:dyDescent="0.35">
      <c r="A836" s="277" t="s">
        <v>110</v>
      </c>
      <c r="B836" s="905"/>
      <c r="C836" s="282" t="s">
        <v>170</v>
      </c>
      <c r="D836" s="282"/>
      <c r="E836" s="512">
        <v>37.002800000000001</v>
      </c>
      <c r="F836" s="408">
        <f>IFERROR(E836*'01 Prod Physique Boites'!H830,"-")</f>
        <v>0</v>
      </c>
      <c r="G836" s="409">
        <f>IFERROR(E836*'01 Prod Physique Boites'!L830,"-")</f>
        <v>0</v>
      </c>
      <c r="H836" s="393"/>
      <c r="I836" s="394" t="s">
        <v>209</v>
      </c>
      <c r="J836" s="395" t="s">
        <v>209</v>
      </c>
    </row>
    <row r="837" spans="1:10" ht="24" thickBot="1" x14ac:dyDescent="0.35">
      <c r="A837" s="277" t="s">
        <v>110</v>
      </c>
      <c r="B837" s="909" t="s">
        <v>46</v>
      </c>
      <c r="C837" s="910"/>
      <c r="D837" s="911"/>
      <c r="E837" s="396"/>
      <c r="F837" s="412">
        <f t="shared" ref="F837:G837" si="552">SUM(F835:F836)</f>
        <v>0</v>
      </c>
      <c r="G837" s="413">
        <f t="shared" si="552"/>
        <v>0</v>
      </c>
      <c r="H837" s="397"/>
      <c r="I837" s="412">
        <f t="shared" ref="I837:J837" si="553">SUM(I835:I836)</f>
        <v>0</v>
      </c>
      <c r="J837" s="431">
        <f t="shared" si="553"/>
        <v>0</v>
      </c>
    </row>
    <row r="838" spans="1:10" ht="24" thickBot="1" x14ac:dyDescent="0.35">
      <c r="A838" s="277" t="s">
        <v>110</v>
      </c>
      <c r="B838" s="912" t="s">
        <v>25</v>
      </c>
      <c r="C838" s="913"/>
      <c r="D838" s="914"/>
      <c r="E838" s="399"/>
      <c r="F838" s="416">
        <f t="shared" ref="F838:G838" si="554">+F816+F821+F824+F830+F834+F837</f>
        <v>2748492.1968</v>
      </c>
      <c r="G838" s="417">
        <f t="shared" si="554"/>
        <v>9999031.5839999989</v>
      </c>
      <c r="H838" s="400"/>
      <c r="I838" s="416">
        <f>+I816+I821+I824+I830+I834+I837</f>
        <v>5016454.5600000005</v>
      </c>
      <c r="J838" s="434">
        <f>+J816+J821+J824+J830+J834+J837</f>
        <v>18373455.600000001</v>
      </c>
    </row>
    <row r="839" spans="1:10" ht="24" thickBot="1" x14ac:dyDescent="0.35">
      <c r="A839" s="324" t="s">
        <v>110</v>
      </c>
      <c r="B839" s="901" t="s">
        <v>182</v>
      </c>
      <c r="C839" s="901"/>
      <c r="D839" s="902"/>
      <c r="E839" s="401"/>
      <c r="F839" s="418">
        <f t="shared" ref="F839:G839" si="555">+F838</f>
        <v>2748492.1968</v>
      </c>
      <c r="G839" s="419">
        <f t="shared" si="555"/>
        <v>9999031.5839999989</v>
      </c>
      <c r="H839" s="402"/>
      <c r="I839" s="418">
        <f t="shared" ref="I839" si="556">+I838</f>
        <v>5016454.5600000005</v>
      </c>
      <c r="J839" s="435">
        <f>+J838</f>
        <v>18373455.600000001</v>
      </c>
    </row>
    <row r="840" spans="1:10" ht="24.6" thickBot="1" x14ac:dyDescent="0.35">
      <c r="A840" s="325"/>
      <c r="B840" s="915" t="s">
        <v>183</v>
      </c>
      <c r="C840" s="916"/>
      <c r="D840" s="917"/>
      <c r="E840" s="407"/>
      <c r="F840" s="424">
        <f t="shared" ref="F840:G840" si="557">+F785+F812+F839</f>
        <v>8424674.0658</v>
      </c>
      <c r="G840" s="424">
        <f t="shared" si="557"/>
        <v>46590409.908200003</v>
      </c>
      <c r="H840" s="407"/>
      <c r="I840" s="424">
        <f t="shared" ref="I840:J840" si="558">+I785+I812+I839</f>
        <v>13821915.772</v>
      </c>
      <c r="J840" s="438">
        <f t="shared" si="558"/>
        <v>75368204.954400003</v>
      </c>
    </row>
    <row r="841" spans="1:10" ht="23.4" x14ac:dyDescent="0.3">
      <c r="A841" s="935" t="s">
        <v>1</v>
      </c>
      <c r="B841" s="938" t="s">
        <v>2</v>
      </c>
      <c r="C841" s="941" t="s">
        <v>3</v>
      </c>
      <c r="D841" s="941" t="s">
        <v>93</v>
      </c>
      <c r="E841" s="965" t="s">
        <v>176</v>
      </c>
      <c r="F841" s="966"/>
      <c r="G841" s="966"/>
      <c r="H841" s="451"/>
      <c r="I841" s="451"/>
      <c r="J841" s="452"/>
    </row>
    <row r="842" spans="1:10" ht="23.4" x14ac:dyDescent="0.3">
      <c r="A842" s="936"/>
      <c r="B842" s="939"/>
      <c r="C842" s="942"/>
      <c r="D842" s="942"/>
      <c r="E842" s="967" t="s">
        <v>178</v>
      </c>
      <c r="F842" s="968"/>
      <c r="G842" s="969"/>
      <c r="H842" s="967" t="s">
        <v>177</v>
      </c>
      <c r="I842" s="968"/>
      <c r="J842" s="969"/>
    </row>
    <row r="843" spans="1:10" ht="46.8" x14ac:dyDescent="0.3">
      <c r="A843" s="937"/>
      <c r="B843" s="963"/>
      <c r="C843" s="964"/>
      <c r="D843" s="964"/>
      <c r="E843" s="385" t="s">
        <v>179</v>
      </c>
      <c r="F843" s="738" t="s">
        <v>11</v>
      </c>
      <c r="G843" s="739" t="s">
        <v>12</v>
      </c>
      <c r="H843" s="970" t="s">
        <v>179</v>
      </c>
      <c r="I843" s="972" t="s">
        <v>145</v>
      </c>
      <c r="J843" s="974" t="s">
        <v>12</v>
      </c>
    </row>
    <row r="844" spans="1:10" ht="24" thickBot="1" x14ac:dyDescent="0.35">
      <c r="A844" s="937"/>
      <c r="B844" s="940"/>
      <c r="C844" s="943"/>
      <c r="D844" s="943"/>
      <c r="E844" s="976">
        <v>44511</v>
      </c>
      <c r="F844" s="977"/>
      <c r="G844" s="978"/>
      <c r="H844" s="971"/>
      <c r="I844" s="973"/>
      <c r="J844" s="975"/>
    </row>
    <row r="845" spans="1:10" ht="23.4" x14ac:dyDescent="0.3">
      <c r="A845" s="271" t="s">
        <v>111</v>
      </c>
      <c r="B845" s="922" t="s">
        <v>16</v>
      </c>
      <c r="C845" s="272" t="s">
        <v>186</v>
      </c>
      <c r="D845" s="272" t="s">
        <v>184</v>
      </c>
      <c r="E845" s="515">
        <v>81.360699999999994</v>
      </c>
      <c r="F845" s="408">
        <f>IFERROR(E845*'01 Prod Physique Boites'!H838,"-")</f>
        <v>0</v>
      </c>
      <c r="G845" s="408">
        <f>IFERROR(E845*'01 Prod Physique Boites'!L838,"-")</f>
        <v>0</v>
      </c>
      <c r="H845" s="387">
        <v>0</v>
      </c>
      <c r="I845" s="425">
        <f>IFERROR(H845*(F845/E845),"-")</f>
        <v>0</v>
      </c>
      <c r="J845" s="426">
        <f t="shared" ref="J845:J847" si="559">IFERROR(H845*(G845/E845),"-")</f>
        <v>0</v>
      </c>
    </row>
    <row r="846" spans="1:10" ht="23.4" x14ac:dyDescent="0.3">
      <c r="A846" s="277" t="s">
        <v>111</v>
      </c>
      <c r="B846" s="923"/>
      <c r="C846" s="278" t="s">
        <v>190</v>
      </c>
      <c r="D846" s="278" t="s">
        <v>101</v>
      </c>
      <c r="E846" s="516">
        <v>81.360699999999994</v>
      </c>
      <c r="F846" s="408">
        <f>IFERROR(E846*'01 Prod Physique Boites'!H839,"-")</f>
        <v>0</v>
      </c>
      <c r="G846" s="408">
        <f>IFERROR(E846*'01 Prod Physique Boites'!L839,"-")</f>
        <v>0</v>
      </c>
      <c r="H846" s="391">
        <v>0</v>
      </c>
      <c r="I846" s="425">
        <f>IFERROR(H846*(F846/E846),"-")</f>
        <v>0</v>
      </c>
      <c r="J846" s="426">
        <f t="shared" si="559"/>
        <v>0</v>
      </c>
    </row>
    <row r="847" spans="1:10" ht="23.4" x14ac:dyDescent="0.3">
      <c r="A847" s="277" t="s">
        <v>111</v>
      </c>
      <c r="B847" s="923"/>
      <c r="C847" s="278" t="s">
        <v>187</v>
      </c>
      <c r="D847" s="278" t="s">
        <v>185</v>
      </c>
      <c r="E847" s="516">
        <v>55.476900000000001</v>
      </c>
      <c r="F847" s="408">
        <f>IFERROR(E847*'01 Prod Physique Boites'!H840,"-")</f>
        <v>0</v>
      </c>
      <c r="G847" s="408">
        <f>IFERROR(E847*'01 Prod Physique Boites'!L840,"-")</f>
        <v>0</v>
      </c>
      <c r="H847" s="391">
        <v>0</v>
      </c>
      <c r="I847" s="425">
        <f>IFERROR(H847*(F847/E847),"-")</f>
        <v>0</v>
      </c>
      <c r="J847" s="426">
        <f t="shared" si="559"/>
        <v>0</v>
      </c>
    </row>
    <row r="848" spans="1:10" ht="24" thickBot="1" x14ac:dyDescent="0.35">
      <c r="A848" s="277" t="s">
        <v>111</v>
      </c>
      <c r="B848" s="924"/>
      <c r="C848" s="282" t="s">
        <v>289</v>
      </c>
      <c r="D848" s="282" t="s">
        <v>256</v>
      </c>
      <c r="E848" s="512">
        <v>60.703499999999998</v>
      </c>
      <c r="F848" s="408">
        <f>IFERROR(E848*'01 Prod Physique Boites'!H841,"-")</f>
        <v>404042.49599999998</v>
      </c>
      <c r="G848" s="408">
        <f>IFERROR(E848*'01 Prod Physique Boites'!L841,"-")</f>
        <v>6278198.784</v>
      </c>
      <c r="H848" s="393">
        <v>111.0883</v>
      </c>
      <c r="I848" s="425">
        <f>IFERROR(H848*(F848/E848),"-")</f>
        <v>739403.72479999997</v>
      </c>
      <c r="J848" s="426">
        <f>IFERROR(H848*(G848/E848),"-")</f>
        <v>11489196.339200001</v>
      </c>
    </row>
    <row r="849" spans="1:10" ht="24" thickBot="1" x14ac:dyDescent="0.35">
      <c r="A849" s="277" t="s">
        <v>111</v>
      </c>
      <c r="B849" s="906" t="s">
        <v>47</v>
      </c>
      <c r="C849" s="907"/>
      <c r="D849" s="908"/>
      <c r="E849" s="396"/>
      <c r="F849" s="412">
        <f t="shared" ref="F849:G849" si="560">SUM(F845:F848)</f>
        <v>404042.49599999998</v>
      </c>
      <c r="G849" s="413">
        <f t="shared" si="560"/>
        <v>6278198.784</v>
      </c>
      <c r="H849" s="397"/>
      <c r="I849" s="412">
        <f t="shared" ref="I849:J849" si="561">SUM(I845:I848)</f>
        <v>739403.72479999997</v>
      </c>
      <c r="J849" s="431">
        <f t="shared" si="561"/>
        <v>11489196.339200001</v>
      </c>
    </row>
    <row r="850" spans="1:10" ht="23.4" x14ac:dyDescent="0.3">
      <c r="A850" s="277" t="s">
        <v>111</v>
      </c>
      <c r="B850" s="922" t="s">
        <v>17</v>
      </c>
      <c r="C850" s="272" t="s">
        <v>331</v>
      </c>
      <c r="D850" s="272"/>
      <c r="E850" s="515">
        <v>12.5275</v>
      </c>
      <c r="F850" s="408">
        <f>IFERROR(E850*'01 Prod Physique Boites'!H843,"-")</f>
        <v>0</v>
      </c>
      <c r="G850" s="408">
        <f>IFERROR(E850*'01 Prod Physique Boites'!L843,"-")</f>
        <v>0</v>
      </c>
      <c r="H850" s="387">
        <v>18.836400000000001</v>
      </c>
      <c r="I850" s="425">
        <f t="shared" ref="I850:I856" si="562">IFERROR(H850*(F850/E850),"-")</f>
        <v>0</v>
      </c>
      <c r="J850" s="426">
        <f t="shared" ref="J850:J855" si="563">IFERROR(H850*(G850/E850),"-")</f>
        <v>0</v>
      </c>
    </row>
    <row r="851" spans="1:10" ht="23.4" x14ac:dyDescent="0.3">
      <c r="A851" s="277" t="s">
        <v>111</v>
      </c>
      <c r="B851" s="923"/>
      <c r="C851" s="278" t="s">
        <v>421</v>
      </c>
      <c r="D851" s="278" t="s">
        <v>257</v>
      </c>
      <c r="E851" s="516">
        <v>13.002700000000001</v>
      </c>
      <c r="F851" s="408">
        <f>IFERROR(E851*'01 Prod Physique Boites'!H844,"-")</f>
        <v>77691.132500000007</v>
      </c>
      <c r="G851" s="408">
        <f>IFERROR(E851*'01 Prod Physique Boites'!L844,"-")</f>
        <v>3372159.2261000001</v>
      </c>
      <c r="H851" s="391">
        <v>21.18</v>
      </c>
      <c r="I851" s="427">
        <f t="shared" si="562"/>
        <v>126550.5</v>
      </c>
      <c r="J851" s="428">
        <f t="shared" si="563"/>
        <v>5492884.7400000002</v>
      </c>
    </row>
    <row r="852" spans="1:10" ht="23.4" x14ac:dyDescent="0.3">
      <c r="A852" s="277" t="s">
        <v>111</v>
      </c>
      <c r="B852" s="923"/>
      <c r="C852" s="278" t="s">
        <v>441</v>
      </c>
      <c r="D852" s="278" t="s">
        <v>205</v>
      </c>
      <c r="E852" s="516">
        <v>12.9049</v>
      </c>
      <c r="F852" s="408">
        <f>IFERROR(E852*'01 Prod Physique Boites'!H845,"-")</f>
        <v>0</v>
      </c>
      <c r="G852" s="408">
        <f>IFERROR(E852*'01 Prod Physique Boites'!L845,"-")</f>
        <v>0</v>
      </c>
      <c r="H852" s="391">
        <v>20.6602</v>
      </c>
      <c r="I852" s="427">
        <f t="shared" si="562"/>
        <v>0</v>
      </c>
      <c r="J852" s="428">
        <f t="shared" si="563"/>
        <v>0</v>
      </c>
    </row>
    <row r="853" spans="1:10" ht="23.4" x14ac:dyDescent="0.3">
      <c r="A853" s="277" t="s">
        <v>111</v>
      </c>
      <c r="B853" s="923"/>
      <c r="C853" s="278" t="s">
        <v>330</v>
      </c>
      <c r="D853" s="278" t="s">
        <v>206</v>
      </c>
      <c r="E853" s="516">
        <v>13.078200000000001</v>
      </c>
      <c r="F853" s="408">
        <f>IFERROR(E853*'01 Prod Physique Boites'!H846,"-")</f>
        <v>0</v>
      </c>
      <c r="G853" s="408">
        <f>IFERROR(E853*'01 Prod Physique Boites'!L846,"-")</f>
        <v>24011.575200000003</v>
      </c>
      <c r="H853" s="391">
        <v>20.66</v>
      </c>
      <c r="I853" s="427">
        <f t="shared" si="562"/>
        <v>0</v>
      </c>
      <c r="J853" s="428">
        <f t="shared" si="563"/>
        <v>37931.760000000002</v>
      </c>
    </row>
    <row r="854" spans="1:10" ht="23.4" x14ac:dyDescent="0.3">
      <c r="A854" s="277" t="s">
        <v>111</v>
      </c>
      <c r="B854" s="923"/>
      <c r="C854" s="278" t="s">
        <v>377</v>
      </c>
      <c r="D854" s="278" t="s">
        <v>371</v>
      </c>
      <c r="E854" s="516">
        <v>13.1958</v>
      </c>
      <c r="F854" s="408">
        <f>IFERROR(E854*'01 Prod Physique Boites'!H847,"-")</f>
        <v>0</v>
      </c>
      <c r="G854" s="408">
        <f>IFERROR(E854*'01 Prod Physique Boites'!L847,"-")</f>
        <v>109683.4896</v>
      </c>
      <c r="H854" s="391">
        <v>21.28</v>
      </c>
      <c r="I854" s="427">
        <f t="shared" si="562"/>
        <v>0</v>
      </c>
      <c r="J854" s="428">
        <f t="shared" si="563"/>
        <v>176879.36000000002</v>
      </c>
    </row>
    <row r="855" spans="1:10" ht="23.4" x14ac:dyDescent="0.3">
      <c r="A855" s="277" t="s">
        <v>111</v>
      </c>
      <c r="B855" s="923"/>
      <c r="C855" s="278" t="s">
        <v>443</v>
      </c>
      <c r="D855" s="278" t="s">
        <v>207</v>
      </c>
      <c r="E855" s="516">
        <v>12.9049</v>
      </c>
      <c r="F855" s="408">
        <f>IFERROR(E855*'01 Prod Physique Boites'!H848,"-")</f>
        <v>868757.86800000002</v>
      </c>
      <c r="G855" s="408">
        <f>IFERROR(E855*'01 Prod Physique Boites'!L848,"-")</f>
        <v>2606273.6039999998</v>
      </c>
      <c r="H855" s="391">
        <v>20.66</v>
      </c>
      <c r="I855" s="427">
        <f t="shared" si="562"/>
        <v>1390831.2</v>
      </c>
      <c r="J855" s="428">
        <f t="shared" si="563"/>
        <v>4172493.6</v>
      </c>
    </row>
    <row r="856" spans="1:10" ht="24" thickBot="1" x14ac:dyDescent="0.35">
      <c r="A856" s="277" t="s">
        <v>111</v>
      </c>
      <c r="B856" s="924"/>
      <c r="C856" s="282" t="s">
        <v>416</v>
      </c>
      <c r="D856" s="282" t="s">
        <v>189</v>
      </c>
      <c r="E856" s="512">
        <v>13.6509</v>
      </c>
      <c r="F856" s="408">
        <f>IFERROR(E856*'01 Prod Physique Boites'!H849,"-")</f>
        <v>0</v>
      </c>
      <c r="G856" s="408">
        <f>IFERROR(E856*'01 Prod Physique Boites'!L849,"-")</f>
        <v>1002522.096</v>
      </c>
      <c r="H856" s="393">
        <v>21.18</v>
      </c>
      <c r="I856" s="429">
        <f t="shared" si="562"/>
        <v>0</v>
      </c>
      <c r="J856" s="430">
        <f>IFERROR(H856*(G856/E856),"-")</f>
        <v>1555459.2</v>
      </c>
    </row>
    <row r="857" spans="1:10" ht="24" thickBot="1" x14ac:dyDescent="0.35">
      <c r="A857" s="277" t="s">
        <v>111</v>
      </c>
      <c r="B857" s="906" t="s">
        <v>48</v>
      </c>
      <c r="C857" s="907"/>
      <c r="D857" s="908"/>
      <c r="E857" s="396"/>
      <c r="F857" s="412">
        <f t="shared" ref="F857:G857" si="564">SUM(F850:F856)</f>
        <v>946449.00050000008</v>
      </c>
      <c r="G857" s="413">
        <f t="shared" si="564"/>
        <v>7114649.9908999996</v>
      </c>
      <c r="H857" s="397"/>
      <c r="I857" s="412">
        <f t="shared" ref="I857" si="565">SUM(I850:I856)</f>
        <v>1517381.7</v>
      </c>
      <c r="J857" s="431">
        <f>SUM(J850:J856)</f>
        <v>11435648.66</v>
      </c>
    </row>
    <row r="858" spans="1:10" ht="23.4" x14ac:dyDescent="0.3">
      <c r="A858" s="277" t="s">
        <v>111</v>
      </c>
      <c r="B858" s="922" t="s">
        <v>18</v>
      </c>
      <c r="C858" s="272" t="s">
        <v>359</v>
      </c>
      <c r="D858" s="272" t="s">
        <v>99</v>
      </c>
      <c r="E858" s="515">
        <v>17.8202</v>
      </c>
      <c r="F858" s="408">
        <f>IFERROR(E858*'01 Prod Physique Boites'!H851,"-")</f>
        <v>0</v>
      </c>
      <c r="G858" s="409">
        <f>IFERROR(E858*'01 Prod Physique Boites'!L851,"-")</f>
        <v>0</v>
      </c>
      <c r="H858" s="387">
        <v>24.93</v>
      </c>
      <c r="I858" s="425">
        <f t="shared" ref="I858:I864" si="566">IFERROR(H858*(F858/E858),"-")</f>
        <v>0</v>
      </c>
      <c r="J858" s="426">
        <f t="shared" ref="J858:J860" si="567">IFERROR(H858*(G858/E858),"-")</f>
        <v>0</v>
      </c>
    </row>
    <row r="859" spans="1:10" ht="23.4" x14ac:dyDescent="0.3">
      <c r="A859" s="277" t="s">
        <v>111</v>
      </c>
      <c r="B859" s="923"/>
      <c r="C859" s="278" t="s">
        <v>138</v>
      </c>
      <c r="D859" s="278"/>
      <c r="E859" s="516">
        <v>17.8202</v>
      </c>
      <c r="F859" s="408">
        <f>IFERROR(E859*'01 Prod Physique Boites'!H852,"-")</f>
        <v>0</v>
      </c>
      <c r="G859" s="409">
        <f>IFERROR(E859*'01 Prod Physique Boites'!L852,"-")</f>
        <v>0</v>
      </c>
      <c r="H859" s="391">
        <v>0</v>
      </c>
      <c r="I859" s="427">
        <f t="shared" si="566"/>
        <v>0</v>
      </c>
      <c r="J859" s="428">
        <f t="shared" si="567"/>
        <v>0</v>
      </c>
    </row>
    <row r="860" spans="1:10" ht="23.4" x14ac:dyDescent="0.3">
      <c r="A860" s="277" t="s">
        <v>111</v>
      </c>
      <c r="B860" s="923"/>
      <c r="C860" s="278" t="s">
        <v>123</v>
      </c>
      <c r="D860" s="278"/>
      <c r="E860" s="516">
        <v>16.4071</v>
      </c>
      <c r="F860" s="408">
        <f>IFERROR(E860*'01 Prod Physique Boites'!H853,"-")</f>
        <v>0</v>
      </c>
      <c r="G860" s="409">
        <f>IFERROR(E860*'01 Prod Physique Boites'!L853,"-")</f>
        <v>0</v>
      </c>
      <c r="H860" s="391">
        <v>0</v>
      </c>
      <c r="I860" s="427">
        <f t="shared" si="566"/>
        <v>0</v>
      </c>
      <c r="J860" s="428">
        <f t="shared" si="567"/>
        <v>0</v>
      </c>
    </row>
    <row r="861" spans="1:10" ht="23.4" x14ac:dyDescent="0.3">
      <c r="A861" s="277" t="s">
        <v>111</v>
      </c>
      <c r="B861" s="923"/>
      <c r="C861" s="278" t="s">
        <v>130</v>
      </c>
      <c r="D861" s="278"/>
      <c r="E861" s="516">
        <v>17.8202</v>
      </c>
      <c r="F861" s="408">
        <f>IFERROR(E861*'01 Prod Physique Boites'!H854,"-")</f>
        <v>0</v>
      </c>
      <c r="G861" s="409">
        <f>IFERROR(E861*'01 Prod Physique Boites'!L854,"-")</f>
        <v>0</v>
      </c>
      <c r="H861" s="391"/>
      <c r="I861" s="427">
        <f t="shared" si="566"/>
        <v>0</v>
      </c>
      <c r="J861" s="428">
        <f>IFERROR(H861*(G861/E861),"-")</f>
        <v>0</v>
      </c>
    </row>
    <row r="862" spans="1:10" ht="23.4" x14ac:dyDescent="0.3">
      <c r="A862" s="277" t="s">
        <v>111</v>
      </c>
      <c r="B862" s="923"/>
      <c r="C862" s="278" t="s">
        <v>191</v>
      </c>
      <c r="D862" s="278" t="s">
        <v>192</v>
      </c>
      <c r="E862" s="516">
        <v>17.8202</v>
      </c>
      <c r="F862" s="408">
        <f>IFERROR(E862*'01 Prod Physique Boites'!H855,"-")</f>
        <v>0</v>
      </c>
      <c r="G862" s="409">
        <f>IFERROR(E862*'01 Prod Physique Boites'!L855,"-")</f>
        <v>0</v>
      </c>
      <c r="H862" s="391"/>
      <c r="I862" s="427">
        <f t="shared" si="566"/>
        <v>0</v>
      </c>
      <c r="J862" s="428">
        <f t="shared" ref="J862:J864" si="568">IFERROR(H862*(G862/E862),"-")</f>
        <v>0</v>
      </c>
    </row>
    <row r="863" spans="1:10" ht="23.4" x14ac:dyDescent="0.3">
      <c r="A863" s="277" t="s">
        <v>111</v>
      </c>
      <c r="B863" s="923"/>
      <c r="C863" s="278" t="s">
        <v>194</v>
      </c>
      <c r="D863" s="278" t="s">
        <v>193</v>
      </c>
      <c r="E863" s="516">
        <v>16.7288</v>
      </c>
      <c r="F863" s="408">
        <f>IFERROR(E863*'01 Prod Physique Boites'!H856,"-")</f>
        <v>0</v>
      </c>
      <c r="G863" s="409">
        <f>IFERROR(E863*'01 Prod Physique Boites'!L856,"-")</f>
        <v>0</v>
      </c>
      <c r="H863" s="391"/>
      <c r="I863" s="427">
        <f t="shared" si="566"/>
        <v>0</v>
      </c>
      <c r="J863" s="428">
        <f t="shared" si="568"/>
        <v>0</v>
      </c>
    </row>
    <row r="864" spans="1:10" ht="24" thickBot="1" x14ac:dyDescent="0.35">
      <c r="A864" s="277" t="s">
        <v>111</v>
      </c>
      <c r="B864" s="924"/>
      <c r="C864" s="290" t="s">
        <v>195</v>
      </c>
      <c r="D864" s="290" t="s">
        <v>115</v>
      </c>
      <c r="E864" s="512">
        <v>17.8202</v>
      </c>
      <c r="F864" s="408">
        <f>IFERROR(E864*'01 Prod Physique Boites'!H857,"-")</f>
        <v>0</v>
      </c>
      <c r="G864" s="409">
        <f>IFERROR(E864*'01 Prod Physique Boites'!L857,"-")</f>
        <v>0</v>
      </c>
      <c r="H864" s="393"/>
      <c r="I864" s="429">
        <f t="shared" si="566"/>
        <v>0</v>
      </c>
      <c r="J864" s="430">
        <f t="shared" si="568"/>
        <v>0</v>
      </c>
    </row>
    <row r="865" spans="1:10" ht="24" thickBot="1" x14ac:dyDescent="0.35">
      <c r="A865" s="277" t="s">
        <v>111</v>
      </c>
      <c r="B865" s="906" t="s">
        <v>29</v>
      </c>
      <c r="C865" s="907"/>
      <c r="D865" s="908"/>
      <c r="E865" s="397"/>
      <c r="F865" s="412">
        <f t="shared" ref="F865:G865" si="569">SUM(F858:F864)</f>
        <v>0</v>
      </c>
      <c r="G865" s="413">
        <f t="shared" si="569"/>
        <v>0</v>
      </c>
      <c r="H865" s="397"/>
      <c r="I865" s="412">
        <f t="shared" ref="I865:J865" si="570">SUM(I858:I864)</f>
        <v>0</v>
      </c>
      <c r="J865" s="431">
        <f t="shared" si="570"/>
        <v>0</v>
      </c>
    </row>
    <row r="866" spans="1:10" ht="23.4" x14ac:dyDescent="0.3">
      <c r="A866" s="277"/>
      <c r="B866" s="918" t="s">
        <v>19</v>
      </c>
      <c r="C866" s="678" t="s">
        <v>260</v>
      </c>
      <c r="D866" s="676" t="s">
        <v>192</v>
      </c>
      <c r="E866" s="517">
        <v>12.2659</v>
      </c>
      <c r="F866" s="703">
        <f>IFERROR(E866*'01 Prod Physique Boites'!H859,"-")</f>
        <v>414489.2928</v>
      </c>
      <c r="G866" s="703">
        <f>IFERROR(E866*'01 Prod Physique Boites'!L859,"-")</f>
        <v>3730403.6351999999</v>
      </c>
      <c r="H866" s="704">
        <v>14.79</v>
      </c>
      <c r="I866" s="703">
        <f t="shared" ref="I866:I867" si="571">IFERROR(H866*(F866/E866),"-")</f>
        <v>499783.67999999999</v>
      </c>
      <c r="J866" s="703">
        <f>IFERROR(H866*(G866/E866),"-")</f>
        <v>4498053.1200000001</v>
      </c>
    </row>
    <row r="867" spans="1:10" ht="24" thickBot="1" x14ac:dyDescent="0.35">
      <c r="A867" s="740" t="s">
        <v>111</v>
      </c>
      <c r="B867" s="920"/>
      <c r="C867" s="679" t="s">
        <v>417</v>
      </c>
      <c r="D867" s="677"/>
      <c r="E867" s="285">
        <v>0</v>
      </c>
      <c r="F867" s="414">
        <f>IFERROR(E867*'01 Prod Physique Boites'!H860,"-")</f>
        <v>0</v>
      </c>
      <c r="G867" s="415">
        <f>IFERROR(E867*'01 Prod Physique Boites'!L860,"-")</f>
        <v>0</v>
      </c>
      <c r="H867" s="398">
        <v>0</v>
      </c>
      <c r="I867" s="432" t="str">
        <f t="shared" si="571"/>
        <v>-</v>
      </c>
      <c r="J867" s="433" t="str">
        <f t="shared" ref="J867" si="572">IFERROR(I867*(G867/F867),"-")</f>
        <v>-</v>
      </c>
    </row>
    <row r="868" spans="1:10" ht="24" thickBot="1" x14ac:dyDescent="0.35">
      <c r="A868" s="277" t="s">
        <v>111</v>
      </c>
      <c r="B868" s="906" t="s">
        <v>49</v>
      </c>
      <c r="C868" s="907"/>
      <c r="D868" s="908"/>
      <c r="E868" s="396"/>
      <c r="F868" s="412">
        <f t="shared" ref="F868:G868" si="573">SUM(F867)</f>
        <v>0</v>
      </c>
      <c r="G868" s="413">
        <f t="shared" si="573"/>
        <v>0</v>
      </c>
      <c r="H868" s="397"/>
      <c r="I868" s="412">
        <f t="shared" ref="I868" si="574">SUM(I867)</f>
        <v>0</v>
      </c>
      <c r="J868" s="431">
        <f>SUM(J866:J867)</f>
        <v>4498053.1200000001</v>
      </c>
    </row>
    <row r="869" spans="1:10" ht="23.4" x14ac:dyDescent="0.3">
      <c r="A869" s="277" t="s">
        <v>111</v>
      </c>
      <c r="B869" s="922" t="s">
        <v>20</v>
      </c>
      <c r="C869" s="297" t="s">
        <v>370</v>
      </c>
      <c r="D869" s="297" t="s">
        <v>324</v>
      </c>
      <c r="E869" s="515">
        <v>26.032900000000001</v>
      </c>
      <c r="F869" s="408">
        <f>IFERROR(E869*'01 Prod Physique Boites'!H862,"-")</f>
        <v>0</v>
      </c>
      <c r="G869" s="409">
        <f>IFERROR(E869*'01 Prod Physique Boites'!L862,"-")</f>
        <v>0</v>
      </c>
      <c r="H869" s="387">
        <v>36.44</v>
      </c>
      <c r="I869" s="425">
        <f>IFERROR(H869*(F869/E869),"-")</f>
        <v>0</v>
      </c>
      <c r="J869" s="426">
        <f t="shared" ref="J869:J871" si="575">IFERROR(H869*(G869/E869),"-")</f>
        <v>0</v>
      </c>
    </row>
    <row r="870" spans="1:10" ht="23.4" x14ac:dyDescent="0.3">
      <c r="A870" s="277" t="s">
        <v>111</v>
      </c>
      <c r="B870" s="923"/>
      <c r="C870" s="298" t="s">
        <v>122</v>
      </c>
      <c r="D870" s="298"/>
      <c r="E870" s="390">
        <v>24.2607</v>
      </c>
      <c r="F870" s="408">
        <f>IFERROR(E870*'01 Prod Physique Boites'!H863,"-")</f>
        <v>0</v>
      </c>
      <c r="G870" s="409">
        <f>IFERROR(E870*'01 Prod Physique Boites'!L863,"-")</f>
        <v>0</v>
      </c>
      <c r="H870" s="391">
        <v>37.369999999999997</v>
      </c>
      <c r="I870" s="427">
        <f>IFERROR(H870*(F870/E870),"-")</f>
        <v>0</v>
      </c>
      <c r="J870" s="428">
        <f t="shared" si="575"/>
        <v>0</v>
      </c>
    </row>
    <row r="871" spans="1:10" ht="24" thickBot="1" x14ac:dyDescent="0.35">
      <c r="A871" s="277" t="s">
        <v>111</v>
      </c>
      <c r="B871" s="924"/>
      <c r="C871" s="299" t="s">
        <v>128</v>
      </c>
      <c r="D871" s="299"/>
      <c r="E871" s="392">
        <v>26.035799999999998</v>
      </c>
      <c r="F871" s="408">
        <f>IFERROR(E871*'01 Prod Physique Boites'!H864,"-")</f>
        <v>0</v>
      </c>
      <c r="G871" s="409">
        <f>IFERROR(E871*'01 Prod Physique Boites'!L864,"-")</f>
        <v>0</v>
      </c>
      <c r="H871" s="393">
        <v>37.11</v>
      </c>
      <c r="I871" s="429">
        <f>IFERROR(H871*(F871/E871),"-")</f>
        <v>0</v>
      </c>
      <c r="J871" s="430">
        <f t="shared" si="575"/>
        <v>0</v>
      </c>
    </row>
    <row r="872" spans="1:10" ht="24" thickBot="1" x14ac:dyDescent="0.35">
      <c r="A872" s="277" t="s">
        <v>111</v>
      </c>
      <c r="B872" s="907" t="s">
        <v>50</v>
      </c>
      <c r="C872" s="907"/>
      <c r="D872" s="925"/>
      <c r="E872" s="396"/>
      <c r="F872" s="412">
        <f t="shared" ref="F872:G872" si="576">SUM(F869:F871)</f>
        <v>0</v>
      </c>
      <c r="G872" s="413">
        <f t="shared" si="576"/>
        <v>0</v>
      </c>
      <c r="H872" s="397"/>
      <c r="I872" s="412">
        <f t="shared" ref="I872:J872" si="577">SUM(I869:I871)</f>
        <v>0</v>
      </c>
      <c r="J872" s="431">
        <f t="shared" si="577"/>
        <v>0</v>
      </c>
    </row>
    <row r="873" spans="1:10" ht="24" thickBot="1" x14ac:dyDescent="0.35">
      <c r="A873" s="277" t="s">
        <v>111</v>
      </c>
      <c r="B873" s="926" t="s">
        <v>21</v>
      </c>
      <c r="C873" s="927"/>
      <c r="D873" s="928"/>
      <c r="E873" s="399"/>
      <c r="F873" s="416">
        <f>+F849+F857+F865+F868+F872</f>
        <v>1350491.4965000001</v>
      </c>
      <c r="G873" s="417">
        <f>+G849+G857+G865+G868+G872</f>
        <v>13392848.774900001</v>
      </c>
      <c r="H873" s="400"/>
      <c r="I873" s="416">
        <f t="shared" ref="I873" si="578">+I849+I857+I865+I868+I872</f>
        <v>2256785.4248000002</v>
      </c>
      <c r="J873" s="434">
        <f>+J849+J857+J865+J868+J872</f>
        <v>27422898.119200002</v>
      </c>
    </row>
    <row r="874" spans="1:10" ht="23.4" x14ac:dyDescent="0.3">
      <c r="A874" s="277" t="s">
        <v>111</v>
      </c>
      <c r="B874" s="922" t="s">
        <v>22</v>
      </c>
      <c r="C874" s="272" t="s">
        <v>133</v>
      </c>
      <c r="D874" s="272"/>
      <c r="E874" s="386">
        <v>22.820599999999999</v>
      </c>
      <c r="F874" s="408">
        <f>IFERROR(E874*'01 Prod Physique Boites'!H867,"-")</f>
        <v>0</v>
      </c>
      <c r="G874" s="409">
        <f>IFERROR(E874*'01 Prod Physique Boites'!L867,"-")</f>
        <v>0</v>
      </c>
      <c r="H874" s="387">
        <v>27.5</v>
      </c>
      <c r="I874" s="425">
        <f>IFERROR(H874*(F874/E874),"-")</f>
        <v>0</v>
      </c>
      <c r="J874" s="426">
        <f t="shared" ref="J874:J877" si="579">IFERROR(H874*(G874/E874),"-")</f>
        <v>0</v>
      </c>
    </row>
    <row r="875" spans="1:10" ht="23.4" x14ac:dyDescent="0.3">
      <c r="A875" s="277" t="s">
        <v>111</v>
      </c>
      <c r="B875" s="923"/>
      <c r="C875" s="301" t="s">
        <v>291</v>
      </c>
      <c r="D875" s="301" t="s">
        <v>196</v>
      </c>
      <c r="E875" s="390">
        <v>23.570699999999999</v>
      </c>
      <c r="F875" s="408">
        <f>IFERROR(E875*'01 Prod Physique Boites'!H868,"-")</f>
        <v>0</v>
      </c>
      <c r="G875" s="409">
        <f>IFERROR(E875*'01 Prod Physique Boites'!L868,"-")</f>
        <v>0</v>
      </c>
      <c r="H875" s="391">
        <v>27.5</v>
      </c>
      <c r="I875" s="427">
        <f>IFERROR(H875*(F875/E875),"-")</f>
        <v>0</v>
      </c>
      <c r="J875" s="428">
        <f t="shared" si="579"/>
        <v>0</v>
      </c>
    </row>
    <row r="876" spans="1:10" ht="23.4" x14ac:dyDescent="0.3">
      <c r="A876" s="277" t="s">
        <v>111</v>
      </c>
      <c r="B876" s="923"/>
      <c r="C876" s="301" t="s">
        <v>198</v>
      </c>
      <c r="D876" s="301" t="s">
        <v>100</v>
      </c>
      <c r="E876" s="390">
        <v>22.238499999999998</v>
      </c>
      <c r="F876" s="408">
        <f>IFERROR(E876*'01 Prod Physique Boites'!H869,"-")</f>
        <v>0</v>
      </c>
      <c r="G876" s="409">
        <f>IFERROR(E876*'01 Prod Physique Boites'!L869,"-")</f>
        <v>0</v>
      </c>
      <c r="H876" s="391">
        <v>24</v>
      </c>
      <c r="I876" s="427">
        <f>IFERROR(H876*(F876/E876),"-")</f>
        <v>0</v>
      </c>
      <c r="J876" s="428">
        <f t="shared" si="579"/>
        <v>0</v>
      </c>
    </row>
    <row r="877" spans="1:10" ht="24" thickBot="1" x14ac:dyDescent="0.35">
      <c r="A877" s="277" t="s">
        <v>111</v>
      </c>
      <c r="B877" s="924"/>
      <c r="C877" s="282" t="s">
        <v>197</v>
      </c>
      <c r="D877" s="282" t="s">
        <v>100</v>
      </c>
      <c r="E877" s="392">
        <v>23.5685</v>
      </c>
      <c r="F877" s="408">
        <f>IFERROR(E877*'01 Prod Physique Boites'!H870,"-")</f>
        <v>0</v>
      </c>
      <c r="G877" s="409">
        <f>IFERROR(E877*'01 Prod Physique Boites'!L870,"-")</f>
        <v>0</v>
      </c>
      <c r="H877" s="393">
        <v>24</v>
      </c>
      <c r="I877" s="429">
        <f>IFERROR(H877*(F877/E877),"-")</f>
        <v>0</v>
      </c>
      <c r="J877" s="430">
        <f t="shared" si="579"/>
        <v>0</v>
      </c>
    </row>
    <row r="878" spans="1:10" ht="24" thickBot="1" x14ac:dyDescent="0.35">
      <c r="A878" s="277" t="s">
        <v>111</v>
      </c>
      <c r="B878" s="906" t="s">
        <v>51</v>
      </c>
      <c r="C878" s="907"/>
      <c r="D878" s="908"/>
      <c r="E878" s="396"/>
      <c r="F878" s="412">
        <f t="shared" ref="F878:G878" si="580">SUM(F874:F877)</f>
        <v>0</v>
      </c>
      <c r="G878" s="413">
        <f t="shared" si="580"/>
        <v>0</v>
      </c>
      <c r="H878" s="397"/>
      <c r="I878" s="412">
        <f t="shared" ref="I878:J878" si="581">SUM(I874:I877)</f>
        <v>0</v>
      </c>
      <c r="J878" s="431">
        <f t="shared" si="581"/>
        <v>0</v>
      </c>
    </row>
    <row r="879" spans="1:10" ht="23.4" x14ac:dyDescent="0.3">
      <c r="A879" s="277" t="s">
        <v>111</v>
      </c>
      <c r="B879" s="922" t="s">
        <v>23</v>
      </c>
      <c r="C879" s="302" t="s">
        <v>348</v>
      </c>
      <c r="D879" s="302" t="s">
        <v>263</v>
      </c>
      <c r="E879" s="386">
        <v>101.4935</v>
      </c>
      <c r="F879" s="408">
        <f>IFERROR(E879*'01 Prod Physique Boites'!H872,"-")</f>
        <v>0</v>
      </c>
      <c r="G879" s="409">
        <f>IFERROR(E879*'01 Prod Physique Boites'!L872,"-")</f>
        <v>0</v>
      </c>
      <c r="H879" s="391">
        <v>160.44999999999999</v>
      </c>
      <c r="I879" s="425">
        <f t="shared" ref="I879:I886" si="582">IFERROR(H879*(F879/E879),"-")</f>
        <v>0</v>
      </c>
      <c r="J879" s="426">
        <f t="shared" ref="J879:J886" si="583">IFERROR(H879*(G879/E879),"-")</f>
        <v>0</v>
      </c>
    </row>
    <row r="880" spans="1:10" ht="23.4" x14ac:dyDescent="0.3">
      <c r="A880" s="277" t="s">
        <v>111</v>
      </c>
      <c r="B880" s="923"/>
      <c r="C880" s="278" t="s">
        <v>24</v>
      </c>
      <c r="D880" s="278" t="s">
        <v>263</v>
      </c>
      <c r="E880" s="390">
        <v>101.4935</v>
      </c>
      <c r="F880" s="408">
        <f>IFERROR(E880*'01 Prod Physique Boites'!H873,"-")</f>
        <v>0</v>
      </c>
      <c r="G880" s="409">
        <f>IFERROR(E880*'01 Prod Physique Boites'!L873,"-")</f>
        <v>3197045.25</v>
      </c>
      <c r="H880" s="391">
        <v>160.44999999999999</v>
      </c>
      <c r="I880" s="427">
        <f t="shared" si="582"/>
        <v>0</v>
      </c>
      <c r="J880" s="428">
        <f t="shared" si="583"/>
        <v>5054175</v>
      </c>
    </row>
    <row r="881" spans="1:10" ht="23.4" x14ac:dyDescent="0.3">
      <c r="A881" s="277" t="s">
        <v>111</v>
      </c>
      <c r="B881" s="923"/>
      <c r="C881" s="278" t="s">
        <v>261</v>
      </c>
      <c r="D881" s="278" t="s">
        <v>263</v>
      </c>
      <c r="E881" s="390">
        <v>101.4935</v>
      </c>
      <c r="F881" s="408">
        <f>IFERROR(E881*'01 Prod Physique Boites'!H874,"-")</f>
        <v>355227.25</v>
      </c>
      <c r="G881" s="409">
        <f>IFERROR(E881*'01 Prod Physique Boites'!L874,"-")</f>
        <v>355227.25</v>
      </c>
      <c r="H881" s="391">
        <v>160.44999999999999</v>
      </c>
      <c r="I881" s="427">
        <f t="shared" si="582"/>
        <v>561575</v>
      </c>
      <c r="J881" s="428">
        <f t="shared" si="583"/>
        <v>561575</v>
      </c>
    </row>
    <row r="882" spans="1:10" ht="23.4" x14ac:dyDescent="0.3">
      <c r="A882" s="277" t="s">
        <v>111</v>
      </c>
      <c r="B882" s="923"/>
      <c r="C882" s="278" t="s">
        <v>262</v>
      </c>
      <c r="D882" s="278" t="s">
        <v>263</v>
      </c>
      <c r="E882" s="390">
        <v>101.4935</v>
      </c>
      <c r="F882" s="408">
        <f>IFERROR(E882*'01 Prod Physique Boites'!H875,"-")</f>
        <v>772568.522</v>
      </c>
      <c r="G882" s="409">
        <f>IFERROR(E882*'01 Prod Physique Boites'!L875,"-")</f>
        <v>772568.522</v>
      </c>
      <c r="H882" s="391">
        <v>160.44999999999999</v>
      </c>
      <c r="I882" s="427">
        <f t="shared" si="582"/>
        <v>1221345.3999999999</v>
      </c>
      <c r="J882" s="428">
        <f t="shared" si="583"/>
        <v>1221345.3999999999</v>
      </c>
    </row>
    <row r="883" spans="1:10" ht="23.4" x14ac:dyDescent="0.3">
      <c r="A883" s="277" t="s">
        <v>111</v>
      </c>
      <c r="B883" s="923"/>
      <c r="C883" s="301" t="s">
        <v>264</v>
      </c>
      <c r="D883" s="278" t="s">
        <v>263</v>
      </c>
      <c r="E883" s="390">
        <v>101.4935</v>
      </c>
      <c r="F883" s="408">
        <f>IFERROR(E883*'01 Prod Physique Boites'!H876,"-")</f>
        <v>0</v>
      </c>
      <c r="G883" s="409">
        <f>IFERROR(E883*'01 Prod Physique Boites'!L876,"-")</f>
        <v>0</v>
      </c>
      <c r="H883" s="391">
        <v>160.44999999999999</v>
      </c>
      <c r="I883" s="427">
        <f t="shared" si="582"/>
        <v>0</v>
      </c>
      <c r="J883" s="428">
        <f t="shared" si="583"/>
        <v>0</v>
      </c>
    </row>
    <row r="884" spans="1:10" ht="23.4" x14ac:dyDescent="0.3">
      <c r="A884" s="277" t="s">
        <v>111</v>
      </c>
      <c r="B884" s="923"/>
      <c r="C884" s="301" t="s">
        <v>265</v>
      </c>
      <c r="D884" s="278" t="s">
        <v>263</v>
      </c>
      <c r="E884" s="390">
        <v>101.4935</v>
      </c>
      <c r="F884" s="408">
        <f>IFERROR(E884*'01 Prod Physique Boites'!H877,"-")</f>
        <v>0</v>
      </c>
      <c r="G884" s="409">
        <f>IFERROR(E884*'01 Prod Physique Boites'!L877,"-")</f>
        <v>0</v>
      </c>
      <c r="H884" s="391">
        <v>160.44999999999999</v>
      </c>
      <c r="I884" s="427">
        <f t="shared" si="582"/>
        <v>0</v>
      </c>
      <c r="J884" s="428">
        <f t="shared" si="583"/>
        <v>0</v>
      </c>
    </row>
    <row r="885" spans="1:10" ht="23.4" x14ac:dyDescent="0.3">
      <c r="A885" s="277" t="s">
        <v>111</v>
      </c>
      <c r="B885" s="923"/>
      <c r="C885" s="301" t="s">
        <v>266</v>
      </c>
      <c r="D885" s="278" t="s">
        <v>268</v>
      </c>
      <c r="E885" s="390">
        <v>101.4935</v>
      </c>
      <c r="F885" s="408">
        <f>IFERROR(E885*'01 Prod Physique Boites'!H878,"-")</f>
        <v>169189.66449999998</v>
      </c>
      <c r="G885" s="409">
        <f>IFERROR(E885*'01 Prod Physique Boites'!L878,"-")</f>
        <v>1057257.7895</v>
      </c>
      <c r="H885" s="391">
        <v>160.44999999999999</v>
      </c>
      <c r="I885" s="427">
        <f t="shared" si="582"/>
        <v>267470.14999999997</v>
      </c>
      <c r="J885" s="428">
        <f t="shared" si="583"/>
        <v>1671407.65</v>
      </c>
    </row>
    <row r="886" spans="1:10" ht="24" thickBot="1" x14ac:dyDescent="0.35">
      <c r="A886" s="277" t="s">
        <v>111</v>
      </c>
      <c r="B886" s="924"/>
      <c r="C886" s="301" t="s">
        <v>267</v>
      </c>
      <c r="D886" s="278" t="s">
        <v>263</v>
      </c>
      <c r="E886" s="392">
        <v>101.4935</v>
      </c>
      <c r="F886" s="408">
        <f>IFERROR(E886*'01 Prod Physique Boites'!H879,"-")</f>
        <v>0</v>
      </c>
      <c r="G886" s="409">
        <f>IFERROR(E886*'01 Prod Physique Boites'!L879,"-")</f>
        <v>1420909</v>
      </c>
      <c r="H886" s="391">
        <v>160.44999999999999</v>
      </c>
      <c r="I886" s="429">
        <f t="shared" si="582"/>
        <v>0</v>
      </c>
      <c r="J886" s="430">
        <f t="shared" si="583"/>
        <v>2246300</v>
      </c>
    </row>
    <row r="887" spans="1:10" ht="24" thickBot="1" x14ac:dyDescent="0.35">
      <c r="A887" s="277" t="s">
        <v>111</v>
      </c>
      <c r="B887" s="906" t="s">
        <v>52</v>
      </c>
      <c r="C887" s="907"/>
      <c r="D887" s="908"/>
      <c r="E887" s="396"/>
      <c r="F887" s="412">
        <f t="shared" ref="F887:G887" si="584">SUM(F879:F886)</f>
        <v>1296985.4364999998</v>
      </c>
      <c r="G887" s="413">
        <f t="shared" si="584"/>
        <v>6803007.8114999998</v>
      </c>
      <c r="H887" s="397"/>
      <c r="I887" s="412">
        <f t="shared" ref="I887:J887" si="585">SUM(I879:I886)</f>
        <v>2050390.5499999998</v>
      </c>
      <c r="J887" s="431">
        <f t="shared" si="585"/>
        <v>10754803.050000001</v>
      </c>
    </row>
    <row r="888" spans="1:10" ht="24" thickBot="1" x14ac:dyDescent="0.35">
      <c r="A888" s="277" t="s">
        <v>111</v>
      </c>
      <c r="B888" s="926" t="s">
        <v>25</v>
      </c>
      <c r="C888" s="927"/>
      <c r="D888" s="928"/>
      <c r="E888" s="399"/>
      <c r="F888" s="416">
        <f t="shared" ref="F888:G888" si="586">+F878+F887</f>
        <v>1296985.4364999998</v>
      </c>
      <c r="G888" s="417">
        <f t="shared" si="586"/>
        <v>6803007.8114999998</v>
      </c>
      <c r="H888" s="400"/>
      <c r="I888" s="416">
        <f t="shared" ref="I888:J888" si="587">+I878+I887</f>
        <v>2050390.5499999998</v>
      </c>
      <c r="J888" s="434">
        <f t="shared" si="587"/>
        <v>10754803.050000001</v>
      </c>
    </row>
    <row r="889" spans="1:10" ht="24" thickBot="1" x14ac:dyDescent="0.35">
      <c r="A889" s="277" t="s">
        <v>111</v>
      </c>
      <c r="B889" s="900" t="s">
        <v>181</v>
      </c>
      <c r="C889" s="901"/>
      <c r="D889" s="902"/>
      <c r="E889" s="401"/>
      <c r="F889" s="418">
        <f t="shared" ref="F889:G889" si="588">+F873+F888</f>
        <v>2647476.9330000002</v>
      </c>
      <c r="G889" s="419">
        <f t="shared" si="588"/>
        <v>20195856.586400002</v>
      </c>
      <c r="H889" s="402"/>
      <c r="I889" s="418">
        <f t="shared" ref="I889:J889" si="589">+I873+I888</f>
        <v>4307175.9748</v>
      </c>
      <c r="J889" s="435">
        <f t="shared" si="589"/>
        <v>38177701.169200003</v>
      </c>
    </row>
    <row r="890" spans="1:10" ht="23.4" x14ac:dyDescent="0.3">
      <c r="A890" s="271" t="s">
        <v>109</v>
      </c>
      <c r="B890" s="929" t="s">
        <v>26</v>
      </c>
      <c r="C890" s="303" t="s">
        <v>334</v>
      </c>
      <c r="D890" s="305" t="s">
        <v>192</v>
      </c>
      <c r="E890" s="515">
        <v>13.1272</v>
      </c>
      <c r="F890" s="408">
        <f>IFERROR(E890*'01 Prod Physique Boites'!H883,"-")</f>
        <v>0</v>
      </c>
      <c r="G890" s="409">
        <f>IFERROR(E890*'01 Prod Physique Boites'!L883,"-")</f>
        <v>4229820.1295999996</v>
      </c>
      <c r="H890" s="387">
        <v>20.76</v>
      </c>
      <c r="I890" s="425">
        <f t="shared" ref="I890:I898" si="590">IFERROR(H890*(F890/E890),"-")</f>
        <v>0</v>
      </c>
      <c r="J890" s="662">
        <f t="shared" ref="J890:J898" si="591">IFERROR(H890*(G890/E890),"-")</f>
        <v>6689245.6799999997</v>
      </c>
    </row>
    <row r="891" spans="1:10" ht="23.4" x14ac:dyDescent="0.3">
      <c r="A891" s="277" t="s">
        <v>109</v>
      </c>
      <c r="B891" s="929"/>
      <c r="C891" s="304" t="s">
        <v>199</v>
      </c>
      <c r="D891" s="304" t="s">
        <v>115</v>
      </c>
      <c r="E891" s="516">
        <v>14.608000000000001</v>
      </c>
      <c r="F891" s="408">
        <f>IFERROR(E891*'01 Prod Physique Boites'!H884,"-")</f>
        <v>0</v>
      </c>
      <c r="G891" s="409">
        <f>IFERROR(E891*'01 Prod Physique Boites'!L884,"-")</f>
        <v>0</v>
      </c>
      <c r="H891" s="391">
        <v>24.93</v>
      </c>
      <c r="I891" s="427">
        <f t="shared" si="590"/>
        <v>0</v>
      </c>
      <c r="J891" s="663">
        <f t="shared" si="591"/>
        <v>0</v>
      </c>
    </row>
    <row r="892" spans="1:10" ht="23.4" x14ac:dyDescent="0.3">
      <c r="A892" s="277" t="s">
        <v>109</v>
      </c>
      <c r="B892" s="929"/>
      <c r="C892" s="305" t="s">
        <v>27</v>
      </c>
      <c r="D892" s="305" t="s">
        <v>310</v>
      </c>
      <c r="E892" s="512">
        <v>17.8202</v>
      </c>
      <c r="F892" s="408">
        <f>IFERROR(E892*'01 Prod Physique Boites'!H885,"-")</f>
        <v>0</v>
      </c>
      <c r="G892" s="409">
        <f>IFERROR(E892*'01 Prod Physique Boites'!L885,"-")</f>
        <v>0</v>
      </c>
      <c r="H892" s="391">
        <v>24.93</v>
      </c>
      <c r="I892" s="427">
        <f t="shared" si="590"/>
        <v>0</v>
      </c>
      <c r="J892" s="663">
        <f t="shared" si="591"/>
        <v>0</v>
      </c>
    </row>
    <row r="893" spans="1:10" ht="23.4" x14ac:dyDescent="0.3">
      <c r="A893" s="277" t="s">
        <v>109</v>
      </c>
      <c r="B893" s="929"/>
      <c r="C893" s="305" t="s">
        <v>27</v>
      </c>
      <c r="D893" s="305" t="s">
        <v>311</v>
      </c>
      <c r="E893" s="512">
        <v>17.8202</v>
      </c>
      <c r="F893" s="408">
        <f>IFERROR(E893*'01 Prod Physique Boites'!H886,"-")</f>
        <v>0</v>
      </c>
      <c r="G893" s="409">
        <f>IFERROR(E893*'01 Prod Physique Boites'!L886,"-")</f>
        <v>0</v>
      </c>
      <c r="H893" s="391">
        <v>24.93</v>
      </c>
      <c r="I893" s="427">
        <f t="shared" si="590"/>
        <v>0</v>
      </c>
      <c r="J893" s="663">
        <f t="shared" si="591"/>
        <v>0</v>
      </c>
    </row>
    <row r="894" spans="1:10" ht="23.4" x14ac:dyDescent="0.3">
      <c r="A894" s="277" t="s">
        <v>109</v>
      </c>
      <c r="B894" s="929"/>
      <c r="C894" s="305" t="s">
        <v>325</v>
      </c>
      <c r="D894" s="305" t="s">
        <v>324</v>
      </c>
      <c r="E894" s="512">
        <v>14.608000000000001</v>
      </c>
      <c r="F894" s="408">
        <f>IFERROR(E894*'01 Prod Physique Boites'!H887,"-")</f>
        <v>0</v>
      </c>
      <c r="G894" s="409">
        <f>IFERROR(E894*'01 Prod Physique Boites'!L887,"-")</f>
        <v>0</v>
      </c>
      <c r="H894" s="391">
        <v>24.93</v>
      </c>
      <c r="I894" s="427">
        <f t="shared" si="590"/>
        <v>0</v>
      </c>
      <c r="J894" s="663">
        <f t="shared" si="591"/>
        <v>0</v>
      </c>
    </row>
    <row r="895" spans="1:10" ht="23.4" x14ac:dyDescent="0.3">
      <c r="A895" s="277"/>
      <c r="B895" s="929"/>
      <c r="C895" s="305" t="s">
        <v>393</v>
      </c>
      <c r="D895" s="305" t="s">
        <v>192</v>
      </c>
      <c r="E895" s="512">
        <v>17.8202</v>
      </c>
      <c r="F895" s="408">
        <f>IFERROR(E895*'01 Prod Physique Boites'!H888,"-")</f>
        <v>0</v>
      </c>
      <c r="G895" s="409">
        <f>IFERROR(E895*'01 Prod Physique Boites'!L888,"-")</f>
        <v>0</v>
      </c>
      <c r="H895" s="393">
        <v>21.22</v>
      </c>
      <c r="I895" s="427">
        <f t="shared" si="590"/>
        <v>0</v>
      </c>
      <c r="J895" s="664">
        <f t="shared" si="591"/>
        <v>0</v>
      </c>
    </row>
    <row r="896" spans="1:10" ht="23.4" x14ac:dyDescent="0.3">
      <c r="A896" s="277"/>
      <c r="B896" s="929"/>
      <c r="C896" s="305" t="s">
        <v>325</v>
      </c>
      <c r="D896" s="305" t="s">
        <v>101</v>
      </c>
      <c r="E896" s="512">
        <v>17.8202</v>
      </c>
      <c r="F896" s="408">
        <f>IFERROR(E896*'01 Prod Physique Boites'!H889,"-")</f>
        <v>0</v>
      </c>
      <c r="G896" s="409">
        <f>IFERROR(E896*'01 Prod Physique Boites'!L889,"-")</f>
        <v>0</v>
      </c>
      <c r="H896" s="393">
        <v>24.93</v>
      </c>
      <c r="I896" s="429">
        <f t="shared" si="590"/>
        <v>0</v>
      </c>
      <c r="J896" s="664">
        <f t="shared" si="591"/>
        <v>0</v>
      </c>
    </row>
    <row r="897" spans="1:10" ht="23.4" x14ac:dyDescent="0.3">
      <c r="A897" s="277"/>
      <c r="B897" s="929"/>
      <c r="C897" s="305" t="s">
        <v>325</v>
      </c>
      <c r="D897" s="305" t="s">
        <v>394</v>
      </c>
      <c r="E897" s="512">
        <v>14.608000000000001</v>
      </c>
      <c r="F897" s="408">
        <f>IFERROR(E897*'01 Prod Physique Boites'!H890,"-")</f>
        <v>2847420.5759999999</v>
      </c>
      <c r="G897" s="409">
        <f>IFERROR(E897*'01 Prod Physique Boites'!L890,"-")</f>
        <v>7786823.6160000004</v>
      </c>
      <c r="H897" s="393">
        <v>21.22</v>
      </c>
      <c r="I897" s="429">
        <f t="shared" si="590"/>
        <v>4136244.8399999994</v>
      </c>
      <c r="J897" s="664">
        <f t="shared" si="591"/>
        <v>11311363.439999999</v>
      </c>
    </row>
    <row r="898" spans="1:10" ht="24" thickBot="1" x14ac:dyDescent="0.35">
      <c r="A898" s="277" t="s">
        <v>109</v>
      </c>
      <c r="B898" s="929"/>
      <c r="C898" s="306" t="s">
        <v>326</v>
      </c>
      <c r="D898" s="305" t="s">
        <v>324</v>
      </c>
      <c r="E898" s="512">
        <v>12.6997</v>
      </c>
      <c r="F898" s="408">
        <f>IFERROR(E898*'01 Prod Physique Boites'!H891,"-")</f>
        <v>0</v>
      </c>
      <c r="G898" s="409">
        <f>IFERROR(E898*'01 Prod Physique Boites'!L891,"-")</f>
        <v>101038.8132</v>
      </c>
      <c r="H898" s="393">
        <v>13.25</v>
      </c>
      <c r="I898" s="429">
        <f t="shared" si="590"/>
        <v>0</v>
      </c>
      <c r="J898" s="664">
        <f t="shared" si="591"/>
        <v>105417</v>
      </c>
    </row>
    <row r="899" spans="1:10" ht="24" thickBot="1" x14ac:dyDescent="0.35">
      <c r="A899" s="277" t="s">
        <v>109</v>
      </c>
      <c r="B899" s="930"/>
      <c r="C899" s="307"/>
      <c r="D899" s="308" t="s">
        <v>55</v>
      </c>
      <c r="E899" s="396"/>
      <c r="F899" s="412">
        <f>SUM(F890:F898)</f>
        <v>2847420.5759999999</v>
      </c>
      <c r="G899" s="413">
        <f t="shared" ref="G899" si="592">SUM(G890:G898)</f>
        <v>12117682.558800001</v>
      </c>
      <c r="H899" s="397"/>
      <c r="I899" s="412">
        <f t="shared" ref="I899" si="593">SUM(I890:I898)</f>
        <v>4136244.8399999994</v>
      </c>
      <c r="J899" s="431">
        <f>SUM(J890:J898)</f>
        <v>18106026.119999997</v>
      </c>
    </row>
    <row r="900" spans="1:10" ht="23.4" x14ac:dyDescent="0.3">
      <c r="A900" s="277" t="s">
        <v>109</v>
      </c>
      <c r="B900" s="931" t="s">
        <v>28</v>
      </c>
      <c r="C900" s="303" t="s">
        <v>27</v>
      </c>
      <c r="D900" s="303" t="s">
        <v>193</v>
      </c>
      <c r="E900" s="515">
        <v>12.6997</v>
      </c>
      <c r="F900" s="408">
        <f>IFERROR(E900*'01 Prod Physique Boites'!H893,"-")</f>
        <v>0</v>
      </c>
      <c r="G900" s="409">
        <f>IFERROR(E900*'01 Prod Physique Boites'!L893,"-")</f>
        <v>0</v>
      </c>
      <c r="H900" s="387">
        <v>13.25</v>
      </c>
      <c r="I900" s="425">
        <f>IFERROR(H900*(F900/E900),"-")</f>
        <v>0</v>
      </c>
      <c r="J900" s="662">
        <f t="shared" ref="J900:J902" si="594">IFERROR(H900*(G900/E900),"-")</f>
        <v>0</v>
      </c>
    </row>
    <row r="901" spans="1:10" ht="23.4" x14ac:dyDescent="0.3">
      <c r="A901" s="277" t="s">
        <v>109</v>
      </c>
      <c r="B901" s="929"/>
      <c r="C901" s="305" t="s">
        <v>27</v>
      </c>
      <c r="D901" s="305" t="s">
        <v>311</v>
      </c>
      <c r="E901" s="512">
        <v>17.8202</v>
      </c>
      <c r="F901" s="408">
        <f>IFERROR(E901*'01 Prod Physique Boites'!H894,"-")</f>
        <v>0</v>
      </c>
      <c r="G901" s="409">
        <f>IFERROR(E901*'01 Prod Physique Boites'!L894,"-")</f>
        <v>0</v>
      </c>
      <c r="H901" s="391">
        <v>24.93</v>
      </c>
      <c r="I901" s="427">
        <f>IFERROR(H901*(F901/E901),"-")</f>
        <v>0</v>
      </c>
      <c r="J901" s="663">
        <f t="shared" si="594"/>
        <v>0</v>
      </c>
    </row>
    <row r="902" spans="1:10" ht="24" thickBot="1" x14ac:dyDescent="0.35">
      <c r="A902" s="277" t="s">
        <v>109</v>
      </c>
      <c r="B902" s="929"/>
      <c r="C902" s="305" t="s">
        <v>27</v>
      </c>
      <c r="D902" s="306" t="s">
        <v>259</v>
      </c>
      <c r="E902" s="512">
        <v>17.8202</v>
      </c>
      <c r="F902" s="408">
        <f>IFERROR(E902*'01 Prod Physique Boites'!H895,"-")</f>
        <v>0</v>
      </c>
      <c r="G902" s="409">
        <f>IFERROR(E902*'01 Prod Physique Boites'!L895,"-")</f>
        <v>0</v>
      </c>
      <c r="H902" s="391">
        <v>24.93</v>
      </c>
      <c r="I902" s="429">
        <f>IFERROR(H902*(F902/E902),"-")</f>
        <v>0</v>
      </c>
      <c r="J902" s="664">
        <f t="shared" si="594"/>
        <v>0</v>
      </c>
    </row>
    <row r="903" spans="1:10" ht="24" thickBot="1" x14ac:dyDescent="0.35">
      <c r="A903" s="277" t="s">
        <v>109</v>
      </c>
      <c r="B903" s="929"/>
      <c r="C903" s="310"/>
      <c r="D903" s="311" t="s">
        <v>55</v>
      </c>
      <c r="E903" s="403"/>
      <c r="F903" s="420">
        <f t="shared" ref="F903:G903" si="595">SUM(F900:F902)</f>
        <v>0</v>
      </c>
      <c r="G903" s="421">
        <f t="shared" si="595"/>
        <v>0</v>
      </c>
      <c r="H903" s="404"/>
      <c r="I903" s="420">
        <f t="shared" ref="I903:J903" si="596">SUM(I900:I902)</f>
        <v>0</v>
      </c>
      <c r="J903" s="436">
        <f t="shared" si="596"/>
        <v>0</v>
      </c>
    </row>
    <row r="904" spans="1:10" ht="24" thickBot="1" x14ac:dyDescent="0.35">
      <c r="A904" s="740" t="s">
        <v>109</v>
      </c>
      <c r="B904" s="932" t="s">
        <v>171</v>
      </c>
      <c r="C904" s="933"/>
      <c r="D904" s="934"/>
      <c r="E904" s="405"/>
      <c r="F904" s="422">
        <f t="shared" ref="F904:G904" si="597">+F899+F903</f>
        <v>2847420.5759999999</v>
      </c>
      <c r="G904" s="423">
        <f t="shared" si="597"/>
        <v>12117682.558800001</v>
      </c>
      <c r="H904" s="406"/>
      <c r="I904" s="422">
        <f t="shared" ref="I904:J904" si="598">+I899+I903</f>
        <v>4136244.8399999994</v>
      </c>
      <c r="J904" s="437">
        <f t="shared" si="598"/>
        <v>18106026.119999997</v>
      </c>
    </row>
    <row r="905" spans="1:10" ht="23.4" x14ac:dyDescent="0.3">
      <c r="A905" s="277" t="s">
        <v>109</v>
      </c>
      <c r="B905" s="929" t="s">
        <v>30</v>
      </c>
      <c r="C905" s="309" t="s">
        <v>375</v>
      </c>
      <c r="D905" s="303" t="s">
        <v>193</v>
      </c>
      <c r="E905" s="515">
        <v>15.2788</v>
      </c>
      <c r="F905" s="408">
        <f>IFERROR(E905*'01 Prod Physique Boites'!H898,"-")</f>
        <v>0</v>
      </c>
      <c r="G905" s="409">
        <f>IFERROR(E905*'01 Prod Physique Boites'!L898,"-")</f>
        <v>0</v>
      </c>
      <c r="H905" s="387">
        <v>23.65</v>
      </c>
      <c r="I905" s="425">
        <f>IFERROR(H905*(F905/E905),"-")</f>
        <v>0</v>
      </c>
      <c r="J905" s="426">
        <f t="shared" ref="J905:J907" si="599">IFERROR(H905*(G905/E905),"-")</f>
        <v>0</v>
      </c>
    </row>
    <row r="906" spans="1:10" ht="23.4" x14ac:dyDescent="0.3">
      <c r="A906" s="277" t="s">
        <v>109</v>
      </c>
      <c r="B906" s="929"/>
      <c r="C906" s="309" t="s">
        <v>368</v>
      </c>
      <c r="D906" s="309" t="s">
        <v>324</v>
      </c>
      <c r="E906" s="516">
        <v>22.6356</v>
      </c>
      <c r="F906" s="408">
        <f>IFERROR(E906*'01 Prod Physique Boites'!H899,"-")</f>
        <v>0</v>
      </c>
      <c r="G906" s="409">
        <f>IFERROR(E906*'01 Prod Physique Boites'!L899,"-")</f>
        <v>0</v>
      </c>
      <c r="H906" s="391">
        <v>34.26</v>
      </c>
      <c r="I906" s="427">
        <f>IFERROR(H906*(F906/E906),"-")</f>
        <v>0</v>
      </c>
      <c r="J906" s="428">
        <f t="shared" si="599"/>
        <v>0</v>
      </c>
    </row>
    <row r="907" spans="1:10" ht="24" thickBot="1" x14ac:dyDescent="0.35">
      <c r="A907" s="277" t="s">
        <v>109</v>
      </c>
      <c r="B907" s="929"/>
      <c r="C907" s="306" t="s">
        <v>327</v>
      </c>
      <c r="D907" s="306"/>
      <c r="E907" s="512">
        <v>25.751300000000001</v>
      </c>
      <c r="F907" s="408">
        <f>IFERROR(E907*'01 Prod Physique Boites'!H900,"-")</f>
        <v>0</v>
      </c>
      <c r="G907" s="409">
        <f>IFERROR(E907*'01 Prod Physique Boites'!L900,"-")</f>
        <v>0</v>
      </c>
      <c r="H907" s="393">
        <v>37.89</v>
      </c>
      <c r="I907" s="429">
        <f>IFERROR(H907*(F907/E907),"-")</f>
        <v>0</v>
      </c>
      <c r="J907" s="430">
        <f t="shared" si="599"/>
        <v>0</v>
      </c>
    </row>
    <row r="908" spans="1:10" ht="24" thickBot="1" x14ac:dyDescent="0.35">
      <c r="A908" s="277" t="s">
        <v>109</v>
      </c>
      <c r="B908" s="929"/>
      <c r="C908" s="307"/>
      <c r="D908" s="308" t="s">
        <v>53</v>
      </c>
      <c r="E908" s="396"/>
      <c r="F908" s="412">
        <f t="shared" ref="F908:G908" si="600">SUM(F905:F907)</f>
        <v>0</v>
      </c>
      <c r="G908" s="413">
        <f t="shared" si="600"/>
        <v>0</v>
      </c>
      <c r="H908" s="397"/>
      <c r="I908" s="412">
        <f t="shared" ref="I908" si="601">SUM(I905:I907)</f>
        <v>0</v>
      </c>
      <c r="J908" s="431">
        <f>SUM(J905:J907)</f>
        <v>0</v>
      </c>
    </row>
    <row r="909" spans="1:10" ht="23.4" x14ac:dyDescent="0.3">
      <c r="A909" s="277" t="s">
        <v>109</v>
      </c>
      <c r="B909" s="929"/>
      <c r="C909" s="303" t="s">
        <v>352</v>
      </c>
      <c r="D909" s="303"/>
      <c r="E909" s="515">
        <v>22.094999999999999</v>
      </c>
      <c r="F909" s="408">
        <f>IFERROR(E909*'01 Prod Physique Boites'!H902,"-")</f>
        <v>0</v>
      </c>
      <c r="G909" s="409">
        <f>IFERROR(E909*'01 Prod Physique Boites'!L902,"-")</f>
        <v>0</v>
      </c>
      <c r="H909" s="387">
        <v>37.11</v>
      </c>
      <c r="I909" s="425">
        <f>IFERROR(H909*(F909/E909),"-")</f>
        <v>0</v>
      </c>
      <c r="J909" s="426">
        <f t="shared" ref="J909:J911" si="602">IFERROR(H909*(G909/E909),"-")</f>
        <v>0</v>
      </c>
    </row>
    <row r="910" spans="1:10" ht="23.4" x14ac:dyDescent="0.3">
      <c r="A910" s="277" t="s">
        <v>109</v>
      </c>
      <c r="B910" s="929"/>
      <c r="C910" s="309" t="s">
        <v>397</v>
      </c>
      <c r="D910" s="309" t="s">
        <v>259</v>
      </c>
      <c r="E910" s="516">
        <v>27.917000000000002</v>
      </c>
      <c r="F910" s="408">
        <f>IFERROR(E910*'01 Prod Physique Boites'!H903,"-")</f>
        <v>418084.99200000003</v>
      </c>
      <c r="G910" s="409">
        <f>IFERROR(E910*'01 Prod Physique Boites'!L903,"-")</f>
        <v>10190821.68</v>
      </c>
      <c r="H910" s="391">
        <v>39</v>
      </c>
      <c r="I910" s="427">
        <f>IFERROR(H910*(F910/E910),"-")</f>
        <v>584064</v>
      </c>
      <c r="J910" s="428">
        <f t="shared" si="602"/>
        <v>14236559.999999998</v>
      </c>
    </row>
    <row r="911" spans="1:10" ht="24" thickBot="1" x14ac:dyDescent="0.35">
      <c r="A911" s="277" t="s">
        <v>109</v>
      </c>
      <c r="B911" s="929"/>
      <c r="C911" s="306" t="s">
        <v>146</v>
      </c>
      <c r="D911" s="306"/>
      <c r="E911" s="512">
        <v>25.4041</v>
      </c>
      <c r="F911" s="408">
        <f>IFERROR(E911*'01 Prod Physique Boites'!H904,"-")</f>
        <v>0</v>
      </c>
      <c r="G911" s="409">
        <f>IFERROR(E911*'01 Prod Physique Boites'!L904,"-")</f>
        <v>0</v>
      </c>
      <c r="H911" s="393">
        <v>28.21</v>
      </c>
      <c r="I911" s="429">
        <f>IFERROR(H911*(F911/E911),"-")</f>
        <v>0</v>
      </c>
      <c r="J911" s="430">
        <f t="shared" si="602"/>
        <v>0</v>
      </c>
    </row>
    <row r="912" spans="1:10" ht="24" thickBot="1" x14ac:dyDescent="0.35">
      <c r="A912" s="277" t="s">
        <v>109</v>
      </c>
      <c r="B912" s="929"/>
      <c r="C912" s="310"/>
      <c r="D912" s="311" t="s">
        <v>54</v>
      </c>
      <c r="E912" s="403"/>
      <c r="F912" s="420">
        <f t="shared" ref="F912:G912" si="603">SUM(F909:F911)</f>
        <v>418084.99200000003</v>
      </c>
      <c r="G912" s="421">
        <f t="shared" si="603"/>
        <v>10190821.68</v>
      </c>
      <c r="H912" s="404"/>
      <c r="I912" s="420">
        <f t="shared" ref="I912" si="604">SUM(I909:I911)</f>
        <v>584064</v>
      </c>
      <c r="J912" s="436">
        <f>SUM(J909:J911)</f>
        <v>14236559.999999998</v>
      </c>
    </row>
    <row r="913" spans="1:10" ht="24" thickBot="1" x14ac:dyDescent="0.35">
      <c r="A913" s="277" t="s">
        <v>109</v>
      </c>
      <c r="B913" s="932" t="s">
        <v>172</v>
      </c>
      <c r="C913" s="933"/>
      <c r="D913" s="934"/>
      <c r="E913" s="405"/>
      <c r="F913" s="422">
        <f t="shared" ref="F913:G913" si="605">+F908+F912</f>
        <v>418084.99200000003</v>
      </c>
      <c r="G913" s="423">
        <f t="shared" si="605"/>
        <v>10190821.68</v>
      </c>
      <c r="H913" s="406"/>
      <c r="I913" s="422">
        <f t="shared" ref="I913:J913" si="606">+I908+I912</f>
        <v>584064</v>
      </c>
      <c r="J913" s="437">
        <f t="shared" si="606"/>
        <v>14236559.999999998</v>
      </c>
    </row>
    <row r="914" spans="1:10" ht="24" thickBot="1" x14ac:dyDescent="0.35">
      <c r="A914" s="277" t="s">
        <v>109</v>
      </c>
      <c r="B914" s="617" t="s">
        <v>32</v>
      </c>
      <c r="C914" s="736"/>
      <c r="D914" s="316"/>
      <c r="E914" s="517">
        <v>12.2659</v>
      </c>
      <c r="F914" s="414">
        <f>IFERROR(E914*'01 Prod Physique Boites'!H907,"-")</f>
        <v>0</v>
      </c>
      <c r="G914" s="415">
        <f>IFERROR(E914*'01 Prod Physique Boites'!L907,"-")</f>
        <v>0</v>
      </c>
      <c r="H914" s="398"/>
      <c r="I914" s="432">
        <f>IFERROR(H914*(F914/E914),"-")</f>
        <v>0</v>
      </c>
      <c r="J914" s="433">
        <f>IFERROR(H914*(G914/E914),"-")</f>
        <v>0</v>
      </c>
    </row>
    <row r="915" spans="1:10" ht="24" thickBot="1" x14ac:dyDescent="0.35">
      <c r="A915" s="277" t="s">
        <v>109</v>
      </c>
      <c r="B915" s="926" t="s">
        <v>21</v>
      </c>
      <c r="C915" s="927"/>
      <c r="D915" s="928"/>
      <c r="E915" s="399"/>
      <c r="F915" s="416">
        <f t="shared" ref="F915" si="607">+F904+F913+F914</f>
        <v>3265505.568</v>
      </c>
      <c r="G915" s="417">
        <f>+G904+G913+G914</f>
        <v>22308504.2388</v>
      </c>
      <c r="H915" s="400"/>
      <c r="I915" s="416">
        <f t="shared" ref="I915:J915" si="608">+I904+I913+I914</f>
        <v>4720308.84</v>
      </c>
      <c r="J915" s="434">
        <f t="shared" si="608"/>
        <v>32342586.119999997</v>
      </c>
    </row>
    <row r="916" spans="1:10" ht="24" thickBot="1" x14ac:dyDescent="0.35">
      <c r="A916" s="277" t="s">
        <v>109</v>
      </c>
      <c r="B916" s="900" t="s">
        <v>180</v>
      </c>
      <c r="C916" s="901"/>
      <c r="D916" s="902"/>
      <c r="E916" s="401"/>
      <c r="F916" s="418">
        <f t="shared" ref="F916:G916" si="609">+F915</f>
        <v>3265505.568</v>
      </c>
      <c r="G916" s="419">
        <f t="shared" si="609"/>
        <v>22308504.2388</v>
      </c>
      <c r="H916" s="402"/>
      <c r="I916" s="418">
        <f t="shared" ref="I916:J916" si="610">+I915</f>
        <v>4720308.84</v>
      </c>
      <c r="J916" s="435">
        <f t="shared" si="610"/>
        <v>32342586.119999997</v>
      </c>
    </row>
    <row r="917" spans="1:10" ht="23.4" x14ac:dyDescent="0.3">
      <c r="A917" s="271" t="s">
        <v>110</v>
      </c>
      <c r="B917" s="903" t="s">
        <v>33</v>
      </c>
      <c r="C917" s="317" t="s">
        <v>121</v>
      </c>
      <c r="D917" s="317"/>
      <c r="E917" s="513">
        <v>254.89750000000001</v>
      </c>
      <c r="F917" s="408">
        <f>IFERROR(E917*'01 Prod Physique Boites'!H910,"-")</f>
        <v>0</v>
      </c>
      <c r="G917" s="409">
        <f>IFERROR(E917*'01 Prod Physique Boites'!L910,"-")</f>
        <v>0</v>
      </c>
      <c r="H917" s="387">
        <v>445.38</v>
      </c>
      <c r="I917" s="425">
        <f>IFERROR(H917*(F917/E917),"-")</f>
        <v>0</v>
      </c>
      <c r="J917" s="426">
        <f t="shared" ref="J917:J919" si="611">IFERROR(H917*(G917/E917),"-")</f>
        <v>0</v>
      </c>
    </row>
    <row r="918" spans="1:10" ht="23.4" x14ac:dyDescent="0.3">
      <c r="A918" s="277" t="s">
        <v>110</v>
      </c>
      <c r="B918" s="904"/>
      <c r="C918" s="318" t="s">
        <v>274</v>
      </c>
      <c r="D918" s="318"/>
      <c r="E918" s="514">
        <v>246.51390000000001</v>
      </c>
      <c r="F918" s="408">
        <f>IFERROR(E918*'01 Prod Physique Boites'!H911,"-")</f>
        <v>399352.51799999998</v>
      </c>
      <c r="G918" s="409">
        <f>IFERROR(E918*'01 Prod Physique Boites'!L911,"-")</f>
        <v>2287648.9920000001</v>
      </c>
      <c r="H918" s="391">
        <v>430.02</v>
      </c>
      <c r="I918" s="427">
        <f>IFERROR(H918*(F918/E918),"-")</f>
        <v>696632.39999999991</v>
      </c>
      <c r="J918" s="428">
        <f t="shared" si="611"/>
        <v>3990585.5999999996</v>
      </c>
    </row>
    <row r="919" spans="1:10" ht="24" thickBot="1" x14ac:dyDescent="0.35">
      <c r="A919" s="277" t="s">
        <v>110</v>
      </c>
      <c r="B919" s="905"/>
      <c r="C919" s="319" t="s">
        <v>34</v>
      </c>
      <c r="D919" s="319"/>
      <c r="E919" s="511">
        <v>225.7713</v>
      </c>
      <c r="F919" s="408">
        <f>IFERROR(E919*'01 Prod Physique Boites'!H912,"-")</f>
        <v>0</v>
      </c>
      <c r="G919" s="409">
        <f>IFERROR(E919*'01 Prod Physique Boites'!L912,"-")</f>
        <v>0</v>
      </c>
      <c r="H919" s="393"/>
      <c r="I919" s="429">
        <f>IFERROR(H919*(F919/E919),"-")</f>
        <v>0</v>
      </c>
      <c r="J919" s="430">
        <f t="shared" si="611"/>
        <v>0</v>
      </c>
    </row>
    <row r="920" spans="1:10" ht="24" thickBot="1" x14ac:dyDescent="0.35">
      <c r="A920" s="277" t="s">
        <v>110</v>
      </c>
      <c r="B920" s="906" t="s">
        <v>35</v>
      </c>
      <c r="C920" s="907"/>
      <c r="D920" s="908"/>
      <c r="E920" s="396"/>
      <c r="F920" s="412">
        <f t="shared" ref="F920:G920" si="612">SUM(F917:F919)</f>
        <v>399352.51799999998</v>
      </c>
      <c r="G920" s="413">
        <f t="shared" si="612"/>
        <v>2287648.9920000001</v>
      </c>
      <c r="H920" s="397"/>
      <c r="I920" s="412">
        <f t="shared" ref="I920:J920" si="613">SUM(I917:I919)</f>
        <v>696632.39999999991</v>
      </c>
      <c r="J920" s="431">
        <f t="shared" si="613"/>
        <v>3990585.5999999996</v>
      </c>
    </row>
    <row r="921" spans="1:10" ht="23.4" x14ac:dyDescent="0.3">
      <c r="A921" s="277" t="s">
        <v>110</v>
      </c>
      <c r="B921" s="903" t="s">
        <v>36</v>
      </c>
      <c r="C921" s="317" t="s">
        <v>121</v>
      </c>
      <c r="D921" s="317"/>
      <c r="E921" s="513">
        <v>254.89750000000001</v>
      </c>
      <c r="F921" s="408">
        <f>IFERROR(E921*'01 Prod Physique Boites'!H914,"-")</f>
        <v>0</v>
      </c>
      <c r="G921" s="409">
        <f>IFERROR(E921*'01 Prod Physique Boites'!L914,"-")</f>
        <v>0</v>
      </c>
      <c r="H921" s="387">
        <v>445.38</v>
      </c>
      <c r="I921" s="425">
        <f>IFERROR(H921*(F921/E921),"-")</f>
        <v>0</v>
      </c>
      <c r="J921" s="426">
        <f t="shared" ref="J921:J924" si="614">IFERROR(H921*(G921/E921),"-")</f>
        <v>0</v>
      </c>
    </row>
    <row r="922" spans="1:10" ht="23.4" x14ac:dyDescent="0.3">
      <c r="A922" s="277" t="s">
        <v>110</v>
      </c>
      <c r="B922" s="904"/>
      <c r="C922" s="318" t="s">
        <v>274</v>
      </c>
      <c r="D922" s="318"/>
      <c r="E922" s="514">
        <v>246.51390000000001</v>
      </c>
      <c r="F922" s="408">
        <f>IFERROR(E922*'01 Prod Physique Boites'!H915,"-")</f>
        <v>2129880.0959999999</v>
      </c>
      <c r="G922" s="409">
        <f>IFERROR(E922*'01 Prod Physique Boites'!L915,"-")</f>
        <v>4417529.0880000005</v>
      </c>
      <c r="H922" s="391">
        <v>430.02</v>
      </c>
      <c r="I922" s="427">
        <f>IFERROR(H922*(F922/E922),"-")</f>
        <v>3715372.8</v>
      </c>
      <c r="J922" s="428">
        <f t="shared" si="614"/>
        <v>7705958.3999999994</v>
      </c>
    </row>
    <row r="923" spans="1:10" ht="23.4" x14ac:dyDescent="0.3">
      <c r="A923" s="277" t="s">
        <v>110</v>
      </c>
      <c r="B923" s="904"/>
      <c r="C923" s="318" t="s">
        <v>201</v>
      </c>
      <c r="D923" s="318" t="s">
        <v>200</v>
      </c>
      <c r="E923" s="514">
        <v>254.89750000000001</v>
      </c>
      <c r="F923" s="408">
        <f>IFERROR(E923*'01 Prod Physique Boites'!H916,"-")</f>
        <v>0</v>
      </c>
      <c r="G923" s="409">
        <f>IFERROR(E923*'01 Prod Physique Boites'!L916,"-")</f>
        <v>0</v>
      </c>
      <c r="H923" s="391"/>
      <c r="I923" s="427">
        <f>IFERROR(H923*(F923/E923),"-")</f>
        <v>0</v>
      </c>
      <c r="J923" s="428">
        <f t="shared" si="614"/>
        <v>0</v>
      </c>
    </row>
    <row r="924" spans="1:10" ht="24" thickBot="1" x14ac:dyDescent="0.35">
      <c r="A924" s="277" t="s">
        <v>110</v>
      </c>
      <c r="B924" s="905"/>
      <c r="C924" s="319" t="s">
        <v>37</v>
      </c>
      <c r="D924" s="319"/>
      <c r="E924" s="511">
        <v>229.99359999999999</v>
      </c>
      <c r="F924" s="408">
        <f>IFERROR(E924*'01 Prod Physique Boites'!H917,"-")</f>
        <v>0</v>
      </c>
      <c r="G924" s="409">
        <f>IFERROR(E924*'01 Prod Physique Boites'!L917,"-")</f>
        <v>0</v>
      </c>
      <c r="H924" s="393"/>
      <c r="I924" s="429">
        <f>IFERROR(H924*(F924/E924),"-")</f>
        <v>0</v>
      </c>
      <c r="J924" s="430">
        <f t="shared" si="614"/>
        <v>0</v>
      </c>
    </row>
    <row r="925" spans="1:10" ht="24" thickBot="1" x14ac:dyDescent="0.35">
      <c r="A925" s="277" t="s">
        <v>110</v>
      </c>
      <c r="B925" s="906" t="s">
        <v>38</v>
      </c>
      <c r="C925" s="907"/>
      <c r="D925" s="908"/>
      <c r="E925" s="396"/>
      <c r="F925" s="412">
        <f t="shared" ref="F925:G925" si="615">SUM(F921:F924)</f>
        <v>2129880.0959999999</v>
      </c>
      <c r="G925" s="413">
        <f t="shared" si="615"/>
        <v>4417529.0880000005</v>
      </c>
      <c r="H925" s="397"/>
      <c r="I925" s="412">
        <f>SUM(I921:I924)</f>
        <v>3715372.8</v>
      </c>
      <c r="J925" s="431">
        <f>SUM(J921:J924)</f>
        <v>7705958.3999999994</v>
      </c>
    </row>
    <row r="926" spans="1:10" ht="23.4" x14ac:dyDescent="0.3">
      <c r="A926" s="277" t="s">
        <v>110</v>
      </c>
      <c r="B926" s="903" t="s">
        <v>39</v>
      </c>
      <c r="C926" s="320" t="s">
        <v>124</v>
      </c>
      <c r="D926" s="320"/>
      <c r="E926" s="513">
        <v>195.2808</v>
      </c>
      <c r="F926" s="408">
        <f>IFERROR(E926*'01 Prod Physique Boites'!H919,"-")</f>
        <v>0</v>
      </c>
      <c r="G926" s="409">
        <f>IFERROR(E926*'01 Prod Physique Boites'!L919,"-")</f>
        <v>0</v>
      </c>
      <c r="H926" s="387"/>
      <c r="I926" s="425">
        <f>IFERROR(H926*(F926/E926),"-")</f>
        <v>0</v>
      </c>
      <c r="J926" s="426">
        <f t="shared" ref="J926:J927" si="616">IFERROR(H926*(G926/E926),"-")</f>
        <v>0</v>
      </c>
    </row>
    <row r="927" spans="1:10" ht="24" thickBot="1" x14ac:dyDescent="0.35">
      <c r="A927" s="277" t="s">
        <v>110</v>
      </c>
      <c r="B927" s="905"/>
      <c r="C927" s="290" t="s">
        <v>140</v>
      </c>
      <c r="D927" s="290"/>
      <c r="E927" s="511">
        <v>189.91890000000001</v>
      </c>
      <c r="F927" s="408">
        <f>IFERROR(E927*'01 Prod Physique Boites'!H920,"-")</f>
        <v>0</v>
      </c>
      <c r="G927" s="409">
        <f>IFERROR(E927*'01 Prod Physique Boites'!L920,"-")</f>
        <v>0</v>
      </c>
      <c r="H927" s="393">
        <v>320.35000000000002</v>
      </c>
      <c r="I927" s="429">
        <f>IFERROR(H927*(F927/E927),"-")</f>
        <v>0</v>
      </c>
      <c r="J927" s="430">
        <f t="shared" si="616"/>
        <v>0</v>
      </c>
    </row>
    <row r="928" spans="1:10" ht="24" thickBot="1" x14ac:dyDescent="0.35">
      <c r="A928" s="740" t="s">
        <v>110</v>
      </c>
      <c r="B928" s="906" t="s">
        <v>40</v>
      </c>
      <c r="C928" s="907"/>
      <c r="D928" s="908"/>
      <c r="E928" s="396"/>
      <c r="F928" s="412">
        <f>SUM(F926:F927)</f>
        <v>0</v>
      </c>
      <c r="G928" s="413">
        <f t="shared" ref="G928" si="617">SUM(G926:G927)</f>
        <v>0</v>
      </c>
      <c r="H928" s="397"/>
      <c r="I928" s="412">
        <f t="shared" ref="I928:J928" si="618">SUM(I926:I927)</f>
        <v>0</v>
      </c>
      <c r="J928" s="431">
        <f t="shared" si="618"/>
        <v>0</v>
      </c>
    </row>
    <row r="929" spans="1:10" ht="23.4" x14ac:dyDescent="0.3">
      <c r="A929" s="277" t="s">
        <v>110</v>
      </c>
      <c r="B929" s="903" t="s">
        <v>41</v>
      </c>
      <c r="C929" s="272" t="s">
        <v>346</v>
      </c>
      <c r="D929" s="272" t="s">
        <v>263</v>
      </c>
      <c r="E929" s="515">
        <v>37.248699999999999</v>
      </c>
      <c r="F929" s="408">
        <f>IFERROR(E929*'01 Prod Physique Boites'!H922,"-")</f>
        <v>750933.79200000002</v>
      </c>
      <c r="G929" s="409">
        <f>IFERROR(E929*'01 Prod Physique Boites'!L922,"-")</f>
        <v>5267711.1540000001</v>
      </c>
      <c r="H929" s="387">
        <v>71.44</v>
      </c>
      <c r="I929" s="425">
        <f>IFERROR(H929*(F929/E929),"-")</f>
        <v>1440230.3999999999</v>
      </c>
      <c r="J929" s="426">
        <f>IFERROR(H929*(G929/E929),"-")</f>
        <v>10103044.799999999</v>
      </c>
    </row>
    <row r="930" spans="1:10" ht="23.4" x14ac:dyDescent="0.3">
      <c r="A930" s="277" t="s">
        <v>110</v>
      </c>
      <c r="B930" s="904"/>
      <c r="C930" s="272" t="s">
        <v>165</v>
      </c>
      <c r="D930" s="278"/>
      <c r="E930" s="515">
        <v>37.248699999999999</v>
      </c>
      <c r="F930" s="408">
        <f>IFERROR(E930*'01 Prod Physique Boites'!H923,"-")</f>
        <v>0</v>
      </c>
      <c r="G930" s="409">
        <f>IFERROR(E930*'01 Prod Physique Boites'!L923,"-")</f>
        <v>0</v>
      </c>
      <c r="H930" s="391"/>
      <c r="I930" s="427">
        <f>IFERROR(H930*(F930/E930),"-")</f>
        <v>0</v>
      </c>
      <c r="J930" s="428">
        <f t="shared" ref="J930:J933" si="619">IFERROR(H930*(G930/E930),"-")</f>
        <v>0</v>
      </c>
    </row>
    <row r="931" spans="1:10" ht="23.4" x14ac:dyDescent="0.3">
      <c r="A931" s="277" t="s">
        <v>110</v>
      </c>
      <c r="B931" s="904"/>
      <c r="C931" s="278" t="s">
        <v>423</v>
      </c>
      <c r="D931" s="272" t="s">
        <v>263</v>
      </c>
      <c r="E931" s="516">
        <v>38.466099999999997</v>
      </c>
      <c r="F931" s="408">
        <f>IFERROR(E931*'01 Prod Physique Boites'!H924,"-")</f>
        <v>0</v>
      </c>
      <c r="G931" s="409">
        <f>IFERROR(E931*'01 Prod Physique Boites'!L924,"-")</f>
        <v>1306308.7559999998</v>
      </c>
      <c r="H931" s="391">
        <v>71.44</v>
      </c>
      <c r="I931" s="427">
        <f>IFERROR(H931*(F931/E931),"-")</f>
        <v>0</v>
      </c>
      <c r="J931" s="428">
        <f t="shared" si="619"/>
        <v>2426102.4</v>
      </c>
    </row>
    <row r="932" spans="1:10" ht="23.4" x14ac:dyDescent="0.3">
      <c r="A932" s="277" t="s">
        <v>110</v>
      </c>
      <c r="B932" s="904"/>
      <c r="C932" s="278" t="s">
        <v>166</v>
      </c>
      <c r="D932" s="278"/>
      <c r="E932" s="516">
        <v>37.248699999999999</v>
      </c>
      <c r="F932" s="408">
        <f>IFERROR(E932*'01 Prod Physique Boites'!H925,"-")</f>
        <v>0</v>
      </c>
      <c r="G932" s="409">
        <f>IFERROR(E932*'01 Prod Physique Boites'!L925,"-")</f>
        <v>0</v>
      </c>
      <c r="H932" s="391"/>
      <c r="I932" s="427">
        <f>IFERROR(H932*(F932/E932),"-")</f>
        <v>0</v>
      </c>
      <c r="J932" s="428">
        <f t="shared" si="619"/>
        <v>0</v>
      </c>
    </row>
    <row r="933" spans="1:10" ht="24" thickBot="1" x14ac:dyDescent="0.35">
      <c r="A933" s="277" t="s">
        <v>110</v>
      </c>
      <c r="B933" s="905"/>
      <c r="C933" s="282" t="s">
        <v>167</v>
      </c>
      <c r="D933" s="282"/>
      <c r="E933" s="512">
        <v>33.711399999999998</v>
      </c>
      <c r="F933" s="408">
        <f>IFERROR(E933*'01 Prod Physique Boites'!H926,"-")</f>
        <v>0</v>
      </c>
      <c r="G933" s="409">
        <f>IFERROR(E933*'01 Prod Physique Boites'!L926,"-")</f>
        <v>0</v>
      </c>
      <c r="H933" s="393"/>
      <c r="I933" s="429">
        <f>IFERROR(H933*(F933/E933),"-")</f>
        <v>0</v>
      </c>
      <c r="J933" s="430">
        <f t="shared" si="619"/>
        <v>0</v>
      </c>
    </row>
    <row r="934" spans="1:10" ht="24" thickBot="1" x14ac:dyDescent="0.35">
      <c r="A934" s="277" t="s">
        <v>110</v>
      </c>
      <c r="B934" s="906" t="s">
        <v>42</v>
      </c>
      <c r="C934" s="907"/>
      <c r="D934" s="908"/>
      <c r="E934" s="396"/>
      <c r="F934" s="412">
        <f>SUM(F929:F933)</f>
        <v>750933.79200000002</v>
      </c>
      <c r="G934" s="413">
        <f>SUM(G929:G933)</f>
        <v>6574019.9100000001</v>
      </c>
      <c r="H934" s="397"/>
      <c r="I934" s="412">
        <f>SUM(I929:I933)</f>
        <v>1440230.3999999999</v>
      </c>
      <c r="J934" s="412">
        <f>SUM(J929:J933)</f>
        <v>12529147.199999999</v>
      </c>
    </row>
    <row r="935" spans="1:10" ht="23.4" x14ac:dyDescent="0.3">
      <c r="A935" s="277" t="s">
        <v>110</v>
      </c>
      <c r="B935" s="903" t="s">
        <v>43</v>
      </c>
      <c r="C935" s="272" t="s">
        <v>204</v>
      </c>
      <c r="D935" s="272" t="s">
        <v>200</v>
      </c>
      <c r="E935" s="515">
        <v>30.7499</v>
      </c>
      <c r="F935" s="408">
        <f>IFERROR(E935*'01 Prod Physique Boites'!H928,"-")</f>
        <v>0</v>
      </c>
      <c r="G935" s="409">
        <f>IFERROR(E935*'01 Prod Physique Boites'!L928,"-")</f>
        <v>0</v>
      </c>
      <c r="H935" s="387"/>
      <c r="I935" s="425">
        <f>IFERROR(H935*(F935/E935),"-")</f>
        <v>0</v>
      </c>
      <c r="J935" s="426">
        <f>IFERROR(H935*(G935/E935),"-")</f>
        <v>0</v>
      </c>
    </row>
    <row r="936" spans="1:10" ht="23.4" x14ac:dyDescent="0.3">
      <c r="A936" s="277" t="s">
        <v>110</v>
      </c>
      <c r="B936" s="904"/>
      <c r="C936" s="278" t="s">
        <v>168</v>
      </c>
      <c r="D936" s="278"/>
      <c r="E936" s="516">
        <v>28.7</v>
      </c>
      <c r="F936" s="408">
        <f>IFERROR(E936*'01 Prod Physique Boites'!H929,"-")</f>
        <v>0</v>
      </c>
      <c r="G936" s="409">
        <f>IFERROR(E936*'01 Prod Physique Boites'!L929,"-")</f>
        <v>0</v>
      </c>
      <c r="H936" s="391"/>
      <c r="I936" s="427">
        <f>IFERROR(H936*(F936/E936),"-")</f>
        <v>0</v>
      </c>
      <c r="J936" s="428">
        <f t="shared" ref="J936:J937" si="620">IFERROR(H936*(G936/E936),"-")</f>
        <v>0</v>
      </c>
    </row>
    <row r="937" spans="1:10" ht="24" thickBot="1" x14ac:dyDescent="0.35">
      <c r="A937" s="277" t="s">
        <v>110</v>
      </c>
      <c r="B937" s="905"/>
      <c r="C937" s="282" t="s">
        <v>204</v>
      </c>
      <c r="D937" s="282" t="s">
        <v>203</v>
      </c>
      <c r="E937" s="512">
        <v>30.073599999999999</v>
      </c>
      <c r="F937" s="408">
        <f>IFERROR(E937*'01 Prod Physique Boites'!H930,"-")</f>
        <v>0</v>
      </c>
      <c r="G937" s="409">
        <f>IFERROR(E937*'01 Prod Physique Boites'!L930,"-")</f>
        <v>0</v>
      </c>
      <c r="H937" s="393"/>
      <c r="I937" s="429">
        <f>IFERROR(H937*(F937/E937),"-")</f>
        <v>0</v>
      </c>
      <c r="J937" s="430">
        <f t="shared" si="620"/>
        <v>0</v>
      </c>
    </row>
    <row r="938" spans="1:10" ht="24" thickBot="1" x14ac:dyDescent="0.35">
      <c r="A938" s="277" t="s">
        <v>110</v>
      </c>
      <c r="B938" s="909" t="s">
        <v>44</v>
      </c>
      <c r="C938" s="910"/>
      <c r="D938" s="911"/>
      <c r="E938" s="396"/>
      <c r="F938" s="412">
        <f t="shared" ref="F938:G938" si="621">SUM(F935:F937)</f>
        <v>0</v>
      </c>
      <c r="G938" s="413">
        <f t="shared" si="621"/>
        <v>0</v>
      </c>
      <c r="H938" s="397"/>
      <c r="I938" s="412">
        <f t="shared" ref="I938:J938" si="622">SUM(I935:I937)</f>
        <v>0</v>
      </c>
      <c r="J938" s="431">
        <f t="shared" si="622"/>
        <v>0</v>
      </c>
    </row>
    <row r="939" spans="1:10" ht="23.4" x14ac:dyDescent="0.3">
      <c r="A939" s="277" t="s">
        <v>110</v>
      </c>
      <c r="B939" s="903" t="s">
        <v>45</v>
      </c>
      <c r="C939" s="272" t="s">
        <v>169</v>
      </c>
      <c r="D939" s="272"/>
      <c r="E939" s="515">
        <v>36.684899999999999</v>
      </c>
      <c r="F939" s="408">
        <f>IFERROR(E939*'01 Prod Physique Boites'!H932,"-")</f>
        <v>0</v>
      </c>
      <c r="G939" s="409">
        <f>IFERROR(E939*'01 Prod Physique Boites'!L932,"-")</f>
        <v>0</v>
      </c>
      <c r="H939" s="387"/>
      <c r="I939" s="388" t="s">
        <v>209</v>
      </c>
      <c r="J939" s="389" t="s">
        <v>209</v>
      </c>
    </row>
    <row r="940" spans="1:10" ht="24" thickBot="1" x14ac:dyDescent="0.35">
      <c r="A940" s="277" t="s">
        <v>110</v>
      </c>
      <c r="B940" s="905"/>
      <c r="C940" s="282" t="s">
        <v>170</v>
      </c>
      <c r="D940" s="282"/>
      <c r="E940" s="512">
        <v>37.002800000000001</v>
      </c>
      <c r="F940" s="408">
        <f>IFERROR(E940*'01 Prod Physique Boites'!H933,"-")</f>
        <v>0</v>
      </c>
      <c r="G940" s="409">
        <f>IFERROR(E940*'01 Prod Physique Boites'!L933,"-")</f>
        <v>0</v>
      </c>
      <c r="H940" s="393"/>
      <c r="I940" s="394" t="s">
        <v>209</v>
      </c>
      <c r="J940" s="395" t="s">
        <v>209</v>
      </c>
    </row>
    <row r="941" spans="1:10" ht="24" thickBot="1" x14ac:dyDescent="0.35">
      <c r="A941" s="277" t="s">
        <v>110</v>
      </c>
      <c r="B941" s="909" t="s">
        <v>46</v>
      </c>
      <c r="C941" s="910"/>
      <c r="D941" s="911"/>
      <c r="E941" s="396"/>
      <c r="F941" s="412">
        <f t="shared" ref="F941:G941" si="623">SUM(F939:F940)</f>
        <v>0</v>
      </c>
      <c r="G941" s="413">
        <f t="shared" si="623"/>
        <v>0</v>
      </c>
      <c r="H941" s="397"/>
      <c r="I941" s="412">
        <f t="shared" ref="I941:J941" si="624">SUM(I939:I940)</f>
        <v>0</v>
      </c>
      <c r="J941" s="431">
        <f t="shared" si="624"/>
        <v>0</v>
      </c>
    </row>
    <row r="942" spans="1:10" ht="24" thickBot="1" x14ac:dyDescent="0.35">
      <c r="A942" s="277" t="s">
        <v>110</v>
      </c>
      <c r="B942" s="912" t="s">
        <v>25</v>
      </c>
      <c r="C942" s="913"/>
      <c r="D942" s="914"/>
      <c r="E942" s="399"/>
      <c r="F942" s="416">
        <f t="shared" ref="F942:G942" si="625">+F920+F925+F928+F934+F938+F941</f>
        <v>3280166.406</v>
      </c>
      <c r="G942" s="417">
        <f t="shared" si="625"/>
        <v>13279197.99</v>
      </c>
      <c r="H942" s="400"/>
      <c r="I942" s="416">
        <f>+I920+I925+I928+I934+I938+I941</f>
        <v>5852235.5999999996</v>
      </c>
      <c r="J942" s="434">
        <f>+J920+J925+J928+J934+J938+J941</f>
        <v>24225691.199999999</v>
      </c>
    </row>
    <row r="943" spans="1:10" ht="24" thickBot="1" x14ac:dyDescent="0.35">
      <c r="A943" s="324" t="s">
        <v>110</v>
      </c>
      <c r="B943" s="901" t="s">
        <v>182</v>
      </c>
      <c r="C943" s="901"/>
      <c r="D943" s="902"/>
      <c r="E943" s="401"/>
      <c r="F943" s="418">
        <f t="shared" ref="F943:G943" si="626">+F942</f>
        <v>3280166.406</v>
      </c>
      <c r="G943" s="419">
        <f t="shared" si="626"/>
        <v>13279197.99</v>
      </c>
      <c r="H943" s="402"/>
      <c r="I943" s="418">
        <f t="shared" ref="I943" si="627">+I942</f>
        <v>5852235.5999999996</v>
      </c>
      <c r="J943" s="435">
        <f>+J942</f>
        <v>24225691.199999999</v>
      </c>
    </row>
    <row r="944" spans="1:10" ht="24.6" thickBot="1" x14ac:dyDescent="0.35">
      <c r="A944" s="325"/>
      <c r="B944" s="915" t="s">
        <v>183</v>
      </c>
      <c r="C944" s="916"/>
      <c r="D944" s="917"/>
      <c r="E944" s="407"/>
      <c r="F944" s="424">
        <f t="shared" ref="F944:G944" si="628">+F889+F916+F943</f>
        <v>9193148.9069999997</v>
      </c>
      <c r="G944" s="424">
        <f t="shared" si="628"/>
        <v>55783558.815200008</v>
      </c>
      <c r="H944" s="407"/>
      <c r="I944" s="424">
        <f t="shared" ref="I944:J944" si="629">+I889+I916+I943</f>
        <v>14879720.414799999</v>
      </c>
      <c r="J944" s="438">
        <f t="shared" si="629"/>
        <v>94745978.489200011</v>
      </c>
    </row>
    <row r="945" spans="1:10" ht="23.4" x14ac:dyDescent="0.3">
      <c r="A945" s="935" t="s">
        <v>1</v>
      </c>
      <c r="B945" s="938" t="s">
        <v>2</v>
      </c>
      <c r="C945" s="941" t="s">
        <v>3</v>
      </c>
      <c r="D945" s="941" t="s">
        <v>93</v>
      </c>
      <c r="E945" s="965" t="s">
        <v>176</v>
      </c>
      <c r="F945" s="966"/>
      <c r="G945" s="966"/>
      <c r="H945" s="451"/>
      <c r="I945" s="451"/>
      <c r="J945" s="452"/>
    </row>
    <row r="946" spans="1:10" ht="23.4" x14ac:dyDescent="0.3">
      <c r="A946" s="936"/>
      <c r="B946" s="939"/>
      <c r="C946" s="942"/>
      <c r="D946" s="942"/>
      <c r="E946" s="967" t="s">
        <v>178</v>
      </c>
      <c r="F946" s="968"/>
      <c r="G946" s="969"/>
      <c r="H946" s="967" t="s">
        <v>177</v>
      </c>
      <c r="I946" s="968"/>
      <c r="J946" s="969"/>
    </row>
    <row r="947" spans="1:10" ht="46.8" x14ac:dyDescent="0.3">
      <c r="A947" s="937"/>
      <c r="B947" s="963"/>
      <c r="C947" s="964"/>
      <c r="D947" s="964"/>
      <c r="E947" s="385" t="s">
        <v>179</v>
      </c>
      <c r="F947" s="746" t="s">
        <v>11</v>
      </c>
      <c r="G947" s="747" t="s">
        <v>12</v>
      </c>
      <c r="H947" s="970" t="s">
        <v>179</v>
      </c>
      <c r="I947" s="972" t="s">
        <v>145</v>
      </c>
      <c r="J947" s="974" t="s">
        <v>12</v>
      </c>
    </row>
    <row r="948" spans="1:10" ht="24" thickBot="1" x14ac:dyDescent="0.35">
      <c r="A948" s="937"/>
      <c r="B948" s="940"/>
      <c r="C948" s="943"/>
      <c r="D948" s="943"/>
      <c r="E948" s="976">
        <v>44514</v>
      </c>
      <c r="F948" s="977"/>
      <c r="G948" s="978"/>
      <c r="H948" s="971"/>
      <c r="I948" s="973"/>
      <c r="J948" s="975"/>
    </row>
    <row r="949" spans="1:10" ht="23.4" x14ac:dyDescent="0.3">
      <c r="A949" s="271" t="s">
        <v>111</v>
      </c>
      <c r="B949" s="922" t="s">
        <v>16</v>
      </c>
      <c r="C949" s="272" t="s">
        <v>186</v>
      </c>
      <c r="D949" s="272" t="s">
        <v>184</v>
      </c>
      <c r="E949" s="515">
        <v>81.360699999999994</v>
      </c>
      <c r="F949" s="408">
        <f>IFERROR(E949*'01 Prod Physique Boites'!H941,"-")</f>
        <v>0</v>
      </c>
      <c r="G949" s="408">
        <f>IFERROR(E949*'01 Prod Physique Boites'!L941,"-")</f>
        <v>0</v>
      </c>
      <c r="H949" s="387">
        <v>0</v>
      </c>
      <c r="I949" s="425">
        <f>IFERROR(H949*(F949/E949),"-")</f>
        <v>0</v>
      </c>
      <c r="J949" s="426">
        <f t="shared" ref="J949:J951" si="630">IFERROR(H949*(G949/E949),"-")</f>
        <v>0</v>
      </c>
    </row>
    <row r="950" spans="1:10" ht="23.4" x14ac:dyDescent="0.3">
      <c r="A950" s="277" t="s">
        <v>111</v>
      </c>
      <c r="B950" s="923"/>
      <c r="C950" s="278" t="s">
        <v>190</v>
      </c>
      <c r="D950" s="278" t="s">
        <v>101</v>
      </c>
      <c r="E950" s="516">
        <v>81.360699999999994</v>
      </c>
      <c r="F950" s="408">
        <f>IFERROR(E950*'01 Prod Physique Boites'!H942,"-")</f>
        <v>0</v>
      </c>
      <c r="G950" s="408">
        <f>IFERROR(E950*'01 Prod Physique Boites'!L942,"-")</f>
        <v>0</v>
      </c>
      <c r="H950" s="391">
        <v>0</v>
      </c>
      <c r="I950" s="425">
        <f>IFERROR(H950*(F950/E950),"-")</f>
        <v>0</v>
      </c>
      <c r="J950" s="426">
        <f t="shared" si="630"/>
        <v>0</v>
      </c>
    </row>
    <row r="951" spans="1:10" ht="23.4" x14ac:dyDescent="0.3">
      <c r="A951" s="277" t="s">
        <v>111</v>
      </c>
      <c r="B951" s="923"/>
      <c r="C951" s="278" t="s">
        <v>187</v>
      </c>
      <c r="D951" s="278" t="s">
        <v>185</v>
      </c>
      <c r="E951" s="516">
        <v>55.476900000000001</v>
      </c>
      <c r="F951" s="408">
        <f>IFERROR(E951*'01 Prod Physique Boites'!H943,"-")</f>
        <v>0</v>
      </c>
      <c r="G951" s="408">
        <f>IFERROR(E951*'01 Prod Physique Boites'!L943,"-")</f>
        <v>0</v>
      </c>
      <c r="H951" s="391">
        <v>0</v>
      </c>
      <c r="I951" s="425">
        <f>IFERROR(H951*(F951/E951),"-")</f>
        <v>0</v>
      </c>
      <c r="J951" s="426">
        <f t="shared" si="630"/>
        <v>0</v>
      </c>
    </row>
    <row r="952" spans="1:10" ht="24" thickBot="1" x14ac:dyDescent="0.35">
      <c r="A952" s="277" t="s">
        <v>111</v>
      </c>
      <c r="B952" s="924"/>
      <c r="C952" s="282" t="s">
        <v>289</v>
      </c>
      <c r="D952" s="282" t="s">
        <v>256</v>
      </c>
      <c r="E952" s="512">
        <v>60.703499999999998</v>
      </c>
      <c r="F952" s="408">
        <f>IFERROR(E952*'01 Prod Physique Boites'!H944,"-")</f>
        <v>0</v>
      </c>
      <c r="G952" s="408">
        <f>IFERROR(E952*'01 Prod Physique Boites'!L944,"-")</f>
        <v>6278198.784</v>
      </c>
      <c r="H952" s="393">
        <v>111.0883</v>
      </c>
      <c r="I952" s="425">
        <f>IFERROR(H952*(F952/E952),"-")</f>
        <v>0</v>
      </c>
      <c r="J952" s="426">
        <f>IFERROR(H952*(G952/E952),"-")</f>
        <v>11489196.339200001</v>
      </c>
    </row>
    <row r="953" spans="1:10" ht="24" thickBot="1" x14ac:dyDescent="0.35">
      <c r="A953" s="277" t="s">
        <v>111</v>
      </c>
      <c r="B953" s="906" t="s">
        <v>47</v>
      </c>
      <c r="C953" s="907"/>
      <c r="D953" s="908"/>
      <c r="E953" s="396"/>
      <c r="F953" s="412">
        <f t="shared" ref="F953:G953" si="631">SUM(F949:F952)</f>
        <v>0</v>
      </c>
      <c r="G953" s="413">
        <f t="shared" si="631"/>
        <v>6278198.784</v>
      </c>
      <c r="H953" s="397"/>
      <c r="I953" s="412">
        <f t="shared" ref="I953:J953" si="632">SUM(I949:I952)</f>
        <v>0</v>
      </c>
      <c r="J953" s="431">
        <f t="shared" si="632"/>
        <v>11489196.339200001</v>
      </c>
    </row>
    <row r="954" spans="1:10" ht="23.4" x14ac:dyDescent="0.3">
      <c r="A954" s="277" t="s">
        <v>111</v>
      </c>
      <c r="B954" s="922" t="s">
        <v>17</v>
      </c>
      <c r="C954" s="272" t="s">
        <v>331</v>
      </c>
      <c r="D954" s="272"/>
      <c r="E954" s="515">
        <v>12.5275</v>
      </c>
      <c r="F954" s="408">
        <f>IFERROR(E954*'01 Prod Physique Boites'!H946,"-")</f>
        <v>0</v>
      </c>
      <c r="G954" s="408">
        <f>IFERROR(E954*'01 Prod Physique Boites'!L946,"-")</f>
        <v>0</v>
      </c>
      <c r="H954" s="387">
        <v>18.836400000000001</v>
      </c>
      <c r="I954" s="425">
        <f t="shared" ref="I954:I960" si="633">IFERROR(H954*(F954/E954),"-")</f>
        <v>0</v>
      </c>
      <c r="J954" s="426">
        <f t="shared" ref="J954:J959" si="634">IFERROR(H954*(G954/E954),"-")</f>
        <v>0</v>
      </c>
    </row>
    <row r="955" spans="1:10" ht="23.4" x14ac:dyDescent="0.3">
      <c r="A955" s="277" t="s">
        <v>111</v>
      </c>
      <c r="B955" s="923"/>
      <c r="C955" s="278" t="s">
        <v>421</v>
      </c>
      <c r="D955" s="278" t="s">
        <v>257</v>
      </c>
      <c r="E955" s="516">
        <v>13.002700000000001</v>
      </c>
      <c r="F955" s="408">
        <f>IFERROR(E955*'01 Prod Physique Boites'!H947,"-")</f>
        <v>0</v>
      </c>
      <c r="G955" s="408">
        <f>IFERROR(E955*'01 Prod Physique Boites'!L947,"-")</f>
        <v>3372159.2261000001</v>
      </c>
      <c r="H955" s="391">
        <v>21.18</v>
      </c>
      <c r="I955" s="427">
        <f t="shared" si="633"/>
        <v>0</v>
      </c>
      <c r="J955" s="428">
        <f t="shared" si="634"/>
        <v>5492884.7400000002</v>
      </c>
    </row>
    <row r="956" spans="1:10" ht="23.4" x14ac:dyDescent="0.3">
      <c r="A956" s="277" t="s">
        <v>111</v>
      </c>
      <c r="B956" s="923"/>
      <c r="C956" s="278" t="s">
        <v>441</v>
      </c>
      <c r="D956" s="278" t="s">
        <v>205</v>
      </c>
      <c r="E956" s="516">
        <v>12.9049</v>
      </c>
      <c r="F956" s="408">
        <f>IFERROR(E956*'01 Prod Physique Boites'!H948,"-")</f>
        <v>0</v>
      </c>
      <c r="G956" s="408">
        <f>IFERROR(E956*'01 Prod Physique Boites'!L948,"-")</f>
        <v>0</v>
      </c>
      <c r="H956" s="391">
        <v>20.6602</v>
      </c>
      <c r="I956" s="427">
        <f t="shared" si="633"/>
        <v>0</v>
      </c>
      <c r="J956" s="428">
        <f t="shared" si="634"/>
        <v>0</v>
      </c>
    </row>
    <row r="957" spans="1:10" ht="23.4" x14ac:dyDescent="0.3">
      <c r="A957" s="277" t="s">
        <v>111</v>
      </c>
      <c r="B957" s="923"/>
      <c r="C957" s="278" t="s">
        <v>330</v>
      </c>
      <c r="D957" s="278" t="s">
        <v>206</v>
      </c>
      <c r="E957" s="516">
        <v>13.078200000000001</v>
      </c>
      <c r="F957" s="408">
        <f>IFERROR(E957*'01 Prod Physique Boites'!H949,"-")</f>
        <v>0</v>
      </c>
      <c r="G957" s="408">
        <f>IFERROR(E957*'01 Prod Physique Boites'!L949,"-")</f>
        <v>24011.575200000003</v>
      </c>
      <c r="H957" s="391">
        <v>20.66</v>
      </c>
      <c r="I957" s="427">
        <f t="shared" si="633"/>
        <v>0</v>
      </c>
      <c r="J957" s="428">
        <f t="shared" si="634"/>
        <v>37931.760000000002</v>
      </c>
    </row>
    <row r="958" spans="1:10" ht="23.4" x14ac:dyDescent="0.3">
      <c r="A958" s="277" t="s">
        <v>111</v>
      </c>
      <c r="B958" s="923"/>
      <c r="C958" s="278" t="s">
        <v>377</v>
      </c>
      <c r="D958" s="278" t="s">
        <v>371</v>
      </c>
      <c r="E958" s="516">
        <v>13.1958</v>
      </c>
      <c r="F958" s="408">
        <f>IFERROR(E958*'01 Prod Physique Boites'!H950,"-")</f>
        <v>0</v>
      </c>
      <c r="G958" s="408">
        <f>IFERROR(E958*'01 Prod Physique Boites'!L950,"-")</f>
        <v>109683.4896</v>
      </c>
      <c r="H958" s="391">
        <v>21.28</v>
      </c>
      <c r="I958" s="427">
        <f t="shared" si="633"/>
        <v>0</v>
      </c>
      <c r="J958" s="428">
        <f t="shared" si="634"/>
        <v>176879.36000000002</v>
      </c>
    </row>
    <row r="959" spans="1:10" ht="23.4" x14ac:dyDescent="0.3">
      <c r="A959" s="277" t="s">
        <v>111</v>
      </c>
      <c r="B959" s="923"/>
      <c r="C959" s="278" t="s">
        <v>443</v>
      </c>
      <c r="D959" s="278" t="s">
        <v>207</v>
      </c>
      <c r="E959" s="516">
        <v>12.9049</v>
      </c>
      <c r="F959" s="408">
        <f>IFERROR(E959*'01 Prod Physique Boites'!H951,"-")</f>
        <v>1895471.7119999998</v>
      </c>
      <c r="G959" s="408">
        <f>IFERROR(E959*'01 Prod Physique Boites'!L951,"-")</f>
        <v>4501745.3159999996</v>
      </c>
      <c r="H959" s="391">
        <v>20.66</v>
      </c>
      <c r="I959" s="427">
        <f t="shared" si="633"/>
        <v>3034540.8</v>
      </c>
      <c r="J959" s="428">
        <f t="shared" si="634"/>
        <v>7207034.4000000004</v>
      </c>
    </row>
    <row r="960" spans="1:10" ht="24" thickBot="1" x14ac:dyDescent="0.35">
      <c r="A960" s="277" t="s">
        <v>111</v>
      </c>
      <c r="B960" s="924"/>
      <c r="C960" s="282" t="s">
        <v>416</v>
      </c>
      <c r="D960" s="282" t="s">
        <v>189</v>
      </c>
      <c r="E960" s="512">
        <v>13.6509</v>
      </c>
      <c r="F960" s="408">
        <f>IFERROR(E960*'01 Prod Physique Boites'!H952,"-")</f>
        <v>0</v>
      </c>
      <c r="G960" s="408">
        <f>IFERROR(E960*'01 Prod Physique Boites'!L952,"-")</f>
        <v>1002522.096</v>
      </c>
      <c r="H960" s="393">
        <v>21.18</v>
      </c>
      <c r="I960" s="429">
        <f t="shared" si="633"/>
        <v>0</v>
      </c>
      <c r="J960" s="430">
        <f>IFERROR(H960*(G960/E960),"-")</f>
        <v>1555459.2</v>
      </c>
    </row>
    <row r="961" spans="1:10" ht="24" thickBot="1" x14ac:dyDescent="0.35">
      <c r="A961" s="277" t="s">
        <v>111</v>
      </c>
      <c r="B961" s="906" t="s">
        <v>48</v>
      </c>
      <c r="C961" s="907"/>
      <c r="D961" s="908"/>
      <c r="E961" s="396"/>
      <c r="F961" s="412">
        <f t="shared" ref="F961:G961" si="635">SUM(F954:F960)</f>
        <v>1895471.7119999998</v>
      </c>
      <c r="G961" s="413">
        <f t="shared" si="635"/>
        <v>9010121.7028999999</v>
      </c>
      <c r="H961" s="397"/>
      <c r="I961" s="412">
        <f t="shared" ref="I961" si="636">SUM(I954:I960)</f>
        <v>3034540.8</v>
      </c>
      <c r="J961" s="431">
        <f>SUM(J954:J960)</f>
        <v>14470189.460000001</v>
      </c>
    </row>
    <row r="962" spans="1:10" ht="23.4" x14ac:dyDescent="0.3">
      <c r="A962" s="277" t="s">
        <v>111</v>
      </c>
      <c r="B962" s="922" t="s">
        <v>18</v>
      </c>
      <c r="C962" s="272" t="s">
        <v>359</v>
      </c>
      <c r="D962" s="272" t="s">
        <v>99</v>
      </c>
      <c r="E962" s="515">
        <v>17.8202</v>
      </c>
      <c r="F962" s="408">
        <f>IFERROR(E962*'01 Prod Physique Boites'!H954,"-")</f>
        <v>0</v>
      </c>
      <c r="G962" s="409">
        <f>IFERROR(E962*'01 Prod Physique Boites'!L954,"-")</f>
        <v>0</v>
      </c>
      <c r="H962" s="387">
        <v>24.93</v>
      </c>
      <c r="I962" s="425">
        <f t="shared" ref="I962:I968" si="637">IFERROR(H962*(F962/E962),"-")</f>
        <v>0</v>
      </c>
      <c r="J962" s="426">
        <f t="shared" ref="J962:J964" si="638">IFERROR(H962*(G962/E962),"-")</f>
        <v>0</v>
      </c>
    </row>
    <row r="963" spans="1:10" ht="23.4" x14ac:dyDescent="0.3">
      <c r="A963" s="277" t="s">
        <v>111</v>
      </c>
      <c r="B963" s="923"/>
      <c r="C963" s="278" t="s">
        <v>138</v>
      </c>
      <c r="D963" s="278"/>
      <c r="E963" s="516">
        <v>17.8202</v>
      </c>
      <c r="F963" s="408">
        <f>IFERROR(E963*'01 Prod Physique Boites'!H955,"-")</f>
        <v>0</v>
      </c>
      <c r="G963" s="409">
        <f>IFERROR(E963*'01 Prod Physique Boites'!L955,"-")</f>
        <v>0</v>
      </c>
      <c r="H963" s="391">
        <v>0</v>
      </c>
      <c r="I963" s="427">
        <f t="shared" si="637"/>
        <v>0</v>
      </c>
      <c r="J963" s="428">
        <f t="shared" si="638"/>
        <v>0</v>
      </c>
    </row>
    <row r="964" spans="1:10" ht="23.4" x14ac:dyDescent="0.3">
      <c r="A964" s="277" t="s">
        <v>111</v>
      </c>
      <c r="B964" s="923"/>
      <c r="C964" s="278" t="s">
        <v>123</v>
      </c>
      <c r="D964" s="278"/>
      <c r="E964" s="516">
        <v>16.4071</v>
      </c>
      <c r="F964" s="408">
        <f>IFERROR(E964*'01 Prod Physique Boites'!H956,"-")</f>
        <v>0</v>
      </c>
      <c r="G964" s="409">
        <f>IFERROR(E964*'01 Prod Physique Boites'!L956,"-")</f>
        <v>0</v>
      </c>
      <c r="H964" s="391">
        <v>0</v>
      </c>
      <c r="I964" s="427">
        <f t="shared" si="637"/>
        <v>0</v>
      </c>
      <c r="J964" s="428">
        <f t="shared" si="638"/>
        <v>0</v>
      </c>
    </row>
    <row r="965" spans="1:10" ht="23.4" x14ac:dyDescent="0.3">
      <c r="A965" s="277" t="s">
        <v>111</v>
      </c>
      <c r="B965" s="923"/>
      <c r="C965" s="278" t="s">
        <v>130</v>
      </c>
      <c r="D965" s="278"/>
      <c r="E965" s="516">
        <v>17.8202</v>
      </c>
      <c r="F965" s="408">
        <f>IFERROR(E965*'01 Prod Physique Boites'!H957,"-")</f>
        <v>0</v>
      </c>
      <c r="G965" s="409">
        <f>IFERROR(E965*'01 Prod Physique Boites'!L957,"-")</f>
        <v>0</v>
      </c>
      <c r="H965" s="391"/>
      <c r="I965" s="427">
        <f t="shared" si="637"/>
        <v>0</v>
      </c>
      <c r="J965" s="428">
        <f>IFERROR(H965*(G965/E965),"-")</f>
        <v>0</v>
      </c>
    </row>
    <row r="966" spans="1:10" ht="23.4" x14ac:dyDescent="0.3">
      <c r="A966" s="277" t="s">
        <v>111</v>
      </c>
      <c r="B966" s="923"/>
      <c r="C966" s="278" t="s">
        <v>191</v>
      </c>
      <c r="D966" s="278" t="s">
        <v>192</v>
      </c>
      <c r="E966" s="516">
        <v>17.8202</v>
      </c>
      <c r="F966" s="408">
        <f>IFERROR(E966*'01 Prod Physique Boites'!H958,"-")</f>
        <v>0</v>
      </c>
      <c r="G966" s="409">
        <f>IFERROR(E966*'01 Prod Physique Boites'!L958,"-")</f>
        <v>0</v>
      </c>
      <c r="H966" s="391"/>
      <c r="I966" s="427">
        <f t="shared" si="637"/>
        <v>0</v>
      </c>
      <c r="J966" s="428">
        <f t="shared" ref="J966:J968" si="639">IFERROR(H966*(G966/E966),"-")</f>
        <v>0</v>
      </c>
    </row>
    <row r="967" spans="1:10" ht="23.4" x14ac:dyDescent="0.3">
      <c r="A967" s="277" t="s">
        <v>111</v>
      </c>
      <c r="B967" s="923"/>
      <c r="C967" s="278" t="s">
        <v>194</v>
      </c>
      <c r="D967" s="278" t="s">
        <v>193</v>
      </c>
      <c r="E967" s="516">
        <v>16.7288</v>
      </c>
      <c r="F967" s="408">
        <f>IFERROR(E967*'01 Prod Physique Boites'!H959,"-")</f>
        <v>0</v>
      </c>
      <c r="G967" s="409">
        <f>IFERROR(E967*'01 Prod Physique Boites'!L959,"-")</f>
        <v>0</v>
      </c>
      <c r="H967" s="391"/>
      <c r="I967" s="427">
        <f t="shared" si="637"/>
        <v>0</v>
      </c>
      <c r="J967" s="428">
        <f t="shared" si="639"/>
        <v>0</v>
      </c>
    </row>
    <row r="968" spans="1:10" ht="24" thickBot="1" x14ac:dyDescent="0.35">
      <c r="A968" s="277" t="s">
        <v>111</v>
      </c>
      <c r="B968" s="924"/>
      <c r="C968" s="290" t="s">
        <v>195</v>
      </c>
      <c r="D968" s="290" t="s">
        <v>115</v>
      </c>
      <c r="E968" s="512">
        <v>17.8202</v>
      </c>
      <c r="F968" s="408">
        <f>IFERROR(E968*'01 Prod Physique Boites'!H960,"-")</f>
        <v>0</v>
      </c>
      <c r="G968" s="409">
        <f>IFERROR(E968*'01 Prod Physique Boites'!L960,"-")</f>
        <v>0</v>
      </c>
      <c r="H968" s="393"/>
      <c r="I968" s="429">
        <f t="shared" si="637"/>
        <v>0</v>
      </c>
      <c r="J968" s="430">
        <f t="shared" si="639"/>
        <v>0</v>
      </c>
    </row>
    <row r="969" spans="1:10" ht="24" thickBot="1" x14ac:dyDescent="0.35">
      <c r="A969" s="277" t="s">
        <v>111</v>
      </c>
      <c r="B969" s="906" t="s">
        <v>29</v>
      </c>
      <c r="C969" s="907"/>
      <c r="D969" s="908"/>
      <c r="E969" s="397"/>
      <c r="F969" s="420">
        <f t="shared" ref="F969:G969" si="640">SUM(F962:F968)</f>
        <v>0</v>
      </c>
      <c r="G969" s="421">
        <f t="shared" si="640"/>
        <v>0</v>
      </c>
      <c r="H969" s="404"/>
      <c r="I969" s="420">
        <f t="shared" ref="I969:J969" si="641">SUM(I962:I968)</f>
        <v>0</v>
      </c>
      <c r="J969" s="436">
        <f t="shared" si="641"/>
        <v>0</v>
      </c>
    </row>
    <row r="970" spans="1:10" ht="23.4" x14ac:dyDescent="0.3">
      <c r="A970" s="277"/>
      <c r="B970" s="918" t="s">
        <v>19</v>
      </c>
      <c r="C970" s="678" t="s">
        <v>260</v>
      </c>
      <c r="D970" s="676" t="s">
        <v>192</v>
      </c>
      <c r="E970" s="517">
        <v>12.2659</v>
      </c>
      <c r="F970" s="763">
        <f>IFERROR(E970*'01 Prod Physique Boites'!H962,"-")</f>
        <v>103622.3232</v>
      </c>
      <c r="G970" s="763">
        <f>IFERROR(E970*'01 Prod Physique Boites'!L962,"-")</f>
        <v>3834025.9583999999</v>
      </c>
      <c r="H970" s="764">
        <v>14.79</v>
      </c>
      <c r="I970" s="763">
        <f t="shared" ref="I970:I972" si="642">IFERROR(H970*(F970/E970),"-")</f>
        <v>124945.92</v>
      </c>
      <c r="J970" s="763">
        <f>IFERROR(H970*(G970/E970),"-")</f>
        <v>4622999.04</v>
      </c>
    </row>
    <row r="971" spans="1:10" ht="23.4" x14ac:dyDescent="0.3">
      <c r="A971" s="277"/>
      <c r="B971" s="919"/>
      <c r="C971" s="647"/>
      <c r="D971" s="647"/>
      <c r="E971" s="762">
        <v>12.2659</v>
      </c>
      <c r="F971" s="763"/>
      <c r="G971" s="763">
        <f>IFERROR(E971*'01 Prod Physique Boites'!L963,"-")</f>
        <v>414489.2928</v>
      </c>
      <c r="H971" s="764">
        <v>14.79</v>
      </c>
      <c r="I971" s="763">
        <f t="shared" si="642"/>
        <v>0</v>
      </c>
      <c r="J971" s="763">
        <f>IFERROR(H971*(G971/E971),"-")</f>
        <v>499783.67999999999</v>
      </c>
    </row>
    <row r="972" spans="1:10" ht="24" thickBot="1" x14ac:dyDescent="0.35">
      <c r="A972" s="748" t="s">
        <v>111</v>
      </c>
      <c r="B972" s="920"/>
      <c r="C972" s="760" t="s">
        <v>417</v>
      </c>
      <c r="D972" s="761"/>
      <c r="E972" s="295">
        <v>0</v>
      </c>
      <c r="F972" s="414">
        <f>IFERROR(E972*'01 Prod Physique Boites'!H964,"-")</f>
        <v>0</v>
      </c>
      <c r="G972" s="415">
        <f>IFERROR(E972*'01 Prod Physique Boites'!L964,"-")</f>
        <v>0</v>
      </c>
      <c r="H972" s="398">
        <v>0</v>
      </c>
      <c r="I972" s="432" t="str">
        <f t="shared" si="642"/>
        <v>-</v>
      </c>
      <c r="J972" s="433" t="str">
        <f t="shared" ref="J972" si="643">IFERROR(I972*(G972/F972),"-")</f>
        <v>-</v>
      </c>
    </row>
    <row r="973" spans="1:10" ht="24" thickBot="1" x14ac:dyDescent="0.35">
      <c r="A973" s="277" t="s">
        <v>111</v>
      </c>
      <c r="B973" s="906" t="s">
        <v>49</v>
      </c>
      <c r="C973" s="907"/>
      <c r="D973" s="908"/>
      <c r="E973" s="396"/>
      <c r="F973" s="412">
        <f t="shared" ref="F973:G973" si="644">SUM(F972)</f>
        <v>0</v>
      </c>
      <c r="G973" s="413">
        <f t="shared" si="644"/>
        <v>0</v>
      </c>
      <c r="H973" s="397"/>
      <c r="I973" s="412">
        <f t="shared" ref="I973" si="645">SUM(I972)</f>
        <v>0</v>
      </c>
      <c r="J973" s="431">
        <f>SUM(J970:J972)</f>
        <v>5122782.72</v>
      </c>
    </row>
    <row r="974" spans="1:10" ht="23.4" x14ac:dyDescent="0.3">
      <c r="A974" s="277" t="s">
        <v>111</v>
      </c>
      <c r="B974" s="922" t="s">
        <v>20</v>
      </c>
      <c r="C974" s="297" t="s">
        <v>370</v>
      </c>
      <c r="D974" s="297" t="s">
        <v>324</v>
      </c>
      <c r="E974" s="515">
        <v>26.032900000000001</v>
      </c>
      <c r="F974" s="408">
        <f>IFERROR(E974*'01 Prod Physique Boites'!H966,"-")</f>
        <v>0</v>
      </c>
      <c r="G974" s="409">
        <f>IFERROR(E974*'01 Prod Physique Boites'!L966,"-")</f>
        <v>0</v>
      </c>
      <c r="H974" s="387">
        <v>36.44</v>
      </c>
      <c r="I974" s="425">
        <f>IFERROR(H974*(F974/E974),"-")</f>
        <v>0</v>
      </c>
      <c r="J974" s="426">
        <f t="shared" ref="J974:J976" si="646">IFERROR(H974*(G974/E974),"-")</f>
        <v>0</v>
      </c>
    </row>
    <row r="975" spans="1:10" ht="23.4" x14ac:dyDescent="0.3">
      <c r="A975" s="277" t="s">
        <v>111</v>
      </c>
      <c r="B975" s="923"/>
      <c r="C975" s="298" t="s">
        <v>122</v>
      </c>
      <c r="D975" s="298"/>
      <c r="E975" s="390">
        <v>24.2607</v>
      </c>
      <c r="F975" s="408">
        <f>IFERROR(E975*'01 Prod Physique Boites'!H967,"-")</f>
        <v>0</v>
      </c>
      <c r="G975" s="409">
        <f>IFERROR(E975*'01 Prod Physique Boites'!L967,"-")</f>
        <v>0</v>
      </c>
      <c r="H975" s="391">
        <v>37.369999999999997</v>
      </c>
      <c r="I975" s="427">
        <f>IFERROR(H975*(F975/E975),"-")</f>
        <v>0</v>
      </c>
      <c r="J975" s="428">
        <f t="shared" si="646"/>
        <v>0</v>
      </c>
    </row>
    <row r="976" spans="1:10" ht="24" thickBot="1" x14ac:dyDescent="0.35">
      <c r="A976" s="277" t="s">
        <v>111</v>
      </c>
      <c r="B976" s="924"/>
      <c r="C976" s="299" t="s">
        <v>128</v>
      </c>
      <c r="D976" s="299"/>
      <c r="E976" s="392">
        <v>26.035799999999998</v>
      </c>
      <c r="F976" s="408">
        <f>IFERROR(E976*'01 Prod Physique Boites'!H968,"-")</f>
        <v>0</v>
      </c>
      <c r="G976" s="409">
        <f>IFERROR(E976*'01 Prod Physique Boites'!L968,"-")</f>
        <v>0</v>
      </c>
      <c r="H976" s="393">
        <v>37.11</v>
      </c>
      <c r="I976" s="429">
        <f>IFERROR(H976*(F976/E976),"-")</f>
        <v>0</v>
      </c>
      <c r="J976" s="430">
        <f t="shared" si="646"/>
        <v>0</v>
      </c>
    </row>
    <row r="977" spans="1:10" ht="24" thickBot="1" x14ac:dyDescent="0.35">
      <c r="A977" s="277" t="s">
        <v>111</v>
      </c>
      <c r="B977" s="907" t="s">
        <v>50</v>
      </c>
      <c r="C977" s="907"/>
      <c r="D977" s="925"/>
      <c r="E977" s="396"/>
      <c r="F977" s="412">
        <f t="shared" ref="F977:G977" si="647">SUM(F974:F976)</f>
        <v>0</v>
      </c>
      <c r="G977" s="413">
        <f t="shared" si="647"/>
        <v>0</v>
      </c>
      <c r="H977" s="397"/>
      <c r="I977" s="412">
        <f t="shared" ref="I977:J977" si="648">SUM(I974:I976)</f>
        <v>0</v>
      </c>
      <c r="J977" s="431">
        <f t="shared" si="648"/>
        <v>0</v>
      </c>
    </row>
    <row r="978" spans="1:10" ht="24" thickBot="1" x14ac:dyDescent="0.35">
      <c r="A978" s="277" t="s">
        <v>111</v>
      </c>
      <c r="B978" s="926" t="s">
        <v>21</v>
      </c>
      <c r="C978" s="927"/>
      <c r="D978" s="928"/>
      <c r="E978" s="399"/>
      <c r="F978" s="416">
        <f>+F953+F961+F969+F973+F977</f>
        <v>1895471.7119999998</v>
      </c>
      <c r="G978" s="417">
        <f>+G953+G961+G969+G973+G977</f>
        <v>15288320.4869</v>
      </c>
      <c r="H978" s="400"/>
      <c r="I978" s="416">
        <f>+I953+I961+I969+I973+I977</f>
        <v>3034540.8</v>
      </c>
      <c r="J978" s="434">
        <f>+J953+J961+J969+J973+J977</f>
        <v>31082168.519200001</v>
      </c>
    </row>
    <row r="979" spans="1:10" ht="23.4" x14ac:dyDescent="0.3">
      <c r="A979" s="277" t="s">
        <v>111</v>
      </c>
      <c r="B979" s="922" t="s">
        <v>22</v>
      </c>
      <c r="C979" s="272" t="s">
        <v>133</v>
      </c>
      <c r="D979" s="272"/>
      <c r="E979" s="386">
        <v>22.820599999999999</v>
      </c>
      <c r="F979" s="408">
        <f>IFERROR(E979*'01 Prod Physique Boites'!H971,"-")</f>
        <v>0</v>
      </c>
      <c r="G979" s="409">
        <f>IFERROR(E979*'01 Prod Physique Boites'!L971,"-")</f>
        <v>0</v>
      </c>
      <c r="H979" s="387">
        <v>27.5</v>
      </c>
      <c r="I979" s="425">
        <f>IFERROR(H979*(F979/E979),"-")</f>
        <v>0</v>
      </c>
      <c r="J979" s="426">
        <f t="shared" ref="J979:J982" si="649">IFERROR(H979*(G979/E979),"-")</f>
        <v>0</v>
      </c>
    </row>
    <row r="980" spans="1:10" ht="23.4" x14ac:dyDescent="0.3">
      <c r="A980" s="277" t="s">
        <v>111</v>
      </c>
      <c r="B980" s="923"/>
      <c r="C980" s="301" t="s">
        <v>291</v>
      </c>
      <c r="D980" s="301" t="s">
        <v>196</v>
      </c>
      <c r="E980" s="390">
        <v>23.570699999999999</v>
      </c>
      <c r="F980" s="408">
        <f>IFERROR(E980*'01 Prod Physique Boites'!H972,"-")</f>
        <v>0</v>
      </c>
      <c r="G980" s="409">
        <f>IFERROR(E980*'01 Prod Physique Boites'!L972,"-")</f>
        <v>0</v>
      </c>
      <c r="H980" s="391">
        <v>27.5</v>
      </c>
      <c r="I980" s="427">
        <f>IFERROR(H980*(F980/E980),"-")</f>
        <v>0</v>
      </c>
      <c r="J980" s="428">
        <f t="shared" si="649"/>
        <v>0</v>
      </c>
    </row>
    <row r="981" spans="1:10" ht="23.4" x14ac:dyDescent="0.3">
      <c r="A981" s="277" t="s">
        <v>111</v>
      </c>
      <c r="B981" s="923"/>
      <c r="C981" s="301" t="s">
        <v>198</v>
      </c>
      <c r="D981" s="301" t="s">
        <v>100</v>
      </c>
      <c r="E981" s="390">
        <v>22.238499999999998</v>
      </c>
      <c r="F981" s="408">
        <f>IFERROR(E981*'01 Prod Physique Boites'!H973,"-")</f>
        <v>0</v>
      </c>
      <c r="G981" s="409">
        <f>IFERROR(E981*'01 Prod Physique Boites'!L973,"-")</f>
        <v>0</v>
      </c>
      <c r="H981" s="391">
        <v>24</v>
      </c>
      <c r="I981" s="427">
        <f>IFERROR(H981*(F981/E981),"-")</f>
        <v>0</v>
      </c>
      <c r="J981" s="428">
        <f t="shared" si="649"/>
        <v>0</v>
      </c>
    </row>
    <row r="982" spans="1:10" ht="24" thickBot="1" x14ac:dyDescent="0.35">
      <c r="A982" s="277" t="s">
        <v>111</v>
      </c>
      <c r="B982" s="924"/>
      <c r="C982" s="282" t="s">
        <v>197</v>
      </c>
      <c r="D982" s="282" t="s">
        <v>100</v>
      </c>
      <c r="E982" s="392">
        <v>23.5685</v>
      </c>
      <c r="F982" s="408">
        <f>IFERROR(E982*'01 Prod Physique Boites'!H974,"-")</f>
        <v>0</v>
      </c>
      <c r="G982" s="409">
        <f>IFERROR(E982*'01 Prod Physique Boites'!L974,"-")</f>
        <v>0</v>
      </c>
      <c r="H982" s="393">
        <v>24</v>
      </c>
      <c r="I982" s="429">
        <f>IFERROR(H982*(F982/E982),"-")</f>
        <v>0</v>
      </c>
      <c r="J982" s="430">
        <f t="shared" si="649"/>
        <v>0</v>
      </c>
    </row>
    <row r="983" spans="1:10" ht="24" thickBot="1" x14ac:dyDescent="0.35">
      <c r="A983" s="277" t="s">
        <v>111</v>
      </c>
      <c r="B983" s="906" t="s">
        <v>51</v>
      </c>
      <c r="C983" s="907"/>
      <c r="D983" s="908"/>
      <c r="E983" s="396"/>
      <c r="F983" s="412">
        <f t="shared" ref="F983:G983" si="650">SUM(F979:F982)</f>
        <v>0</v>
      </c>
      <c r="G983" s="413">
        <f t="shared" si="650"/>
        <v>0</v>
      </c>
      <c r="H983" s="397"/>
      <c r="I983" s="412">
        <f t="shared" ref="I983:J983" si="651">SUM(I979:I982)</f>
        <v>0</v>
      </c>
      <c r="J983" s="431">
        <f t="shared" si="651"/>
        <v>0</v>
      </c>
    </row>
    <row r="984" spans="1:10" ht="23.4" x14ac:dyDescent="0.3">
      <c r="A984" s="277" t="s">
        <v>111</v>
      </c>
      <c r="B984" s="922" t="s">
        <v>23</v>
      </c>
      <c r="C984" s="302" t="s">
        <v>348</v>
      </c>
      <c r="D984" s="302" t="s">
        <v>263</v>
      </c>
      <c r="E984" s="386">
        <v>101.4935</v>
      </c>
      <c r="F984" s="408">
        <f>IFERROR(E984*'01 Prod Physique Boites'!H976,"-")</f>
        <v>0</v>
      </c>
      <c r="G984" s="409">
        <f>IFERROR(E984*'01 Prod Physique Boites'!L976,"-")</f>
        <v>0</v>
      </c>
      <c r="H984" s="391">
        <v>160.44999999999999</v>
      </c>
      <c r="I984" s="425">
        <f t="shared" ref="I984:I991" si="652">IFERROR(H984*(F984/E984),"-")</f>
        <v>0</v>
      </c>
      <c r="J984" s="426">
        <f t="shared" ref="J984:J991" si="653">IFERROR(H984*(G984/E984),"-")</f>
        <v>0</v>
      </c>
    </row>
    <row r="985" spans="1:10" ht="23.4" x14ac:dyDescent="0.3">
      <c r="A985" s="277" t="s">
        <v>111</v>
      </c>
      <c r="B985" s="923"/>
      <c r="C985" s="278" t="s">
        <v>24</v>
      </c>
      <c r="D985" s="278" t="s">
        <v>263</v>
      </c>
      <c r="E985" s="390">
        <v>101.4935</v>
      </c>
      <c r="F985" s="408">
        <f>IFERROR(E985*'01 Prod Physique Boites'!H977,"-")</f>
        <v>444034.0625</v>
      </c>
      <c r="G985" s="409">
        <f>IFERROR(E985*'01 Prod Physique Boites'!L977,"-")</f>
        <v>3641079.3125</v>
      </c>
      <c r="H985" s="391">
        <v>160.44999999999999</v>
      </c>
      <c r="I985" s="427">
        <f t="shared" si="652"/>
        <v>701968.75</v>
      </c>
      <c r="J985" s="428">
        <f t="shared" si="653"/>
        <v>5756143.75</v>
      </c>
    </row>
    <row r="986" spans="1:10" ht="23.4" x14ac:dyDescent="0.3">
      <c r="A986" s="277" t="s">
        <v>111</v>
      </c>
      <c r="B986" s="923"/>
      <c r="C986" s="278" t="s">
        <v>261</v>
      </c>
      <c r="D986" s="278" t="s">
        <v>263</v>
      </c>
      <c r="E986" s="390">
        <v>101.4935</v>
      </c>
      <c r="F986" s="408">
        <f>IFERROR(E986*'01 Prod Physique Boites'!H978,"-")</f>
        <v>751153.39350000001</v>
      </c>
      <c r="G986" s="409">
        <f>IFERROR(E986*'01 Prod Physique Boites'!L978,"-")</f>
        <v>1106380.6435</v>
      </c>
      <c r="H986" s="391">
        <v>160.44999999999999</v>
      </c>
      <c r="I986" s="427">
        <f t="shared" si="652"/>
        <v>1187490.45</v>
      </c>
      <c r="J986" s="428">
        <f t="shared" si="653"/>
        <v>1749065.45</v>
      </c>
    </row>
    <row r="987" spans="1:10" ht="23.4" x14ac:dyDescent="0.3">
      <c r="A987" s="277" t="s">
        <v>111</v>
      </c>
      <c r="B987" s="923"/>
      <c r="C987" s="278" t="s">
        <v>262</v>
      </c>
      <c r="D987" s="278" t="s">
        <v>263</v>
      </c>
      <c r="E987" s="390">
        <v>101.4935</v>
      </c>
      <c r="F987" s="408">
        <f>IFERROR(E987*'01 Prod Physique Boites'!H979,"-")</f>
        <v>0</v>
      </c>
      <c r="G987" s="409">
        <f>IFERROR(E987*'01 Prod Physique Boites'!L979,"-")</f>
        <v>772568.522</v>
      </c>
      <c r="H987" s="391">
        <v>160.44999999999999</v>
      </c>
      <c r="I987" s="427">
        <f t="shared" si="652"/>
        <v>0</v>
      </c>
      <c r="J987" s="428">
        <f t="shared" si="653"/>
        <v>1221345.3999999999</v>
      </c>
    </row>
    <row r="988" spans="1:10" ht="23.4" x14ac:dyDescent="0.3">
      <c r="A988" s="277" t="s">
        <v>111</v>
      </c>
      <c r="B988" s="923"/>
      <c r="C988" s="301" t="s">
        <v>264</v>
      </c>
      <c r="D988" s="278" t="s">
        <v>263</v>
      </c>
      <c r="E988" s="390">
        <v>101.4935</v>
      </c>
      <c r="F988" s="408">
        <f>IFERROR(E988*'01 Prod Physique Boites'!H980,"-")</f>
        <v>0</v>
      </c>
      <c r="G988" s="409">
        <f>IFERROR(E988*'01 Prod Physique Boites'!L980,"-")</f>
        <v>0</v>
      </c>
      <c r="H988" s="391">
        <v>160.44999999999999</v>
      </c>
      <c r="I988" s="427">
        <f t="shared" si="652"/>
        <v>0</v>
      </c>
      <c r="J988" s="428">
        <f t="shared" si="653"/>
        <v>0</v>
      </c>
    </row>
    <row r="989" spans="1:10" ht="23.4" x14ac:dyDescent="0.3">
      <c r="A989" s="277" t="s">
        <v>111</v>
      </c>
      <c r="B989" s="923"/>
      <c r="C989" s="301" t="s">
        <v>265</v>
      </c>
      <c r="D989" s="278" t="s">
        <v>263</v>
      </c>
      <c r="E989" s="390">
        <v>101.4935</v>
      </c>
      <c r="F989" s="408">
        <f>IFERROR(E989*'01 Prod Physique Boites'!H981,"-")</f>
        <v>0</v>
      </c>
      <c r="G989" s="409">
        <f>IFERROR(E989*'01 Prod Physique Boites'!L981,"-")</f>
        <v>0</v>
      </c>
      <c r="H989" s="391">
        <v>160.44999999999999</v>
      </c>
      <c r="I989" s="427">
        <f t="shared" si="652"/>
        <v>0</v>
      </c>
      <c r="J989" s="428">
        <f t="shared" si="653"/>
        <v>0</v>
      </c>
    </row>
    <row r="990" spans="1:10" ht="23.4" x14ac:dyDescent="0.3">
      <c r="A990" s="277" t="s">
        <v>111</v>
      </c>
      <c r="B990" s="923"/>
      <c r="C990" s="301" t="s">
        <v>266</v>
      </c>
      <c r="D990" s="278" t="s">
        <v>268</v>
      </c>
      <c r="E990" s="390">
        <v>101.4935</v>
      </c>
      <c r="F990" s="408">
        <f>IFERROR(E990*'01 Prod Physique Boites'!H982,"-")</f>
        <v>0</v>
      </c>
      <c r="G990" s="409">
        <f>IFERROR(E990*'01 Prod Physique Boites'!L982,"-")</f>
        <v>1057257.7895</v>
      </c>
      <c r="H990" s="391">
        <v>160.44999999999999</v>
      </c>
      <c r="I990" s="427">
        <f t="shared" si="652"/>
        <v>0</v>
      </c>
      <c r="J990" s="428">
        <f t="shared" si="653"/>
        <v>1671407.65</v>
      </c>
    </row>
    <row r="991" spans="1:10" ht="24" thickBot="1" x14ac:dyDescent="0.35">
      <c r="A991" s="277" t="s">
        <v>111</v>
      </c>
      <c r="B991" s="924"/>
      <c r="C991" s="301" t="s">
        <v>267</v>
      </c>
      <c r="D991" s="278" t="s">
        <v>263</v>
      </c>
      <c r="E991" s="392">
        <v>101.4935</v>
      </c>
      <c r="F991" s="408">
        <f>IFERROR(E991*'01 Prod Physique Boites'!H983,"-")</f>
        <v>0</v>
      </c>
      <c r="G991" s="409">
        <f>IFERROR(E991*'01 Prod Physique Boites'!L983,"-")</f>
        <v>1420909</v>
      </c>
      <c r="H991" s="391">
        <v>160.44999999999999</v>
      </c>
      <c r="I991" s="429">
        <f t="shared" si="652"/>
        <v>0</v>
      </c>
      <c r="J991" s="430">
        <f t="shared" si="653"/>
        <v>2246300</v>
      </c>
    </row>
    <row r="992" spans="1:10" ht="24" thickBot="1" x14ac:dyDescent="0.35">
      <c r="A992" s="277" t="s">
        <v>111</v>
      </c>
      <c r="B992" s="906" t="s">
        <v>52</v>
      </c>
      <c r="C992" s="907"/>
      <c r="D992" s="908"/>
      <c r="E992" s="396"/>
      <c r="F992" s="412">
        <f t="shared" ref="F992:G992" si="654">SUM(F984:F991)</f>
        <v>1195187.456</v>
      </c>
      <c r="G992" s="413">
        <f t="shared" si="654"/>
        <v>7998195.2675000001</v>
      </c>
      <c r="H992" s="397"/>
      <c r="I992" s="412">
        <f t="shared" ref="I992:J992" si="655">SUM(I984:I991)</f>
        <v>1889459.2</v>
      </c>
      <c r="J992" s="431">
        <f t="shared" si="655"/>
        <v>12644262.25</v>
      </c>
    </row>
    <row r="993" spans="1:10" ht="24" thickBot="1" x14ac:dyDescent="0.35">
      <c r="A993" s="277" t="s">
        <v>111</v>
      </c>
      <c r="B993" s="926" t="s">
        <v>25</v>
      </c>
      <c r="C993" s="927"/>
      <c r="D993" s="928"/>
      <c r="E993" s="399"/>
      <c r="F993" s="416">
        <f t="shared" ref="F993:G993" si="656">+F983+F992</f>
        <v>1195187.456</v>
      </c>
      <c r="G993" s="417">
        <f t="shared" si="656"/>
        <v>7998195.2675000001</v>
      </c>
      <c r="H993" s="400"/>
      <c r="I993" s="416">
        <f t="shared" ref="I993:J993" si="657">+I983+I992</f>
        <v>1889459.2</v>
      </c>
      <c r="J993" s="434">
        <f t="shared" si="657"/>
        <v>12644262.25</v>
      </c>
    </row>
    <row r="994" spans="1:10" ht="24" thickBot="1" x14ac:dyDescent="0.35">
      <c r="A994" s="277" t="s">
        <v>111</v>
      </c>
      <c r="B994" s="900" t="s">
        <v>181</v>
      </c>
      <c r="C994" s="901"/>
      <c r="D994" s="902"/>
      <c r="E994" s="401"/>
      <c r="F994" s="418">
        <f t="shared" ref="F994:G994" si="658">+F978+F993</f>
        <v>3090659.1679999996</v>
      </c>
      <c r="G994" s="419">
        <f t="shared" si="658"/>
        <v>23286515.7544</v>
      </c>
      <c r="H994" s="402"/>
      <c r="I994" s="418">
        <f t="shared" ref="I994:J994" si="659">+I978+I993</f>
        <v>4924000</v>
      </c>
      <c r="J994" s="435">
        <f t="shared" si="659"/>
        <v>43726430.769199997</v>
      </c>
    </row>
    <row r="995" spans="1:10" ht="23.4" x14ac:dyDescent="0.3">
      <c r="A995" s="271" t="s">
        <v>109</v>
      </c>
      <c r="B995" s="929" t="s">
        <v>26</v>
      </c>
      <c r="C995" s="303" t="s">
        <v>334</v>
      </c>
      <c r="D995" s="305" t="s">
        <v>192</v>
      </c>
      <c r="E995" s="515">
        <v>13.1272</v>
      </c>
      <c r="F995" s="408">
        <f>IFERROR(E995*'01 Prod Physique Boites'!H987,"-")</f>
        <v>0</v>
      </c>
      <c r="G995" s="409">
        <f>IFERROR(E995*'01 Prod Physique Boites'!L987,"-")</f>
        <v>4229820.1295999996</v>
      </c>
      <c r="H995" s="387">
        <v>20.76</v>
      </c>
      <c r="I995" s="425">
        <f t="shared" ref="I995:I1003" si="660">IFERROR(H995*(F995/E995),"-")</f>
        <v>0</v>
      </c>
      <c r="J995" s="662">
        <f t="shared" ref="J995:J1003" si="661">IFERROR(H995*(G995/E995),"-")</f>
        <v>6689245.6799999997</v>
      </c>
    </row>
    <row r="996" spans="1:10" ht="23.4" x14ac:dyDescent="0.3">
      <c r="A996" s="277" t="s">
        <v>109</v>
      </c>
      <c r="B996" s="929"/>
      <c r="C996" s="304" t="s">
        <v>199</v>
      </c>
      <c r="D996" s="304" t="s">
        <v>115</v>
      </c>
      <c r="E996" s="516">
        <v>14.608000000000001</v>
      </c>
      <c r="F996" s="408">
        <f>IFERROR(E996*'01 Prod Physique Boites'!H988,"-")</f>
        <v>0</v>
      </c>
      <c r="G996" s="409">
        <f>IFERROR(E996*'01 Prod Physique Boites'!L988,"-")</f>
        <v>0</v>
      </c>
      <c r="H996" s="391">
        <v>24.93</v>
      </c>
      <c r="I996" s="427">
        <f t="shared" si="660"/>
        <v>0</v>
      </c>
      <c r="J996" s="663">
        <f t="shared" si="661"/>
        <v>0</v>
      </c>
    </row>
    <row r="997" spans="1:10" ht="23.4" x14ac:dyDescent="0.3">
      <c r="A997" s="277" t="s">
        <v>109</v>
      </c>
      <c r="B997" s="929"/>
      <c r="C997" s="305" t="s">
        <v>27</v>
      </c>
      <c r="D997" s="305" t="s">
        <v>310</v>
      </c>
      <c r="E997" s="512">
        <v>17.8202</v>
      </c>
      <c r="F997" s="408">
        <f>IFERROR(E997*'01 Prod Physique Boites'!H989,"-")</f>
        <v>0</v>
      </c>
      <c r="G997" s="409">
        <f>IFERROR(E997*'01 Prod Physique Boites'!L989,"-")</f>
        <v>0</v>
      </c>
      <c r="H997" s="391">
        <v>24.93</v>
      </c>
      <c r="I997" s="427">
        <f t="shared" si="660"/>
        <v>0</v>
      </c>
      <c r="J997" s="663">
        <f t="shared" si="661"/>
        <v>0</v>
      </c>
    </row>
    <row r="998" spans="1:10" ht="23.4" x14ac:dyDescent="0.3">
      <c r="A998" s="277" t="s">
        <v>109</v>
      </c>
      <c r="B998" s="929"/>
      <c r="C998" s="305" t="s">
        <v>27</v>
      </c>
      <c r="D998" s="305" t="s">
        <v>311</v>
      </c>
      <c r="E998" s="512">
        <v>17.8202</v>
      </c>
      <c r="F998" s="408">
        <f>IFERROR(E998*'01 Prod Physique Boites'!H990,"-")</f>
        <v>0</v>
      </c>
      <c r="G998" s="409">
        <f>IFERROR(E998*'01 Prod Physique Boites'!L990,"-")</f>
        <v>0</v>
      </c>
      <c r="H998" s="391">
        <v>24.93</v>
      </c>
      <c r="I998" s="427">
        <f t="shared" si="660"/>
        <v>0</v>
      </c>
      <c r="J998" s="663">
        <f t="shared" si="661"/>
        <v>0</v>
      </c>
    </row>
    <row r="999" spans="1:10" ht="23.4" x14ac:dyDescent="0.3">
      <c r="A999" s="277" t="s">
        <v>109</v>
      </c>
      <c r="B999" s="929"/>
      <c r="C999" s="305" t="s">
        <v>325</v>
      </c>
      <c r="D999" s="305" t="s">
        <v>324</v>
      </c>
      <c r="E999" s="512">
        <v>14.608000000000001</v>
      </c>
      <c r="F999" s="408">
        <f>IFERROR(E999*'01 Prod Physique Boites'!H991,"-")</f>
        <v>0</v>
      </c>
      <c r="G999" s="409">
        <f>IFERROR(E999*'01 Prod Physique Boites'!L991,"-")</f>
        <v>0</v>
      </c>
      <c r="H999" s="391">
        <v>24.93</v>
      </c>
      <c r="I999" s="427">
        <f t="shared" si="660"/>
        <v>0</v>
      </c>
      <c r="J999" s="663">
        <f t="shared" si="661"/>
        <v>0</v>
      </c>
    </row>
    <row r="1000" spans="1:10" ht="23.4" x14ac:dyDescent="0.3">
      <c r="A1000" s="277"/>
      <c r="B1000" s="929"/>
      <c r="C1000" s="305" t="s">
        <v>393</v>
      </c>
      <c r="D1000" s="305" t="s">
        <v>192</v>
      </c>
      <c r="E1000" s="512">
        <v>17.8202</v>
      </c>
      <c r="F1000" s="408">
        <f>IFERROR(E1000*'01 Prod Physique Boites'!H992,"-")</f>
        <v>0</v>
      </c>
      <c r="G1000" s="409">
        <f>IFERROR(E1000*'01 Prod Physique Boites'!L992,"-")</f>
        <v>0</v>
      </c>
      <c r="H1000" s="393">
        <v>21.22</v>
      </c>
      <c r="I1000" s="427">
        <f t="shared" si="660"/>
        <v>0</v>
      </c>
      <c r="J1000" s="664">
        <f t="shared" si="661"/>
        <v>0</v>
      </c>
    </row>
    <row r="1001" spans="1:10" ht="23.4" x14ac:dyDescent="0.3">
      <c r="A1001" s="277"/>
      <c r="B1001" s="929"/>
      <c r="C1001" s="305" t="s">
        <v>325</v>
      </c>
      <c r="D1001" s="305" t="s">
        <v>101</v>
      </c>
      <c r="E1001" s="512">
        <v>14.608000000000001</v>
      </c>
      <c r="F1001" s="408">
        <f>IFERROR(E1001*'01 Prod Physique Boites'!H993,"-")</f>
        <v>58110.624000000003</v>
      </c>
      <c r="G1001" s="409">
        <f>IFERROR(E1001*'01 Prod Physique Boites'!L993,"-")</f>
        <v>58110.624000000003</v>
      </c>
      <c r="H1001" s="393">
        <v>24.93</v>
      </c>
      <c r="I1001" s="429">
        <f t="shared" si="660"/>
        <v>99171.54</v>
      </c>
      <c r="J1001" s="664">
        <f t="shared" si="661"/>
        <v>99171.54</v>
      </c>
    </row>
    <row r="1002" spans="1:10" ht="23.4" x14ac:dyDescent="0.3">
      <c r="A1002" s="277"/>
      <c r="B1002" s="929"/>
      <c r="C1002" s="305" t="s">
        <v>325</v>
      </c>
      <c r="D1002" s="305" t="s">
        <v>394</v>
      </c>
      <c r="E1002" s="512">
        <v>14.608000000000001</v>
      </c>
      <c r="F1002" s="408">
        <f>IFERROR(E1002*'01 Prod Physique Boites'!H994,"-")</f>
        <v>406774.36800000002</v>
      </c>
      <c r="G1002" s="409">
        <f>IFERROR(E1002*'01 Prod Physique Boites'!L994,"-")</f>
        <v>8193597.9840000002</v>
      </c>
      <c r="H1002" s="393">
        <v>21.22</v>
      </c>
      <c r="I1002" s="429">
        <f t="shared" si="660"/>
        <v>590892.12</v>
      </c>
      <c r="J1002" s="664">
        <f t="shared" si="661"/>
        <v>11902255.559999999</v>
      </c>
    </row>
    <row r="1003" spans="1:10" ht="24" thickBot="1" x14ac:dyDescent="0.35">
      <c r="A1003" s="277" t="s">
        <v>109</v>
      </c>
      <c r="B1003" s="929"/>
      <c r="C1003" s="306" t="s">
        <v>326</v>
      </c>
      <c r="D1003" s="305" t="s">
        <v>324</v>
      </c>
      <c r="E1003" s="512">
        <v>12.6997</v>
      </c>
      <c r="F1003" s="408">
        <f>IFERROR(E1003*'01 Prod Physique Boites'!H995,"-")</f>
        <v>0</v>
      </c>
      <c r="G1003" s="409">
        <f>IFERROR(E1003*'01 Prod Physique Boites'!L995,"-")</f>
        <v>101038.8132</v>
      </c>
      <c r="H1003" s="393">
        <v>13.25</v>
      </c>
      <c r="I1003" s="429">
        <f t="shared" si="660"/>
        <v>0</v>
      </c>
      <c r="J1003" s="664">
        <f t="shared" si="661"/>
        <v>105417</v>
      </c>
    </row>
    <row r="1004" spans="1:10" ht="24" thickBot="1" x14ac:dyDescent="0.35">
      <c r="A1004" s="277" t="s">
        <v>109</v>
      </c>
      <c r="B1004" s="930"/>
      <c r="C1004" s="307"/>
      <c r="D1004" s="308" t="s">
        <v>55</v>
      </c>
      <c r="E1004" s="396"/>
      <c r="F1004" s="412">
        <f>SUM(F995:F1003)</f>
        <v>464884.99200000003</v>
      </c>
      <c r="G1004" s="413">
        <f t="shared" ref="G1004" si="662">SUM(G995:G1003)</f>
        <v>12582567.550799999</v>
      </c>
      <c r="H1004" s="397"/>
      <c r="I1004" s="412">
        <f t="shared" ref="I1004" si="663">SUM(I995:I1003)</f>
        <v>690063.66</v>
      </c>
      <c r="J1004" s="431">
        <f>SUM(J995:J1003)</f>
        <v>18796089.779999997</v>
      </c>
    </row>
    <row r="1005" spans="1:10" ht="23.4" x14ac:dyDescent="0.3">
      <c r="A1005" s="277" t="s">
        <v>109</v>
      </c>
      <c r="B1005" s="931" t="s">
        <v>28</v>
      </c>
      <c r="C1005" s="303" t="s">
        <v>27</v>
      </c>
      <c r="D1005" s="303" t="s">
        <v>193</v>
      </c>
      <c r="E1005" s="515">
        <v>12.6997</v>
      </c>
      <c r="F1005" s="408">
        <f>IFERROR(E1005*'01 Prod Physique Boites'!H997,"-")</f>
        <v>0</v>
      </c>
      <c r="G1005" s="409">
        <f>IFERROR(E1005*'01 Prod Physique Boites'!L997,"-")</f>
        <v>0</v>
      </c>
      <c r="H1005" s="387">
        <v>13.25</v>
      </c>
      <c r="I1005" s="425">
        <f>IFERROR(H1005*(F1005/E1005),"-")</f>
        <v>0</v>
      </c>
      <c r="J1005" s="662">
        <f t="shared" ref="J1005:J1007" si="664">IFERROR(H1005*(G1005/E1005),"-")</f>
        <v>0</v>
      </c>
    </row>
    <row r="1006" spans="1:10" ht="23.4" x14ac:dyDescent="0.3">
      <c r="A1006" s="277" t="s">
        <v>109</v>
      </c>
      <c r="B1006" s="929"/>
      <c r="C1006" s="305" t="s">
        <v>27</v>
      </c>
      <c r="D1006" s="305" t="s">
        <v>311</v>
      </c>
      <c r="E1006" s="512">
        <v>17.8202</v>
      </c>
      <c r="F1006" s="408">
        <f>IFERROR(E1006*'01 Prod Physique Boites'!H998,"-")</f>
        <v>0</v>
      </c>
      <c r="G1006" s="409">
        <f>IFERROR(E1006*'01 Prod Physique Boites'!L998,"-")</f>
        <v>0</v>
      </c>
      <c r="H1006" s="391">
        <v>24.93</v>
      </c>
      <c r="I1006" s="427">
        <f>IFERROR(H1006*(F1006/E1006),"-")</f>
        <v>0</v>
      </c>
      <c r="J1006" s="663">
        <f t="shared" si="664"/>
        <v>0</v>
      </c>
    </row>
    <row r="1007" spans="1:10" ht="24" thickBot="1" x14ac:dyDescent="0.35">
      <c r="A1007" s="277" t="s">
        <v>109</v>
      </c>
      <c r="B1007" s="929"/>
      <c r="C1007" s="305" t="s">
        <v>27</v>
      </c>
      <c r="D1007" s="306" t="s">
        <v>259</v>
      </c>
      <c r="E1007" s="512">
        <v>17.8202</v>
      </c>
      <c r="F1007" s="408">
        <f>IFERROR(E1007*'01 Prod Physique Boites'!H999,"-")</f>
        <v>0</v>
      </c>
      <c r="G1007" s="409">
        <f>IFERROR(E1007*'01 Prod Physique Boites'!L999,"-")</f>
        <v>0</v>
      </c>
      <c r="H1007" s="391">
        <v>24.93</v>
      </c>
      <c r="I1007" s="429">
        <f>IFERROR(H1007*(F1007/E1007),"-")</f>
        <v>0</v>
      </c>
      <c r="J1007" s="664">
        <f t="shared" si="664"/>
        <v>0</v>
      </c>
    </row>
    <row r="1008" spans="1:10" ht="24" thickBot="1" x14ac:dyDescent="0.35">
      <c r="A1008" s="277" t="s">
        <v>109</v>
      </c>
      <c r="B1008" s="929"/>
      <c r="C1008" s="310"/>
      <c r="D1008" s="311" t="s">
        <v>55</v>
      </c>
      <c r="E1008" s="403"/>
      <c r="F1008" s="420">
        <f t="shared" ref="F1008:G1008" si="665">SUM(F1005:F1007)</f>
        <v>0</v>
      </c>
      <c r="G1008" s="421">
        <f t="shared" si="665"/>
        <v>0</v>
      </c>
      <c r="H1008" s="404"/>
      <c r="I1008" s="420">
        <f t="shared" ref="I1008:J1008" si="666">SUM(I1005:I1007)</f>
        <v>0</v>
      </c>
      <c r="J1008" s="436">
        <f t="shared" si="666"/>
        <v>0</v>
      </c>
    </row>
    <row r="1009" spans="1:10" ht="24" thickBot="1" x14ac:dyDescent="0.35">
      <c r="A1009" s="748" t="s">
        <v>109</v>
      </c>
      <c r="B1009" s="932" t="s">
        <v>171</v>
      </c>
      <c r="C1009" s="933"/>
      <c r="D1009" s="934"/>
      <c r="E1009" s="405"/>
      <c r="F1009" s="422">
        <f t="shared" ref="F1009:G1009" si="667">+F1004+F1008</f>
        <v>464884.99200000003</v>
      </c>
      <c r="G1009" s="423">
        <f t="shared" si="667"/>
        <v>12582567.550799999</v>
      </c>
      <c r="H1009" s="406"/>
      <c r="I1009" s="422">
        <f t="shared" ref="I1009:J1009" si="668">+I1004+I1008</f>
        <v>690063.66</v>
      </c>
      <c r="J1009" s="437">
        <f t="shared" si="668"/>
        <v>18796089.779999997</v>
      </c>
    </row>
    <row r="1010" spans="1:10" ht="23.4" x14ac:dyDescent="0.3">
      <c r="A1010" s="277" t="s">
        <v>109</v>
      </c>
      <c r="B1010" s="929" t="s">
        <v>30</v>
      </c>
      <c r="C1010" s="309" t="s">
        <v>375</v>
      </c>
      <c r="D1010" s="303" t="s">
        <v>193</v>
      </c>
      <c r="E1010" s="515">
        <v>15.2788</v>
      </c>
      <c r="F1010" s="408">
        <f>IFERROR(E1010*'01 Prod Physique Boites'!H1002,"-")</f>
        <v>0</v>
      </c>
      <c r="G1010" s="409">
        <f>IFERROR(E1010*'01 Prod Physique Boites'!L1002,"-")</f>
        <v>0</v>
      </c>
      <c r="H1010" s="387">
        <v>23.65</v>
      </c>
      <c r="I1010" s="425">
        <f>IFERROR(H1010*(F1010/E1010),"-")</f>
        <v>0</v>
      </c>
      <c r="J1010" s="426">
        <f t="shared" ref="J1010:J1012" si="669">IFERROR(H1010*(G1010/E1010),"-")</f>
        <v>0</v>
      </c>
    </row>
    <row r="1011" spans="1:10" ht="23.4" x14ac:dyDescent="0.3">
      <c r="A1011" s="277" t="s">
        <v>109</v>
      </c>
      <c r="B1011" s="929"/>
      <c r="C1011" s="309" t="s">
        <v>368</v>
      </c>
      <c r="D1011" s="309" t="s">
        <v>324</v>
      </c>
      <c r="E1011" s="516">
        <v>22.6356</v>
      </c>
      <c r="F1011" s="408">
        <f>IFERROR(E1011*'01 Prod Physique Boites'!H1003,"-")</f>
        <v>0</v>
      </c>
      <c r="G1011" s="409">
        <f>IFERROR(E1011*'01 Prod Physique Boites'!L1003,"-")</f>
        <v>0</v>
      </c>
      <c r="H1011" s="391">
        <v>34.26</v>
      </c>
      <c r="I1011" s="427">
        <f>IFERROR(H1011*(F1011/E1011),"-")</f>
        <v>0</v>
      </c>
      <c r="J1011" s="428">
        <f t="shared" si="669"/>
        <v>0</v>
      </c>
    </row>
    <row r="1012" spans="1:10" ht="24" thickBot="1" x14ac:dyDescent="0.35">
      <c r="A1012" s="277" t="s">
        <v>109</v>
      </c>
      <c r="B1012" s="929"/>
      <c r="C1012" s="306" t="s">
        <v>327</v>
      </c>
      <c r="D1012" s="306"/>
      <c r="E1012" s="512">
        <v>25.751300000000001</v>
      </c>
      <c r="F1012" s="408">
        <f>IFERROR(E1012*'01 Prod Physique Boites'!H1004,"-")</f>
        <v>0</v>
      </c>
      <c r="G1012" s="409">
        <f>IFERROR(E1012*'01 Prod Physique Boites'!L1004,"-")</f>
        <v>0</v>
      </c>
      <c r="H1012" s="393">
        <v>37.89</v>
      </c>
      <c r="I1012" s="429">
        <f>IFERROR(H1012*(F1012/E1012),"-")</f>
        <v>0</v>
      </c>
      <c r="J1012" s="430">
        <f t="shared" si="669"/>
        <v>0</v>
      </c>
    </row>
    <row r="1013" spans="1:10" ht="24" thickBot="1" x14ac:dyDescent="0.35">
      <c r="A1013" s="277" t="s">
        <v>109</v>
      </c>
      <c r="B1013" s="929"/>
      <c r="C1013" s="307"/>
      <c r="D1013" s="308" t="s">
        <v>53</v>
      </c>
      <c r="E1013" s="396"/>
      <c r="F1013" s="412">
        <f t="shared" ref="F1013:G1013" si="670">SUM(F1010:F1012)</f>
        <v>0</v>
      </c>
      <c r="G1013" s="413">
        <f t="shared" si="670"/>
        <v>0</v>
      </c>
      <c r="H1013" s="397"/>
      <c r="I1013" s="412">
        <f t="shared" ref="I1013" si="671">SUM(I1010:I1012)</f>
        <v>0</v>
      </c>
      <c r="J1013" s="431">
        <f>SUM(J1010:J1012)</f>
        <v>0</v>
      </c>
    </row>
    <row r="1014" spans="1:10" ht="23.4" x14ac:dyDescent="0.3">
      <c r="A1014" s="277" t="s">
        <v>109</v>
      </c>
      <c r="B1014" s="929"/>
      <c r="C1014" s="303" t="s">
        <v>352</v>
      </c>
      <c r="D1014" s="303"/>
      <c r="E1014" s="515">
        <v>22.094999999999999</v>
      </c>
      <c r="F1014" s="408">
        <f>IFERROR(E1014*'01 Prod Physique Boites'!H1006,"-")</f>
        <v>0</v>
      </c>
      <c r="G1014" s="409">
        <f>IFERROR(E1014*'01 Prod Physique Boites'!L1006,"-")</f>
        <v>0</v>
      </c>
      <c r="H1014" s="387">
        <v>37.11</v>
      </c>
      <c r="I1014" s="425">
        <f>IFERROR(H1014*(F1014/E1014),"-")</f>
        <v>0</v>
      </c>
      <c r="J1014" s="426">
        <f t="shared" ref="J1014:J1016" si="672">IFERROR(H1014*(G1014/E1014),"-")</f>
        <v>0</v>
      </c>
    </row>
    <row r="1015" spans="1:10" ht="23.4" x14ac:dyDescent="0.3">
      <c r="A1015" s="277" t="s">
        <v>109</v>
      </c>
      <c r="B1015" s="929"/>
      <c r="C1015" s="309" t="s">
        <v>397</v>
      </c>
      <c r="D1015" s="309" t="s">
        <v>259</v>
      </c>
      <c r="E1015" s="516">
        <v>27.917000000000002</v>
      </c>
      <c r="F1015" s="408">
        <f>IFERROR(E1015*'01 Prod Physique Boites'!H1007,"-")</f>
        <v>156781.872</v>
      </c>
      <c r="G1015" s="409">
        <f>IFERROR(E1015*'01 Prod Physique Boites'!L1007,"-")</f>
        <v>10347603.552000001</v>
      </c>
      <c r="H1015" s="391">
        <v>39</v>
      </c>
      <c r="I1015" s="427">
        <f>IFERROR(H1015*(F1015/E1015),"-")</f>
        <v>219024</v>
      </c>
      <c r="J1015" s="428">
        <f t="shared" si="672"/>
        <v>14455584</v>
      </c>
    </row>
    <row r="1016" spans="1:10" ht="24" thickBot="1" x14ac:dyDescent="0.35">
      <c r="A1016" s="277" t="s">
        <v>109</v>
      </c>
      <c r="B1016" s="929"/>
      <c r="C1016" s="306" t="s">
        <v>146</v>
      </c>
      <c r="D1016" s="306"/>
      <c r="E1016" s="512">
        <v>25.4041</v>
      </c>
      <c r="F1016" s="408">
        <f>IFERROR(E1016*'01 Prod Physique Boites'!H1008,"-")</f>
        <v>0</v>
      </c>
      <c r="G1016" s="409">
        <f>IFERROR(E1016*'01 Prod Physique Boites'!L1008,"-")</f>
        <v>0</v>
      </c>
      <c r="H1016" s="393">
        <v>28.21</v>
      </c>
      <c r="I1016" s="429">
        <f>IFERROR(H1016*(F1016/E1016),"-")</f>
        <v>0</v>
      </c>
      <c r="J1016" s="430">
        <f t="shared" si="672"/>
        <v>0</v>
      </c>
    </row>
    <row r="1017" spans="1:10" ht="24" thickBot="1" x14ac:dyDescent="0.35">
      <c r="A1017" s="277" t="s">
        <v>109</v>
      </c>
      <c r="B1017" s="929"/>
      <c r="C1017" s="310"/>
      <c r="D1017" s="311" t="s">
        <v>54</v>
      </c>
      <c r="E1017" s="403"/>
      <c r="F1017" s="420">
        <f t="shared" ref="F1017:G1017" si="673">SUM(F1014:F1016)</f>
        <v>156781.872</v>
      </c>
      <c r="G1017" s="421">
        <f t="shared" si="673"/>
        <v>10347603.552000001</v>
      </c>
      <c r="H1017" s="404"/>
      <c r="I1017" s="420">
        <f t="shared" ref="I1017" si="674">SUM(I1014:I1016)</f>
        <v>219024</v>
      </c>
      <c r="J1017" s="436">
        <f>SUM(J1014:J1016)</f>
        <v>14455584</v>
      </c>
    </row>
    <row r="1018" spans="1:10" ht="24" thickBot="1" x14ac:dyDescent="0.35">
      <c r="A1018" s="277" t="s">
        <v>109</v>
      </c>
      <c r="B1018" s="932" t="s">
        <v>172</v>
      </c>
      <c r="C1018" s="933"/>
      <c r="D1018" s="934"/>
      <c r="E1018" s="405"/>
      <c r="F1018" s="422">
        <f t="shared" ref="F1018:G1018" si="675">+F1013+F1017</f>
        <v>156781.872</v>
      </c>
      <c r="G1018" s="423">
        <f t="shared" si="675"/>
        <v>10347603.552000001</v>
      </c>
      <c r="H1018" s="406"/>
      <c r="I1018" s="422">
        <f t="shared" ref="I1018:J1018" si="676">+I1013+I1017</f>
        <v>219024</v>
      </c>
      <c r="J1018" s="437">
        <f t="shared" si="676"/>
        <v>14455584</v>
      </c>
    </row>
    <row r="1019" spans="1:10" ht="24" thickBot="1" x14ac:dyDescent="0.35">
      <c r="A1019" s="277" t="s">
        <v>109</v>
      </c>
      <c r="B1019" s="617" t="s">
        <v>32</v>
      </c>
      <c r="C1019" s="744"/>
      <c r="D1019" s="316"/>
      <c r="E1019" s="517">
        <v>12.2659</v>
      </c>
      <c r="F1019" s="414">
        <f>IFERROR(E1019*'01 Prod Physique Boites'!H1011,"-")</f>
        <v>0</v>
      </c>
      <c r="G1019" s="415">
        <f>IFERROR(E1019*'01 Prod Physique Boites'!L1011,"-")</f>
        <v>0</v>
      </c>
      <c r="H1019" s="398"/>
      <c r="I1019" s="432">
        <f>IFERROR(H1019*(F1019/E1019),"-")</f>
        <v>0</v>
      </c>
      <c r="J1019" s="433">
        <f>IFERROR(H1019*(G1019/E1019),"-")</f>
        <v>0</v>
      </c>
    </row>
    <row r="1020" spans="1:10" ht="24" thickBot="1" x14ac:dyDescent="0.35">
      <c r="A1020" s="277" t="s">
        <v>109</v>
      </c>
      <c r="B1020" s="926" t="s">
        <v>21</v>
      </c>
      <c r="C1020" s="927"/>
      <c r="D1020" s="928"/>
      <c r="E1020" s="399"/>
      <c r="F1020" s="416">
        <f t="shared" ref="F1020" si="677">+F1009+F1018+F1019</f>
        <v>621666.86400000006</v>
      </c>
      <c r="G1020" s="417">
        <f>+G1009+G1018+G1019</f>
        <v>22930171.1028</v>
      </c>
      <c r="H1020" s="400"/>
      <c r="I1020" s="416">
        <f t="shared" ref="I1020:J1020" si="678">+I1009+I1018+I1019</f>
        <v>909087.66</v>
      </c>
      <c r="J1020" s="434">
        <f t="shared" si="678"/>
        <v>33251673.779999997</v>
      </c>
    </row>
    <row r="1021" spans="1:10" ht="24" thickBot="1" x14ac:dyDescent="0.35">
      <c r="A1021" s="277" t="s">
        <v>109</v>
      </c>
      <c r="B1021" s="900" t="s">
        <v>180</v>
      </c>
      <c r="C1021" s="901"/>
      <c r="D1021" s="902"/>
      <c r="E1021" s="401"/>
      <c r="F1021" s="418">
        <f t="shared" ref="F1021:G1021" si="679">+F1020</f>
        <v>621666.86400000006</v>
      </c>
      <c r="G1021" s="419">
        <f t="shared" si="679"/>
        <v>22930171.1028</v>
      </c>
      <c r="H1021" s="402"/>
      <c r="I1021" s="418">
        <f t="shared" ref="I1021:J1021" si="680">+I1020</f>
        <v>909087.66</v>
      </c>
      <c r="J1021" s="435">
        <f t="shared" si="680"/>
        <v>33251673.779999997</v>
      </c>
    </row>
    <row r="1022" spans="1:10" ht="23.4" x14ac:dyDescent="0.3">
      <c r="A1022" s="271" t="s">
        <v>110</v>
      </c>
      <c r="B1022" s="903" t="s">
        <v>33</v>
      </c>
      <c r="C1022" s="317" t="s">
        <v>121</v>
      </c>
      <c r="D1022" s="317"/>
      <c r="E1022" s="513">
        <v>254.89750000000001</v>
      </c>
      <c r="F1022" s="408">
        <f>IFERROR(E1022*'01 Prod Physique Boites'!H1014,"-")</f>
        <v>0</v>
      </c>
      <c r="G1022" s="409">
        <f>IFERROR(E1022*'01 Prod Physique Boites'!L1014,"-")</f>
        <v>0</v>
      </c>
      <c r="H1022" s="387">
        <v>445.38</v>
      </c>
      <c r="I1022" s="425">
        <f>IFERROR(H1022*(F1022/E1022),"-")</f>
        <v>0</v>
      </c>
      <c r="J1022" s="426">
        <f t="shared" ref="J1022:J1024" si="681">IFERROR(H1022*(G1022/E1022),"-")</f>
        <v>0</v>
      </c>
    </row>
    <row r="1023" spans="1:10" ht="23.4" x14ac:dyDescent="0.3">
      <c r="A1023" s="277" t="s">
        <v>110</v>
      </c>
      <c r="B1023" s="904"/>
      <c r="C1023" s="318" t="s">
        <v>274</v>
      </c>
      <c r="D1023" s="318"/>
      <c r="E1023" s="514">
        <v>246.51390000000001</v>
      </c>
      <c r="F1023" s="408">
        <f>IFERROR(E1023*'01 Prod Physique Boites'!H1015,"-")</f>
        <v>0</v>
      </c>
      <c r="G1023" s="409">
        <f>IFERROR(E1023*'01 Prod Physique Boites'!L1015,"-")</f>
        <v>2287648.9920000001</v>
      </c>
      <c r="H1023" s="391">
        <v>430.02</v>
      </c>
      <c r="I1023" s="427">
        <f>IFERROR(H1023*(F1023/E1023),"-")</f>
        <v>0</v>
      </c>
      <c r="J1023" s="428">
        <f t="shared" si="681"/>
        <v>3990585.5999999996</v>
      </c>
    </row>
    <row r="1024" spans="1:10" ht="24" thickBot="1" x14ac:dyDescent="0.35">
      <c r="A1024" s="277" t="s">
        <v>110</v>
      </c>
      <c r="B1024" s="905"/>
      <c r="C1024" s="319" t="s">
        <v>34</v>
      </c>
      <c r="D1024" s="319"/>
      <c r="E1024" s="511">
        <v>225.7713</v>
      </c>
      <c r="F1024" s="408">
        <f>IFERROR(E1024*'01 Prod Physique Boites'!H1016,"-")</f>
        <v>0</v>
      </c>
      <c r="G1024" s="409">
        <f>IFERROR(E1024*'01 Prod Physique Boites'!L1016,"-")</f>
        <v>0</v>
      </c>
      <c r="H1024" s="393"/>
      <c r="I1024" s="429">
        <f>IFERROR(H1024*(F1024/E1024),"-")</f>
        <v>0</v>
      </c>
      <c r="J1024" s="430">
        <f t="shared" si="681"/>
        <v>0</v>
      </c>
    </row>
    <row r="1025" spans="1:10" ht="24" thickBot="1" x14ac:dyDescent="0.35">
      <c r="A1025" s="277" t="s">
        <v>110</v>
      </c>
      <c r="B1025" s="906" t="s">
        <v>35</v>
      </c>
      <c r="C1025" s="907"/>
      <c r="D1025" s="908"/>
      <c r="E1025" s="396"/>
      <c r="F1025" s="412">
        <f t="shared" ref="F1025:G1025" si="682">SUM(F1022:F1024)</f>
        <v>0</v>
      </c>
      <c r="G1025" s="413">
        <f t="shared" si="682"/>
        <v>2287648.9920000001</v>
      </c>
      <c r="H1025" s="397"/>
      <c r="I1025" s="412">
        <f t="shared" ref="I1025:J1025" si="683">SUM(I1022:I1024)</f>
        <v>0</v>
      </c>
      <c r="J1025" s="431">
        <f t="shared" si="683"/>
        <v>3990585.5999999996</v>
      </c>
    </row>
    <row r="1026" spans="1:10" ht="23.4" x14ac:dyDescent="0.3">
      <c r="A1026" s="277" t="s">
        <v>110</v>
      </c>
      <c r="B1026" s="903" t="s">
        <v>36</v>
      </c>
      <c r="C1026" s="317" t="s">
        <v>121</v>
      </c>
      <c r="D1026" s="317"/>
      <c r="E1026" s="513">
        <v>254.89750000000001</v>
      </c>
      <c r="F1026" s="408">
        <f>IFERROR(E1026*'01 Prod Physique Boites'!H1018,"-")</f>
        <v>0</v>
      </c>
      <c r="G1026" s="409">
        <f>IFERROR(E1026*'01 Prod Physique Boites'!L1018,"-")</f>
        <v>0</v>
      </c>
      <c r="H1026" s="387">
        <v>445.38</v>
      </c>
      <c r="I1026" s="425">
        <f>IFERROR(H1026*(F1026/E1026),"-")</f>
        <v>0</v>
      </c>
      <c r="J1026" s="426">
        <f t="shared" ref="J1026:J1029" si="684">IFERROR(H1026*(G1026/E1026),"-")</f>
        <v>0</v>
      </c>
    </row>
    <row r="1027" spans="1:10" ht="23.4" x14ac:dyDescent="0.3">
      <c r="A1027" s="277" t="s">
        <v>110</v>
      </c>
      <c r="B1027" s="904"/>
      <c r="C1027" s="318" t="s">
        <v>274</v>
      </c>
      <c r="D1027" s="318"/>
      <c r="E1027" s="514">
        <v>246.51390000000001</v>
      </c>
      <c r="F1027" s="408">
        <f>IFERROR(E1027*'01 Prod Physique Boites'!H1019,"-")</f>
        <v>1577688.96</v>
      </c>
      <c r="G1027" s="409">
        <f>IFERROR(E1027*'01 Prod Physique Boites'!L1019,"-")</f>
        <v>5995218.0480000004</v>
      </c>
      <c r="H1027" s="391">
        <v>430.02</v>
      </c>
      <c r="I1027" s="427">
        <f>IFERROR(H1027*(F1027/E1027),"-")</f>
        <v>2752128</v>
      </c>
      <c r="J1027" s="428">
        <f t="shared" si="684"/>
        <v>10458086.4</v>
      </c>
    </row>
    <row r="1028" spans="1:10" ht="23.4" x14ac:dyDescent="0.3">
      <c r="A1028" s="277" t="s">
        <v>110</v>
      </c>
      <c r="B1028" s="904"/>
      <c r="C1028" s="318" t="s">
        <v>201</v>
      </c>
      <c r="D1028" s="318" t="s">
        <v>200</v>
      </c>
      <c r="E1028" s="514">
        <v>254.89750000000001</v>
      </c>
      <c r="F1028" s="408">
        <f>IFERROR(E1028*'01 Prod Physique Boites'!H1020,"-")</f>
        <v>0</v>
      </c>
      <c r="G1028" s="409">
        <f>IFERROR(E1028*'01 Prod Physique Boites'!L1020,"-")</f>
        <v>0</v>
      </c>
      <c r="H1028" s="391"/>
      <c r="I1028" s="427">
        <f>IFERROR(H1028*(F1028/E1028),"-")</f>
        <v>0</v>
      </c>
      <c r="J1028" s="428">
        <f t="shared" si="684"/>
        <v>0</v>
      </c>
    </row>
    <row r="1029" spans="1:10" ht="24" thickBot="1" x14ac:dyDescent="0.35">
      <c r="A1029" s="277" t="s">
        <v>110</v>
      </c>
      <c r="B1029" s="905"/>
      <c r="C1029" s="319" t="s">
        <v>37</v>
      </c>
      <c r="D1029" s="319"/>
      <c r="E1029" s="511">
        <v>229.99359999999999</v>
      </c>
      <c r="F1029" s="408">
        <f>IFERROR(E1029*'01 Prod Physique Boites'!H1021,"-")</f>
        <v>0</v>
      </c>
      <c r="G1029" s="409">
        <f>IFERROR(E1029*'01 Prod Physique Boites'!L1021,"-")</f>
        <v>0</v>
      </c>
      <c r="H1029" s="393"/>
      <c r="I1029" s="429">
        <f>IFERROR(H1029*(F1029/E1029),"-")</f>
        <v>0</v>
      </c>
      <c r="J1029" s="430">
        <f t="shared" si="684"/>
        <v>0</v>
      </c>
    </row>
    <row r="1030" spans="1:10" ht="24" thickBot="1" x14ac:dyDescent="0.35">
      <c r="A1030" s="277" t="s">
        <v>110</v>
      </c>
      <c r="B1030" s="906" t="s">
        <v>38</v>
      </c>
      <c r="C1030" s="907"/>
      <c r="D1030" s="908"/>
      <c r="E1030" s="396"/>
      <c r="F1030" s="412">
        <f t="shared" ref="F1030:G1030" si="685">SUM(F1026:F1029)</f>
        <v>1577688.96</v>
      </c>
      <c r="G1030" s="413">
        <f t="shared" si="685"/>
        <v>5995218.0480000004</v>
      </c>
      <c r="H1030" s="397"/>
      <c r="I1030" s="412">
        <f>SUM(I1026:I1029)</f>
        <v>2752128</v>
      </c>
      <c r="J1030" s="431">
        <f>SUM(J1026:J1029)</f>
        <v>10458086.4</v>
      </c>
    </row>
    <row r="1031" spans="1:10" ht="23.4" x14ac:dyDescent="0.3">
      <c r="A1031" s="277" t="s">
        <v>110</v>
      </c>
      <c r="B1031" s="903" t="s">
        <v>39</v>
      </c>
      <c r="C1031" s="320" t="s">
        <v>124</v>
      </c>
      <c r="D1031" s="320"/>
      <c r="E1031" s="513">
        <v>195.2808</v>
      </c>
      <c r="F1031" s="408">
        <f>IFERROR(E1031*'01 Prod Physique Boites'!H1023,"-")</f>
        <v>0</v>
      </c>
      <c r="G1031" s="409">
        <f>IFERROR(E1031*'01 Prod Physique Boites'!L1023,"-")</f>
        <v>0</v>
      </c>
      <c r="H1031" s="387"/>
      <c r="I1031" s="425">
        <f>IFERROR(H1031*(F1031/E1031),"-")</f>
        <v>0</v>
      </c>
      <c r="J1031" s="426">
        <f t="shared" ref="J1031:J1032" si="686">IFERROR(H1031*(G1031/E1031),"-")</f>
        <v>0</v>
      </c>
    </row>
    <row r="1032" spans="1:10" ht="24" thickBot="1" x14ac:dyDescent="0.35">
      <c r="A1032" s="277" t="s">
        <v>110</v>
      </c>
      <c r="B1032" s="905"/>
      <c r="C1032" s="290" t="s">
        <v>140</v>
      </c>
      <c r="D1032" s="290"/>
      <c r="E1032" s="511">
        <v>189.91890000000001</v>
      </c>
      <c r="F1032" s="408">
        <f>IFERROR(E1032*'01 Prod Physique Boites'!H1024,"-")</f>
        <v>0</v>
      </c>
      <c r="G1032" s="409">
        <f>IFERROR(E1032*'01 Prod Physique Boites'!L1024,"-")</f>
        <v>0</v>
      </c>
      <c r="H1032" s="393">
        <v>320.35000000000002</v>
      </c>
      <c r="I1032" s="429">
        <f>IFERROR(H1032*(F1032/E1032),"-")</f>
        <v>0</v>
      </c>
      <c r="J1032" s="430">
        <f t="shared" si="686"/>
        <v>0</v>
      </c>
    </row>
    <row r="1033" spans="1:10" ht="24" thickBot="1" x14ac:dyDescent="0.35">
      <c r="A1033" s="748" t="s">
        <v>110</v>
      </c>
      <c r="B1033" s="906" t="s">
        <v>40</v>
      </c>
      <c r="C1033" s="907"/>
      <c r="D1033" s="908"/>
      <c r="E1033" s="396"/>
      <c r="F1033" s="412">
        <f>SUM(F1031:F1032)</f>
        <v>0</v>
      </c>
      <c r="G1033" s="413">
        <f t="shared" ref="G1033" si="687">SUM(G1031:G1032)</f>
        <v>0</v>
      </c>
      <c r="H1033" s="397"/>
      <c r="I1033" s="412">
        <f t="shared" ref="I1033:J1033" si="688">SUM(I1031:I1032)</f>
        <v>0</v>
      </c>
      <c r="J1033" s="431">
        <f t="shared" si="688"/>
        <v>0</v>
      </c>
    </row>
    <row r="1034" spans="1:10" ht="23.4" x14ac:dyDescent="0.3">
      <c r="A1034" s="277" t="s">
        <v>110</v>
      </c>
      <c r="B1034" s="903" t="s">
        <v>41</v>
      </c>
      <c r="C1034" s="272" t="s">
        <v>346</v>
      </c>
      <c r="D1034" s="272" t="s">
        <v>263</v>
      </c>
      <c r="E1034" s="515">
        <v>37.248699999999999</v>
      </c>
      <c r="F1034" s="408">
        <f>IFERROR(E1034*'01 Prod Physique Boites'!H1026,"-")</f>
        <v>1314134.1359999999</v>
      </c>
      <c r="G1034" s="409">
        <f>IFERROR(E1034*'01 Prod Physique Boites'!L1026,"-")</f>
        <v>6581845.29</v>
      </c>
      <c r="H1034" s="387">
        <v>71.44</v>
      </c>
      <c r="I1034" s="425">
        <f>IFERROR(H1034*(F1034/E1034),"-")</f>
        <v>2520403.1999999997</v>
      </c>
      <c r="J1034" s="426">
        <f>IFERROR(H1034*(G1034/E1034),"-")</f>
        <v>12623448</v>
      </c>
    </row>
    <row r="1035" spans="1:10" ht="23.4" x14ac:dyDescent="0.3">
      <c r="A1035" s="277" t="s">
        <v>110</v>
      </c>
      <c r="B1035" s="904"/>
      <c r="C1035" s="272" t="s">
        <v>165</v>
      </c>
      <c r="D1035" s="278"/>
      <c r="E1035" s="515">
        <v>37.248699999999999</v>
      </c>
      <c r="F1035" s="408">
        <f>IFERROR(E1035*'01 Prod Physique Boites'!H1027,"-")</f>
        <v>0</v>
      </c>
      <c r="G1035" s="409">
        <f>IFERROR(E1035*'01 Prod Physique Boites'!L1027,"-")</f>
        <v>0</v>
      </c>
      <c r="H1035" s="391"/>
      <c r="I1035" s="427">
        <f>IFERROR(H1035*(F1035/E1035),"-")</f>
        <v>0</v>
      </c>
      <c r="J1035" s="428">
        <f t="shared" ref="J1035:J1038" si="689">IFERROR(H1035*(G1035/E1035),"-")</f>
        <v>0</v>
      </c>
    </row>
    <row r="1036" spans="1:10" ht="23.4" x14ac:dyDescent="0.3">
      <c r="A1036" s="277" t="s">
        <v>110</v>
      </c>
      <c r="B1036" s="904"/>
      <c r="C1036" s="278" t="s">
        <v>423</v>
      </c>
      <c r="D1036" s="272" t="s">
        <v>263</v>
      </c>
      <c r="E1036" s="516">
        <v>38.466099999999997</v>
      </c>
      <c r="F1036" s="408">
        <f>IFERROR(E1036*'01 Prod Physique Boites'!H1028,"-")</f>
        <v>0</v>
      </c>
      <c r="G1036" s="409">
        <f>IFERROR(E1036*'01 Prod Physique Boites'!L1028,"-")</f>
        <v>1306308.7559999998</v>
      </c>
      <c r="H1036" s="391">
        <v>71.44</v>
      </c>
      <c r="I1036" s="427">
        <f>IFERROR(H1036*(F1036/E1036),"-")</f>
        <v>0</v>
      </c>
      <c r="J1036" s="428">
        <f t="shared" si="689"/>
        <v>2426102.4</v>
      </c>
    </row>
    <row r="1037" spans="1:10" ht="23.4" x14ac:dyDescent="0.3">
      <c r="A1037" s="277" t="s">
        <v>110</v>
      </c>
      <c r="B1037" s="904"/>
      <c r="C1037" s="278" t="s">
        <v>166</v>
      </c>
      <c r="D1037" s="278"/>
      <c r="E1037" s="516">
        <v>37.248699999999999</v>
      </c>
      <c r="F1037" s="408">
        <f>IFERROR(E1037*'01 Prod Physique Boites'!H1029,"-")</f>
        <v>0</v>
      </c>
      <c r="G1037" s="409">
        <f>IFERROR(E1037*'01 Prod Physique Boites'!L1029,"-")</f>
        <v>0</v>
      </c>
      <c r="H1037" s="391"/>
      <c r="I1037" s="427">
        <f>IFERROR(H1037*(F1037/E1037),"-")</f>
        <v>0</v>
      </c>
      <c r="J1037" s="428">
        <f t="shared" si="689"/>
        <v>0</v>
      </c>
    </row>
    <row r="1038" spans="1:10" ht="24" thickBot="1" x14ac:dyDescent="0.35">
      <c r="A1038" s="277" t="s">
        <v>110</v>
      </c>
      <c r="B1038" s="905"/>
      <c r="C1038" s="282" t="s">
        <v>167</v>
      </c>
      <c r="D1038" s="282"/>
      <c r="E1038" s="512">
        <v>33.711399999999998</v>
      </c>
      <c r="F1038" s="408">
        <f>IFERROR(E1038*'01 Prod Physique Boites'!H1030,"-")</f>
        <v>0</v>
      </c>
      <c r="G1038" s="409">
        <f>IFERROR(E1038*'01 Prod Physique Boites'!L1030,"-")</f>
        <v>0</v>
      </c>
      <c r="H1038" s="393"/>
      <c r="I1038" s="429">
        <f>IFERROR(H1038*(F1038/E1038),"-")</f>
        <v>0</v>
      </c>
      <c r="J1038" s="430">
        <f t="shared" si="689"/>
        <v>0</v>
      </c>
    </row>
    <row r="1039" spans="1:10" ht="24" thickBot="1" x14ac:dyDescent="0.35">
      <c r="A1039" s="277" t="s">
        <v>110</v>
      </c>
      <c r="B1039" s="906" t="s">
        <v>42</v>
      </c>
      <c r="C1039" s="907"/>
      <c r="D1039" s="908"/>
      <c r="E1039" s="396"/>
      <c r="F1039" s="412">
        <f>SUM(F1034:F1038)</f>
        <v>1314134.1359999999</v>
      </c>
      <c r="G1039" s="413">
        <f>SUM(G1034:G1038)</f>
        <v>7888154.0460000001</v>
      </c>
      <c r="H1039" s="397"/>
      <c r="I1039" s="412">
        <f>SUM(I1034:I1038)</f>
        <v>2520403.1999999997</v>
      </c>
      <c r="J1039" s="412">
        <f>SUM(J1034:J1038)</f>
        <v>15049550.4</v>
      </c>
    </row>
    <row r="1040" spans="1:10" ht="23.4" x14ac:dyDescent="0.3">
      <c r="A1040" s="277" t="s">
        <v>110</v>
      </c>
      <c r="B1040" s="903" t="s">
        <v>43</v>
      </c>
      <c r="C1040" s="272" t="s">
        <v>204</v>
      </c>
      <c r="D1040" s="272" t="s">
        <v>200</v>
      </c>
      <c r="E1040" s="515">
        <v>30.7499</v>
      </c>
      <c r="F1040" s="408">
        <f>IFERROR(E1040*'01 Prod Physique Boites'!H1032,"-")</f>
        <v>0</v>
      </c>
      <c r="G1040" s="409">
        <f>IFERROR(E1040*'01 Prod Physique Boites'!L1032,"-")</f>
        <v>0</v>
      </c>
      <c r="H1040" s="387"/>
      <c r="I1040" s="425">
        <f>IFERROR(H1040*(F1040/E1040),"-")</f>
        <v>0</v>
      </c>
      <c r="J1040" s="426">
        <f>IFERROR(H1040*(G1040/E1040),"-")</f>
        <v>0</v>
      </c>
    </row>
    <row r="1041" spans="1:10" ht="23.4" x14ac:dyDescent="0.3">
      <c r="A1041" s="277" t="s">
        <v>110</v>
      </c>
      <c r="B1041" s="904"/>
      <c r="C1041" s="278" t="s">
        <v>168</v>
      </c>
      <c r="D1041" s="278"/>
      <c r="E1041" s="516">
        <v>28.7</v>
      </c>
      <c r="F1041" s="408">
        <f>IFERROR(E1041*'01 Prod Physique Boites'!H1033,"-")</f>
        <v>0</v>
      </c>
      <c r="G1041" s="409">
        <f>IFERROR(E1041*'01 Prod Physique Boites'!L1033,"-")</f>
        <v>0</v>
      </c>
      <c r="H1041" s="391"/>
      <c r="I1041" s="427">
        <f>IFERROR(H1041*(F1041/E1041),"-")</f>
        <v>0</v>
      </c>
      <c r="J1041" s="428">
        <f t="shared" ref="J1041:J1042" si="690">IFERROR(H1041*(G1041/E1041),"-")</f>
        <v>0</v>
      </c>
    </row>
    <row r="1042" spans="1:10" ht="24" thickBot="1" x14ac:dyDescent="0.35">
      <c r="A1042" s="277" t="s">
        <v>110</v>
      </c>
      <c r="B1042" s="905"/>
      <c r="C1042" s="282" t="s">
        <v>204</v>
      </c>
      <c r="D1042" s="282" t="s">
        <v>203</v>
      </c>
      <c r="E1042" s="512">
        <v>30.073599999999999</v>
      </c>
      <c r="F1042" s="408">
        <f>IFERROR(E1042*'01 Prod Physique Boites'!H1034,"-")</f>
        <v>0</v>
      </c>
      <c r="G1042" s="409">
        <f>IFERROR(E1042*'01 Prod Physique Boites'!L1034,"-")</f>
        <v>0</v>
      </c>
      <c r="H1042" s="393"/>
      <c r="I1042" s="429">
        <f>IFERROR(H1042*(F1042/E1042),"-")</f>
        <v>0</v>
      </c>
      <c r="J1042" s="430">
        <f t="shared" si="690"/>
        <v>0</v>
      </c>
    </row>
    <row r="1043" spans="1:10" ht="24" thickBot="1" x14ac:dyDescent="0.35">
      <c r="A1043" s="277" t="s">
        <v>110</v>
      </c>
      <c r="B1043" s="909" t="s">
        <v>44</v>
      </c>
      <c r="C1043" s="910"/>
      <c r="D1043" s="911"/>
      <c r="E1043" s="396"/>
      <c r="F1043" s="412">
        <f t="shared" ref="F1043:G1043" si="691">SUM(F1040:F1042)</f>
        <v>0</v>
      </c>
      <c r="G1043" s="413">
        <f t="shared" si="691"/>
        <v>0</v>
      </c>
      <c r="H1043" s="397"/>
      <c r="I1043" s="412">
        <f t="shared" ref="I1043:J1043" si="692">SUM(I1040:I1042)</f>
        <v>0</v>
      </c>
      <c r="J1043" s="431">
        <f t="shared" si="692"/>
        <v>0</v>
      </c>
    </row>
    <row r="1044" spans="1:10" ht="23.4" x14ac:dyDescent="0.3">
      <c r="A1044" s="277" t="s">
        <v>110</v>
      </c>
      <c r="B1044" s="903" t="s">
        <v>45</v>
      </c>
      <c r="C1044" s="272" t="s">
        <v>169</v>
      </c>
      <c r="D1044" s="272"/>
      <c r="E1044" s="515">
        <v>36.684899999999999</v>
      </c>
      <c r="F1044" s="408">
        <f>IFERROR(E1044*'01 Prod Physique Boites'!H1036,"-")</f>
        <v>0</v>
      </c>
      <c r="G1044" s="409">
        <f>IFERROR(E1044*'01 Prod Physique Boites'!L1036,"-")</f>
        <v>0</v>
      </c>
      <c r="H1044" s="387"/>
      <c r="I1044" s="388" t="s">
        <v>209</v>
      </c>
      <c r="J1044" s="389" t="s">
        <v>209</v>
      </c>
    </row>
    <row r="1045" spans="1:10" ht="24" thickBot="1" x14ac:dyDescent="0.35">
      <c r="A1045" s="277" t="s">
        <v>110</v>
      </c>
      <c r="B1045" s="905"/>
      <c r="C1045" s="282" t="s">
        <v>170</v>
      </c>
      <c r="D1045" s="282"/>
      <c r="E1045" s="512">
        <v>37.002800000000001</v>
      </c>
      <c r="F1045" s="408">
        <f>IFERROR(E1045*'01 Prod Physique Boites'!H1037,"-")</f>
        <v>0</v>
      </c>
      <c r="G1045" s="409">
        <f>IFERROR(E1045*'01 Prod Physique Boites'!L1037,"-")</f>
        <v>0</v>
      </c>
      <c r="H1045" s="393"/>
      <c r="I1045" s="394" t="s">
        <v>209</v>
      </c>
      <c r="J1045" s="395" t="s">
        <v>209</v>
      </c>
    </row>
    <row r="1046" spans="1:10" ht="24" thickBot="1" x14ac:dyDescent="0.35">
      <c r="A1046" s="277" t="s">
        <v>110</v>
      </c>
      <c r="B1046" s="909" t="s">
        <v>46</v>
      </c>
      <c r="C1046" s="910"/>
      <c r="D1046" s="911"/>
      <c r="E1046" s="396"/>
      <c r="F1046" s="412">
        <f t="shared" ref="F1046:G1046" si="693">SUM(F1044:F1045)</f>
        <v>0</v>
      </c>
      <c r="G1046" s="413">
        <f t="shared" si="693"/>
        <v>0</v>
      </c>
      <c r="H1046" s="397"/>
      <c r="I1046" s="412">
        <f t="shared" ref="I1046:J1046" si="694">SUM(I1044:I1045)</f>
        <v>0</v>
      </c>
      <c r="J1046" s="431">
        <f t="shared" si="694"/>
        <v>0</v>
      </c>
    </row>
    <row r="1047" spans="1:10" ht="24" thickBot="1" x14ac:dyDescent="0.35">
      <c r="A1047" s="277" t="s">
        <v>110</v>
      </c>
      <c r="B1047" s="912" t="s">
        <v>25</v>
      </c>
      <c r="C1047" s="913"/>
      <c r="D1047" s="914"/>
      <c r="E1047" s="399"/>
      <c r="F1047" s="416">
        <f t="shared" ref="F1047:G1047" si="695">+F1025+F1030+F1033+F1039+F1043+F1046</f>
        <v>2891823.0959999999</v>
      </c>
      <c r="G1047" s="417">
        <f t="shared" si="695"/>
        <v>16171021.086000001</v>
      </c>
      <c r="H1047" s="400"/>
      <c r="I1047" s="416">
        <f>+I1025+I1030+I1033+I1039+I1043+I1046</f>
        <v>5272531.1999999993</v>
      </c>
      <c r="J1047" s="434">
        <f>+J1025+J1030+J1033+J1039+J1043+J1046</f>
        <v>29498222.399999999</v>
      </c>
    </row>
    <row r="1048" spans="1:10" ht="24" thickBot="1" x14ac:dyDescent="0.35">
      <c r="A1048" s="324" t="s">
        <v>110</v>
      </c>
      <c r="B1048" s="901" t="s">
        <v>182</v>
      </c>
      <c r="C1048" s="901"/>
      <c r="D1048" s="902"/>
      <c r="E1048" s="401"/>
      <c r="F1048" s="418">
        <f t="shared" ref="F1048:G1048" si="696">+F1047</f>
        <v>2891823.0959999999</v>
      </c>
      <c r="G1048" s="419">
        <f t="shared" si="696"/>
        <v>16171021.086000001</v>
      </c>
      <c r="H1048" s="402"/>
      <c r="I1048" s="418">
        <f t="shared" ref="I1048" si="697">+I1047</f>
        <v>5272531.1999999993</v>
      </c>
      <c r="J1048" s="435">
        <f>+J1047</f>
        <v>29498222.399999999</v>
      </c>
    </row>
    <row r="1049" spans="1:10" ht="24.6" thickBot="1" x14ac:dyDescent="0.35">
      <c r="A1049" s="325"/>
      <c r="B1049" s="915" t="s">
        <v>183</v>
      </c>
      <c r="C1049" s="916"/>
      <c r="D1049" s="917"/>
      <c r="E1049" s="407"/>
      <c r="F1049" s="424">
        <f t="shared" ref="F1049:G1049" si="698">+F994+F1021+F1048</f>
        <v>6604149.1279999996</v>
      </c>
      <c r="G1049" s="424">
        <f t="shared" si="698"/>
        <v>62387707.9432</v>
      </c>
      <c r="H1049" s="407"/>
      <c r="I1049" s="424">
        <f t="shared" ref="I1049:J1049" si="699">+I994+I1021+I1048</f>
        <v>11105618.859999999</v>
      </c>
      <c r="J1049" s="438">
        <f t="shared" si="699"/>
        <v>106476326.9492</v>
      </c>
    </row>
    <row r="1050" spans="1:10" ht="23.4" x14ac:dyDescent="0.3">
      <c r="A1050" s="935" t="s">
        <v>1</v>
      </c>
      <c r="B1050" s="938" t="s">
        <v>2</v>
      </c>
      <c r="C1050" s="941" t="s">
        <v>3</v>
      </c>
      <c r="D1050" s="941" t="s">
        <v>93</v>
      </c>
      <c r="E1050" s="965" t="s">
        <v>176</v>
      </c>
      <c r="F1050" s="966"/>
      <c r="G1050" s="966"/>
      <c r="H1050" s="451"/>
      <c r="I1050" s="451"/>
      <c r="J1050" s="452"/>
    </row>
    <row r="1051" spans="1:10" ht="23.4" x14ac:dyDescent="0.3">
      <c r="A1051" s="936"/>
      <c r="B1051" s="939"/>
      <c r="C1051" s="942"/>
      <c r="D1051" s="942"/>
      <c r="E1051" s="967" t="s">
        <v>178</v>
      </c>
      <c r="F1051" s="968"/>
      <c r="G1051" s="969"/>
      <c r="H1051" s="967" t="s">
        <v>177</v>
      </c>
      <c r="I1051" s="968"/>
      <c r="J1051" s="969"/>
    </row>
    <row r="1052" spans="1:10" ht="46.8" x14ac:dyDescent="0.3">
      <c r="A1052" s="937"/>
      <c r="B1052" s="963"/>
      <c r="C1052" s="964"/>
      <c r="D1052" s="964"/>
      <c r="E1052" s="385" t="s">
        <v>179</v>
      </c>
      <c r="F1052" s="750" t="s">
        <v>11</v>
      </c>
      <c r="G1052" s="751" t="s">
        <v>12</v>
      </c>
      <c r="H1052" s="970" t="s">
        <v>179</v>
      </c>
      <c r="I1052" s="972" t="s">
        <v>145</v>
      </c>
      <c r="J1052" s="974" t="s">
        <v>12</v>
      </c>
    </row>
    <row r="1053" spans="1:10" ht="24" thickBot="1" x14ac:dyDescent="0.35">
      <c r="A1053" s="937"/>
      <c r="B1053" s="940"/>
      <c r="C1053" s="943"/>
      <c r="D1053" s="943"/>
      <c r="E1053" s="976">
        <v>44515</v>
      </c>
      <c r="F1053" s="977"/>
      <c r="G1053" s="978"/>
      <c r="H1053" s="971"/>
      <c r="I1053" s="973"/>
      <c r="J1053" s="975"/>
    </row>
    <row r="1054" spans="1:10" ht="23.4" x14ac:dyDescent="0.3">
      <c r="A1054" s="271" t="s">
        <v>111</v>
      </c>
      <c r="B1054" s="922" t="s">
        <v>16</v>
      </c>
      <c r="C1054" s="272" t="s">
        <v>186</v>
      </c>
      <c r="D1054" s="272" t="s">
        <v>184</v>
      </c>
      <c r="E1054" s="515">
        <v>81.360699999999994</v>
      </c>
      <c r="F1054" s="408">
        <f>IFERROR(E1054*'01 Prod Physique Boites'!H1045,"-")</f>
        <v>0</v>
      </c>
      <c r="G1054" s="408">
        <f>IFERROR(E1054*'01 Prod Physique Boites'!L1045,"-")</f>
        <v>0</v>
      </c>
      <c r="H1054" s="387">
        <v>0</v>
      </c>
      <c r="I1054" s="425">
        <f>IFERROR(H1054*(F1054/E1054),"-")</f>
        <v>0</v>
      </c>
      <c r="J1054" s="426">
        <f t="shared" ref="J1054:J1056" si="700">IFERROR(H1054*(G1054/E1054),"-")</f>
        <v>0</v>
      </c>
    </row>
    <row r="1055" spans="1:10" ht="23.4" x14ac:dyDescent="0.3">
      <c r="A1055" s="277" t="s">
        <v>111</v>
      </c>
      <c r="B1055" s="923"/>
      <c r="C1055" s="278" t="s">
        <v>190</v>
      </c>
      <c r="D1055" s="278" t="s">
        <v>101</v>
      </c>
      <c r="E1055" s="516">
        <v>81.360699999999994</v>
      </c>
      <c r="F1055" s="408">
        <f>IFERROR(E1055*'01 Prod Physique Boites'!H1046,"-")</f>
        <v>0</v>
      </c>
      <c r="G1055" s="408">
        <f>IFERROR(E1055*'01 Prod Physique Boites'!L1046,"-")</f>
        <v>0</v>
      </c>
      <c r="H1055" s="391">
        <v>0</v>
      </c>
      <c r="I1055" s="425">
        <f>IFERROR(H1055*(F1055/E1055),"-")</f>
        <v>0</v>
      </c>
      <c r="J1055" s="426">
        <f t="shared" si="700"/>
        <v>0</v>
      </c>
    </row>
    <row r="1056" spans="1:10" ht="23.4" x14ac:dyDescent="0.3">
      <c r="A1056" s="277" t="s">
        <v>111</v>
      </c>
      <c r="B1056" s="923"/>
      <c r="C1056" s="278" t="s">
        <v>187</v>
      </c>
      <c r="D1056" s="278" t="s">
        <v>185</v>
      </c>
      <c r="E1056" s="516">
        <v>55.476900000000001</v>
      </c>
      <c r="F1056" s="408">
        <f>IFERROR(E1056*'01 Prod Physique Boites'!H1047,"-")</f>
        <v>0</v>
      </c>
      <c r="G1056" s="408">
        <f>IFERROR(E1056*'01 Prod Physique Boites'!L1047,"-")</f>
        <v>0</v>
      </c>
      <c r="H1056" s="391">
        <v>0</v>
      </c>
      <c r="I1056" s="425">
        <f>IFERROR(H1056*(F1056/E1056),"-")</f>
        <v>0</v>
      </c>
      <c r="J1056" s="426">
        <f t="shared" si="700"/>
        <v>0</v>
      </c>
    </row>
    <row r="1057" spans="1:10" ht="24" thickBot="1" x14ac:dyDescent="0.35">
      <c r="A1057" s="277" t="s">
        <v>111</v>
      </c>
      <c r="B1057" s="924"/>
      <c r="C1057" s="282" t="s">
        <v>289</v>
      </c>
      <c r="D1057" s="282" t="s">
        <v>256</v>
      </c>
      <c r="E1057" s="512">
        <v>60.703499999999998</v>
      </c>
      <c r="F1057" s="408">
        <f>IFERROR(E1057*'01 Prod Physique Boites'!H1048,"-")</f>
        <v>0</v>
      </c>
      <c r="G1057" s="408">
        <f>IFERROR(E1057*'01 Prod Physique Boites'!L1048,"-")</f>
        <v>6278198.784</v>
      </c>
      <c r="H1057" s="393">
        <v>111.0883</v>
      </c>
      <c r="I1057" s="425">
        <f>IFERROR(H1057*(F1057/E1057),"-")</f>
        <v>0</v>
      </c>
      <c r="J1057" s="426">
        <f>IFERROR(H1057*(G1057/E1057),"-")</f>
        <v>11489196.339200001</v>
      </c>
    </row>
    <row r="1058" spans="1:10" ht="24" thickBot="1" x14ac:dyDescent="0.35">
      <c r="A1058" s="277" t="s">
        <v>111</v>
      </c>
      <c r="B1058" s="906" t="s">
        <v>47</v>
      </c>
      <c r="C1058" s="907"/>
      <c r="D1058" s="908"/>
      <c r="E1058" s="396"/>
      <c r="F1058" s="412">
        <f t="shared" ref="F1058" si="701">SUM(F1054:F1057)</f>
        <v>0</v>
      </c>
      <c r="G1058" s="413">
        <f>SUM(G1054:G1057)</f>
        <v>6278198.784</v>
      </c>
      <c r="H1058" s="397"/>
      <c r="I1058" s="412">
        <f t="shared" ref="I1058:J1058" si="702">SUM(I1054:I1057)</f>
        <v>0</v>
      </c>
      <c r="J1058" s="431">
        <f t="shared" si="702"/>
        <v>11489196.339200001</v>
      </c>
    </row>
    <row r="1059" spans="1:10" ht="23.4" x14ac:dyDescent="0.3">
      <c r="A1059" s="277" t="s">
        <v>111</v>
      </c>
      <c r="B1059" s="922" t="s">
        <v>17</v>
      </c>
      <c r="C1059" s="272" t="s">
        <v>331</v>
      </c>
      <c r="D1059" s="272"/>
      <c r="E1059" s="515">
        <v>12.5275</v>
      </c>
      <c r="F1059" s="408">
        <f>IFERROR(E1059*'01 Prod Physique Boites'!H1050,"-")</f>
        <v>0</v>
      </c>
      <c r="G1059" s="408">
        <f>IFERROR(E1059*'01 Prod Physique Boites'!L1050,"-")</f>
        <v>0</v>
      </c>
      <c r="H1059" s="387">
        <v>18.836400000000001</v>
      </c>
      <c r="I1059" s="425">
        <f t="shared" ref="I1059:I1065" si="703">IFERROR(H1059*(F1059/E1059),"-")</f>
        <v>0</v>
      </c>
      <c r="J1059" s="426">
        <f t="shared" ref="J1059:J1064" si="704">IFERROR(H1059*(G1059/E1059),"-")</f>
        <v>0</v>
      </c>
    </row>
    <row r="1060" spans="1:10" ht="23.4" x14ac:dyDescent="0.3">
      <c r="A1060" s="277" t="s">
        <v>111</v>
      </c>
      <c r="B1060" s="923"/>
      <c r="C1060" s="278" t="s">
        <v>421</v>
      </c>
      <c r="D1060" s="278" t="s">
        <v>257</v>
      </c>
      <c r="E1060" s="516">
        <v>13.002700000000001</v>
      </c>
      <c r="F1060" s="408">
        <f>IFERROR(E1060*'01 Prod Physique Boites'!H1051,"-")</f>
        <v>0</v>
      </c>
      <c r="G1060" s="408">
        <f>IFERROR(E1060*'01 Prod Physique Boites'!L1051,"-")</f>
        <v>3372159.2261000001</v>
      </c>
      <c r="H1060" s="391">
        <v>21.18</v>
      </c>
      <c r="I1060" s="427">
        <f t="shared" si="703"/>
        <v>0</v>
      </c>
      <c r="J1060" s="428">
        <f t="shared" si="704"/>
        <v>5492884.7400000002</v>
      </c>
    </row>
    <row r="1061" spans="1:10" ht="23.4" x14ac:dyDescent="0.3">
      <c r="A1061" s="277" t="s">
        <v>111</v>
      </c>
      <c r="B1061" s="923"/>
      <c r="C1061" s="278" t="s">
        <v>441</v>
      </c>
      <c r="D1061" s="278" t="s">
        <v>205</v>
      </c>
      <c r="E1061" s="516">
        <v>12.9049</v>
      </c>
      <c r="F1061" s="408">
        <f>IFERROR(E1061*'01 Prod Physique Boites'!H1052,"-")</f>
        <v>0</v>
      </c>
      <c r="G1061" s="408">
        <f>IFERROR(E1061*'01 Prod Physique Boites'!L1052,"-")</f>
        <v>0</v>
      </c>
      <c r="H1061" s="391">
        <v>20.6602</v>
      </c>
      <c r="I1061" s="427">
        <f t="shared" si="703"/>
        <v>0</v>
      </c>
      <c r="J1061" s="428">
        <f t="shared" si="704"/>
        <v>0</v>
      </c>
    </row>
    <row r="1062" spans="1:10" ht="23.4" x14ac:dyDescent="0.3">
      <c r="A1062" s="277" t="s">
        <v>111</v>
      </c>
      <c r="B1062" s="923"/>
      <c r="C1062" s="278" t="s">
        <v>330</v>
      </c>
      <c r="D1062" s="278" t="s">
        <v>206</v>
      </c>
      <c r="E1062" s="516">
        <v>13.078200000000001</v>
      </c>
      <c r="F1062" s="408">
        <f>IFERROR(E1062*'01 Prod Physique Boites'!H1053,"-")</f>
        <v>0</v>
      </c>
      <c r="G1062" s="408">
        <f>IFERROR(E1062*'01 Prod Physique Boites'!L1053,"-")</f>
        <v>24011.575200000003</v>
      </c>
      <c r="H1062" s="391">
        <v>20.66</v>
      </c>
      <c r="I1062" s="427">
        <f t="shared" si="703"/>
        <v>0</v>
      </c>
      <c r="J1062" s="428">
        <f t="shared" si="704"/>
        <v>37931.760000000002</v>
      </c>
    </row>
    <row r="1063" spans="1:10" ht="23.4" x14ac:dyDescent="0.3">
      <c r="A1063" s="277" t="s">
        <v>111</v>
      </c>
      <c r="B1063" s="923"/>
      <c r="C1063" s="278" t="s">
        <v>377</v>
      </c>
      <c r="D1063" s="278" t="s">
        <v>371</v>
      </c>
      <c r="E1063" s="516">
        <v>13.1958</v>
      </c>
      <c r="F1063" s="408">
        <f>IFERROR(E1063*'01 Prod Physique Boites'!H1054,"-")</f>
        <v>30323.948400000001</v>
      </c>
      <c r="G1063" s="408">
        <f>IFERROR(E1063*'01 Prod Physique Boites'!L1054,"-")</f>
        <v>140007.43799999999</v>
      </c>
      <c r="H1063" s="391">
        <v>21.28</v>
      </c>
      <c r="I1063" s="427">
        <f t="shared" si="703"/>
        <v>48901.440000000002</v>
      </c>
      <c r="J1063" s="428">
        <f t="shared" si="704"/>
        <v>225780.80000000002</v>
      </c>
    </row>
    <row r="1064" spans="1:10" ht="23.4" x14ac:dyDescent="0.3">
      <c r="A1064" s="277" t="s">
        <v>111</v>
      </c>
      <c r="B1064" s="923"/>
      <c r="C1064" s="278" t="s">
        <v>443</v>
      </c>
      <c r="D1064" s="278" t="s">
        <v>207</v>
      </c>
      <c r="E1064" s="516">
        <v>12.9049</v>
      </c>
      <c r="F1064" s="408">
        <f>IFERROR(E1064*'01 Prod Physique Boites'!H1055,"-")</f>
        <v>789779.88</v>
      </c>
      <c r="G1064" s="408">
        <f>IFERROR(E1064*'01 Prod Physique Boites'!L1055,"-")</f>
        <v>5291525.1959999995</v>
      </c>
      <c r="H1064" s="391">
        <v>20.66</v>
      </c>
      <c r="I1064" s="427">
        <f t="shared" si="703"/>
        <v>1264392</v>
      </c>
      <c r="J1064" s="428">
        <f t="shared" si="704"/>
        <v>8471426.4000000004</v>
      </c>
    </row>
    <row r="1065" spans="1:10" ht="24" thickBot="1" x14ac:dyDescent="0.35">
      <c r="A1065" s="277" t="s">
        <v>111</v>
      </c>
      <c r="B1065" s="924"/>
      <c r="C1065" s="282" t="s">
        <v>416</v>
      </c>
      <c r="D1065" s="282" t="s">
        <v>189</v>
      </c>
      <c r="E1065" s="512">
        <v>13.6509</v>
      </c>
      <c r="F1065" s="408">
        <f>IFERROR(E1065*'01 Prod Physique Boites'!H1056,"-")</f>
        <v>0</v>
      </c>
      <c r="G1065" s="408">
        <f>IFERROR(E1065*'01 Prod Physique Boites'!L1056,"-")</f>
        <v>1002522.096</v>
      </c>
      <c r="H1065" s="393">
        <v>21.18</v>
      </c>
      <c r="I1065" s="429">
        <f t="shared" si="703"/>
        <v>0</v>
      </c>
      <c r="J1065" s="430">
        <f>IFERROR(H1065*(G1065/E1065),"-")</f>
        <v>1555459.2</v>
      </c>
    </row>
    <row r="1066" spans="1:10" ht="24" thickBot="1" x14ac:dyDescent="0.35">
      <c r="A1066" s="277" t="s">
        <v>111</v>
      </c>
      <c r="B1066" s="906" t="s">
        <v>48</v>
      </c>
      <c r="C1066" s="907"/>
      <c r="D1066" s="908"/>
      <c r="E1066" s="396"/>
      <c r="F1066" s="412">
        <f t="shared" ref="F1066" si="705">SUM(F1059:F1065)</f>
        <v>820103.8284</v>
      </c>
      <c r="G1066" s="413">
        <f>SUM(G1059:G1065)</f>
        <v>9830225.5313000008</v>
      </c>
      <c r="H1066" s="397"/>
      <c r="I1066" s="412">
        <f t="shared" ref="I1066" si="706">SUM(I1059:I1065)</f>
        <v>1313293.44</v>
      </c>
      <c r="J1066" s="431">
        <f>SUM(J1059:J1065)</f>
        <v>15783482.899999999</v>
      </c>
    </row>
    <row r="1067" spans="1:10" ht="23.4" x14ac:dyDescent="0.3">
      <c r="A1067" s="277" t="s">
        <v>111</v>
      </c>
      <c r="B1067" s="922" t="s">
        <v>18</v>
      </c>
      <c r="C1067" s="272" t="s">
        <v>359</v>
      </c>
      <c r="D1067" s="272" t="s">
        <v>99</v>
      </c>
      <c r="E1067" s="515">
        <v>17.8202</v>
      </c>
      <c r="F1067" s="408">
        <f>IFERROR(E1067*'01 Prod Physique Boites'!H1058,"-")</f>
        <v>0</v>
      </c>
      <c r="G1067" s="409">
        <f>IFERROR(E1067*'01 Prod Physique Boites'!L1058,"-")</f>
        <v>0</v>
      </c>
      <c r="H1067" s="387">
        <v>24.93</v>
      </c>
      <c r="I1067" s="425">
        <f t="shared" ref="I1067:I1073" si="707">IFERROR(H1067*(F1067/E1067),"-")</f>
        <v>0</v>
      </c>
      <c r="J1067" s="426">
        <f t="shared" ref="J1067:J1069" si="708">IFERROR(H1067*(G1067/E1067),"-")</f>
        <v>0</v>
      </c>
    </row>
    <row r="1068" spans="1:10" ht="23.4" x14ac:dyDescent="0.3">
      <c r="A1068" s="277" t="s">
        <v>111</v>
      </c>
      <c r="B1068" s="923"/>
      <c r="C1068" s="278" t="s">
        <v>138</v>
      </c>
      <c r="D1068" s="278"/>
      <c r="E1068" s="516">
        <v>17.8202</v>
      </c>
      <c r="F1068" s="408">
        <f>IFERROR(E1068*'01 Prod Physique Boites'!H1059,"-")</f>
        <v>0</v>
      </c>
      <c r="G1068" s="409">
        <f>IFERROR(E1068*'01 Prod Physique Boites'!L1059,"-")</f>
        <v>0</v>
      </c>
      <c r="H1068" s="391">
        <v>0</v>
      </c>
      <c r="I1068" s="427">
        <f t="shared" si="707"/>
        <v>0</v>
      </c>
      <c r="J1068" s="428">
        <f t="shared" si="708"/>
        <v>0</v>
      </c>
    </row>
    <row r="1069" spans="1:10" ht="23.4" x14ac:dyDescent="0.3">
      <c r="A1069" s="277" t="s">
        <v>111</v>
      </c>
      <c r="B1069" s="923"/>
      <c r="C1069" s="278" t="s">
        <v>123</v>
      </c>
      <c r="D1069" s="278"/>
      <c r="E1069" s="516">
        <v>16.4071</v>
      </c>
      <c r="F1069" s="408">
        <f>IFERROR(E1069*'01 Prod Physique Boites'!H1060,"-")</f>
        <v>0</v>
      </c>
      <c r="G1069" s="409">
        <f>IFERROR(E1069*'01 Prod Physique Boites'!L1060,"-")</f>
        <v>0</v>
      </c>
      <c r="H1069" s="391">
        <v>0</v>
      </c>
      <c r="I1069" s="427">
        <f t="shared" si="707"/>
        <v>0</v>
      </c>
      <c r="J1069" s="428">
        <f t="shared" si="708"/>
        <v>0</v>
      </c>
    </row>
    <row r="1070" spans="1:10" ht="23.4" x14ac:dyDescent="0.3">
      <c r="A1070" s="277" t="s">
        <v>111</v>
      </c>
      <c r="B1070" s="923"/>
      <c r="C1070" s="278" t="s">
        <v>130</v>
      </c>
      <c r="D1070" s="278"/>
      <c r="E1070" s="516">
        <v>17.8202</v>
      </c>
      <c r="F1070" s="408">
        <f>IFERROR(E1070*'01 Prod Physique Boites'!H1061,"-")</f>
        <v>0</v>
      </c>
      <c r="G1070" s="409">
        <f>IFERROR(E1070*'01 Prod Physique Boites'!L1061,"-")</f>
        <v>0</v>
      </c>
      <c r="H1070" s="391"/>
      <c r="I1070" s="427">
        <f t="shared" si="707"/>
        <v>0</v>
      </c>
      <c r="J1070" s="428">
        <f>IFERROR(H1070*(G1070/E1070),"-")</f>
        <v>0</v>
      </c>
    </row>
    <row r="1071" spans="1:10" ht="23.4" x14ac:dyDescent="0.3">
      <c r="A1071" s="277" t="s">
        <v>111</v>
      </c>
      <c r="B1071" s="923"/>
      <c r="C1071" s="278" t="s">
        <v>191</v>
      </c>
      <c r="D1071" s="278" t="s">
        <v>192</v>
      </c>
      <c r="E1071" s="516">
        <v>17.8202</v>
      </c>
      <c r="F1071" s="408">
        <f>IFERROR(E1071*'01 Prod Physique Boites'!H1062,"-")</f>
        <v>0</v>
      </c>
      <c r="G1071" s="409">
        <f>IFERROR(E1071*'01 Prod Physique Boites'!L1062,"-")</f>
        <v>0</v>
      </c>
      <c r="H1071" s="391"/>
      <c r="I1071" s="427">
        <f t="shared" si="707"/>
        <v>0</v>
      </c>
      <c r="J1071" s="428">
        <f t="shared" ref="J1071:J1073" si="709">IFERROR(H1071*(G1071/E1071),"-")</f>
        <v>0</v>
      </c>
    </row>
    <row r="1072" spans="1:10" ht="23.4" x14ac:dyDescent="0.3">
      <c r="A1072" s="277" t="s">
        <v>111</v>
      </c>
      <c r="B1072" s="923"/>
      <c r="C1072" s="278" t="s">
        <v>194</v>
      </c>
      <c r="D1072" s="278" t="s">
        <v>193</v>
      </c>
      <c r="E1072" s="516">
        <v>16.7288</v>
      </c>
      <c r="F1072" s="408">
        <f>IFERROR(E1072*'01 Prod Physique Boites'!H1063,"-")</f>
        <v>0</v>
      </c>
      <c r="G1072" s="409">
        <f>IFERROR(E1072*'01 Prod Physique Boites'!L1063,"-")</f>
        <v>0</v>
      </c>
      <c r="H1072" s="391"/>
      <c r="I1072" s="427">
        <f t="shared" si="707"/>
        <v>0</v>
      </c>
      <c r="J1072" s="428">
        <f t="shared" si="709"/>
        <v>0</v>
      </c>
    </row>
    <row r="1073" spans="1:10" ht="24" thickBot="1" x14ac:dyDescent="0.35">
      <c r="A1073" s="277" t="s">
        <v>111</v>
      </c>
      <c r="B1073" s="924"/>
      <c r="C1073" s="290" t="s">
        <v>195</v>
      </c>
      <c r="D1073" s="290" t="s">
        <v>115</v>
      </c>
      <c r="E1073" s="512">
        <v>17.8202</v>
      </c>
      <c r="F1073" s="408">
        <f>IFERROR(E1073*'01 Prod Physique Boites'!H1064,"-")</f>
        <v>0</v>
      </c>
      <c r="G1073" s="409">
        <f>IFERROR(E1073*'01 Prod Physique Boites'!L1064,"-")</f>
        <v>0</v>
      </c>
      <c r="H1073" s="393"/>
      <c r="I1073" s="429">
        <f t="shared" si="707"/>
        <v>0</v>
      </c>
      <c r="J1073" s="430">
        <f t="shared" si="709"/>
        <v>0</v>
      </c>
    </row>
    <row r="1074" spans="1:10" ht="24" thickBot="1" x14ac:dyDescent="0.35">
      <c r="A1074" s="277" t="s">
        <v>111</v>
      </c>
      <c r="B1074" s="906" t="s">
        <v>29</v>
      </c>
      <c r="C1074" s="907"/>
      <c r="D1074" s="908"/>
      <c r="E1074" s="777"/>
      <c r="F1074" s="778">
        <f t="shared" ref="F1074:G1074" si="710">SUM(F1067:F1073)</f>
        <v>0</v>
      </c>
      <c r="G1074" s="413">
        <f t="shared" si="710"/>
        <v>0</v>
      </c>
      <c r="H1074" s="397"/>
      <c r="I1074" s="412">
        <f t="shared" ref="I1074:J1074" si="711">SUM(I1067:I1073)</f>
        <v>0</v>
      </c>
      <c r="J1074" s="431">
        <f t="shared" si="711"/>
        <v>0</v>
      </c>
    </row>
    <row r="1075" spans="1:10" ht="23.4" x14ac:dyDescent="0.3">
      <c r="A1075" s="277"/>
      <c r="B1075" s="918" t="s">
        <v>19</v>
      </c>
      <c r="C1075" s="779" t="s">
        <v>260</v>
      </c>
      <c r="D1075" s="785" t="s">
        <v>192</v>
      </c>
      <c r="E1075" s="786">
        <v>12.2659</v>
      </c>
      <c r="F1075" s="787">
        <f>IFERROR(E1075*'01 Prod Physique Boites'!H1066,"-")</f>
        <v>190636.61780000001</v>
      </c>
      <c r="G1075" s="788">
        <f>IFERROR(E1075*'01 Prod Physique Boites'!L1066,"-")</f>
        <v>4024662.5762</v>
      </c>
      <c r="H1075" s="782">
        <v>14.79</v>
      </c>
      <c r="I1075" s="703">
        <f t="shared" ref="I1075:I1077" si="712">IFERROR(H1075*(F1075/E1075),"-")</f>
        <v>229866.18</v>
      </c>
      <c r="J1075" s="703">
        <f>IFERROR(H1075*(G1075/E1075),"-")</f>
        <v>4852865.22</v>
      </c>
    </row>
    <row r="1076" spans="1:10" ht="23.4" x14ac:dyDescent="0.3">
      <c r="A1076" s="277"/>
      <c r="B1076" s="919"/>
      <c r="C1076" s="780" t="s">
        <v>458</v>
      </c>
      <c r="D1076" s="789"/>
      <c r="E1076" s="762">
        <v>12.2659</v>
      </c>
      <c r="F1076" s="763">
        <f>IFERROR(E1076*'01 Prod Physique Boites'!H1067,"-")</f>
        <v>207244.6464</v>
      </c>
      <c r="G1076" s="663">
        <f>IFERROR(E1076*'01 Prod Physique Boites'!L1067,"-")</f>
        <v>621733.93920000002</v>
      </c>
      <c r="H1076" s="783">
        <v>14.79</v>
      </c>
      <c r="I1076" s="763">
        <f t="shared" si="712"/>
        <v>249891.84</v>
      </c>
      <c r="J1076" s="763">
        <f>IFERROR(H1076*(G1076/E1076),"-")</f>
        <v>749675.5199999999</v>
      </c>
    </row>
    <row r="1077" spans="1:10" ht="24" thickBot="1" x14ac:dyDescent="0.35">
      <c r="A1077" s="752" t="s">
        <v>111</v>
      </c>
      <c r="B1077" s="920"/>
      <c r="C1077" s="781" t="s">
        <v>417</v>
      </c>
      <c r="D1077" s="790"/>
      <c r="E1077" s="791">
        <v>0</v>
      </c>
      <c r="F1077" s="792">
        <f>IFERROR(E1077*'01 Prod Physique Boites'!H1068,"-")</f>
        <v>0</v>
      </c>
      <c r="G1077" s="793">
        <f>IFERROR(E1077*'01 Prod Physique Boites'!L1068,"-")</f>
        <v>0</v>
      </c>
      <c r="H1077" s="784">
        <v>0</v>
      </c>
      <c r="I1077" s="432" t="str">
        <f t="shared" si="712"/>
        <v>-</v>
      </c>
      <c r="J1077" s="433" t="str">
        <f t="shared" ref="J1077" si="713">IFERROR(I1077*(G1077/F1077),"-")</f>
        <v>-</v>
      </c>
    </row>
    <row r="1078" spans="1:10" ht="24" thickBot="1" x14ac:dyDescent="0.35">
      <c r="A1078" s="277" t="s">
        <v>111</v>
      </c>
      <c r="B1078" s="906" t="s">
        <v>49</v>
      </c>
      <c r="C1078" s="907"/>
      <c r="D1078" s="908"/>
      <c r="E1078" s="396"/>
      <c r="F1078" s="412">
        <f>SUM(F1075:F1077)</f>
        <v>397881.26419999998</v>
      </c>
      <c r="G1078" s="412">
        <f>SUM(G1075:G1077)</f>
        <v>4646396.5153999999</v>
      </c>
      <c r="H1078" s="397"/>
      <c r="I1078" s="412">
        <f t="shared" ref="I1078" si="714">SUM(I1077)</f>
        <v>0</v>
      </c>
      <c r="J1078" s="431">
        <f>SUM(J1075:J1077)</f>
        <v>5602540.7399999993</v>
      </c>
    </row>
    <row r="1079" spans="1:10" ht="23.4" x14ac:dyDescent="0.3">
      <c r="A1079" s="277" t="s">
        <v>111</v>
      </c>
      <c r="B1079" s="922" t="s">
        <v>20</v>
      </c>
      <c r="C1079" s="297" t="s">
        <v>370</v>
      </c>
      <c r="D1079" s="297" t="s">
        <v>324</v>
      </c>
      <c r="E1079" s="515">
        <v>26.032900000000001</v>
      </c>
      <c r="F1079" s="408">
        <f>IFERROR(E1079*'01 Prod Physique Boites'!H1070,"-")</f>
        <v>0</v>
      </c>
      <c r="G1079" s="409">
        <f>IFERROR(E1079*'01 Prod Physique Boites'!L1070,"-")</f>
        <v>0</v>
      </c>
      <c r="H1079" s="387">
        <v>36.44</v>
      </c>
      <c r="I1079" s="425">
        <f>IFERROR(H1079*(F1079/E1079),"-")</f>
        <v>0</v>
      </c>
      <c r="J1079" s="426">
        <f t="shared" ref="J1079:J1081" si="715">IFERROR(H1079*(G1079/E1079),"-")</f>
        <v>0</v>
      </c>
    </row>
    <row r="1080" spans="1:10" ht="23.4" x14ac:dyDescent="0.3">
      <c r="A1080" s="277" t="s">
        <v>111</v>
      </c>
      <c r="B1080" s="923"/>
      <c r="C1080" s="298" t="s">
        <v>122</v>
      </c>
      <c r="D1080" s="298"/>
      <c r="E1080" s="390">
        <v>24.2607</v>
      </c>
      <c r="F1080" s="408">
        <f>IFERROR(E1080*'01 Prod Physique Boites'!H1071,"-")</f>
        <v>0</v>
      </c>
      <c r="G1080" s="409">
        <f>IFERROR(E1080*'01 Prod Physique Boites'!L1071,"-")</f>
        <v>0</v>
      </c>
      <c r="H1080" s="391">
        <v>37.369999999999997</v>
      </c>
      <c r="I1080" s="427">
        <f>IFERROR(H1080*(F1080/E1080),"-")</f>
        <v>0</v>
      </c>
      <c r="J1080" s="428">
        <f t="shared" si="715"/>
        <v>0</v>
      </c>
    </row>
    <row r="1081" spans="1:10" ht="24" thickBot="1" x14ac:dyDescent="0.35">
      <c r="A1081" s="277" t="s">
        <v>111</v>
      </c>
      <c r="B1081" s="924"/>
      <c r="C1081" s="299" t="s">
        <v>128</v>
      </c>
      <c r="D1081" s="299"/>
      <c r="E1081" s="392">
        <v>26.035799999999998</v>
      </c>
      <c r="F1081" s="408">
        <f>IFERROR(E1081*'01 Prod Physique Boites'!H1072,"-")</f>
        <v>0</v>
      </c>
      <c r="G1081" s="409">
        <f>IFERROR(E1081*'01 Prod Physique Boites'!L1072,"-")</f>
        <v>0</v>
      </c>
      <c r="H1081" s="393">
        <v>37.11</v>
      </c>
      <c r="I1081" s="429">
        <f>IFERROR(H1081*(F1081/E1081),"-")</f>
        <v>0</v>
      </c>
      <c r="J1081" s="430">
        <f t="shared" si="715"/>
        <v>0</v>
      </c>
    </row>
    <row r="1082" spans="1:10" ht="24" thickBot="1" x14ac:dyDescent="0.35">
      <c r="A1082" s="277" t="s">
        <v>111</v>
      </c>
      <c r="B1082" s="907" t="s">
        <v>50</v>
      </c>
      <c r="C1082" s="907"/>
      <c r="D1082" s="925"/>
      <c r="E1082" s="396"/>
      <c r="F1082" s="412">
        <f t="shared" ref="F1082:G1082" si="716">SUM(F1079:F1081)</f>
        <v>0</v>
      </c>
      <c r="G1082" s="413">
        <f t="shared" si="716"/>
        <v>0</v>
      </c>
      <c r="H1082" s="397"/>
      <c r="I1082" s="412">
        <f t="shared" ref="I1082:J1082" si="717">SUM(I1079:I1081)</f>
        <v>0</v>
      </c>
      <c r="J1082" s="431">
        <f t="shared" si="717"/>
        <v>0</v>
      </c>
    </row>
    <row r="1083" spans="1:10" ht="24" thickBot="1" x14ac:dyDescent="0.35">
      <c r="A1083" s="277" t="s">
        <v>111</v>
      </c>
      <c r="B1083" s="926" t="s">
        <v>21</v>
      </c>
      <c r="C1083" s="927"/>
      <c r="D1083" s="928"/>
      <c r="E1083" s="399"/>
      <c r="F1083" s="416">
        <f>+F1058+F1066+F1074+F1078+F1082</f>
        <v>1217985.0926000001</v>
      </c>
      <c r="G1083" s="417">
        <f>+G1058+G1066+G1074+G1078+G1082</f>
        <v>20754820.830700003</v>
      </c>
      <c r="H1083" s="400"/>
      <c r="I1083" s="416">
        <f>+I1058+I1066+I1074+I1078+I1082</f>
        <v>1313293.44</v>
      </c>
      <c r="J1083" s="434">
        <f>+J1058+J1066+J1074+J1078+J1082</f>
        <v>32875219.979199998</v>
      </c>
    </row>
    <row r="1084" spans="1:10" ht="23.4" x14ac:dyDescent="0.3">
      <c r="A1084" s="277" t="s">
        <v>111</v>
      </c>
      <c r="B1084" s="922" t="s">
        <v>22</v>
      </c>
      <c r="C1084" s="272" t="s">
        <v>133</v>
      </c>
      <c r="D1084" s="272"/>
      <c r="E1084" s="386">
        <v>22.820599999999999</v>
      </c>
      <c r="F1084" s="408">
        <f>IFERROR(E1084*'01 Prod Physique Boites'!H1075,"-")</f>
        <v>0</v>
      </c>
      <c r="G1084" s="409">
        <f>IFERROR(E1084*'01 Prod Physique Boites'!L1075,"-")</f>
        <v>0</v>
      </c>
      <c r="H1084" s="387">
        <v>27.5</v>
      </c>
      <c r="I1084" s="425">
        <f>IFERROR(H1084*(F1084/E1084),"-")</f>
        <v>0</v>
      </c>
      <c r="J1084" s="426">
        <f t="shared" ref="J1084:J1087" si="718">IFERROR(H1084*(G1084/E1084),"-")</f>
        <v>0</v>
      </c>
    </row>
    <row r="1085" spans="1:10" ht="23.4" x14ac:dyDescent="0.3">
      <c r="A1085" s="277" t="s">
        <v>111</v>
      </c>
      <c r="B1085" s="923"/>
      <c r="C1085" s="301" t="s">
        <v>291</v>
      </c>
      <c r="D1085" s="301" t="s">
        <v>196</v>
      </c>
      <c r="E1085" s="390">
        <v>23.570699999999999</v>
      </c>
      <c r="F1085" s="408">
        <f>IFERROR(E1085*'01 Prod Physique Boites'!H1076,"-")</f>
        <v>0</v>
      </c>
      <c r="G1085" s="409">
        <f>IFERROR(E1085*'01 Prod Physique Boites'!L1076,"-")</f>
        <v>0</v>
      </c>
      <c r="H1085" s="391">
        <v>27.5</v>
      </c>
      <c r="I1085" s="427">
        <f>IFERROR(H1085*(F1085/E1085),"-")</f>
        <v>0</v>
      </c>
      <c r="J1085" s="428">
        <f t="shared" si="718"/>
        <v>0</v>
      </c>
    </row>
    <row r="1086" spans="1:10" ht="23.4" x14ac:dyDescent="0.3">
      <c r="A1086" s="277" t="s">
        <v>111</v>
      </c>
      <c r="B1086" s="923"/>
      <c r="C1086" s="301" t="s">
        <v>198</v>
      </c>
      <c r="D1086" s="301" t="s">
        <v>100</v>
      </c>
      <c r="E1086" s="390">
        <v>22.238499999999998</v>
      </c>
      <c r="F1086" s="408">
        <f>IFERROR(E1086*'01 Prod Physique Boites'!H1077,"-")</f>
        <v>0</v>
      </c>
      <c r="G1086" s="409">
        <f>IFERROR(E1086*'01 Prod Physique Boites'!L1077,"-")</f>
        <v>0</v>
      </c>
      <c r="H1086" s="391">
        <v>24</v>
      </c>
      <c r="I1086" s="427">
        <f>IFERROR(H1086*(F1086/E1086),"-")</f>
        <v>0</v>
      </c>
      <c r="J1086" s="428">
        <f t="shared" si="718"/>
        <v>0</v>
      </c>
    </row>
    <row r="1087" spans="1:10" ht="24" thickBot="1" x14ac:dyDescent="0.35">
      <c r="A1087" s="277" t="s">
        <v>111</v>
      </c>
      <c r="B1087" s="924"/>
      <c r="C1087" s="282" t="s">
        <v>197</v>
      </c>
      <c r="D1087" s="282" t="s">
        <v>100</v>
      </c>
      <c r="E1087" s="392">
        <v>23.5685</v>
      </c>
      <c r="F1087" s="408">
        <f>IFERROR(E1087*'01 Prod Physique Boites'!H1078,"-")</f>
        <v>0</v>
      </c>
      <c r="G1087" s="409">
        <f>IFERROR(E1087*'01 Prod Physique Boites'!L1078,"-")</f>
        <v>0</v>
      </c>
      <c r="H1087" s="393">
        <v>24</v>
      </c>
      <c r="I1087" s="429">
        <f>IFERROR(H1087*(F1087/E1087),"-")</f>
        <v>0</v>
      </c>
      <c r="J1087" s="430">
        <f t="shared" si="718"/>
        <v>0</v>
      </c>
    </row>
    <row r="1088" spans="1:10" ht="24" thickBot="1" x14ac:dyDescent="0.35">
      <c r="A1088" s="277" t="s">
        <v>111</v>
      </c>
      <c r="B1088" s="906" t="s">
        <v>51</v>
      </c>
      <c r="C1088" s="907"/>
      <c r="D1088" s="908"/>
      <c r="E1088" s="396"/>
      <c r="F1088" s="412">
        <f t="shared" ref="F1088:G1088" si="719">SUM(F1084:F1087)</f>
        <v>0</v>
      </c>
      <c r="G1088" s="413">
        <f t="shared" si="719"/>
        <v>0</v>
      </c>
      <c r="H1088" s="397"/>
      <c r="I1088" s="412">
        <f t="shared" ref="I1088:J1088" si="720">SUM(I1084:I1087)</f>
        <v>0</v>
      </c>
      <c r="J1088" s="431">
        <f t="shared" si="720"/>
        <v>0</v>
      </c>
    </row>
    <row r="1089" spans="1:10" ht="23.4" x14ac:dyDescent="0.3">
      <c r="A1089" s="277" t="s">
        <v>111</v>
      </c>
      <c r="B1089" s="922" t="s">
        <v>23</v>
      </c>
      <c r="C1089" s="302" t="s">
        <v>348</v>
      </c>
      <c r="D1089" s="302" t="s">
        <v>263</v>
      </c>
      <c r="E1089" s="386">
        <v>101.4935</v>
      </c>
      <c r="F1089" s="408">
        <f>IFERROR(E1089*'01 Prod Physique Boites'!H1080,"-")</f>
        <v>0</v>
      </c>
      <c r="G1089" s="409">
        <f>IFERROR(E1089*'01 Prod Physique Boites'!L1080,"-")</f>
        <v>0</v>
      </c>
      <c r="H1089" s="391">
        <v>160.44999999999999</v>
      </c>
      <c r="I1089" s="425">
        <f t="shared" ref="I1089:I1096" si="721">IFERROR(H1089*(F1089/E1089),"-")</f>
        <v>0</v>
      </c>
      <c r="J1089" s="426">
        <f t="shared" ref="J1089:J1096" si="722">IFERROR(H1089*(G1089/E1089),"-")</f>
        <v>0</v>
      </c>
    </row>
    <row r="1090" spans="1:10" ht="23.4" x14ac:dyDescent="0.3">
      <c r="A1090" s="277" t="s">
        <v>111</v>
      </c>
      <c r="B1090" s="923"/>
      <c r="C1090" s="278" t="s">
        <v>24</v>
      </c>
      <c r="D1090" s="278" t="s">
        <v>263</v>
      </c>
      <c r="E1090" s="390">
        <v>101.4935</v>
      </c>
      <c r="F1090" s="408">
        <f>IFERROR(E1090*'01 Prod Physique Boites'!H1081,"-")</f>
        <v>1332102.1875</v>
      </c>
      <c r="G1090" s="409">
        <f>IFERROR(E1090*'01 Prod Physique Boites'!L1081,"-")</f>
        <v>4973181.5</v>
      </c>
      <c r="H1090" s="391">
        <v>160.44999999999999</v>
      </c>
      <c r="I1090" s="427">
        <f t="shared" si="721"/>
        <v>2105906.25</v>
      </c>
      <c r="J1090" s="428">
        <f t="shared" si="722"/>
        <v>7862049.9999999991</v>
      </c>
    </row>
    <row r="1091" spans="1:10" ht="23.4" x14ac:dyDescent="0.3">
      <c r="A1091" s="277" t="s">
        <v>111</v>
      </c>
      <c r="B1091" s="923"/>
      <c r="C1091" s="278" t="s">
        <v>261</v>
      </c>
      <c r="D1091" s="278" t="s">
        <v>263</v>
      </c>
      <c r="E1091" s="390">
        <v>101.4935</v>
      </c>
      <c r="F1091" s="408">
        <f>IFERROR(E1091*'01 Prod Physique Boites'!H1082,"-")</f>
        <v>0</v>
      </c>
      <c r="G1091" s="409">
        <f>IFERROR(E1091*'01 Prod Physique Boites'!L1082,"-")</f>
        <v>1106380.6435</v>
      </c>
      <c r="H1091" s="391">
        <v>160.44999999999999</v>
      </c>
      <c r="I1091" s="427">
        <f t="shared" si="721"/>
        <v>0</v>
      </c>
      <c r="J1091" s="428">
        <f t="shared" si="722"/>
        <v>1749065.45</v>
      </c>
    </row>
    <row r="1092" spans="1:10" ht="23.4" x14ac:dyDescent="0.3">
      <c r="A1092" s="277" t="s">
        <v>111</v>
      </c>
      <c r="B1092" s="923"/>
      <c r="C1092" s="278" t="s">
        <v>262</v>
      </c>
      <c r="D1092" s="278" t="s">
        <v>263</v>
      </c>
      <c r="E1092" s="390">
        <v>101.4935</v>
      </c>
      <c r="F1092" s="408">
        <f>IFERROR(E1092*'01 Prod Physique Boites'!H1083,"-")</f>
        <v>0</v>
      </c>
      <c r="G1092" s="409">
        <f>IFERROR(E1092*'01 Prod Physique Boites'!L1083,"-")</f>
        <v>772568.522</v>
      </c>
      <c r="H1092" s="391">
        <v>160.44999999999999</v>
      </c>
      <c r="I1092" s="427">
        <f t="shared" si="721"/>
        <v>0</v>
      </c>
      <c r="J1092" s="428">
        <f t="shared" si="722"/>
        <v>1221345.3999999999</v>
      </c>
    </row>
    <row r="1093" spans="1:10" ht="23.4" x14ac:dyDescent="0.3">
      <c r="A1093" s="277" t="s">
        <v>111</v>
      </c>
      <c r="B1093" s="923"/>
      <c r="C1093" s="301" t="s">
        <v>264</v>
      </c>
      <c r="D1093" s="278" t="s">
        <v>263</v>
      </c>
      <c r="E1093" s="390">
        <v>101.4935</v>
      </c>
      <c r="F1093" s="408">
        <f>IFERROR(E1093*'01 Prod Physique Boites'!H1084,"-")</f>
        <v>0</v>
      </c>
      <c r="G1093" s="409">
        <f>IFERROR(E1093*'01 Prod Physique Boites'!L1084,"-")</f>
        <v>0</v>
      </c>
      <c r="H1093" s="391">
        <v>160.44999999999999</v>
      </c>
      <c r="I1093" s="427">
        <f t="shared" si="721"/>
        <v>0</v>
      </c>
      <c r="J1093" s="428">
        <f t="shared" si="722"/>
        <v>0</v>
      </c>
    </row>
    <row r="1094" spans="1:10" ht="23.4" x14ac:dyDescent="0.3">
      <c r="A1094" s="277" t="s">
        <v>111</v>
      </c>
      <c r="B1094" s="923"/>
      <c r="C1094" s="301" t="s">
        <v>265</v>
      </c>
      <c r="D1094" s="278" t="s">
        <v>263</v>
      </c>
      <c r="E1094" s="390">
        <v>101.4935</v>
      </c>
      <c r="F1094" s="408">
        <f>IFERROR(E1094*'01 Prod Physique Boites'!H1085,"-")</f>
        <v>0</v>
      </c>
      <c r="G1094" s="409">
        <f>IFERROR(E1094*'01 Prod Physique Boites'!L1085,"-")</f>
        <v>0</v>
      </c>
      <c r="H1094" s="391">
        <v>160.44999999999999</v>
      </c>
      <c r="I1094" s="427">
        <f t="shared" si="721"/>
        <v>0</v>
      </c>
      <c r="J1094" s="428">
        <f t="shared" si="722"/>
        <v>0</v>
      </c>
    </row>
    <row r="1095" spans="1:10" ht="23.4" x14ac:dyDescent="0.3">
      <c r="A1095" s="277" t="s">
        <v>111</v>
      </c>
      <c r="B1095" s="923"/>
      <c r="C1095" s="301" t="s">
        <v>266</v>
      </c>
      <c r="D1095" s="278" t="s">
        <v>268</v>
      </c>
      <c r="E1095" s="390">
        <v>101.4935</v>
      </c>
      <c r="F1095" s="408">
        <f>IFERROR(E1095*'01 Prod Physique Boites'!H1086,"-")</f>
        <v>0</v>
      </c>
      <c r="G1095" s="409">
        <f>IFERROR(E1095*'01 Prod Physique Boites'!L1086,"-")</f>
        <v>1057257.7895</v>
      </c>
      <c r="H1095" s="391">
        <v>160.44999999999999</v>
      </c>
      <c r="I1095" s="427">
        <f t="shared" si="721"/>
        <v>0</v>
      </c>
      <c r="J1095" s="428">
        <f t="shared" si="722"/>
        <v>1671407.65</v>
      </c>
    </row>
    <row r="1096" spans="1:10" ht="24" thickBot="1" x14ac:dyDescent="0.35">
      <c r="A1096" s="277" t="s">
        <v>111</v>
      </c>
      <c r="B1096" s="924"/>
      <c r="C1096" s="301" t="s">
        <v>267</v>
      </c>
      <c r="D1096" s="278" t="s">
        <v>263</v>
      </c>
      <c r="E1096" s="392">
        <v>101.4935</v>
      </c>
      <c r="F1096" s="408">
        <f>IFERROR(E1096*'01 Prod Physique Boites'!H1087,"-")</f>
        <v>0</v>
      </c>
      <c r="G1096" s="409">
        <f>IFERROR(E1096*'01 Prod Physique Boites'!L1087,"-")</f>
        <v>1420909</v>
      </c>
      <c r="H1096" s="391">
        <v>160.44999999999999</v>
      </c>
      <c r="I1096" s="429">
        <f t="shared" si="721"/>
        <v>0</v>
      </c>
      <c r="J1096" s="430">
        <f t="shared" si="722"/>
        <v>2246300</v>
      </c>
    </row>
    <row r="1097" spans="1:10" ht="24" thickBot="1" x14ac:dyDescent="0.35">
      <c r="A1097" s="277" t="s">
        <v>111</v>
      </c>
      <c r="B1097" s="906" t="s">
        <v>52</v>
      </c>
      <c r="C1097" s="907"/>
      <c r="D1097" s="908"/>
      <c r="E1097" s="396"/>
      <c r="F1097" s="412">
        <f t="shared" ref="F1097:G1097" si="723">SUM(F1089:F1096)</f>
        <v>1332102.1875</v>
      </c>
      <c r="G1097" s="413">
        <f t="shared" si="723"/>
        <v>9330297.4550000001</v>
      </c>
      <c r="H1097" s="397"/>
      <c r="I1097" s="412">
        <f t="shared" ref="I1097:J1097" si="724">SUM(I1089:I1096)</f>
        <v>2105906.25</v>
      </c>
      <c r="J1097" s="431">
        <f t="shared" si="724"/>
        <v>14750168.5</v>
      </c>
    </row>
    <row r="1098" spans="1:10" ht="24" thickBot="1" x14ac:dyDescent="0.35">
      <c r="A1098" s="277" t="s">
        <v>111</v>
      </c>
      <c r="B1098" s="926" t="s">
        <v>25</v>
      </c>
      <c r="C1098" s="927"/>
      <c r="D1098" s="928"/>
      <c r="E1098" s="399"/>
      <c r="F1098" s="416">
        <f t="shared" ref="F1098:G1098" si="725">+F1088+F1097</f>
        <v>1332102.1875</v>
      </c>
      <c r="G1098" s="417">
        <f t="shared" si="725"/>
        <v>9330297.4550000001</v>
      </c>
      <c r="H1098" s="400"/>
      <c r="I1098" s="416">
        <f t="shared" ref="I1098:J1098" si="726">+I1088+I1097</f>
        <v>2105906.25</v>
      </c>
      <c r="J1098" s="434">
        <f t="shared" si="726"/>
        <v>14750168.5</v>
      </c>
    </row>
    <row r="1099" spans="1:10" ht="24" thickBot="1" x14ac:dyDescent="0.35">
      <c r="A1099" s="277" t="s">
        <v>111</v>
      </c>
      <c r="B1099" s="900" t="s">
        <v>181</v>
      </c>
      <c r="C1099" s="901"/>
      <c r="D1099" s="902"/>
      <c r="E1099" s="401"/>
      <c r="F1099" s="418">
        <f t="shared" ref="F1099:G1099" si="727">+F1083+F1098</f>
        <v>2550087.2801000001</v>
      </c>
      <c r="G1099" s="419">
        <f t="shared" si="727"/>
        <v>30085118.285700001</v>
      </c>
      <c r="H1099" s="402"/>
      <c r="I1099" s="418">
        <f t="shared" ref="I1099:J1099" si="728">+I1083+I1098</f>
        <v>3419199.69</v>
      </c>
      <c r="J1099" s="435">
        <f t="shared" si="728"/>
        <v>47625388.479199998</v>
      </c>
    </row>
    <row r="1100" spans="1:10" ht="23.4" x14ac:dyDescent="0.3">
      <c r="A1100" s="271" t="s">
        <v>109</v>
      </c>
      <c r="B1100" s="929" t="s">
        <v>26</v>
      </c>
      <c r="C1100" s="303" t="s">
        <v>334</v>
      </c>
      <c r="D1100" s="305" t="s">
        <v>192</v>
      </c>
      <c r="E1100" s="515">
        <v>13.1272</v>
      </c>
      <c r="F1100" s="408">
        <f>IFERROR(E1100*'01 Prod Physique Boites'!H1091,"-")</f>
        <v>0</v>
      </c>
      <c r="G1100" s="409">
        <f>IFERROR(E1100*'01 Prod Physique Boites'!L1091,"-")</f>
        <v>4229820.1295999996</v>
      </c>
      <c r="H1100" s="387">
        <v>20.76</v>
      </c>
      <c r="I1100" s="425">
        <f t="shared" ref="I1100:I1108" si="729">IFERROR(H1100*(F1100/E1100),"-")</f>
        <v>0</v>
      </c>
      <c r="J1100" s="662">
        <f t="shared" ref="J1100:J1108" si="730">IFERROR(H1100*(G1100/E1100),"-")</f>
        <v>6689245.6799999997</v>
      </c>
    </row>
    <row r="1101" spans="1:10" ht="23.4" x14ac:dyDescent="0.3">
      <c r="A1101" s="277" t="s">
        <v>109</v>
      </c>
      <c r="B1101" s="929"/>
      <c r="C1101" s="304" t="s">
        <v>199</v>
      </c>
      <c r="D1101" s="304" t="s">
        <v>115</v>
      </c>
      <c r="E1101" s="516">
        <v>14.608000000000001</v>
      </c>
      <c r="F1101" s="408">
        <f>IFERROR(E1101*'01 Prod Physique Boites'!H1092,"-")</f>
        <v>0</v>
      </c>
      <c r="G1101" s="409">
        <f>IFERROR(E1101*'01 Prod Physique Boites'!L1092,"-")</f>
        <v>0</v>
      </c>
      <c r="H1101" s="391">
        <v>24.93</v>
      </c>
      <c r="I1101" s="427">
        <f t="shared" si="729"/>
        <v>0</v>
      </c>
      <c r="J1101" s="663">
        <f t="shared" si="730"/>
        <v>0</v>
      </c>
    </row>
    <row r="1102" spans="1:10" ht="23.4" x14ac:dyDescent="0.3">
      <c r="A1102" s="277" t="s">
        <v>109</v>
      </c>
      <c r="B1102" s="929"/>
      <c r="C1102" s="305" t="s">
        <v>27</v>
      </c>
      <c r="D1102" s="305" t="s">
        <v>310</v>
      </c>
      <c r="E1102" s="512">
        <v>17.8202</v>
      </c>
      <c r="F1102" s="408">
        <f>IFERROR(E1102*'01 Prod Physique Boites'!H1093,"-")</f>
        <v>0</v>
      </c>
      <c r="G1102" s="409">
        <f>IFERROR(E1102*'01 Prod Physique Boites'!L1093,"-")</f>
        <v>0</v>
      </c>
      <c r="H1102" s="391">
        <v>24.93</v>
      </c>
      <c r="I1102" s="427">
        <f t="shared" si="729"/>
        <v>0</v>
      </c>
      <c r="J1102" s="663">
        <f t="shared" si="730"/>
        <v>0</v>
      </c>
    </row>
    <row r="1103" spans="1:10" ht="23.4" x14ac:dyDescent="0.3">
      <c r="A1103" s="277" t="s">
        <v>109</v>
      </c>
      <c r="B1103" s="929"/>
      <c r="C1103" s="305" t="s">
        <v>27</v>
      </c>
      <c r="D1103" s="305" t="s">
        <v>311</v>
      </c>
      <c r="E1103" s="512">
        <v>17.8202</v>
      </c>
      <c r="F1103" s="408">
        <f>IFERROR(E1103*'01 Prod Physique Boites'!H1094,"-")</f>
        <v>0</v>
      </c>
      <c r="G1103" s="409">
        <f>IFERROR(E1103*'01 Prod Physique Boites'!L1094,"-")</f>
        <v>0</v>
      </c>
      <c r="H1103" s="391">
        <v>24.93</v>
      </c>
      <c r="I1103" s="427">
        <f t="shared" si="729"/>
        <v>0</v>
      </c>
      <c r="J1103" s="663">
        <f t="shared" si="730"/>
        <v>0</v>
      </c>
    </row>
    <row r="1104" spans="1:10" ht="23.4" x14ac:dyDescent="0.3">
      <c r="A1104" s="277" t="s">
        <v>109</v>
      </c>
      <c r="B1104" s="929"/>
      <c r="C1104" s="305" t="s">
        <v>325</v>
      </c>
      <c r="D1104" s="305" t="s">
        <v>324</v>
      </c>
      <c r="E1104" s="512">
        <v>14.608000000000001</v>
      </c>
      <c r="F1104" s="408">
        <f>IFERROR(E1104*'01 Prod Physique Boites'!H1095,"-")</f>
        <v>0</v>
      </c>
      <c r="G1104" s="409">
        <f>IFERROR(E1104*'01 Prod Physique Boites'!L1095,"-")</f>
        <v>0</v>
      </c>
      <c r="H1104" s="391">
        <v>24.93</v>
      </c>
      <c r="I1104" s="427">
        <f t="shared" si="729"/>
        <v>0</v>
      </c>
      <c r="J1104" s="663">
        <f t="shared" si="730"/>
        <v>0</v>
      </c>
    </row>
    <row r="1105" spans="1:10" ht="23.4" x14ac:dyDescent="0.3">
      <c r="A1105" s="277"/>
      <c r="B1105" s="929"/>
      <c r="C1105" s="305" t="s">
        <v>393</v>
      </c>
      <c r="D1105" s="305" t="s">
        <v>192</v>
      </c>
      <c r="E1105" s="512">
        <v>17.8202</v>
      </c>
      <c r="F1105" s="408">
        <f>IFERROR(E1105*'01 Prod Physique Boites'!H1096,"-")</f>
        <v>0</v>
      </c>
      <c r="G1105" s="409">
        <f>IFERROR(E1105*'01 Prod Physique Boites'!L1096,"-")</f>
        <v>0</v>
      </c>
      <c r="H1105" s="393">
        <v>21.22</v>
      </c>
      <c r="I1105" s="427">
        <f t="shared" si="729"/>
        <v>0</v>
      </c>
      <c r="J1105" s="664">
        <f t="shared" si="730"/>
        <v>0</v>
      </c>
    </row>
    <row r="1106" spans="1:10" ht="23.4" x14ac:dyDescent="0.3">
      <c r="A1106" s="277"/>
      <c r="B1106" s="929"/>
      <c r="C1106" s="305" t="s">
        <v>325</v>
      </c>
      <c r="D1106" s="305" t="s">
        <v>101</v>
      </c>
      <c r="E1106" s="512">
        <v>14.608000000000001</v>
      </c>
      <c r="F1106" s="408">
        <f>IFERROR(E1106*'01 Prod Physique Boites'!H1097,"-")</f>
        <v>0</v>
      </c>
      <c r="G1106" s="409">
        <f>IFERROR(E1106*'01 Prod Physique Boites'!L1097,"-")</f>
        <v>58110.624000000003</v>
      </c>
      <c r="H1106" s="393">
        <v>24.93</v>
      </c>
      <c r="I1106" s="429">
        <f t="shared" si="729"/>
        <v>0</v>
      </c>
      <c r="J1106" s="664">
        <f t="shared" si="730"/>
        <v>99171.54</v>
      </c>
    </row>
    <row r="1107" spans="1:10" ht="23.4" x14ac:dyDescent="0.3">
      <c r="A1107" s="277"/>
      <c r="B1107" s="929"/>
      <c r="C1107" s="305" t="s">
        <v>325</v>
      </c>
      <c r="D1107" s="305" t="s">
        <v>394</v>
      </c>
      <c r="E1107" s="512">
        <v>14.608000000000001</v>
      </c>
      <c r="F1107" s="408">
        <f>IFERROR(E1107*'01 Prod Physique Boites'!H1098,"-")</f>
        <v>1220323.1040000001</v>
      </c>
      <c r="G1107" s="409">
        <f>IFERROR(E1107*'01 Prod Physique Boites'!L1098,"-")</f>
        <v>9413921.0879999995</v>
      </c>
      <c r="H1107" s="393">
        <v>21.22</v>
      </c>
      <c r="I1107" s="429">
        <f t="shared" si="729"/>
        <v>1772676.3599999999</v>
      </c>
      <c r="J1107" s="664">
        <f t="shared" si="730"/>
        <v>13674931.92</v>
      </c>
    </row>
    <row r="1108" spans="1:10" ht="24" thickBot="1" x14ac:dyDescent="0.35">
      <c r="A1108" s="277" t="s">
        <v>109</v>
      </c>
      <c r="B1108" s="929"/>
      <c r="C1108" s="306" t="s">
        <v>326</v>
      </c>
      <c r="D1108" s="305" t="s">
        <v>324</v>
      </c>
      <c r="E1108" s="512">
        <v>12.6997</v>
      </c>
      <c r="F1108" s="408">
        <f>IFERROR(E1108*'01 Prod Physique Boites'!H1099,"-")</f>
        <v>0</v>
      </c>
      <c r="G1108" s="409">
        <f>IFERROR(E1108*'01 Prod Physique Boites'!L1099,"-")</f>
        <v>101038.8132</v>
      </c>
      <c r="H1108" s="393">
        <v>13.25</v>
      </c>
      <c r="I1108" s="429">
        <f t="shared" si="729"/>
        <v>0</v>
      </c>
      <c r="J1108" s="664">
        <f t="shared" si="730"/>
        <v>105417</v>
      </c>
    </row>
    <row r="1109" spans="1:10" ht="24" thickBot="1" x14ac:dyDescent="0.35">
      <c r="A1109" s="277" t="s">
        <v>109</v>
      </c>
      <c r="B1109" s="930"/>
      <c r="C1109" s="307"/>
      <c r="D1109" s="308" t="s">
        <v>55</v>
      </c>
      <c r="E1109" s="396"/>
      <c r="F1109" s="412">
        <f>SUM(F1100:F1108)</f>
        <v>1220323.1040000001</v>
      </c>
      <c r="G1109" s="413">
        <f t="shared" ref="G1109" si="731">SUM(G1100:G1108)</f>
        <v>13802890.6548</v>
      </c>
      <c r="H1109" s="397"/>
      <c r="I1109" s="412">
        <f t="shared" ref="I1109" si="732">SUM(I1100:I1108)</f>
        <v>1772676.3599999999</v>
      </c>
      <c r="J1109" s="431">
        <f>SUM(J1100:J1108)</f>
        <v>20568766.140000001</v>
      </c>
    </row>
    <row r="1110" spans="1:10" ht="23.4" x14ac:dyDescent="0.3">
      <c r="A1110" s="277" t="s">
        <v>109</v>
      </c>
      <c r="B1110" s="931" t="s">
        <v>28</v>
      </c>
      <c r="C1110" s="303" t="s">
        <v>27</v>
      </c>
      <c r="D1110" s="303" t="s">
        <v>193</v>
      </c>
      <c r="E1110" s="515">
        <v>12.6997</v>
      </c>
      <c r="F1110" s="408">
        <f>IFERROR(E1110*'01 Prod Physique Boites'!H1101,"-")</f>
        <v>0</v>
      </c>
      <c r="G1110" s="409">
        <f>IFERROR(E1110*'01 Prod Physique Boites'!L1101,"-")</f>
        <v>0</v>
      </c>
      <c r="H1110" s="387">
        <v>13.25</v>
      </c>
      <c r="I1110" s="425">
        <f>IFERROR(H1110*(F1110/E1110),"-")</f>
        <v>0</v>
      </c>
      <c r="J1110" s="662">
        <f t="shared" ref="J1110:J1112" si="733">IFERROR(H1110*(G1110/E1110),"-")</f>
        <v>0</v>
      </c>
    </row>
    <row r="1111" spans="1:10" ht="23.4" x14ac:dyDescent="0.3">
      <c r="A1111" s="277" t="s">
        <v>109</v>
      </c>
      <c r="B1111" s="929"/>
      <c r="C1111" s="305" t="s">
        <v>27</v>
      </c>
      <c r="D1111" s="305" t="s">
        <v>311</v>
      </c>
      <c r="E1111" s="512">
        <v>17.8202</v>
      </c>
      <c r="F1111" s="408">
        <f>IFERROR(E1111*'01 Prod Physique Boites'!H1102,"-")</f>
        <v>0</v>
      </c>
      <c r="G1111" s="409">
        <f>IFERROR(E1111*'01 Prod Physique Boites'!L1102,"-")</f>
        <v>0</v>
      </c>
      <c r="H1111" s="391">
        <v>24.93</v>
      </c>
      <c r="I1111" s="427">
        <f>IFERROR(H1111*(F1111/E1111),"-")</f>
        <v>0</v>
      </c>
      <c r="J1111" s="663">
        <f t="shared" si="733"/>
        <v>0</v>
      </c>
    </row>
    <row r="1112" spans="1:10" ht="24" thickBot="1" x14ac:dyDescent="0.35">
      <c r="A1112" s="277" t="s">
        <v>109</v>
      </c>
      <c r="B1112" s="929"/>
      <c r="C1112" s="305" t="s">
        <v>27</v>
      </c>
      <c r="D1112" s="306" t="s">
        <v>259</v>
      </c>
      <c r="E1112" s="512">
        <v>17.8202</v>
      </c>
      <c r="F1112" s="408">
        <f>IFERROR(E1112*'01 Prod Physique Boites'!H1103,"-")</f>
        <v>70888.755600000004</v>
      </c>
      <c r="G1112" s="409">
        <f>IFERROR(E1112*'01 Prod Physique Boites'!L1103,"-")</f>
        <v>70888.755600000004</v>
      </c>
      <c r="H1112" s="391">
        <v>24.93</v>
      </c>
      <c r="I1112" s="429">
        <f>IFERROR(H1112*(F1112/E1112),"-")</f>
        <v>99171.540000000008</v>
      </c>
      <c r="J1112" s="664">
        <f t="shared" si="733"/>
        <v>99171.540000000008</v>
      </c>
    </row>
    <row r="1113" spans="1:10" ht="24" thickBot="1" x14ac:dyDescent="0.35">
      <c r="A1113" s="277" t="s">
        <v>109</v>
      </c>
      <c r="B1113" s="929"/>
      <c r="C1113" s="310"/>
      <c r="D1113" s="311" t="s">
        <v>55</v>
      </c>
      <c r="E1113" s="403"/>
      <c r="F1113" s="420">
        <f t="shared" ref="F1113:G1113" si="734">SUM(F1110:F1112)</f>
        <v>70888.755600000004</v>
      </c>
      <c r="G1113" s="421">
        <f t="shared" si="734"/>
        <v>70888.755600000004</v>
      </c>
      <c r="H1113" s="404"/>
      <c r="I1113" s="420">
        <f t="shared" ref="I1113:J1113" si="735">SUM(I1110:I1112)</f>
        <v>99171.540000000008</v>
      </c>
      <c r="J1113" s="436">
        <f t="shared" si="735"/>
        <v>99171.540000000008</v>
      </c>
    </row>
    <row r="1114" spans="1:10" ht="24" thickBot="1" x14ac:dyDescent="0.35">
      <c r="A1114" s="752" t="s">
        <v>109</v>
      </c>
      <c r="B1114" s="932" t="s">
        <v>171</v>
      </c>
      <c r="C1114" s="933"/>
      <c r="D1114" s="934"/>
      <c r="E1114" s="405"/>
      <c r="F1114" s="422">
        <f t="shared" ref="F1114:G1114" si="736">+F1109+F1113</f>
        <v>1291211.8596000001</v>
      </c>
      <c r="G1114" s="423">
        <f t="shared" si="736"/>
        <v>13873779.410399999</v>
      </c>
      <c r="H1114" s="406"/>
      <c r="I1114" s="422">
        <f t="shared" ref="I1114:J1114" si="737">+I1109+I1113</f>
        <v>1871847.9</v>
      </c>
      <c r="J1114" s="437">
        <f t="shared" si="737"/>
        <v>20667937.68</v>
      </c>
    </row>
    <row r="1115" spans="1:10" ht="23.4" x14ac:dyDescent="0.3">
      <c r="A1115" s="277" t="s">
        <v>109</v>
      </c>
      <c r="B1115" s="929" t="s">
        <v>30</v>
      </c>
      <c r="C1115" s="309" t="s">
        <v>375</v>
      </c>
      <c r="D1115" s="303" t="s">
        <v>193</v>
      </c>
      <c r="E1115" s="515">
        <v>15.2788</v>
      </c>
      <c r="F1115" s="408">
        <f>IFERROR(E1115*'01 Prod Physique Boites'!H1106,"-")</f>
        <v>0</v>
      </c>
      <c r="G1115" s="409">
        <f>IFERROR(E1115*'01 Prod Physique Boites'!L1106,"-")</f>
        <v>0</v>
      </c>
      <c r="H1115" s="387">
        <v>23.65</v>
      </c>
      <c r="I1115" s="425">
        <f>IFERROR(H1115*(F1115/E1115),"-")</f>
        <v>0</v>
      </c>
      <c r="J1115" s="426">
        <f t="shared" ref="J1115:J1117" si="738">IFERROR(H1115*(G1115/E1115),"-")</f>
        <v>0</v>
      </c>
    </row>
    <row r="1116" spans="1:10" ht="23.4" x14ac:dyDescent="0.3">
      <c r="A1116" s="277" t="s">
        <v>109</v>
      </c>
      <c r="B1116" s="929"/>
      <c r="C1116" s="309" t="s">
        <v>368</v>
      </c>
      <c r="D1116" s="309" t="s">
        <v>324</v>
      </c>
      <c r="E1116" s="516">
        <v>22.6356</v>
      </c>
      <c r="F1116" s="408">
        <f>IFERROR(E1116*'01 Prod Physique Boites'!H1107,"-")</f>
        <v>0</v>
      </c>
      <c r="G1116" s="409">
        <f>IFERROR(E1116*'01 Prod Physique Boites'!L1107,"-")</f>
        <v>0</v>
      </c>
      <c r="H1116" s="391">
        <v>34.26</v>
      </c>
      <c r="I1116" s="427">
        <f>IFERROR(H1116*(F1116/E1116),"-")</f>
        <v>0</v>
      </c>
      <c r="J1116" s="428">
        <f t="shared" si="738"/>
        <v>0</v>
      </c>
    </row>
    <row r="1117" spans="1:10" ht="24" thickBot="1" x14ac:dyDescent="0.35">
      <c r="A1117" s="277" t="s">
        <v>109</v>
      </c>
      <c r="B1117" s="929"/>
      <c r="C1117" s="306" t="s">
        <v>327</v>
      </c>
      <c r="D1117" s="306"/>
      <c r="E1117" s="512">
        <v>25.751300000000001</v>
      </c>
      <c r="F1117" s="408">
        <f>IFERROR(E1117*'01 Prod Physique Boites'!H1108,"-")</f>
        <v>0</v>
      </c>
      <c r="G1117" s="409">
        <f>IFERROR(E1117*'01 Prod Physique Boites'!L1108,"-")</f>
        <v>0</v>
      </c>
      <c r="H1117" s="393">
        <v>37.89</v>
      </c>
      <c r="I1117" s="429">
        <f>IFERROR(H1117*(F1117/E1117),"-")</f>
        <v>0</v>
      </c>
      <c r="J1117" s="430">
        <f t="shared" si="738"/>
        <v>0</v>
      </c>
    </row>
    <row r="1118" spans="1:10" ht="24" thickBot="1" x14ac:dyDescent="0.35">
      <c r="A1118" s="277" t="s">
        <v>109</v>
      </c>
      <c r="B1118" s="929"/>
      <c r="C1118" s="307"/>
      <c r="D1118" s="308" t="s">
        <v>53</v>
      </c>
      <c r="E1118" s="396"/>
      <c r="F1118" s="412">
        <f t="shared" ref="F1118:G1118" si="739">SUM(F1115:F1117)</f>
        <v>0</v>
      </c>
      <c r="G1118" s="413">
        <f t="shared" si="739"/>
        <v>0</v>
      </c>
      <c r="H1118" s="397"/>
      <c r="I1118" s="412">
        <f t="shared" ref="I1118" si="740">SUM(I1115:I1117)</f>
        <v>0</v>
      </c>
      <c r="J1118" s="431">
        <f>SUM(J1115:J1117)</f>
        <v>0</v>
      </c>
    </row>
    <row r="1119" spans="1:10" ht="23.4" x14ac:dyDescent="0.3">
      <c r="A1119" s="277" t="s">
        <v>109</v>
      </c>
      <c r="B1119" s="929"/>
      <c r="C1119" s="303" t="s">
        <v>352</v>
      </c>
      <c r="D1119" s="303"/>
      <c r="E1119" s="515">
        <v>22.094999999999999</v>
      </c>
      <c r="F1119" s="408">
        <f>IFERROR(E1119*'01 Prod Physique Boites'!H1110,"-")</f>
        <v>0</v>
      </c>
      <c r="G1119" s="409">
        <f>IFERROR(E1119*'01 Prod Physique Boites'!L1110,"-")</f>
        <v>0</v>
      </c>
      <c r="H1119" s="387">
        <v>37.11</v>
      </c>
      <c r="I1119" s="425">
        <f>IFERROR(H1119*(F1119/E1119),"-")</f>
        <v>0</v>
      </c>
      <c r="J1119" s="426">
        <f t="shared" ref="J1119:J1121" si="741">IFERROR(H1119*(G1119/E1119),"-")</f>
        <v>0</v>
      </c>
    </row>
    <row r="1120" spans="1:10" ht="23.4" x14ac:dyDescent="0.3">
      <c r="A1120" s="277" t="s">
        <v>109</v>
      </c>
      <c r="B1120" s="929"/>
      <c r="C1120" s="309" t="s">
        <v>397</v>
      </c>
      <c r="D1120" s="309" t="s">
        <v>259</v>
      </c>
      <c r="E1120" s="516">
        <v>27.917000000000002</v>
      </c>
      <c r="F1120" s="408">
        <f>IFERROR(E1120*'01 Prod Physique Boites'!H1111,"-")</f>
        <v>0</v>
      </c>
      <c r="G1120" s="409">
        <f>IFERROR(E1120*'01 Prod Physique Boites'!L1111,"-")</f>
        <v>10347603.552000001</v>
      </c>
      <c r="H1120" s="391">
        <v>39</v>
      </c>
      <c r="I1120" s="427">
        <f>IFERROR(H1120*(F1120/E1120),"-")</f>
        <v>0</v>
      </c>
      <c r="J1120" s="428">
        <f t="shared" si="741"/>
        <v>14455584</v>
      </c>
    </row>
    <row r="1121" spans="1:10" ht="24" thickBot="1" x14ac:dyDescent="0.35">
      <c r="A1121" s="277" t="s">
        <v>109</v>
      </c>
      <c r="B1121" s="929"/>
      <c r="C1121" s="306" t="s">
        <v>146</v>
      </c>
      <c r="D1121" s="306"/>
      <c r="E1121" s="512">
        <v>25.4041</v>
      </c>
      <c r="F1121" s="408">
        <f>IFERROR(E1121*'01 Prod Physique Boites'!H1112,"-")</f>
        <v>0</v>
      </c>
      <c r="G1121" s="409">
        <f>IFERROR(E1121*'01 Prod Physique Boites'!L1112,"-")</f>
        <v>0</v>
      </c>
      <c r="H1121" s="393">
        <v>28.21</v>
      </c>
      <c r="I1121" s="429">
        <f>IFERROR(H1121*(F1121/E1121),"-")</f>
        <v>0</v>
      </c>
      <c r="J1121" s="430">
        <f t="shared" si="741"/>
        <v>0</v>
      </c>
    </row>
    <row r="1122" spans="1:10" ht="24" thickBot="1" x14ac:dyDescent="0.35">
      <c r="A1122" s="277" t="s">
        <v>109</v>
      </c>
      <c r="B1122" s="929"/>
      <c r="C1122" s="310"/>
      <c r="D1122" s="311" t="s">
        <v>54</v>
      </c>
      <c r="E1122" s="403"/>
      <c r="F1122" s="420">
        <f t="shared" ref="F1122:G1122" si="742">SUM(F1119:F1121)</f>
        <v>0</v>
      </c>
      <c r="G1122" s="421">
        <f t="shared" si="742"/>
        <v>10347603.552000001</v>
      </c>
      <c r="H1122" s="404"/>
      <c r="I1122" s="420">
        <f t="shared" ref="I1122" si="743">SUM(I1119:I1121)</f>
        <v>0</v>
      </c>
      <c r="J1122" s="436">
        <f>SUM(J1119:J1121)</f>
        <v>14455584</v>
      </c>
    </row>
    <row r="1123" spans="1:10" ht="24" thickBot="1" x14ac:dyDescent="0.35">
      <c r="A1123" s="277" t="s">
        <v>109</v>
      </c>
      <c r="B1123" s="932" t="s">
        <v>172</v>
      </c>
      <c r="C1123" s="933"/>
      <c r="D1123" s="934"/>
      <c r="E1123" s="405"/>
      <c r="F1123" s="422">
        <f t="shared" ref="F1123:G1123" si="744">+F1118+F1122</f>
        <v>0</v>
      </c>
      <c r="G1123" s="423">
        <f t="shared" si="744"/>
        <v>10347603.552000001</v>
      </c>
      <c r="H1123" s="406"/>
      <c r="I1123" s="422">
        <f t="shared" ref="I1123:J1123" si="745">+I1118+I1122</f>
        <v>0</v>
      </c>
      <c r="J1123" s="437">
        <f t="shared" si="745"/>
        <v>14455584</v>
      </c>
    </row>
    <row r="1124" spans="1:10" ht="24" thickBot="1" x14ac:dyDescent="0.35">
      <c r="A1124" s="277" t="s">
        <v>109</v>
      </c>
      <c r="B1124" s="617" t="s">
        <v>32</v>
      </c>
      <c r="C1124" s="749"/>
      <c r="D1124" s="316"/>
      <c r="E1124" s="517">
        <v>12.2659</v>
      </c>
      <c r="F1124" s="414">
        <f>IFERROR(E1124*'01 Prod Physique Boites'!H1115,"-")</f>
        <v>0</v>
      </c>
      <c r="G1124" s="415">
        <f>IFERROR(E1124*'01 Prod Physique Boites'!L1115,"-")</f>
        <v>0</v>
      </c>
      <c r="H1124" s="398"/>
      <c r="I1124" s="432">
        <f>IFERROR(H1124*(F1124/E1124),"-")</f>
        <v>0</v>
      </c>
      <c r="J1124" s="433">
        <f>IFERROR(H1124*(G1124/E1124),"-")</f>
        <v>0</v>
      </c>
    </row>
    <row r="1125" spans="1:10" ht="24" thickBot="1" x14ac:dyDescent="0.35">
      <c r="A1125" s="277" t="s">
        <v>109</v>
      </c>
      <c r="B1125" s="926" t="s">
        <v>21</v>
      </c>
      <c r="C1125" s="927"/>
      <c r="D1125" s="928"/>
      <c r="E1125" s="399"/>
      <c r="F1125" s="416">
        <f t="shared" ref="F1125" si="746">+F1114+F1123+F1124</f>
        <v>1291211.8596000001</v>
      </c>
      <c r="G1125" s="417">
        <f>+G1114+G1123+G1124</f>
        <v>24221382.962400001</v>
      </c>
      <c r="H1125" s="400"/>
      <c r="I1125" s="416">
        <f t="shared" ref="I1125:J1125" si="747">+I1114+I1123+I1124</f>
        <v>1871847.9</v>
      </c>
      <c r="J1125" s="434">
        <f t="shared" si="747"/>
        <v>35123521.68</v>
      </c>
    </row>
    <row r="1126" spans="1:10" ht="24" thickBot="1" x14ac:dyDescent="0.35">
      <c r="A1126" s="277" t="s">
        <v>109</v>
      </c>
      <c r="B1126" s="900" t="s">
        <v>180</v>
      </c>
      <c r="C1126" s="901"/>
      <c r="D1126" s="902"/>
      <c r="E1126" s="401"/>
      <c r="F1126" s="418">
        <f t="shared" ref="F1126:G1126" si="748">+F1125</f>
        <v>1291211.8596000001</v>
      </c>
      <c r="G1126" s="419">
        <f t="shared" si="748"/>
        <v>24221382.962400001</v>
      </c>
      <c r="H1126" s="402"/>
      <c r="I1126" s="418">
        <f t="shared" ref="I1126:J1126" si="749">+I1125</f>
        <v>1871847.9</v>
      </c>
      <c r="J1126" s="435">
        <f t="shared" si="749"/>
        <v>35123521.68</v>
      </c>
    </row>
    <row r="1127" spans="1:10" ht="23.4" x14ac:dyDescent="0.3">
      <c r="A1127" s="271" t="s">
        <v>110</v>
      </c>
      <c r="B1127" s="903" t="s">
        <v>33</v>
      </c>
      <c r="C1127" s="317" t="s">
        <v>121</v>
      </c>
      <c r="D1127" s="317"/>
      <c r="E1127" s="513">
        <v>254.89750000000001</v>
      </c>
      <c r="F1127" s="408">
        <f>IFERROR(E1127*'01 Prod Physique Boites'!H1118,"-")</f>
        <v>0</v>
      </c>
      <c r="G1127" s="409">
        <f>IFERROR(E1127*'01 Prod Physique Boites'!L1118,"-")</f>
        <v>0</v>
      </c>
      <c r="H1127" s="387">
        <v>445.38</v>
      </c>
      <c r="I1127" s="425">
        <f>IFERROR(H1127*(F1127/E1127),"-")</f>
        <v>0</v>
      </c>
      <c r="J1127" s="426">
        <f t="shared" ref="J1127:J1129" si="750">IFERROR(H1127*(G1127/E1127),"-")</f>
        <v>0</v>
      </c>
    </row>
    <row r="1128" spans="1:10" ht="23.4" x14ac:dyDescent="0.3">
      <c r="A1128" s="277" t="s">
        <v>110</v>
      </c>
      <c r="B1128" s="904"/>
      <c r="C1128" s="318" t="s">
        <v>274</v>
      </c>
      <c r="D1128" s="318"/>
      <c r="E1128" s="514">
        <v>246.51390000000001</v>
      </c>
      <c r="F1128" s="408">
        <f>IFERROR(E1128*'01 Prod Physique Boites'!H1119,"-")</f>
        <v>0</v>
      </c>
      <c r="G1128" s="409">
        <f>IFERROR(E1128*'01 Prod Physique Boites'!L1119,"-")</f>
        <v>2287648.9920000001</v>
      </c>
      <c r="H1128" s="391">
        <v>430.02</v>
      </c>
      <c r="I1128" s="427">
        <f>IFERROR(H1128*(F1128/E1128),"-")</f>
        <v>0</v>
      </c>
      <c r="J1128" s="428">
        <f t="shared" si="750"/>
        <v>3990585.5999999996</v>
      </c>
    </row>
    <row r="1129" spans="1:10" ht="24" thickBot="1" x14ac:dyDescent="0.35">
      <c r="A1129" s="277" t="s">
        <v>110</v>
      </c>
      <c r="B1129" s="905"/>
      <c r="C1129" s="319" t="s">
        <v>34</v>
      </c>
      <c r="D1129" s="319"/>
      <c r="E1129" s="511">
        <v>225.7713</v>
      </c>
      <c r="F1129" s="408">
        <f>IFERROR(E1129*'01 Prod Physique Boites'!H1120,"-")</f>
        <v>0</v>
      </c>
      <c r="G1129" s="409">
        <f>IFERROR(E1129*'01 Prod Physique Boites'!L1120,"-")</f>
        <v>0</v>
      </c>
      <c r="H1129" s="393"/>
      <c r="I1129" s="429">
        <f>IFERROR(H1129*(F1129/E1129),"-")</f>
        <v>0</v>
      </c>
      <c r="J1129" s="430">
        <f t="shared" si="750"/>
        <v>0</v>
      </c>
    </row>
    <row r="1130" spans="1:10" ht="24" thickBot="1" x14ac:dyDescent="0.35">
      <c r="A1130" s="277" t="s">
        <v>110</v>
      </c>
      <c r="B1130" s="906" t="s">
        <v>35</v>
      </c>
      <c r="C1130" s="907"/>
      <c r="D1130" s="908"/>
      <c r="E1130" s="396"/>
      <c r="F1130" s="412">
        <f t="shared" ref="F1130:G1130" si="751">SUM(F1127:F1129)</f>
        <v>0</v>
      </c>
      <c r="G1130" s="413">
        <f t="shared" si="751"/>
        <v>2287648.9920000001</v>
      </c>
      <c r="H1130" s="397"/>
      <c r="I1130" s="412">
        <f t="shared" ref="I1130:J1130" si="752">SUM(I1127:I1129)</f>
        <v>0</v>
      </c>
      <c r="J1130" s="431">
        <f t="shared" si="752"/>
        <v>3990585.5999999996</v>
      </c>
    </row>
    <row r="1131" spans="1:10" ht="23.4" x14ac:dyDescent="0.3">
      <c r="A1131" s="277" t="s">
        <v>110</v>
      </c>
      <c r="B1131" s="903" t="s">
        <v>36</v>
      </c>
      <c r="C1131" s="317" t="s">
        <v>121</v>
      </c>
      <c r="D1131" s="317"/>
      <c r="E1131" s="513">
        <v>254.89750000000001</v>
      </c>
      <c r="F1131" s="408">
        <f>IFERROR(E1131*'01 Prod Physique Boites'!H1122,"-")</f>
        <v>0</v>
      </c>
      <c r="G1131" s="409">
        <f>IFERROR(E1131*'01 Prod Physique Boites'!L1122,"-")</f>
        <v>0</v>
      </c>
      <c r="H1131" s="387">
        <v>445.38</v>
      </c>
      <c r="I1131" s="425">
        <f>IFERROR(H1131*(F1131/E1131),"-")</f>
        <v>0</v>
      </c>
      <c r="J1131" s="426">
        <f t="shared" ref="J1131:J1134" si="753">IFERROR(H1131*(G1131/E1131),"-")</f>
        <v>0</v>
      </c>
    </row>
    <row r="1132" spans="1:10" ht="23.4" x14ac:dyDescent="0.3">
      <c r="A1132" s="277" t="s">
        <v>110</v>
      </c>
      <c r="B1132" s="904"/>
      <c r="C1132" s="318" t="s">
        <v>274</v>
      </c>
      <c r="D1132" s="318"/>
      <c r="E1132" s="514">
        <v>246.51390000000001</v>
      </c>
      <c r="F1132" s="408">
        <f>IFERROR(E1132*'01 Prod Physique Boites'!H1123,"-")</f>
        <v>1262151.1680000001</v>
      </c>
      <c r="G1132" s="409">
        <f>IFERROR(E1132*'01 Prod Physique Boites'!L1123,"-")</f>
        <v>7257369.216</v>
      </c>
      <c r="H1132" s="391">
        <v>430.02</v>
      </c>
      <c r="I1132" s="427">
        <f>IFERROR(H1132*(F1132/E1132),"-")</f>
        <v>2201702.3999999999</v>
      </c>
      <c r="J1132" s="428">
        <f t="shared" si="753"/>
        <v>12659788.799999999</v>
      </c>
    </row>
    <row r="1133" spans="1:10" ht="23.4" x14ac:dyDescent="0.3">
      <c r="A1133" s="277" t="s">
        <v>110</v>
      </c>
      <c r="B1133" s="904"/>
      <c r="C1133" s="318" t="s">
        <v>201</v>
      </c>
      <c r="D1133" s="318" t="s">
        <v>200</v>
      </c>
      <c r="E1133" s="514">
        <v>254.89750000000001</v>
      </c>
      <c r="F1133" s="408">
        <f>IFERROR(E1133*'01 Prod Physique Boites'!H1124,"-")</f>
        <v>0</v>
      </c>
      <c r="G1133" s="409">
        <f>IFERROR(E1133*'01 Prod Physique Boites'!L1124,"-")</f>
        <v>0</v>
      </c>
      <c r="H1133" s="391"/>
      <c r="I1133" s="427">
        <f>IFERROR(H1133*(F1133/E1133),"-")</f>
        <v>0</v>
      </c>
      <c r="J1133" s="428">
        <f t="shared" si="753"/>
        <v>0</v>
      </c>
    </row>
    <row r="1134" spans="1:10" ht="24" thickBot="1" x14ac:dyDescent="0.35">
      <c r="A1134" s="277" t="s">
        <v>110</v>
      </c>
      <c r="B1134" s="905"/>
      <c r="C1134" s="319" t="s">
        <v>37</v>
      </c>
      <c r="D1134" s="319"/>
      <c r="E1134" s="511">
        <v>229.99359999999999</v>
      </c>
      <c r="F1134" s="408">
        <f>IFERROR(E1134*'01 Prod Physique Boites'!H1125,"-")</f>
        <v>0</v>
      </c>
      <c r="G1134" s="409">
        <f>IFERROR(E1134*'01 Prod Physique Boites'!L1125,"-")</f>
        <v>0</v>
      </c>
      <c r="H1134" s="393"/>
      <c r="I1134" s="429">
        <f>IFERROR(H1134*(F1134/E1134),"-")</f>
        <v>0</v>
      </c>
      <c r="J1134" s="430">
        <f t="shared" si="753"/>
        <v>0</v>
      </c>
    </row>
    <row r="1135" spans="1:10" ht="24" thickBot="1" x14ac:dyDescent="0.35">
      <c r="A1135" s="277" t="s">
        <v>110</v>
      </c>
      <c r="B1135" s="906" t="s">
        <v>38</v>
      </c>
      <c r="C1135" s="907"/>
      <c r="D1135" s="908"/>
      <c r="E1135" s="396"/>
      <c r="F1135" s="412">
        <f t="shared" ref="F1135:G1135" si="754">SUM(F1131:F1134)</f>
        <v>1262151.1680000001</v>
      </c>
      <c r="G1135" s="413">
        <f t="shared" si="754"/>
        <v>7257369.216</v>
      </c>
      <c r="H1135" s="397"/>
      <c r="I1135" s="412">
        <f>SUM(I1131:I1134)</f>
        <v>2201702.3999999999</v>
      </c>
      <c r="J1135" s="431">
        <f>SUM(J1131:J1134)</f>
        <v>12659788.799999999</v>
      </c>
    </row>
    <row r="1136" spans="1:10" ht="23.4" x14ac:dyDescent="0.3">
      <c r="A1136" s="277" t="s">
        <v>110</v>
      </c>
      <c r="B1136" s="903" t="s">
        <v>39</v>
      </c>
      <c r="C1136" s="320" t="s">
        <v>124</v>
      </c>
      <c r="D1136" s="320"/>
      <c r="E1136" s="513">
        <v>195.2808</v>
      </c>
      <c r="F1136" s="408">
        <f>IFERROR(E1136*'01 Prod Physique Boites'!H1127,"-")</f>
        <v>0</v>
      </c>
      <c r="G1136" s="409">
        <f>IFERROR(E1136*'01 Prod Physique Boites'!L1127,"-")</f>
        <v>0</v>
      </c>
      <c r="H1136" s="387"/>
      <c r="I1136" s="425">
        <f>IFERROR(H1136*(F1136/E1136),"-")</f>
        <v>0</v>
      </c>
      <c r="J1136" s="426">
        <f t="shared" ref="J1136:J1137" si="755">IFERROR(H1136*(G1136/E1136),"-")</f>
        <v>0</v>
      </c>
    </row>
    <row r="1137" spans="1:10" ht="24" thickBot="1" x14ac:dyDescent="0.35">
      <c r="A1137" s="277" t="s">
        <v>110</v>
      </c>
      <c r="B1137" s="905"/>
      <c r="C1137" s="290" t="s">
        <v>140</v>
      </c>
      <c r="D1137" s="290"/>
      <c r="E1137" s="511">
        <v>189.91890000000001</v>
      </c>
      <c r="F1137" s="408">
        <f>IFERROR(E1137*'01 Prod Physique Boites'!H1128,"-")</f>
        <v>0</v>
      </c>
      <c r="G1137" s="409">
        <f>IFERROR(E1137*'01 Prod Physique Boites'!L1128,"-")</f>
        <v>0</v>
      </c>
      <c r="H1137" s="393">
        <v>320.35000000000002</v>
      </c>
      <c r="I1137" s="429">
        <f>IFERROR(H1137*(F1137/E1137),"-")</f>
        <v>0</v>
      </c>
      <c r="J1137" s="430">
        <f t="shared" si="755"/>
        <v>0</v>
      </c>
    </row>
    <row r="1138" spans="1:10" ht="24" thickBot="1" x14ac:dyDescent="0.35">
      <c r="A1138" s="752" t="s">
        <v>110</v>
      </c>
      <c r="B1138" s="906" t="s">
        <v>40</v>
      </c>
      <c r="C1138" s="907"/>
      <c r="D1138" s="908"/>
      <c r="E1138" s="396"/>
      <c r="F1138" s="412">
        <f>SUM(F1136:F1137)</f>
        <v>0</v>
      </c>
      <c r="G1138" s="413">
        <f t="shared" ref="G1138" si="756">SUM(G1136:G1137)</f>
        <v>0</v>
      </c>
      <c r="H1138" s="397"/>
      <c r="I1138" s="412">
        <f t="shared" ref="I1138:J1138" si="757">SUM(I1136:I1137)</f>
        <v>0</v>
      </c>
      <c r="J1138" s="431">
        <f t="shared" si="757"/>
        <v>0</v>
      </c>
    </row>
    <row r="1139" spans="1:10" ht="23.4" x14ac:dyDescent="0.3">
      <c r="A1139" s="277" t="s">
        <v>110</v>
      </c>
      <c r="B1139" s="903" t="s">
        <v>41</v>
      </c>
      <c r="C1139" s="272" t="s">
        <v>346</v>
      </c>
      <c r="D1139" s="272" t="s">
        <v>263</v>
      </c>
      <c r="E1139" s="515">
        <v>37.248699999999999</v>
      </c>
      <c r="F1139" s="408">
        <f>IFERROR(E1139*'01 Prod Physique Boites'!H1130,"-")</f>
        <v>1251556.32</v>
      </c>
      <c r="G1139" s="409">
        <f>IFERROR(E1139*'01 Prod Physique Boites'!L1130,"-")</f>
        <v>7833401.6100000003</v>
      </c>
      <c r="H1139" s="387">
        <v>71.44</v>
      </c>
      <c r="I1139" s="425">
        <f>IFERROR(H1139*(F1139/E1139),"-")</f>
        <v>2400384</v>
      </c>
      <c r="J1139" s="426">
        <f>IFERROR(H1139*(G1139/E1139),"-")</f>
        <v>15023832</v>
      </c>
    </row>
    <row r="1140" spans="1:10" ht="23.4" x14ac:dyDescent="0.3">
      <c r="A1140" s="277" t="s">
        <v>110</v>
      </c>
      <c r="B1140" s="904"/>
      <c r="C1140" s="272" t="s">
        <v>165</v>
      </c>
      <c r="D1140" s="278"/>
      <c r="E1140" s="515">
        <v>37.248699999999999</v>
      </c>
      <c r="F1140" s="408">
        <f>IFERROR(E1140*'01 Prod Physique Boites'!H1131,"-")</f>
        <v>0</v>
      </c>
      <c r="G1140" s="409">
        <f>IFERROR(E1140*'01 Prod Physique Boites'!L1131,"-")</f>
        <v>0</v>
      </c>
      <c r="H1140" s="391"/>
      <c r="I1140" s="427">
        <f>IFERROR(H1140*(F1140/E1140),"-")</f>
        <v>0</v>
      </c>
      <c r="J1140" s="428">
        <f t="shared" ref="J1140:J1143" si="758">IFERROR(H1140*(G1140/E1140),"-")</f>
        <v>0</v>
      </c>
    </row>
    <row r="1141" spans="1:10" ht="23.4" x14ac:dyDescent="0.3">
      <c r="A1141" s="277" t="s">
        <v>110</v>
      </c>
      <c r="B1141" s="904"/>
      <c r="C1141" s="278" t="s">
        <v>423</v>
      </c>
      <c r="D1141" s="272" t="s">
        <v>263</v>
      </c>
      <c r="E1141" s="516">
        <v>38.466099999999997</v>
      </c>
      <c r="F1141" s="408">
        <f>IFERROR(E1141*'01 Prod Physique Boites'!H1132,"-")</f>
        <v>0</v>
      </c>
      <c r="G1141" s="409">
        <f>IFERROR(E1141*'01 Prod Physique Boites'!L1132,"-")</f>
        <v>1306308.7559999998</v>
      </c>
      <c r="H1141" s="391">
        <v>71.44</v>
      </c>
      <c r="I1141" s="427">
        <f>IFERROR(H1141*(F1141/E1141),"-")</f>
        <v>0</v>
      </c>
      <c r="J1141" s="428">
        <f t="shared" si="758"/>
        <v>2426102.4</v>
      </c>
    </row>
    <row r="1142" spans="1:10" ht="23.4" x14ac:dyDescent="0.3">
      <c r="A1142" s="277" t="s">
        <v>110</v>
      </c>
      <c r="B1142" s="904"/>
      <c r="C1142" s="278" t="s">
        <v>166</v>
      </c>
      <c r="D1142" s="278"/>
      <c r="E1142" s="516">
        <v>37.248699999999999</v>
      </c>
      <c r="F1142" s="408">
        <f>IFERROR(E1142*'01 Prod Physique Boites'!H1133,"-")</f>
        <v>0</v>
      </c>
      <c r="G1142" s="409">
        <f>IFERROR(E1142*'01 Prod Physique Boites'!L1133,"-")</f>
        <v>0</v>
      </c>
      <c r="H1142" s="391"/>
      <c r="I1142" s="427">
        <f>IFERROR(H1142*(F1142/E1142),"-")</f>
        <v>0</v>
      </c>
      <c r="J1142" s="428">
        <f t="shared" si="758"/>
        <v>0</v>
      </c>
    </row>
    <row r="1143" spans="1:10" ht="24" thickBot="1" x14ac:dyDescent="0.35">
      <c r="A1143" s="277" t="s">
        <v>110</v>
      </c>
      <c r="B1143" s="905"/>
      <c r="C1143" s="282" t="s">
        <v>167</v>
      </c>
      <c r="D1143" s="282"/>
      <c r="E1143" s="512">
        <v>33.711399999999998</v>
      </c>
      <c r="F1143" s="408">
        <f>IFERROR(E1143*'01 Prod Physique Boites'!H1134,"-")</f>
        <v>0</v>
      </c>
      <c r="G1143" s="409">
        <f>IFERROR(E1143*'01 Prod Physique Boites'!L1134,"-")</f>
        <v>0</v>
      </c>
      <c r="H1143" s="393"/>
      <c r="I1143" s="429">
        <f>IFERROR(H1143*(F1143/E1143),"-")</f>
        <v>0</v>
      </c>
      <c r="J1143" s="430">
        <f t="shared" si="758"/>
        <v>0</v>
      </c>
    </row>
    <row r="1144" spans="1:10" ht="24" thickBot="1" x14ac:dyDescent="0.35">
      <c r="A1144" s="277" t="s">
        <v>110</v>
      </c>
      <c r="B1144" s="906" t="s">
        <v>42</v>
      </c>
      <c r="C1144" s="907"/>
      <c r="D1144" s="908"/>
      <c r="E1144" s="396"/>
      <c r="F1144" s="412">
        <f>SUM(F1139:F1143)</f>
        <v>1251556.32</v>
      </c>
      <c r="G1144" s="413">
        <f>SUM(G1139:G1143)</f>
        <v>9139710.3660000004</v>
      </c>
      <c r="H1144" s="397"/>
      <c r="I1144" s="412">
        <f>SUM(I1139:I1143)</f>
        <v>2400384</v>
      </c>
      <c r="J1144" s="412">
        <f>SUM(J1139:J1143)</f>
        <v>17449934.399999999</v>
      </c>
    </row>
    <row r="1145" spans="1:10" ht="23.4" x14ac:dyDescent="0.3">
      <c r="A1145" s="277" t="s">
        <v>110</v>
      </c>
      <c r="B1145" s="903" t="s">
        <v>43</v>
      </c>
      <c r="C1145" s="272" t="s">
        <v>204</v>
      </c>
      <c r="D1145" s="272" t="s">
        <v>200</v>
      </c>
      <c r="E1145" s="515">
        <v>30.7499</v>
      </c>
      <c r="F1145" s="408">
        <f>IFERROR(E1145*'01 Prod Physique Boites'!H1136,"-")</f>
        <v>0</v>
      </c>
      <c r="G1145" s="409">
        <f>IFERROR(E1145*'01 Prod Physique Boites'!L1136,"-")</f>
        <v>0</v>
      </c>
      <c r="H1145" s="387"/>
      <c r="I1145" s="425">
        <f>IFERROR(H1145*(F1145/E1145),"-")</f>
        <v>0</v>
      </c>
      <c r="J1145" s="426">
        <f>IFERROR(H1145*(G1145/E1145),"-")</f>
        <v>0</v>
      </c>
    </row>
    <row r="1146" spans="1:10" ht="23.4" x14ac:dyDescent="0.3">
      <c r="A1146" s="277" t="s">
        <v>110</v>
      </c>
      <c r="B1146" s="904"/>
      <c r="C1146" s="278" t="s">
        <v>168</v>
      </c>
      <c r="D1146" s="278"/>
      <c r="E1146" s="516">
        <v>28.7</v>
      </c>
      <c r="F1146" s="408">
        <f>IFERROR(E1146*'01 Prod Physique Boites'!H1137,"-")</f>
        <v>0</v>
      </c>
      <c r="G1146" s="409">
        <f>IFERROR(E1146*'01 Prod Physique Boites'!L1137,"-")</f>
        <v>0</v>
      </c>
      <c r="H1146" s="391"/>
      <c r="I1146" s="427">
        <f>IFERROR(H1146*(F1146/E1146),"-")</f>
        <v>0</v>
      </c>
      <c r="J1146" s="428">
        <f t="shared" ref="J1146:J1147" si="759">IFERROR(H1146*(G1146/E1146),"-")</f>
        <v>0</v>
      </c>
    </row>
    <row r="1147" spans="1:10" ht="24" thickBot="1" x14ac:dyDescent="0.35">
      <c r="A1147" s="277" t="s">
        <v>110</v>
      </c>
      <c r="B1147" s="905"/>
      <c r="C1147" s="282" t="s">
        <v>204</v>
      </c>
      <c r="D1147" s="282" t="s">
        <v>203</v>
      </c>
      <c r="E1147" s="512">
        <v>30.073599999999999</v>
      </c>
      <c r="F1147" s="408">
        <f>IFERROR(E1147*'01 Prod Physique Boites'!H1138,"-")</f>
        <v>0</v>
      </c>
      <c r="G1147" s="409">
        <f>IFERROR(E1147*'01 Prod Physique Boites'!L1138,"-")</f>
        <v>0</v>
      </c>
      <c r="H1147" s="393"/>
      <c r="I1147" s="429">
        <f>IFERROR(H1147*(F1147/E1147),"-")</f>
        <v>0</v>
      </c>
      <c r="J1147" s="430">
        <f t="shared" si="759"/>
        <v>0</v>
      </c>
    </row>
    <row r="1148" spans="1:10" ht="24" thickBot="1" x14ac:dyDescent="0.35">
      <c r="A1148" s="277" t="s">
        <v>110</v>
      </c>
      <c r="B1148" s="909" t="s">
        <v>44</v>
      </c>
      <c r="C1148" s="910"/>
      <c r="D1148" s="911"/>
      <c r="E1148" s="396"/>
      <c r="F1148" s="412">
        <f t="shared" ref="F1148:G1148" si="760">SUM(F1145:F1147)</f>
        <v>0</v>
      </c>
      <c r="G1148" s="413">
        <f t="shared" si="760"/>
        <v>0</v>
      </c>
      <c r="H1148" s="397"/>
      <c r="I1148" s="412">
        <f t="shared" ref="I1148:J1148" si="761">SUM(I1145:I1147)</f>
        <v>0</v>
      </c>
      <c r="J1148" s="431">
        <f t="shared" si="761"/>
        <v>0</v>
      </c>
    </row>
    <row r="1149" spans="1:10" ht="23.4" x14ac:dyDescent="0.3">
      <c r="A1149" s="277" t="s">
        <v>110</v>
      </c>
      <c r="B1149" s="903" t="s">
        <v>45</v>
      </c>
      <c r="C1149" s="272" t="s">
        <v>169</v>
      </c>
      <c r="D1149" s="272"/>
      <c r="E1149" s="515">
        <v>36.684899999999999</v>
      </c>
      <c r="F1149" s="408">
        <f>IFERROR(E1149*'01 Prod Physique Boites'!H1140,"-")</f>
        <v>0</v>
      </c>
      <c r="G1149" s="409">
        <f>IFERROR(E1149*'01 Prod Physique Boites'!L1140,"-")</f>
        <v>0</v>
      </c>
      <c r="H1149" s="387"/>
      <c r="I1149" s="388" t="s">
        <v>209</v>
      </c>
      <c r="J1149" s="389" t="s">
        <v>209</v>
      </c>
    </row>
    <row r="1150" spans="1:10" ht="24" thickBot="1" x14ac:dyDescent="0.35">
      <c r="A1150" s="277" t="s">
        <v>110</v>
      </c>
      <c r="B1150" s="905"/>
      <c r="C1150" s="282" t="s">
        <v>170</v>
      </c>
      <c r="D1150" s="282"/>
      <c r="E1150" s="512">
        <v>37.002800000000001</v>
      </c>
      <c r="F1150" s="408">
        <f>IFERROR(E1150*'01 Prod Physique Boites'!H1141,"-")</f>
        <v>0</v>
      </c>
      <c r="G1150" s="409">
        <f>IFERROR(E1150*'01 Prod Physique Boites'!L1141,"-")</f>
        <v>0</v>
      </c>
      <c r="H1150" s="393"/>
      <c r="I1150" s="394" t="s">
        <v>209</v>
      </c>
      <c r="J1150" s="395" t="s">
        <v>209</v>
      </c>
    </row>
    <row r="1151" spans="1:10" ht="24" thickBot="1" x14ac:dyDescent="0.35">
      <c r="A1151" s="277" t="s">
        <v>110</v>
      </c>
      <c r="B1151" s="909" t="s">
        <v>46</v>
      </c>
      <c r="C1151" s="910"/>
      <c r="D1151" s="911"/>
      <c r="E1151" s="396"/>
      <c r="F1151" s="412">
        <f t="shared" ref="F1151:G1151" si="762">SUM(F1149:F1150)</f>
        <v>0</v>
      </c>
      <c r="G1151" s="413">
        <f t="shared" si="762"/>
        <v>0</v>
      </c>
      <c r="H1151" s="397"/>
      <c r="I1151" s="412">
        <f t="shared" ref="I1151:J1151" si="763">SUM(I1149:I1150)</f>
        <v>0</v>
      </c>
      <c r="J1151" s="431">
        <f t="shared" si="763"/>
        <v>0</v>
      </c>
    </row>
    <row r="1152" spans="1:10" ht="24" thickBot="1" x14ac:dyDescent="0.35">
      <c r="A1152" s="277" t="s">
        <v>110</v>
      </c>
      <c r="B1152" s="912" t="s">
        <v>25</v>
      </c>
      <c r="C1152" s="913"/>
      <c r="D1152" s="914"/>
      <c r="E1152" s="399"/>
      <c r="F1152" s="416">
        <f t="shared" ref="F1152:G1152" si="764">+F1130+F1135+F1138+F1144+F1148+F1151</f>
        <v>2513707.4879999999</v>
      </c>
      <c r="G1152" s="417">
        <f t="shared" si="764"/>
        <v>18684728.574000001</v>
      </c>
      <c r="H1152" s="400"/>
      <c r="I1152" s="416">
        <f>+I1130+I1135+I1138+I1144+I1148+I1151</f>
        <v>4602086.4000000004</v>
      </c>
      <c r="J1152" s="434">
        <f>+J1130+J1135+J1138+J1144+J1148+J1151</f>
        <v>34100308.799999997</v>
      </c>
    </row>
    <row r="1153" spans="1:10" ht="24" thickBot="1" x14ac:dyDescent="0.35">
      <c r="A1153" s="324" t="s">
        <v>110</v>
      </c>
      <c r="B1153" s="901" t="s">
        <v>182</v>
      </c>
      <c r="C1153" s="901"/>
      <c r="D1153" s="902"/>
      <c r="E1153" s="401"/>
      <c r="F1153" s="418">
        <f t="shared" ref="F1153:G1153" si="765">+F1152</f>
        <v>2513707.4879999999</v>
      </c>
      <c r="G1153" s="419">
        <f t="shared" si="765"/>
        <v>18684728.574000001</v>
      </c>
      <c r="H1153" s="402"/>
      <c r="I1153" s="418">
        <f t="shared" ref="I1153" si="766">+I1152</f>
        <v>4602086.4000000004</v>
      </c>
      <c r="J1153" s="435">
        <f>+J1152</f>
        <v>34100308.799999997</v>
      </c>
    </row>
    <row r="1154" spans="1:10" ht="24.6" thickBot="1" x14ac:dyDescent="0.35">
      <c r="A1154" s="325"/>
      <c r="B1154" s="915" t="s">
        <v>183</v>
      </c>
      <c r="C1154" s="916"/>
      <c r="D1154" s="917"/>
      <c r="E1154" s="407"/>
      <c r="F1154" s="424">
        <f t="shared" ref="F1154:G1154" si="767">+F1099+F1126+F1153</f>
        <v>6355006.6277000001</v>
      </c>
      <c r="G1154" s="424">
        <f t="shared" si="767"/>
        <v>72991229.822099999</v>
      </c>
      <c r="H1154" s="407"/>
      <c r="I1154" s="424">
        <f t="shared" ref="I1154:J1154" si="768">+I1099+I1126+I1153</f>
        <v>9893133.9900000002</v>
      </c>
      <c r="J1154" s="438">
        <f t="shared" si="768"/>
        <v>116849218.95919999</v>
      </c>
    </row>
    <row r="1155" spans="1:10" ht="23.4" x14ac:dyDescent="0.3">
      <c r="A1155" s="935" t="s">
        <v>1</v>
      </c>
      <c r="B1155" s="938" t="s">
        <v>2</v>
      </c>
      <c r="C1155" s="941" t="s">
        <v>3</v>
      </c>
      <c r="D1155" s="941" t="s">
        <v>93</v>
      </c>
      <c r="E1155" s="965" t="s">
        <v>176</v>
      </c>
      <c r="F1155" s="966"/>
      <c r="G1155" s="966"/>
      <c r="H1155" s="451"/>
      <c r="I1155" s="451"/>
      <c r="J1155" s="452"/>
    </row>
    <row r="1156" spans="1:10" ht="23.4" x14ac:dyDescent="0.3">
      <c r="A1156" s="936"/>
      <c r="B1156" s="939"/>
      <c r="C1156" s="942"/>
      <c r="D1156" s="942"/>
      <c r="E1156" s="967" t="s">
        <v>178</v>
      </c>
      <c r="F1156" s="968"/>
      <c r="G1156" s="969"/>
      <c r="H1156" s="967" t="s">
        <v>177</v>
      </c>
      <c r="I1156" s="968"/>
      <c r="J1156" s="969"/>
    </row>
    <row r="1157" spans="1:10" ht="46.8" x14ac:dyDescent="0.3">
      <c r="A1157" s="937"/>
      <c r="B1157" s="963"/>
      <c r="C1157" s="964"/>
      <c r="D1157" s="964"/>
      <c r="E1157" s="385" t="s">
        <v>179</v>
      </c>
      <c r="F1157" s="799" t="s">
        <v>11</v>
      </c>
      <c r="G1157" s="800" t="s">
        <v>12</v>
      </c>
      <c r="H1157" s="970" t="s">
        <v>179</v>
      </c>
      <c r="I1157" s="972" t="s">
        <v>145</v>
      </c>
      <c r="J1157" s="974" t="s">
        <v>12</v>
      </c>
    </row>
    <row r="1158" spans="1:10" ht="24" thickBot="1" x14ac:dyDescent="0.35">
      <c r="A1158" s="937"/>
      <c r="B1158" s="940"/>
      <c r="C1158" s="943"/>
      <c r="D1158" s="943"/>
      <c r="E1158" s="976">
        <v>44516</v>
      </c>
      <c r="F1158" s="977"/>
      <c r="G1158" s="978"/>
      <c r="H1158" s="971"/>
      <c r="I1158" s="973"/>
      <c r="J1158" s="975"/>
    </row>
    <row r="1159" spans="1:10" ht="23.4" x14ac:dyDescent="0.3">
      <c r="A1159" s="271" t="s">
        <v>111</v>
      </c>
      <c r="B1159" s="922" t="s">
        <v>16</v>
      </c>
      <c r="C1159" s="272" t="s">
        <v>186</v>
      </c>
      <c r="D1159" s="272" t="s">
        <v>184</v>
      </c>
      <c r="E1159" s="515">
        <v>81.360699999999994</v>
      </c>
      <c r="F1159" s="408">
        <f>IFERROR(E1159*'01 Prod Physique Boites'!H1149,"-")</f>
        <v>0</v>
      </c>
      <c r="G1159" s="408">
        <f>IFERROR(E1159*'01 Prod Physique Boites'!L1149,"-")</f>
        <v>0</v>
      </c>
      <c r="H1159" s="387">
        <v>0</v>
      </c>
      <c r="I1159" s="425">
        <f>IFERROR(H1159*(F1159/E1159),"-")</f>
        <v>0</v>
      </c>
      <c r="J1159" s="426">
        <f t="shared" ref="J1159:J1161" si="769">IFERROR(H1159*(G1159/E1159),"-")</f>
        <v>0</v>
      </c>
    </row>
    <row r="1160" spans="1:10" ht="23.4" x14ac:dyDescent="0.3">
      <c r="A1160" s="277" t="s">
        <v>111</v>
      </c>
      <c r="B1160" s="923"/>
      <c r="C1160" s="278" t="s">
        <v>190</v>
      </c>
      <c r="D1160" s="278" t="s">
        <v>101</v>
      </c>
      <c r="E1160" s="516">
        <v>81.360699999999994</v>
      </c>
      <c r="F1160" s="408">
        <f>IFERROR(E1160*'01 Prod Physique Boites'!H1150,"-")</f>
        <v>0</v>
      </c>
      <c r="G1160" s="408">
        <f>IFERROR(E1160*'01 Prod Physique Boites'!L1150,"-")</f>
        <v>0</v>
      </c>
      <c r="H1160" s="391">
        <v>0</v>
      </c>
      <c r="I1160" s="425">
        <f>IFERROR(H1160*(F1160/E1160),"-")</f>
        <v>0</v>
      </c>
      <c r="J1160" s="426">
        <f t="shared" si="769"/>
        <v>0</v>
      </c>
    </row>
    <row r="1161" spans="1:10" ht="23.4" x14ac:dyDescent="0.3">
      <c r="A1161" s="277" t="s">
        <v>111</v>
      </c>
      <c r="B1161" s="923"/>
      <c r="C1161" s="278" t="s">
        <v>187</v>
      </c>
      <c r="D1161" s="278" t="s">
        <v>185</v>
      </c>
      <c r="E1161" s="516">
        <v>55.476900000000001</v>
      </c>
      <c r="F1161" s="408">
        <f>IFERROR(E1161*'01 Prod Physique Boites'!H1151,"-")</f>
        <v>0</v>
      </c>
      <c r="G1161" s="408">
        <f>IFERROR(E1161*'01 Prod Physique Boites'!L1151,"-")</f>
        <v>0</v>
      </c>
      <c r="H1161" s="391">
        <v>0</v>
      </c>
      <c r="I1161" s="425">
        <f>IFERROR(H1161*(F1161/E1161),"-")</f>
        <v>0</v>
      </c>
      <c r="J1161" s="426">
        <f t="shared" si="769"/>
        <v>0</v>
      </c>
    </row>
    <row r="1162" spans="1:10" ht="24" thickBot="1" x14ac:dyDescent="0.35">
      <c r="A1162" s="277" t="s">
        <v>111</v>
      </c>
      <c r="B1162" s="924"/>
      <c r="C1162" s="282" t="s">
        <v>289</v>
      </c>
      <c r="D1162" s="282" t="s">
        <v>256</v>
      </c>
      <c r="E1162" s="512">
        <v>60.703499999999998</v>
      </c>
      <c r="F1162" s="408">
        <f>IFERROR(E1162*'01 Prod Physique Boites'!H1152,"-")</f>
        <v>0</v>
      </c>
      <c r="G1162" s="408">
        <f>IFERROR(E1162*'01 Prod Physique Boites'!L1152,"-")</f>
        <v>6278198.784</v>
      </c>
      <c r="H1162" s="393">
        <v>111.0883</v>
      </c>
      <c r="I1162" s="425">
        <f>IFERROR(H1162*(F1162/E1162),"-")</f>
        <v>0</v>
      </c>
      <c r="J1162" s="426">
        <f>IFERROR(H1162*(G1162/E1162),"-")</f>
        <v>11489196.339200001</v>
      </c>
    </row>
    <row r="1163" spans="1:10" ht="24" thickBot="1" x14ac:dyDescent="0.35">
      <c r="A1163" s="277" t="s">
        <v>111</v>
      </c>
      <c r="B1163" s="906" t="s">
        <v>47</v>
      </c>
      <c r="C1163" s="907"/>
      <c r="D1163" s="908"/>
      <c r="E1163" s="396"/>
      <c r="F1163" s="412">
        <f t="shared" ref="F1163" si="770">SUM(F1159:F1162)</f>
        <v>0</v>
      </c>
      <c r="G1163" s="413">
        <f>SUM(G1159:G1162)</f>
        <v>6278198.784</v>
      </c>
      <c r="H1163" s="397"/>
      <c r="I1163" s="412">
        <f t="shared" ref="I1163:J1163" si="771">SUM(I1159:I1162)</f>
        <v>0</v>
      </c>
      <c r="J1163" s="431">
        <f t="shared" si="771"/>
        <v>11489196.339200001</v>
      </c>
    </row>
    <row r="1164" spans="1:10" ht="23.4" x14ac:dyDescent="0.3">
      <c r="A1164" s="277" t="s">
        <v>111</v>
      </c>
      <c r="B1164" s="922" t="s">
        <v>17</v>
      </c>
      <c r="C1164" s="272" t="s">
        <v>331</v>
      </c>
      <c r="D1164" s="272"/>
      <c r="E1164" s="515">
        <v>12.5275</v>
      </c>
      <c r="F1164" s="408">
        <f>IFERROR(E1164*'01 Prod Physique Boites'!H1154,"-")</f>
        <v>0</v>
      </c>
      <c r="G1164" s="408">
        <f>IFERROR(E1164*'01 Prod Physique Boites'!L1154,"-")</f>
        <v>0</v>
      </c>
      <c r="H1164" s="387">
        <v>18.836400000000001</v>
      </c>
      <c r="I1164" s="425">
        <f t="shared" ref="I1164:I1170" si="772">IFERROR(H1164*(F1164/E1164),"-")</f>
        <v>0</v>
      </c>
      <c r="J1164" s="426">
        <f t="shared" ref="J1164:J1169" si="773">IFERROR(H1164*(G1164/E1164),"-")</f>
        <v>0</v>
      </c>
    </row>
    <row r="1165" spans="1:10" ht="23.4" x14ac:dyDescent="0.3">
      <c r="A1165" s="277" t="s">
        <v>111</v>
      </c>
      <c r="B1165" s="923"/>
      <c r="C1165" s="278" t="s">
        <v>421</v>
      </c>
      <c r="D1165" s="278" t="s">
        <v>257</v>
      </c>
      <c r="E1165" s="516">
        <v>13.002700000000001</v>
      </c>
      <c r="F1165" s="408">
        <f>IFERROR(E1165*'01 Prod Physique Boites'!H1155,"-")</f>
        <v>159153.04800000001</v>
      </c>
      <c r="G1165" s="408">
        <f>IFERROR(E1165*'01 Prod Physique Boites'!L1155,"-")</f>
        <v>3531312.2741</v>
      </c>
      <c r="H1165" s="391">
        <v>21.18</v>
      </c>
      <c r="I1165" s="427">
        <f t="shared" si="772"/>
        <v>259243.19999999998</v>
      </c>
      <c r="J1165" s="428">
        <f t="shared" si="773"/>
        <v>5752127.9399999995</v>
      </c>
    </row>
    <row r="1166" spans="1:10" ht="23.4" x14ac:dyDescent="0.3">
      <c r="A1166" s="277" t="s">
        <v>111</v>
      </c>
      <c r="B1166" s="923"/>
      <c r="C1166" s="278" t="s">
        <v>441</v>
      </c>
      <c r="D1166" s="278" t="s">
        <v>205</v>
      </c>
      <c r="E1166" s="516">
        <v>12.9049</v>
      </c>
      <c r="F1166" s="408">
        <f>IFERROR(E1166*'01 Prod Physique Boites'!H1156,"-")</f>
        <v>0</v>
      </c>
      <c r="G1166" s="408">
        <f>IFERROR(E1166*'01 Prod Physique Boites'!L1156,"-")</f>
        <v>0</v>
      </c>
      <c r="H1166" s="391">
        <v>20.6602</v>
      </c>
      <c r="I1166" s="427">
        <f t="shared" si="772"/>
        <v>0</v>
      </c>
      <c r="J1166" s="428">
        <f t="shared" si="773"/>
        <v>0</v>
      </c>
    </row>
    <row r="1167" spans="1:10" ht="23.4" x14ac:dyDescent="0.3">
      <c r="A1167" s="277" t="s">
        <v>111</v>
      </c>
      <c r="B1167" s="923"/>
      <c r="C1167" s="278" t="s">
        <v>330</v>
      </c>
      <c r="D1167" s="278" t="s">
        <v>206</v>
      </c>
      <c r="E1167" s="516">
        <v>13.078200000000001</v>
      </c>
      <c r="F1167" s="408">
        <f>IFERROR(E1167*'01 Prod Physique Boites'!H1157,"-")</f>
        <v>0</v>
      </c>
      <c r="G1167" s="408">
        <f>IFERROR(E1167*'01 Prod Physique Boites'!L1157,"-")</f>
        <v>24011.575200000003</v>
      </c>
      <c r="H1167" s="391">
        <v>20.66</v>
      </c>
      <c r="I1167" s="427">
        <f t="shared" si="772"/>
        <v>0</v>
      </c>
      <c r="J1167" s="428">
        <f t="shared" si="773"/>
        <v>37931.760000000002</v>
      </c>
    </row>
    <row r="1168" spans="1:10" ht="23.4" x14ac:dyDescent="0.3">
      <c r="A1168" s="277" t="s">
        <v>111</v>
      </c>
      <c r="B1168" s="923"/>
      <c r="C1168" s="278" t="s">
        <v>377</v>
      </c>
      <c r="D1168" s="278" t="s">
        <v>371</v>
      </c>
      <c r="E1168" s="516">
        <v>13.1958</v>
      </c>
      <c r="F1168" s="408">
        <f>IFERROR(E1168*'01 Prod Physique Boites'!H1158,"-")</f>
        <v>0</v>
      </c>
      <c r="G1168" s="408">
        <f>IFERROR(E1168*'01 Prod Physique Boites'!L1158,"-")</f>
        <v>140007.43799999999</v>
      </c>
      <c r="H1168" s="391">
        <v>21.28</v>
      </c>
      <c r="I1168" s="427">
        <f t="shared" si="772"/>
        <v>0</v>
      </c>
      <c r="J1168" s="428">
        <f t="shared" si="773"/>
        <v>225780.80000000002</v>
      </c>
    </row>
    <row r="1169" spans="1:10" ht="23.4" x14ac:dyDescent="0.3">
      <c r="A1169" s="277" t="s">
        <v>111</v>
      </c>
      <c r="B1169" s="923"/>
      <c r="C1169" s="278" t="s">
        <v>443</v>
      </c>
      <c r="D1169" s="278" t="s">
        <v>207</v>
      </c>
      <c r="E1169" s="516">
        <v>12.9049</v>
      </c>
      <c r="F1169" s="408">
        <f>IFERROR(E1169*'01 Prod Physique Boites'!H1159,"-")</f>
        <v>0</v>
      </c>
      <c r="G1169" s="408">
        <f>IFERROR(E1169*'01 Prod Physique Boites'!L1159,"-")</f>
        <v>5291525.1959999995</v>
      </c>
      <c r="H1169" s="391">
        <v>20.66</v>
      </c>
      <c r="I1169" s="427">
        <f t="shared" si="772"/>
        <v>0</v>
      </c>
      <c r="J1169" s="428">
        <f t="shared" si="773"/>
        <v>8471426.4000000004</v>
      </c>
    </row>
    <row r="1170" spans="1:10" ht="24" thickBot="1" x14ac:dyDescent="0.35">
      <c r="A1170" s="277" t="s">
        <v>111</v>
      </c>
      <c r="B1170" s="924"/>
      <c r="C1170" s="282" t="s">
        <v>416</v>
      </c>
      <c r="D1170" s="282" t="s">
        <v>189</v>
      </c>
      <c r="E1170" s="512">
        <v>13.6509</v>
      </c>
      <c r="F1170" s="408">
        <f>IFERROR(E1170*'01 Prod Physique Boites'!H1160,"-")</f>
        <v>0</v>
      </c>
      <c r="G1170" s="408">
        <f>IFERROR(E1170*'01 Prod Physique Boites'!L1160,"-")</f>
        <v>1002522.096</v>
      </c>
      <c r="H1170" s="393">
        <v>21.18</v>
      </c>
      <c r="I1170" s="429">
        <f t="shared" si="772"/>
        <v>0</v>
      </c>
      <c r="J1170" s="430">
        <f>IFERROR(H1170*(G1170/E1170),"-")</f>
        <v>1555459.2</v>
      </c>
    </row>
    <row r="1171" spans="1:10" ht="24" thickBot="1" x14ac:dyDescent="0.35">
      <c r="A1171" s="277" t="s">
        <v>111</v>
      </c>
      <c r="B1171" s="906" t="s">
        <v>48</v>
      </c>
      <c r="C1171" s="907"/>
      <c r="D1171" s="908"/>
      <c r="E1171" s="396"/>
      <c r="F1171" s="412">
        <f t="shared" ref="F1171" si="774">SUM(F1164:F1170)</f>
        <v>159153.04800000001</v>
      </c>
      <c r="G1171" s="413">
        <f>SUM(G1164:G1170)</f>
        <v>9989378.5793000013</v>
      </c>
      <c r="H1171" s="397"/>
      <c r="I1171" s="412">
        <f t="shared" ref="I1171" si="775">SUM(I1164:I1170)</f>
        <v>259243.19999999998</v>
      </c>
      <c r="J1171" s="431">
        <f>SUM(J1164:J1170)</f>
        <v>16042726.099999998</v>
      </c>
    </row>
    <row r="1172" spans="1:10" ht="23.4" x14ac:dyDescent="0.3">
      <c r="A1172" s="277" t="s">
        <v>111</v>
      </c>
      <c r="B1172" s="922" t="s">
        <v>18</v>
      </c>
      <c r="C1172" s="272" t="s">
        <v>359</v>
      </c>
      <c r="D1172" s="272" t="s">
        <v>99</v>
      </c>
      <c r="E1172" s="515">
        <v>17.8202</v>
      </c>
      <c r="F1172" s="408">
        <f>IFERROR(E1172*'01 Prod Physique Boites'!H1162,"-")</f>
        <v>0</v>
      </c>
      <c r="G1172" s="409">
        <f>IFERROR(E1172*'01 Prod Physique Boites'!L1162,"-")</f>
        <v>0</v>
      </c>
      <c r="H1172" s="387">
        <v>24.93</v>
      </c>
      <c r="I1172" s="425">
        <f t="shared" ref="I1172:I1178" si="776">IFERROR(H1172*(F1172/E1172),"-")</f>
        <v>0</v>
      </c>
      <c r="J1172" s="426">
        <f t="shared" ref="J1172:J1174" si="777">IFERROR(H1172*(G1172/E1172),"-")</f>
        <v>0</v>
      </c>
    </row>
    <row r="1173" spans="1:10" ht="23.4" x14ac:dyDescent="0.3">
      <c r="A1173" s="277" t="s">
        <v>111</v>
      </c>
      <c r="B1173" s="923"/>
      <c r="C1173" s="278" t="s">
        <v>138</v>
      </c>
      <c r="D1173" s="278"/>
      <c r="E1173" s="516">
        <v>17.8202</v>
      </c>
      <c r="F1173" s="408">
        <f>IFERROR(E1173*'01 Prod Physique Boites'!H1163,"-")</f>
        <v>0</v>
      </c>
      <c r="G1173" s="409">
        <f>IFERROR(E1173*'01 Prod Physique Boites'!L1163,"-")</f>
        <v>0</v>
      </c>
      <c r="H1173" s="391">
        <v>0</v>
      </c>
      <c r="I1173" s="427">
        <f t="shared" si="776"/>
        <v>0</v>
      </c>
      <c r="J1173" s="428">
        <f t="shared" si="777"/>
        <v>0</v>
      </c>
    </row>
    <row r="1174" spans="1:10" ht="23.4" x14ac:dyDescent="0.3">
      <c r="A1174" s="277" t="s">
        <v>111</v>
      </c>
      <c r="B1174" s="923"/>
      <c r="C1174" s="278" t="s">
        <v>123</v>
      </c>
      <c r="D1174" s="278"/>
      <c r="E1174" s="516">
        <v>16.4071</v>
      </c>
      <c r="F1174" s="408">
        <f>IFERROR(E1174*'01 Prod Physique Boites'!H1164,"-")</f>
        <v>0</v>
      </c>
      <c r="G1174" s="409">
        <f>IFERROR(E1174*'01 Prod Physique Boites'!L1164,"-")</f>
        <v>0</v>
      </c>
      <c r="H1174" s="391">
        <v>0</v>
      </c>
      <c r="I1174" s="427">
        <f t="shared" si="776"/>
        <v>0</v>
      </c>
      <c r="J1174" s="428">
        <f t="shared" si="777"/>
        <v>0</v>
      </c>
    </row>
    <row r="1175" spans="1:10" ht="23.4" x14ac:dyDescent="0.3">
      <c r="A1175" s="277" t="s">
        <v>111</v>
      </c>
      <c r="B1175" s="923"/>
      <c r="C1175" s="278" t="s">
        <v>130</v>
      </c>
      <c r="D1175" s="278"/>
      <c r="E1175" s="516">
        <v>17.8202</v>
      </c>
      <c r="F1175" s="408">
        <f>IFERROR(E1175*'01 Prod Physique Boites'!H1165,"-")</f>
        <v>0</v>
      </c>
      <c r="G1175" s="409">
        <f>IFERROR(E1175*'01 Prod Physique Boites'!L1165,"-")</f>
        <v>0</v>
      </c>
      <c r="H1175" s="391"/>
      <c r="I1175" s="427">
        <f t="shared" si="776"/>
        <v>0</v>
      </c>
      <c r="J1175" s="428">
        <f>IFERROR(H1175*(G1175/E1175),"-")</f>
        <v>0</v>
      </c>
    </row>
    <row r="1176" spans="1:10" ht="23.4" x14ac:dyDescent="0.3">
      <c r="A1176" s="277" t="s">
        <v>111</v>
      </c>
      <c r="B1176" s="923"/>
      <c r="C1176" s="278" t="s">
        <v>191</v>
      </c>
      <c r="D1176" s="278" t="s">
        <v>192</v>
      </c>
      <c r="E1176" s="516">
        <v>17.8202</v>
      </c>
      <c r="F1176" s="408">
        <f>IFERROR(E1176*'01 Prod Physique Boites'!H1166,"-")</f>
        <v>0</v>
      </c>
      <c r="G1176" s="409">
        <f>IFERROR(E1176*'01 Prod Physique Boites'!L1166,"-")</f>
        <v>0</v>
      </c>
      <c r="H1176" s="391"/>
      <c r="I1176" s="427">
        <f t="shared" si="776"/>
        <v>0</v>
      </c>
      <c r="J1176" s="428">
        <f t="shared" ref="J1176:J1178" si="778">IFERROR(H1176*(G1176/E1176),"-")</f>
        <v>0</v>
      </c>
    </row>
    <row r="1177" spans="1:10" ht="23.4" x14ac:dyDescent="0.3">
      <c r="A1177" s="277" t="s">
        <v>111</v>
      </c>
      <c r="B1177" s="923"/>
      <c r="C1177" s="278" t="s">
        <v>194</v>
      </c>
      <c r="D1177" s="278" t="s">
        <v>193</v>
      </c>
      <c r="E1177" s="516">
        <v>16.7288</v>
      </c>
      <c r="F1177" s="408">
        <f>IFERROR(E1177*'01 Prod Physique Boites'!H1167,"-")</f>
        <v>0</v>
      </c>
      <c r="G1177" s="409">
        <f>IFERROR(E1177*'01 Prod Physique Boites'!L1167,"-")</f>
        <v>0</v>
      </c>
      <c r="H1177" s="391"/>
      <c r="I1177" s="427">
        <f t="shared" si="776"/>
        <v>0</v>
      </c>
      <c r="J1177" s="428">
        <f t="shared" si="778"/>
        <v>0</v>
      </c>
    </row>
    <row r="1178" spans="1:10" ht="24" thickBot="1" x14ac:dyDescent="0.35">
      <c r="A1178" s="277" t="s">
        <v>111</v>
      </c>
      <c r="B1178" s="924"/>
      <c r="C1178" s="290" t="s">
        <v>195</v>
      </c>
      <c r="D1178" s="290" t="s">
        <v>115</v>
      </c>
      <c r="E1178" s="512">
        <v>17.8202</v>
      </c>
      <c r="F1178" s="408">
        <f>IFERROR(E1178*'01 Prod Physique Boites'!H1168,"-")</f>
        <v>0</v>
      </c>
      <c r="G1178" s="409">
        <f>IFERROR(E1178*'01 Prod Physique Boites'!L1168,"-")</f>
        <v>0</v>
      </c>
      <c r="H1178" s="393"/>
      <c r="I1178" s="429">
        <f t="shared" si="776"/>
        <v>0</v>
      </c>
      <c r="J1178" s="430">
        <f t="shared" si="778"/>
        <v>0</v>
      </c>
    </row>
    <row r="1179" spans="1:10" ht="24" thickBot="1" x14ac:dyDescent="0.35">
      <c r="A1179" s="277" t="s">
        <v>111</v>
      </c>
      <c r="B1179" s="906" t="s">
        <v>29</v>
      </c>
      <c r="C1179" s="907"/>
      <c r="D1179" s="908"/>
      <c r="E1179" s="777"/>
      <c r="F1179" s="778">
        <f t="shared" ref="F1179:G1179" si="779">SUM(F1172:F1178)</f>
        <v>0</v>
      </c>
      <c r="G1179" s="413">
        <f t="shared" si="779"/>
        <v>0</v>
      </c>
      <c r="H1179" s="397"/>
      <c r="I1179" s="412">
        <f t="shared" ref="I1179:J1179" si="780">SUM(I1172:I1178)</f>
        <v>0</v>
      </c>
      <c r="J1179" s="431">
        <f t="shared" si="780"/>
        <v>0</v>
      </c>
    </row>
    <row r="1180" spans="1:10" ht="23.4" x14ac:dyDescent="0.3">
      <c r="A1180" s="277"/>
      <c r="B1180" s="918" t="s">
        <v>19</v>
      </c>
      <c r="C1180" s="779" t="s">
        <v>260</v>
      </c>
      <c r="D1180" s="785" t="s">
        <v>192</v>
      </c>
      <c r="E1180" s="786">
        <v>12.2659</v>
      </c>
      <c r="F1180" s="787">
        <f>IFERROR(E1180*'01 Prod Physique Boites'!H1170,"-")</f>
        <v>0</v>
      </c>
      <c r="G1180" s="788">
        <f>IFERROR(E1180*'01 Prod Physique Boites'!L1170,"-")</f>
        <v>4024662.5762</v>
      </c>
      <c r="H1180" s="782">
        <v>14.79</v>
      </c>
      <c r="I1180" s="703">
        <f t="shared" ref="I1180:I1182" si="781">IFERROR(H1180*(F1180/E1180),"-")</f>
        <v>0</v>
      </c>
      <c r="J1180" s="703">
        <f>IFERROR(H1180*(G1180/E1180),"-")</f>
        <v>4852865.22</v>
      </c>
    </row>
    <row r="1181" spans="1:10" ht="23.4" x14ac:dyDescent="0.3">
      <c r="A1181" s="277"/>
      <c r="B1181" s="919"/>
      <c r="C1181" s="780" t="s">
        <v>458</v>
      </c>
      <c r="D1181" s="789"/>
      <c r="E1181" s="762">
        <v>12.2659</v>
      </c>
      <c r="F1181" s="763">
        <f>IFERROR(E1181*'01 Prod Physique Boites'!H1171,"-")</f>
        <v>725356.26240000001</v>
      </c>
      <c r="G1181" s="663">
        <f>IFERROR(E1181*'01 Prod Physique Boites'!L1171,"-")</f>
        <v>1347090.2016</v>
      </c>
      <c r="H1181" s="783">
        <v>14.79</v>
      </c>
      <c r="I1181" s="763">
        <f t="shared" si="781"/>
        <v>874621.43999999994</v>
      </c>
      <c r="J1181" s="763">
        <f>IFERROR(H1181*(G1181/E1181),"-")</f>
        <v>1624296.96</v>
      </c>
    </row>
    <row r="1182" spans="1:10" ht="24" thickBot="1" x14ac:dyDescent="0.35">
      <c r="A1182" s="801" t="s">
        <v>111</v>
      </c>
      <c r="B1182" s="920"/>
      <c r="C1182" s="781" t="s">
        <v>417</v>
      </c>
      <c r="D1182" s="790"/>
      <c r="E1182" s="791">
        <v>0</v>
      </c>
      <c r="F1182" s="792">
        <f>IFERROR(E1182*'01 Prod Physique Boites'!H1172,"-")</f>
        <v>0</v>
      </c>
      <c r="G1182" s="793">
        <f>IFERROR(E1182*'01 Prod Physique Boites'!L1172,"-")</f>
        <v>0</v>
      </c>
      <c r="H1182" s="784">
        <v>0</v>
      </c>
      <c r="I1182" s="432" t="str">
        <f t="shared" si="781"/>
        <v>-</v>
      </c>
      <c r="J1182" s="433" t="str">
        <f t="shared" ref="J1182" si="782">IFERROR(I1182*(G1182/F1182),"-")</f>
        <v>-</v>
      </c>
    </row>
    <row r="1183" spans="1:10" ht="24" thickBot="1" x14ac:dyDescent="0.35">
      <c r="A1183" s="277" t="s">
        <v>111</v>
      </c>
      <c r="B1183" s="906" t="s">
        <v>49</v>
      </c>
      <c r="C1183" s="907"/>
      <c r="D1183" s="908"/>
      <c r="E1183" s="396"/>
      <c r="F1183" s="412">
        <f>SUM(F1180:F1182)</f>
        <v>725356.26240000001</v>
      </c>
      <c r="G1183" s="412">
        <f>SUM(G1180:G1182)</f>
        <v>5371752.7778000003</v>
      </c>
      <c r="H1183" s="397"/>
      <c r="I1183" s="412">
        <f t="shared" ref="I1183" si="783">SUM(I1182)</f>
        <v>0</v>
      </c>
      <c r="J1183" s="431">
        <f>SUM(J1180:J1182)</f>
        <v>6477162.1799999997</v>
      </c>
    </row>
    <row r="1184" spans="1:10" ht="23.4" x14ac:dyDescent="0.3">
      <c r="A1184" s="277" t="s">
        <v>111</v>
      </c>
      <c r="B1184" s="922" t="s">
        <v>20</v>
      </c>
      <c r="C1184" s="297" t="s">
        <v>370</v>
      </c>
      <c r="D1184" s="297" t="s">
        <v>324</v>
      </c>
      <c r="E1184" s="515">
        <v>26.032900000000001</v>
      </c>
      <c r="F1184" s="408">
        <f>IFERROR(E1184*'01 Prod Physique Boites'!H1174,"-")</f>
        <v>0</v>
      </c>
      <c r="G1184" s="409">
        <f>IFERROR(E1184*'01 Prod Physique Boites'!L1174,"-")</f>
        <v>0</v>
      </c>
      <c r="H1184" s="387">
        <v>36.44</v>
      </c>
      <c r="I1184" s="425">
        <f>IFERROR(H1184*(F1184/E1184),"-")</f>
        <v>0</v>
      </c>
      <c r="J1184" s="426">
        <f t="shared" ref="J1184:J1186" si="784">IFERROR(H1184*(G1184/E1184),"-")</f>
        <v>0</v>
      </c>
    </row>
    <row r="1185" spans="1:10" ht="23.4" x14ac:dyDescent="0.3">
      <c r="A1185" s="277" t="s">
        <v>111</v>
      </c>
      <c r="B1185" s="923"/>
      <c r="C1185" s="298" t="s">
        <v>122</v>
      </c>
      <c r="D1185" s="298"/>
      <c r="E1185" s="390">
        <v>24.2607</v>
      </c>
      <c r="F1185" s="408">
        <f>IFERROR(E1185*'01 Prod Physique Boites'!H1175,"-")</f>
        <v>0</v>
      </c>
      <c r="G1185" s="409">
        <f>IFERROR(E1185*'01 Prod Physique Boites'!L1175,"-")</f>
        <v>0</v>
      </c>
      <c r="H1185" s="391">
        <v>37.369999999999997</v>
      </c>
      <c r="I1185" s="427">
        <f>IFERROR(H1185*(F1185/E1185),"-")</f>
        <v>0</v>
      </c>
      <c r="J1185" s="428">
        <f t="shared" si="784"/>
        <v>0</v>
      </c>
    </row>
    <row r="1186" spans="1:10" ht="24" thickBot="1" x14ac:dyDescent="0.35">
      <c r="A1186" s="277" t="s">
        <v>111</v>
      </c>
      <c r="B1186" s="924"/>
      <c r="C1186" s="299" t="s">
        <v>128</v>
      </c>
      <c r="D1186" s="299"/>
      <c r="E1186" s="392">
        <v>26.035799999999998</v>
      </c>
      <c r="F1186" s="408">
        <f>IFERROR(E1186*'01 Prod Physique Boites'!H1176,"-")</f>
        <v>0</v>
      </c>
      <c r="G1186" s="409">
        <f>IFERROR(E1186*'01 Prod Physique Boites'!L1176,"-")</f>
        <v>0</v>
      </c>
      <c r="H1186" s="393">
        <v>37.11</v>
      </c>
      <c r="I1186" s="429">
        <f>IFERROR(H1186*(F1186/E1186),"-")</f>
        <v>0</v>
      </c>
      <c r="J1186" s="430">
        <f t="shared" si="784"/>
        <v>0</v>
      </c>
    </row>
    <row r="1187" spans="1:10" ht="24" thickBot="1" x14ac:dyDescent="0.35">
      <c r="A1187" s="277" t="s">
        <v>111</v>
      </c>
      <c r="B1187" s="907" t="s">
        <v>50</v>
      </c>
      <c r="C1187" s="907"/>
      <c r="D1187" s="925"/>
      <c r="E1187" s="396"/>
      <c r="F1187" s="412">
        <f t="shared" ref="F1187:G1187" si="785">SUM(F1184:F1186)</f>
        <v>0</v>
      </c>
      <c r="G1187" s="413">
        <f t="shared" si="785"/>
        <v>0</v>
      </c>
      <c r="H1187" s="397"/>
      <c r="I1187" s="412">
        <f t="shared" ref="I1187:J1187" si="786">SUM(I1184:I1186)</f>
        <v>0</v>
      </c>
      <c r="J1187" s="431">
        <f t="shared" si="786"/>
        <v>0</v>
      </c>
    </row>
    <row r="1188" spans="1:10" ht="24" thickBot="1" x14ac:dyDescent="0.35">
      <c r="A1188" s="277" t="s">
        <v>111</v>
      </c>
      <c r="B1188" s="926" t="s">
        <v>21</v>
      </c>
      <c r="C1188" s="927"/>
      <c r="D1188" s="928"/>
      <c r="E1188" s="399"/>
      <c r="F1188" s="416">
        <f>+F1163+F1171+F1179+F1183+F1187</f>
        <v>884509.31040000007</v>
      </c>
      <c r="G1188" s="417">
        <f>+G1163+G1171+G1179+G1183+G1187</f>
        <v>21639330.141100001</v>
      </c>
      <c r="H1188" s="400"/>
      <c r="I1188" s="416">
        <f>+I1163+I1171+I1179+I1183+I1187</f>
        <v>259243.19999999998</v>
      </c>
      <c r="J1188" s="434">
        <f>+J1163+J1171+J1179+J1183+J1187</f>
        <v>34009084.619199999</v>
      </c>
    </row>
    <row r="1189" spans="1:10" ht="23.4" x14ac:dyDescent="0.3">
      <c r="A1189" s="277" t="s">
        <v>111</v>
      </c>
      <c r="B1189" s="922" t="s">
        <v>22</v>
      </c>
      <c r="C1189" s="272" t="s">
        <v>133</v>
      </c>
      <c r="D1189" s="272"/>
      <c r="E1189" s="386">
        <v>22.820599999999999</v>
      </c>
      <c r="F1189" s="408">
        <f>IFERROR(E1189*'01 Prod Physique Boites'!H1179,"-")</f>
        <v>0</v>
      </c>
      <c r="G1189" s="409">
        <f>IFERROR(E1189*'01 Prod Physique Boites'!L1179,"-")</f>
        <v>0</v>
      </c>
      <c r="H1189" s="387">
        <v>27.5</v>
      </c>
      <c r="I1189" s="425">
        <f>IFERROR(H1189*(F1189/E1189),"-")</f>
        <v>0</v>
      </c>
      <c r="J1189" s="426">
        <f t="shared" ref="J1189:J1192" si="787">IFERROR(H1189*(G1189/E1189),"-")</f>
        <v>0</v>
      </c>
    </row>
    <row r="1190" spans="1:10" ht="23.4" x14ac:dyDescent="0.3">
      <c r="A1190" s="277" t="s">
        <v>111</v>
      </c>
      <c r="B1190" s="923"/>
      <c r="C1190" s="301" t="s">
        <v>291</v>
      </c>
      <c r="D1190" s="301" t="s">
        <v>196</v>
      </c>
      <c r="E1190" s="390">
        <v>23.570699999999999</v>
      </c>
      <c r="F1190" s="408">
        <f>IFERROR(E1190*'01 Prod Physique Boites'!H1180,"-")</f>
        <v>0</v>
      </c>
      <c r="G1190" s="409">
        <f>IFERROR(E1190*'01 Prod Physique Boites'!L1180,"-")</f>
        <v>0</v>
      </c>
      <c r="H1190" s="391">
        <v>27.5</v>
      </c>
      <c r="I1190" s="427">
        <f>IFERROR(H1190*(F1190/E1190),"-")</f>
        <v>0</v>
      </c>
      <c r="J1190" s="428">
        <f t="shared" si="787"/>
        <v>0</v>
      </c>
    </row>
    <row r="1191" spans="1:10" ht="23.4" x14ac:dyDescent="0.3">
      <c r="A1191" s="277" t="s">
        <v>111</v>
      </c>
      <c r="B1191" s="923"/>
      <c r="C1191" s="301" t="s">
        <v>198</v>
      </c>
      <c r="D1191" s="301" t="s">
        <v>100</v>
      </c>
      <c r="E1191" s="390">
        <v>22.238499999999998</v>
      </c>
      <c r="F1191" s="408">
        <f>IFERROR(E1191*'01 Prod Physique Boites'!H1181,"-")</f>
        <v>0</v>
      </c>
      <c r="G1191" s="409">
        <f>IFERROR(E1191*'01 Prod Physique Boites'!L1181,"-")</f>
        <v>0</v>
      </c>
      <c r="H1191" s="391">
        <v>24</v>
      </c>
      <c r="I1191" s="427">
        <f>IFERROR(H1191*(F1191/E1191),"-")</f>
        <v>0</v>
      </c>
      <c r="J1191" s="428">
        <f t="shared" si="787"/>
        <v>0</v>
      </c>
    </row>
    <row r="1192" spans="1:10" ht="24" thickBot="1" x14ac:dyDescent="0.35">
      <c r="A1192" s="277" t="s">
        <v>111</v>
      </c>
      <c r="B1192" s="924"/>
      <c r="C1192" s="282" t="s">
        <v>197</v>
      </c>
      <c r="D1192" s="282" t="s">
        <v>100</v>
      </c>
      <c r="E1192" s="392">
        <v>23.5685</v>
      </c>
      <c r="F1192" s="408">
        <f>IFERROR(E1192*'01 Prod Physique Boites'!H1182,"-")</f>
        <v>0</v>
      </c>
      <c r="G1192" s="409">
        <f>IFERROR(E1192*'01 Prod Physique Boites'!L1182,"-")</f>
        <v>0</v>
      </c>
      <c r="H1192" s="393">
        <v>24</v>
      </c>
      <c r="I1192" s="429">
        <f>IFERROR(H1192*(F1192/E1192),"-")</f>
        <v>0</v>
      </c>
      <c r="J1192" s="430">
        <f t="shared" si="787"/>
        <v>0</v>
      </c>
    </row>
    <row r="1193" spans="1:10" ht="24" thickBot="1" x14ac:dyDescent="0.35">
      <c r="A1193" s="277" t="s">
        <v>111</v>
      </c>
      <c r="B1193" s="906" t="s">
        <v>51</v>
      </c>
      <c r="C1193" s="907"/>
      <c r="D1193" s="908"/>
      <c r="E1193" s="396"/>
      <c r="F1193" s="412">
        <f t="shared" ref="F1193:G1193" si="788">SUM(F1189:F1192)</f>
        <v>0</v>
      </c>
      <c r="G1193" s="413">
        <f t="shared" si="788"/>
        <v>0</v>
      </c>
      <c r="H1193" s="397"/>
      <c r="I1193" s="412">
        <f t="shared" ref="I1193:J1193" si="789">SUM(I1189:I1192)</f>
        <v>0</v>
      </c>
      <c r="J1193" s="431">
        <f t="shared" si="789"/>
        <v>0</v>
      </c>
    </row>
    <row r="1194" spans="1:10" ht="23.4" x14ac:dyDescent="0.3">
      <c r="A1194" s="277" t="s">
        <v>111</v>
      </c>
      <c r="B1194" s="922" t="s">
        <v>23</v>
      </c>
      <c r="C1194" s="302" t="s">
        <v>348</v>
      </c>
      <c r="D1194" s="302" t="s">
        <v>263</v>
      </c>
      <c r="E1194" s="386">
        <v>101.4935</v>
      </c>
      <c r="F1194" s="408">
        <f>IFERROR(E1194*'01 Prod Physique Boites'!H1184,"-")</f>
        <v>0</v>
      </c>
      <c r="G1194" s="409">
        <f>IFERROR(E1194*'01 Prod Physique Boites'!L1184,"-")</f>
        <v>0</v>
      </c>
      <c r="H1194" s="391">
        <v>160.44999999999999</v>
      </c>
      <c r="I1194" s="425">
        <f t="shared" ref="I1194:I1201" si="790">IFERROR(H1194*(F1194/E1194),"-")</f>
        <v>0</v>
      </c>
      <c r="J1194" s="426">
        <f t="shared" ref="J1194:J1201" si="791">IFERROR(H1194*(G1194/E1194),"-")</f>
        <v>0</v>
      </c>
    </row>
    <row r="1195" spans="1:10" ht="23.4" x14ac:dyDescent="0.3">
      <c r="A1195" s="277" t="s">
        <v>111</v>
      </c>
      <c r="B1195" s="923"/>
      <c r="C1195" s="278" t="s">
        <v>24</v>
      </c>
      <c r="D1195" s="278" t="s">
        <v>263</v>
      </c>
      <c r="E1195" s="390">
        <v>101.4935</v>
      </c>
      <c r="F1195" s="408">
        <f>IFERROR(E1195*'01 Prod Physique Boites'!H1185,"-")</f>
        <v>1420909</v>
      </c>
      <c r="G1195" s="409">
        <f>IFERROR(E1195*'01 Prod Physique Boites'!L1185,"-")</f>
        <v>6394090.5</v>
      </c>
      <c r="H1195" s="391">
        <v>160.44999999999999</v>
      </c>
      <c r="I1195" s="427">
        <f t="shared" si="790"/>
        <v>2246300</v>
      </c>
      <c r="J1195" s="428">
        <f t="shared" si="791"/>
        <v>10108350</v>
      </c>
    </row>
    <row r="1196" spans="1:10" ht="23.4" x14ac:dyDescent="0.3">
      <c r="A1196" s="277" t="s">
        <v>111</v>
      </c>
      <c r="B1196" s="923"/>
      <c r="C1196" s="278" t="s">
        <v>261</v>
      </c>
      <c r="D1196" s="278" t="s">
        <v>263</v>
      </c>
      <c r="E1196" s="390">
        <v>101.4935</v>
      </c>
      <c r="F1196" s="408">
        <f>IFERROR(E1196*'01 Prod Physique Boites'!H1186,"-")</f>
        <v>0</v>
      </c>
      <c r="G1196" s="409">
        <f>IFERROR(E1196*'01 Prod Physique Boites'!L1186,"-")</f>
        <v>1106380.6435</v>
      </c>
      <c r="H1196" s="391">
        <v>160.44999999999999</v>
      </c>
      <c r="I1196" s="427">
        <f t="shared" si="790"/>
        <v>0</v>
      </c>
      <c r="J1196" s="428">
        <f t="shared" si="791"/>
        <v>1749065.45</v>
      </c>
    </row>
    <row r="1197" spans="1:10" ht="23.4" x14ac:dyDescent="0.3">
      <c r="A1197" s="277" t="s">
        <v>111</v>
      </c>
      <c r="B1197" s="923"/>
      <c r="C1197" s="278" t="s">
        <v>262</v>
      </c>
      <c r="D1197" s="278" t="s">
        <v>263</v>
      </c>
      <c r="E1197" s="390">
        <v>101.4935</v>
      </c>
      <c r="F1197" s="408">
        <f>IFERROR(E1197*'01 Prod Physique Boites'!H1187,"-")</f>
        <v>0</v>
      </c>
      <c r="G1197" s="409">
        <f>IFERROR(E1197*'01 Prod Physique Boites'!L1187,"-")</f>
        <v>772568.522</v>
      </c>
      <c r="H1197" s="391">
        <v>160.44999999999999</v>
      </c>
      <c r="I1197" s="427">
        <f t="shared" si="790"/>
        <v>0</v>
      </c>
      <c r="J1197" s="428">
        <f t="shared" si="791"/>
        <v>1221345.3999999999</v>
      </c>
    </row>
    <row r="1198" spans="1:10" ht="23.4" x14ac:dyDescent="0.3">
      <c r="A1198" s="277" t="s">
        <v>111</v>
      </c>
      <c r="B1198" s="923"/>
      <c r="C1198" s="301" t="s">
        <v>264</v>
      </c>
      <c r="D1198" s="278" t="s">
        <v>263</v>
      </c>
      <c r="E1198" s="390">
        <v>101.4935</v>
      </c>
      <c r="F1198" s="408">
        <f>IFERROR(E1198*'01 Prod Physique Boites'!H1188,"-")</f>
        <v>0</v>
      </c>
      <c r="G1198" s="409">
        <f>IFERROR(E1198*'01 Prod Physique Boites'!L1188,"-")</f>
        <v>0</v>
      </c>
      <c r="H1198" s="391">
        <v>160.44999999999999</v>
      </c>
      <c r="I1198" s="427">
        <f t="shared" si="790"/>
        <v>0</v>
      </c>
      <c r="J1198" s="428">
        <f t="shared" si="791"/>
        <v>0</v>
      </c>
    </row>
    <row r="1199" spans="1:10" ht="23.4" x14ac:dyDescent="0.3">
      <c r="A1199" s="277" t="s">
        <v>111</v>
      </c>
      <c r="B1199" s="923"/>
      <c r="C1199" s="301" t="s">
        <v>265</v>
      </c>
      <c r="D1199" s="278" t="s">
        <v>263</v>
      </c>
      <c r="E1199" s="390">
        <v>101.4935</v>
      </c>
      <c r="F1199" s="408">
        <f>IFERROR(E1199*'01 Prod Physique Boites'!H1189,"-")</f>
        <v>0</v>
      </c>
      <c r="G1199" s="409">
        <f>IFERROR(E1199*'01 Prod Physique Boites'!L1189,"-")</f>
        <v>0</v>
      </c>
      <c r="H1199" s="391">
        <v>160.44999999999999</v>
      </c>
      <c r="I1199" s="427">
        <f t="shared" si="790"/>
        <v>0</v>
      </c>
      <c r="J1199" s="428">
        <f t="shared" si="791"/>
        <v>0</v>
      </c>
    </row>
    <row r="1200" spans="1:10" ht="23.4" x14ac:dyDescent="0.3">
      <c r="A1200" s="277" t="s">
        <v>111</v>
      </c>
      <c r="B1200" s="923"/>
      <c r="C1200" s="301" t="s">
        <v>266</v>
      </c>
      <c r="D1200" s="278" t="s">
        <v>268</v>
      </c>
      <c r="E1200" s="390">
        <v>101.4935</v>
      </c>
      <c r="F1200" s="408">
        <f>IFERROR(E1200*'01 Prod Physique Boites'!H1190,"-")</f>
        <v>0</v>
      </c>
      <c r="G1200" s="409">
        <f>IFERROR(E1200*'01 Prod Physique Boites'!L1190,"-")</f>
        <v>1057257.7895</v>
      </c>
      <c r="H1200" s="391">
        <v>160.44999999999999</v>
      </c>
      <c r="I1200" s="427">
        <f t="shared" si="790"/>
        <v>0</v>
      </c>
      <c r="J1200" s="428">
        <f t="shared" si="791"/>
        <v>1671407.65</v>
      </c>
    </row>
    <row r="1201" spans="1:10" ht="24" thickBot="1" x14ac:dyDescent="0.35">
      <c r="A1201" s="277" t="s">
        <v>111</v>
      </c>
      <c r="B1201" s="924"/>
      <c r="C1201" s="301" t="s">
        <v>267</v>
      </c>
      <c r="D1201" s="278" t="s">
        <v>263</v>
      </c>
      <c r="E1201" s="392">
        <v>101.4935</v>
      </c>
      <c r="F1201" s="408">
        <f>IFERROR(E1201*'01 Prod Physique Boites'!H1191,"-")</f>
        <v>0</v>
      </c>
      <c r="G1201" s="409">
        <f>IFERROR(E1201*'01 Prod Physique Boites'!L1191,"-")</f>
        <v>1420909</v>
      </c>
      <c r="H1201" s="391">
        <v>160.44999999999999</v>
      </c>
      <c r="I1201" s="429">
        <f t="shared" si="790"/>
        <v>0</v>
      </c>
      <c r="J1201" s="430">
        <f t="shared" si="791"/>
        <v>2246300</v>
      </c>
    </row>
    <row r="1202" spans="1:10" ht="24" thickBot="1" x14ac:dyDescent="0.35">
      <c r="A1202" s="277" t="s">
        <v>111</v>
      </c>
      <c r="B1202" s="906" t="s">
        <v>52</v>
      </c>
      <c r="C1202" s="907"/>
      <c r="D1202" s="908"/>
      <c r="E1202" s="396"/>
      <c r="F1202" s="412">
        <f t="shared" ref="F1202:G1202" si="792">SUM(F1194:F1201)</f>
        <v>1420909</v>
      </c>
      <c r="G1202" s="413">
        <f t="shared" si="792"/>
        <v>10751206.455</v>
      </c>
      <c r="H1202" s="397"/>
      <c r="I1202" s="412">
        <f t="shared" ref="I1202:J1202" si="793">SUM(I1194:I1201)</f>
        <v>2246300</v>
      </c>
      <c r="J1202" s="431">
        <f t="shared" si="793"/>
        <v>16996468.5</v>
      </c>
    </row>
    <row r="1203" spans="1:10" ht="24" thickBot="1" x14ac:dyDescent="0.35">
      <c r="A1203" s="277" t="s">
        <v>111</v>
      </c>
      <c r="B1203" s="926" t="s">
        <v>25</v>
      </c>
      <c r="C1203" s="927"/>
      <c r="D1203" s="928"/>
      <c r="E1203" s="399"/>
      <c r="F1203" s="416">
        <f t="shared" ref="F1203:G1203" si="794">+F1193+F1202</f>
        <v>1420909</v>
      </c>
      <c r="G1203" s="417">
        <f t="shared" si="794"/>
        <v>10751206.455</v>
      </c>
      <c r="H1203" s="400"/>
      <c r="I1203" s="416">
        <f t="shared" ref="I1203:J1203" si="795">+I1193+I1202</f>
        <v>2246300</v>
      </c>
      <c r="J1203" s="434">
        <f t="shared" si="795"/>
        <v>16996468.5</v>
      </c>
    </row>
    <row r="1204" spans="1:10" ht="24" thickBot="1" x14ac:dyDescent="0.35">
      <c r="A1204" s="277" t="s">
        <v>111</v>
      </c>
      <c r="B1204" s="900" t="s">
        <v>181</v>
      </c>
      <c r="C1204" s="901"/>
      <c r="D1204" s="902"/>
      <c r="E1204" s="401"/>
      <c r="F1204" s="418">
        <f t="shared" ref="F1204:G1204" si="796">+F1188+F1203</f>
        <v>2305418.3103999998</v>
      </c>
      <c r="G1204" s="419">
        <f t="shared" si="796"/>
        <v>32390536.596100003</v>
      </c>
      <c r="H1204" s="402"/>
      <c r="I1204" s="418">
        <f t="shared" ref="I1204:J1204" si="797">+I1188+I1203</f>
        <v>2505543.2000000002</v>
      </c>
      <c r="J1204" s="435">
        <f t="shared" si="797"/>
        <v>51005553.119199999</v>
      </c>
    </row>
    <row r="1205" spans="1:10" ht="23.4" x14ac:dyDescent="0.3">
      <c r="A1205" s="271" t="s">
        <v>109</v>
      </c>
      <c r="B1205" s="929" t="s">
        <v>26</v>
      </c>
      <c r="C1205" s="303" t="s">
        <v>334</v>
      </c>
      <c r="D1205" s="305" t="s">
        <v>192</v>
      </c>
      <c r="E1205" s="515">
        <v>13.1272</v>
      </c>
      <c r="F1205" s="408">
        <f>IFERROR(E1205*'01 Prod Physique Boites'!H1195,"-")</f>
        <v>0</v>
      </c>
      <c r="G1205" s="409">
        <f>IFERROR(E1205*'01 Prod Physique Boites'!L1195,"-")</f>
        <v>4229820.1295999996</v>
      </c>
      <c r="H1205" s="387">
        <v>20.76</v>
      </c>
      <c r="I1205" s="425">
        <f t="shared" ref="I1205:I1213" si="798">IFERROR(H1205*(F1205/E1205),"-")</f>
        <v>0</v>
      </c>
      <c r="J1205" s="662">
        <f t="shared" ref="J1205:J1213" si="799">IFERROR(H1205*(G1205/E1205),"-")</f>
        <v>6689245.6799999997</v>
      </c>
    </row>
    <row r="1206" spans="1:10" ht="23.4" x14ac:dyDescent="0.3">
      <c r="A1206" s="277" t="s">
        <v>109</v>
      </c>
      <c r="B1206" s="929"/>
      <c r="C1206" s="304" t="s">
        <v>199</v>
      </c>
      <c r="D1206" s="304" t="s">
        <v>115</v>
      </c>
      <c r="E1206" s="516">
        <v>14.608000000000001</v>
      </c>
      <c r="F1206" s="408">
        <f>IFERROR(E1206*'01 Prod Physique Boites'!H1196,"-")</f>
        <v>0</v>
      </c>
      <c r="G1206" s="409">
        <f>IFERROR(E1206*'01 Prod Physique Boites'!L1196,"-")</f>
        <v>0</v>
      </c>
      <c r="H1206" s="391">
        <v>24.93</v>
      </c>
      <c r="I1206" s="427">
        <f t="shared" si="798"/>
        <v>0</v>
      </c>
      <c r="J1206" s="663">
        <f t="shared" si="799"/>
        <v>0</v>
      </c>
    </row>
    <row r="1207" spans="1:10" ht="23.4" x14ac:dyDescent="0.3">
      <c r="A1207" s="277" t="s">
        <v>109</v>
      </c>
      <c r="B1207" s="929"/>
      <c r="C1207" s="305" t="s">
        <v>27</v>
      </c>
      <c r="D1207" s="305" t="s">
        <v>310</v>
      </c>
      <c r="E1207" s="512">
        <v>17.8202</v>
      </c>
      <c r="F1207" s="408">
        <f>IFERROR(E1207*'01 Prod Physique Boites'!H1197,"-")</f>
        <v>0</v>
      </c>
      <c r="G1207" s="409">
        <f>IFERROR(E1207*'01 Prod Physique Boites'!L1197,"-")</f>
        <v>0</v>
      </c>
      <c r="H1207" s="391">
        <v>24.93</v>
      </c>
      <c r="I1207" s="427">
        <f t="shared" si="798"/>
        <v>0</v>
      </c>
      <c r="J1207" s="663">
        <f t="shared" si="799"/>
        <v>0</v>
      </c>
    </row>
    <row r="1208" spans="1:10" ht="23.4" x14ac:dyDescent="0.3">
      <c r="A1208" s="277" t="s">
        <v>109</v>
      </c>
      <c r="B1208" s="929"/>
      <c r="C1208" s="305" t="s">
        <v>27</v>
      </c>
      <c r="D1208" s="305" t="s">
        <v>311</v>
      </c>
      <c r="E1208" s="512">
        <v>17.8202</v>
      </c>
      <c r="F1208" s="408">
        <f>IFERROR(E1208*'01 Prod Physique Boites'!H1198,"-")</f>
        <v>0</v>
      </c>
      <c r="G1208" s="409">
        <f>IFERROR(E1208*'01 Prod Physique Boites'!L1198,"-")</f>
        <v>0</v>
      </c>
      <c r="H1208" s="391">
        <v>24.93</v>
      </c>
      <c r="I1208" s="427">
        <f t="shared" si="798"/>
        <v>0</v>
      </c>
      <c r="J1208" s="663">
        <f t="shared" si="799"/>
        <v>0</v>
      </c>
    </row>
    <row r="1209" spans="1:10" ht="23.4" x14ac:dyDescent="0.3">
      <c r="A1209" s="277" t="s">
        <v>109</v>
      </c>
      <c r="B1209" s="929"/>
      <c r="C1209" s="305" t="s">
        <v>325</v>
      </c>
      <c r="D1209" s="305" t="s">
        <v>324</v>
      </c>
      <c r="E1209" s="512">
        <v>14.608000000000001</v>
      </c>
      <c r="F1209" s="408">
        <f>IFERROR(E1209*'01 Prod Physique Boites'!H1199,"-")</f>
        <v>0</v>
      </c>
      <c r="G1209" s="409">
        <f>IFERROR(E1209*'01 Prod Physique Boites'!L1199,"-")</f>
        <v>0</v>
      </c>
      <c r="H1209" s="391">
        <v>24.93</v>
      </c>
      <c r="I1209" s="427">
        <f t="shared" si="798"/>
        <v>0</v>
      </c>
      <c r="J1209" s="663">
        <f t="shared" si="799"/>
        <v>0</v>
      </c>
    </row>
    <row r="1210" spans="1:10" ht="23.4" x14ac:dyDescent="0.3">
      <c r="A1210" s="277"/>
      <c r="B1210" s="929"/>
      <c r="C1210" s="305" t="s">
        <v>393</v>
      </c>
      <c r="D1210" s="305" t="s">
        <v>192</v>
      </c>
      <c r="E1210" s="512">
        <v>17.8202</v>
      </c>
      <c r="F1210" s="408">
        <f>IFERROR(E1210*'01 Prod Physique Boites'!H1200,"-")</f>
        <v>0</v>
      </c>
      <c r="G1210" s="409">
        <f>IFERROR(E1210*'01 Prod Physique Boites'!L1200,"-")</f>
        <v>0</v>
      </c>
      <c r="H1210" s="393">
        <v>21.22</v>
      </c>
      <c r="I1210" s="427">
        <f t="shared" si="798"/>
        <v>0</v>
      </c>
      <c r="J1210" s="664">
        <f t="shared" si="799"/>
        <v>0</v>
      </c>
    </row>
    <row r="1211" spans="1:10" ht="23.4" x14ac:dyDescent="0.3">
      <c r="A1211" s="277"/>
      <c r="B1211" s="929"/>
      <c r="C1211" s="305" t="s">
        <v>325</v>
      </c>
      <c r="D1211" s="305" t="s">
        <v>101</v>
      </c>
      <c r="E1211" s="512">
        <v>14.608000000000001</v>
      </c>
      <c r="F1211" s="408">
        <f>IFERROR(E1211*'01 Prod Physique Boites'!H1201,"-")</f>
        <v>0</v>
      </c>
      <c r="G1211" s="409">
        <f>IFERROR(E1211*'01 Prod Physique Boites'!L1201,"-")</f>
        <v>58110.624000000003</v>
      </c>
      <c r="H1211" s="393">
        <v>24.93</v>
      </c>
      <c r="I1211" s="429">
        <f t="shared" si="798"/>
        <v>0</v>
      </c>
      <c r="J1211" s="664">
        <f t="shared" si="799"/>
        <v>99171.54</v>
      </c>
    </row>
    <row r="1212" spans="1:10" ht="23.4" x14ac:dyDescent="0.3">
      <c r="A1212" s="277"/>
      <c r="B1212" s="929"/>
      <c r="C1212" s="305" t="s">
        <v>325</v>
      </c>
      <c r="D1212" s="305" t="s">
        <v>394</v>
      </c>
      <c r="E1212" s="512">
        <v>14.608000000000001</v>
      </c>
      <c r="F1212" s="408">
        <f>IFERROR(E1212*'01 Prod Physique Boites'!H1202,"-")</f>
        <v>464884.99200000003</v>
      </c>
      <c r="G1212" s="409">
        <f>IFERROR(E1212*'01 Prod Physique Boites'!L1202,"-")</f>
        <v>9878806.0800000001</v>
      </c>
      <c r="H1212" s="393">
        <v>21.22</v>
      </c>
      <c r="I1212" s="429">
        <f t="shared" si="798"/>
        <v>675305.27999999991</v>
      </c>
      <c r="J1212" s="664">
        <f t="shared" si="799"/>
        <v>14350237.199999999</v>
      </c>
    </row>
    <row r="1213" spans="1:10" ht="24" thickBot="1" x14ac:dyDescent="0.35">
      <c r="A1213" s="277" t="s">
        <v>109</v>
      </c>
      <c r="B1213" s="929"/>
      <c r="C1213" s="306" t="s">
        <v>326</v>
      </c>
      <c r="D1213" s="305" t="s">
        <v>324</v>
      </c>
      <c r="E1213" s="512">
        <v>12.6997</v>
      </c>
      <c r="F1213" s="408">
        <f>IFERROR(E1213*'01 Prod Physique Boites'!H1203,"-")</f>
        <v>0</v>
      </c>
      <c r="G1213" s="409">
        <f>IFERROR(E1213*'01 Prod Physique Boites'!L1203,"-")</f>
        <v>101038.8132</v>
      </c>
      <c r="H1213" s="393">
        <v>13.25</v>
      </c>
      <c r="I1213" s="429">
        <f t="shared" si="798"/>
        <v>0</v>
      </c>
      <c r="J1213" s="664">
        <f t="shared" si="799"/>
        <v>105417</v>
      </c>
    </row>
    <row r="1214" spans="1:10" ht="24" thickBot="1" x14ac:dyDescent="0.35">
      <c r="A1214" s="277" t="s">
        <v>109</v>
      </c>
      <c r="B1214" s="930"/>
      <c r="C1214" s="307"/>
      <c r="D1214" s="308" t="s">
        <v>55</v>
      </c>
      <c r="E1214" s="396"/>
      <c r="F1214" s="412">
        <f>SUM(F1205:F1213)</f>
        <v>464884.99200000003</v>
      </c>
      <c r="G1214" s="413">
        <f t="shared" ref="G1214" si="800">SUM(G1205:G1213)</f>
        <v>14267775.6468</v>
      </c>
      <c r="H1214" s="397"/>
      <c r="I1214" s="412">
        <f t="shared" ref="I1214" si="801">SUM(I1205:I1213)</f>
        <v>675305.27999999991</v>
      </c>
      <c r="J1214" s="431">
        <f>SUM(J1205:J1213)</f>
        <v>21244071.419999998</v>
      </c>
    </row>
    <row r="1215" spans="1:10" ht="23.4" x14ac:dyDescent="0.3">
      <c r="A1215" s="277" t="s">
        <v>109</v>
      </c>
      <c r="B1215" s="931" t="s">
        <v>28</v>
      </c>
      <c r="C1215" s="303" t="s">
        <v>27</v>
      </c>
      <c r="D1215" s="303" t="s">
        <v>193</v>
      </c>
      <c r="E1215" s="515">
        <v>12.6997</v>
      </c>
      <c r="F1215" s="408">
        <f>IFERROR(E1215*'01 Prod Physique Boites'!H1205,"-")</f>
        <v>0</v>
      </c>
      <c r="G1215" s="409">
        <f>IFERROR(E1215*'01 Prod Physique Boites'!L1205,"-")</f>
        <v>0</v>
      </c>
      <c r="H1215" s="387">
        <v>13.25</v>
      </c>
      <c r="I1215" s="425">
        <f>IFERROR(H1215*(F1215/E1215),"-")</f>
        <v>0</v>
      </c>
      <c r="J1215" s="662">
        <f t="shared" ref="J1215:J1217" si="802">IFERROR(H1215*(G1215/E1215),"-")</f>
        <v>0</v>
      </c>
    </row>
    <row r="1216" spans="1:10" ht="23.4" x14ac:dyDescent="0.3">
      <c r="A1216" s="277" t="s">
        <v>109</v>
      </c>
      <c r="B1216" s="929"/>
      <c r="C1216" s="305" t="s">
        <v>27</v>
      </c>
      <c r="D1216" s="305" t="s">
        <v>311</v>
      </c>
      <c r="E1216" s="512">
        <v>17.8202</v>
      </c>
      <c r="F1216" s="408">
        <f>IFERROR(E1216*'01 Prod Physique Boites'!H1206,"-")</f>
        <v>0</v>
      </c>
      <c r="G1216" s="409">
        <f>IFERROR(E1216*'01 Prod Physique Boites'!L1206,"-")</f>
        <v>0</v>
      </c>
      <c r="H1216" s="391">
        <v>24.93</v>
      </c>
      <c r="I1216" s="427">
        <f>IFERROR(H1216*(F1216/E1216),"-")</f>
        <v>0</v>
      </c>
      <c r="J1216" s="663">
        <f t="shared" si="802"/>
        <v>0</v>
      </c>
    </row>
    <row r="1217" spans="1:10" ht="24" thickBot="1" x14ac:dyDescent="0.35">
      <c r="A1217" s="277" t="s">
        <v>109</v>
      </c>
      <c r="B1217" s="929"/>
      <c r="C1217" s="305" t="s">
        <v>27</v>
      </c>
      <c r="D1217" s="306" t="s">
        <v>259</v>
      </c>
      <c r="E1217" s="512">
        <v>17.8202</v>
      </c>
      <c r="F1217" s="408">
        <f>IFERROR(E1217*'01 Prod Physique Boites'!H1207,"-")</f>
        <v>1205108.8452000001</v>
      </c>
      <c r="G1217" s="409">
        <f>IFERROR(E1217*'01 Prod Physique Boites'!L1207,"-")</f>
        <v>1275997.6007999999</v>
      </c>
      <c r="H1217" s="391">
        <v>24.93</v>
      </c>
      <c r="I1217" s="429">
        <f>IFERROR(H1217*(F1217/E1217),"-")</f>
        <v>1685916.18</v>
      </c>
      <c r="J1217" s="664">
        <f t="shared" si="802"/>
        <v>1785087.72</v>
      </c>
    </row>
    <row r="1218" spans="1:10" ht="24" thickBot="1" x14ac:dyDescent="0.35">
      <c r="A1218" s="277" t="s">
        <v>109</v>
      </c>
      <c r="B1218" s="929"/>
      <c r="C1218" s="310"/>
      <c r="D1218" s="311" t="s">
        <v>55</v>
      </c>
      <c r="E1218" s="403"/>
      <c r="F1218" s="420">
        <f t="shared" ref="F1218:G1218" si="803">SUM(F1215:F1217)</f>
        <v>1205108.8452000001</v>
      </c>
      <c r="G1218" s="421">
        <f t="shared" si="803"/>
        <v>1275997.6007999999</v>
      </c>
      <c r="H1218" s="404"/>
      <c r="I1218" s="420">
        <f t="shared" ref="I1218:J1218" si="804">SUM(I1215:I1217)</f>
        <v>1685916.18</v>
      </c>
      <c r="J1218" s="436">
        <f t="shared" si="804"/>
        <v>1785087.72</v>
      </c>
    </row>
    <row r="1219" spans="1:10" ht="24" thickBot="1" x14ac:dyDescent="0.35">
      <c r="A1219" s="801" t="s">
        <v>109</v>
      </c>
      <c r="B1219" s="932" t="s">
        <v>171</v>
      </c>
      <c r="C1219" s="933"/>
      <c r="D1219" s="934"/>
      <c r="E1219" s="405"/>
      <c r="F1219" s="422">
        <f t="shared" ref="F1219:G1219" si="805">+F1214+F1218</f>
        <v>1669993.8372000002</v>
      </c>
      <c r="G1219" s="423">
        <f t="shared" si="805"/>
        <v>15543773.2476</v>
      </c>
      <c r="H1219" s="406"/>
      <c r="I1219" s="422">
        <f t="shared" ref="I1219:J1219" si="806">+I1214+I1218</f>
        <v>2361221.46</v>
      </c>
      <c r="J1219" s="437">
        <f t="shared" si="806"/>
        <v>23029159.139999997</v>
      </c>
    </row>
    <row r="1220" spans="1:10" ht="23.4" x14ac:dyDescent="0.3">
      <c r="A1220" s="277" t="s">
        <v>109</v>
      </c>
      <c r="B1220" s="929" t="s">
        <v>30</v>
      </c>
      <c r="C1220" s="309" t="s">
        <v>375</v>
      </c>
      <c r="D1220" s="303" t="s">
        <v>193</v>
      </c>
      <c r="E1220" s="515">
        <v>15.2788</v>
      </c>
      <c r="F1220" s="408">
        <f>IFERROR(E1220*'01 Prod Physique Boites'!H1210,"-")</f>
        <v>0</v>
      </c>
      <c r="G1220" s="409">
        <f>IFERROR(E1220*'01 Prod Physique Boites'!L1210,"-")</f>
        <v>0</v>
      </c>
      <c r="H1220" s="387">
        <v>23.65</v>
      </c>
      <c r="I1220" s="425">
        <f>IFERROR(H1220*(F1220/E1220),"-")</f>
        <v>0</v>
      </c>
      <c r="J1220" s="426">
        <f t="shared" ref="J1220:J1222" si="807">IFERROR(H1220*(G1220/E1220),"-")</f>
        <v>0</v>
      </c>
    </row>
    <row r="1221" spans="1:10" ht="23.4" x14ac:dyDescent="0.3">
      <c r="A1221" s="277" t="s">
        <v>109</v>
      </c>
      <c r="B1221" s="929"/>
      <c r="C1221" s="309" t="s">
        <v>368</v>
      </c>
      <c r="D1221" s="309" t="s">
        <v>324</v>
      </c>
      <c r="E1221" s="516">
        <v>22.6356</v>
      </c>
      <c r="F1221" s="408">
        <f>IFERROR(E1221*'01 Prod Physique Boites'!H1211,"-")</f>
        <v>0</v>
      </c>
      <c r="G1221" s="409">
        <f>IFERROR(E1221*'01 Prod Physique Boites'!L1211,"-")</f>
        <v>0</v>
      </c>
      <c r="H1221" s="391">
        <v>34.26</v>
      </c>
      <c r="I1221" s="427">
        <f>IFERROR(H1221*(F1221/E1221),"-")</f>
        <v>0</v>
      </c>
      <c r="J1221" s="428">
        <f t="shared" si="807"/>
        <v>0</v>
      </c>
    </row>
    <row r="1222" spans="1:10" ht="24" thickBot="1" x14ac:dyDescent="0.35">
      <c r="A1222" s="277" t="s">
        <v>109</v>
      </c>
      <c r="B1222" s="929"/>
      <c r="C1222" s="306" t="s">
        <v>327</v>
      </c>
      <c r="D1222" s="306"/>
      <c r="E1222" s="512">
        <v>25.751300000000001</v>
      </c>
      <c r="F1222" s="408">
        <f>IFERROR(E1222*'01 Prod Physique Boites'!H1212,"-")</f>
        <v>0</v>
      </c>
      <c r="G1222" s="409">
        <f>IFERROR(E1222*'01 Prod Physique Boites'!L1212,"-")</f>
        <v>0</v>
      </c>
      <c r="H1222" s="393">
        <v>37.89</v>
      </c>
      <c r="I1222" s="429">
        <f>IFERROR(H1222*(F1222/E1222),"-")</f>
        <v>0</v>
      </c>
      <c r="J1222" s="430">
        <f t="shared" si="807"/>
        <v>0</v>
      </c>
    </row>
    <row r="1223" spans="1:10" ht="24" thickBot="1" x14ac:dyDescent="0.35">
      <c r="A1223" s="277" t="s">
        <v>109</v>
      </c>
      <c r="B1223" s="929"/>
      <c r="C1223" s="307"/>
      <c r="D1223" s="308" t="s">
        <v>53</v>
      </c>
      <c r="E1223" s="396"/>
      <c r="F1223" s="412">
        <f t="shared" ref="F1223:G1223" si="808">SUM(F1220:F1222)</f>
        <v>0</v>
      </c>
      <c r="G1223" s="413">
        <f t="shared" si="808"/>
        <v>0</v>
      </c>
      <c r="H1223" s="397"/>
      <c r="I1223" s="412">
        <f t="shared" ref="I1223" si="809">SUM(I1220:I1222)</f>
        <v>0</v>
      </c>
      <c r="J1223" s="431">
        <f>SUM(J1220:J1222)</f>
        <v>0</v>
      </c>
    </row>
    <row r="1224" spans="1:10" ht="23.4" x14ac:dyDescent="0.3">
      <c r="A1224" s="277" t="s">
        <v>109</v>
      </c>
      <c r="B1224" s="929"/>
      <c r="C1224" s="303" t="s">
        <v>352</v>
      </c>
      <c r="D1224" s="303"/>
      <c r="E1224" s="515">
        <v>22.094999999999999</v>
      </c>
      <c r="F1224" s="408">
        <f>IFERROR(E1224*'01 Prod Physique Boites'!H1214,"-")</f>
        <v>0</v>
      </c>
      <c r="G1224" s="409">
        <f>IFERROR(E1224*'01 Prod Physique Boites'!L1214,"-")</f>
        <v>0</v>
      </c>
      <c r="H1224" s="387">
        <v>37.11</v>
      </c>
      <c r="I1224" s="425">
        <f>IFERROR(H1224*(F1224/E1224),"-")</f>
        <v>0</v>
      </c>
      <c r="J1224" s="426">
        <f t="shared" ref="J1224:J1226" si="810">IFERROR(H1224*(G1224/E1224),"-")</f>
        <v>0</v>
      </c>
    </row>
    <row r="1225" spans="1:10" ht="23.4" x14ac:dyDescent="0.3">
      <c r="A1225" s="277" t="s">
        <v>109</v>
      </c>
      <c r="B1225" s="929"/>
      <c r="C1225" s="309" t="s">
        <v>397</v>
      </c>
      <c r="D1225" s="309" t="s">
        <v>259</v>
      </c>
      <c r="E1225" s="516">
        <v>27.917000000000002</v>
      </c>
      <c r="F1225" s="408">
        <f>IFERROR(E1225*'01 Prod Physique Boites'!H1215,"-")</f>
        <v>0</v>
      </c>
      <c r="G1225" s="409">
        <f>IFERROR(E1225*'01 Prod Physique Boites'!L1215,"-")</f>
        <v>10347603.552000001</v>
      </c>
      <c r="H1225" s="391">
        <v>39</v>
      </c>
      <c r="I1225" s="427">
        <f>IFERROR(H1225*(F1225/E1225),"-")</f>
        <v>0</v>
      </c>
      <c r="J1225" s="428">
        <f t="shared" si="810"/>
        <v>14455584</v>
      </c>
    </row>
    <row r="1226" spans="1:10" ht="24" thickBot="1" x14ac:dyDescent="0.35">
      <c r="A1226" s="277" t="s">
        <v>109</v>
      </c>
      <c r="B1226" s="929"/>
      <c r="C1226" s="306" t="s">
        <v>146</v>
      </c>
      <c r="D1226" s="306"/>
      <c r="E1226" s="512">
        <v>25.4041</v>
      </c>
      <c r="F1226" s="408">
        <f>IFERROR(E1226*'01 Prod Physique Boites'!H1216,"-")</f>
        <v>0</v>
      </c>
      <c r="G1226" s="409">
        <f>IFERROR(E1226*'01 Prod Physique Boites'!L1216,"-")</f>
        <v>0</v>
      </c>
      <c r="H1226" s="393">
        <v>28.21</v>
      </c>
      <c r="I1226" s="429">
        <f>IFERROR(H1226*(F1226/E1226),"-")</f>
        <v>0</v>
      </c>
      <c r="J1226" s="430">
        <f t="shared" si="810"/>
        <v>0</v>
      </c>
    </row>
    <row r="1227" spans="1:10" ht="24" thickBot="1" x14ac:dyDescent="0.35">
      <c r="A1227" s="277" t="s">
        <v>109</v>
      </c>
      <c r="B1227" s="929"/>
      <c r="C1227" s="310"/>
      <c r="D1227" s="311" t="s">
        <v>54</v>
      </c>
      <c r="E1227" s="403"/>
      <c r="F1227" s="420">
        <f t="shared" ref="F1227:G1227" si="811">SUM(F1224:F1226)</f>
        <v>0</v>
      </c>
      <c r="G1227" s="421">
        <f t="shared" si="811"/>
        <v>10347603.552000001</v>
      </c>
      <c r="H1227" s="404"/>
      <c r="I1227" s="420">
        <f t="shared" ref="I1227" si="812">SUM(I1224:I1226)</f>
        <v>0</v>
      </c>
      <c r="J1227" s="436">
        <f>SUM(J1224:J1226)</f>
        <v>14455584</v>
      </c>
    </row>
    <row r="1228" spans="1:10" ht="24" thickBot="1" x14ac:dyDescent="0.35">
      <c r="A1228" s="277" t="s">
        <v>109</v>
      </c>
      <c r="B1228" s="932" t="s">
        <v>172</v>
      </c>
      <c r="C1228" s="933"/>
      <c r="D1228" s="934"/>
      <c r="E1228" s="405"/>
      <c r="F1228" s="422">
        <f t="shared" ref="F1228:G1228" si="813">+F1223+F1227</f>
        <v>0</v>
      </c>
      <c r="G1228" s="423">
        <f t="shared" si="813"/>
        <v>10347603.552000001</v>
      </c>
      <c r="H1228" s="406"/>
      <c r="I1228" s="422">
        <f t="shared" ref="I1228:J1228" si="814">+I1223+I1227</f>
        <v>0</v>
      </c>
      <c r="J1228" s="437">
        <f t="shared" si="814"/>
        <v>14455584</v>
      </c>
    </row>
    <row r="1229" spans="1:10" ht="24" thickBot="1" x14ac:dyDescent="0.35">
      <c r="A1229" s="277" t="s">
        <v>109</v>
      </c>
      <c r="B1229" s="617" t="s">
        <v>32</v>
      </c>
      <c r="C1229" s="797"/>
      <c r="D1229" s="316"/>
      <c r="E1229" s="517">
        <v>12.2659</v>
      </c>
      <c r="F1229" s="414">
        <f>IFERROR(E1229*'01 Prod Physique Boites'!H1219,"-")</f>
        <v>0</v>
      </c>
      <c r="G1229" s="415">
        <f>IFERROR(E1229*'01 Prod Physique Boites'!L1219,"-")</f>
        <v>0</v>
      </c>
      <c r="H1229" s="398"/>
      <c r="I1229" s="432">
        <f>IFERROR(H1229*(F1229/E1229),"-")</f>
        <v>0</v>
      </c>
      <c r="J1229" s="433">
        <f>IFERROR(H1229*(G1229/E1229),"-")</f>
        <v>0</v>
      </c>
    </row>
    <row r="1230" spans="1:10" ht="24" thickBot="1" x14ac:dyDescent="0.35">
      <c r="A1230" s="277" t="s">
        <v>109</v>
      </c>
      <c r="B1230" s="926" t="s">
        <v>21</v>
      </c>
      <c r="C1230" s="927"/>
      <c r="D1230" s="928"/>
      <c r="E1230" s="399"/>
      <c r="F1230" s="416">
        <f t="shared" ref="F1230" si="815">+F1219+F1228+F1229</f>
        <v>1669993.8372000002</v>
      </c>
      <c r="G1230" s="417">
        <f>+G1219+G1228+G1229</f>
        <v>25891376.799600001</v>
      </c>
      <c r="H1230" s="400"/>
      <c r="I1230" s="416">
        <f t="shared" ref="I1230:J1230" si="816">+I1219+I1228+I1229</f>
        <v>2361221.46</v>
      </c>
      <c r="J1230" s="434">
        <f t="shared" si="816"/>
        <v>37484743.140000001</v>
      </c>
    </row>
    <row r="1231" spans="1:10" ht="24" thickBot="1" x14ac:dyDescent="0.35">
      <c r="A1231" s="277" t="s">
        <v>109</v>
      </c>
      <c r="B1231" s="900" t="s">
        <v>180</v>
      </c>
      <c r="C1231" s="901"/>
      <c r="D1231" s="902"/>
      <c r="E1231" s="401"/>
      <c r="F1231" s="418">
        <f t="shared" ref="F1231:G1231" si="817">+F1230</f>
        <v>1669993.8372000002</v>
      </c>
      <c r="G1231" s="419">
        <f t="shared" si="817"/>
        <v>25891376.799600001</v>
      </c>
      <c r="H1231" s="402"/>
      <c r="I1231" s="418">
        <f t="shared" ref="I1231:J1231" si="818">+I1230</f>
        <v>2361221.46</v>
      </c>
      <c r="J1231" s="435">
        <f t="shared" si="818"/>
        <v>37484743.140000001</v>
      </c>
    </row>
    <row r="1232" spans="1:10" ht="23.4" x14ac:dyDescent="0.3">
      <c r="A1232" s="271" t="s">
        <v>110</v>
      </c>
      <c r="B1232" s="903" t="s">
        <v>33</v>
      </c>
      <c r="C1232" s="317" t="s">
        <v>121</v>
      </c>
      <c r="D1232" s="317"/>
      <c r="E1232" s="513">
        <v>254.89750000000001</v>
      </c>
      <c r="F1232" s="408">
        <f>IFERROR(E1232*'01 Prod Physique Boites'!H1222,"-")</f>
        <v>0</v>
      </c>
      <c r="G1232" s="409">
        <f>IFERROR(E1232*'01 Prod Physique Boites'!L1222,"-")</f>
        <v>0</v>
      </c>
      <c r="H1232" s="387">
        <v>445.38</v>
      </c>
      <c r="I1232" s="425">
        <f>IFERROR(H1232*(F1232/E1232),"-")</f>
        <v>0</v>
      </c>
      <c r="J1232" s="426">
        <f t="shared" ref="J1232:J1234" si="819">IFERROR(H1232*(G1232/E1232),"-")</f>
        <v>0</v>
      </c>
    </row>
    <row r="1233" spans="1:10" ht="23.4" x14ac:dyDescent="0.3">
      <c r="A1233" s="277" t="s">
        <v>110</v>
      </c>
      <c r="B1233" s="904"/>
      <c r="C1233" s="318" t="s">
        <v>274</v>
      </c>
      <c r="D1233" s="318"/>
      <c r="E1233" s="514">
        <v>246.51390000000001</v>
      </c>
      <c r="F1233" s="408">
        <f>IFERROR(E1233*'01 Prod Physique Boites'!H1223,"-")</f>
        <v>0</v>
      </c>
      <c r="G1233" s="409">
        <f>IFERROR(E1233*'01 Prod Physique Boites'!L1223,"-")</f>
        <v>2287648.9920000001</v>
      </c>
      <c r="H1233" s="391">
        <v>430.02</v>
      </c>
      <c r="I1233" s="427">
        <f>IFERROR(H1233*(F1233/E1233),"-")</f>
        <v>0</v>
      </c>
      <c r="J1233" s="428">
        <f t="shared" si="819"/>
        <v>3990585.5999999996</v>
      </c>
    </row>
    <row r="1234" spans="1:10" ht="24" thickBot="1" x14ac:dyDescent="0.35">
      <c r="A1234" s="277" t="s">
        <v>110</v>
      </c>
      <c r="B1234" s="905"/>
      <c r="C1234" s="319" t="s">
        <v>34</v>
      </c>
      <c r="D1234" s="319"/>
      <c r="E1234" s="511">
        <v>225.7713</v>
      </c>
      <c r="F1234" s="408">
        <f>IFERROR(E1234*'01 Prod Physique Boites'!H1224,"-")</f>
        <v>0</v>
      </c>
      <c r="G1234" s="409">
        <f>IFERROR(E1234*'01 Prod Physique Boites'!L1224,"-")</f>
        <v>0</v>
      </c>
      <c r="H1234" s="393"/>
      <c r="I1234" s="429">
        <f>IFERROR(H1234*(F1234/E1234),"-")</f>
        <v>0</v>
      </c>
      <c r="J1234" s="430">
        <f t="shared" si="819"/>
        <v>0</v>
      </c>
    </row>
    <row r="1235" spans="1:10" ht="24" thickBot="1" x14ac:dyDescent="0.35">
      <c r="A1235" s="277" t="s">
        <v>110</v>
      </c>
      <c r="B1235" s="906" t="s">
        <v>35</v>
      </c>
      <c r="C1235" s="907"/>
      <c r="D1235" s="908"/>
      <c r="E1235" s="396"/>
      <c r="F1235" s="412">
        <f t="shared" ref="F1235:G1235" si="820">SUM(F1232:F1234)</f>
        <v>0</v>
      </c>
      <c r="G1235" s="413">
        <f t="shared" si="820"/>
        <v>2287648.9920000001</v>
      </c>
      <c r="H1235" s="397"/>
      <c r="I1235" s="412">
        <f t="shared" ref="I1235:J1235" si="821">SUM(I1232:I1234)</f>
        <v>0</v>
      </c>
      <c r="J1235" s="431">
        <f t="shared" si="821"/>
        <v>3990585.5999999996</v>
      </c>
    </row>
    <row r="1236" spans="1:10" ht="23.4" x14ac:dyDescent="0.3">
      <c r="A1236" s="277" t="s">
        <v>110</v>
      </c>
      <c r="B1236" s="903" t="s">
        <v>36</v>
      </c>
      <c r="C1236" s="317" t="s">
        <v>121</v>
      </c>
      <c r="D1236" s="317"/>
      <c r="E1236" s="513">
        <v>254.89750000000001</v>
      </c>
      <c r="F1236" s="408">
        <f>IFERROR(E1236*'01 Prod Physique Boites'!H1226,"-")</f>
        <v>0</v>
      </c>
      <c r="G1236" s="409">
        <f>IFERROR(E1236*'01 Prod Physique Boites'!L1226,"-")</f>
        <v>0</v>
      </c>
      <c r="H1236" s="387">
        <v>445.38</v>
      </c>
      <c r="I1236" s="425">
        <f>IFERROR(H1236*(F1236/E1236),"-")</f>
        <v>0</v>
      </c>
      <c r="J1236" s="426">
        <f t="shared" ref="J1236:J1239" si="822">IFERROR(H1236*(G1236/E1236),"-")</f>
        <v>0</v>
      </c>
    </row>
    <row r="1237" spans="1:10" ht="23.4" x14ac:dyDescent="0.3">
      <c r="A1237" s="277" t="s">
        <v>110</v>
      </c>
      <c r="B1237" s="904"/>
      <c r="C1237" s="318" t="s">
        <v>274</v>
      </c>
      <c r="D1237" s="318"/>
      <c r="E1237" s="514">
        <v>246.51390000000001</v>
      </c>
      <c r="F1237" s="408">
        <f>IFERROR(E1237*'01 Prod Physique Boites'!H1227,"-")</f>
        <v>1664461.8528</v>
      </c>
      <c r="G1237" s="409">
        <f>IFERROR(E1237*'01 Prod Physique Boites'!L1227,"-")</f>
        <v>8921831.0688000005</v>
      </c>
      <c r="H1237" s="391">
        <v>430.02</v>
      </c>
      <c r="I1237" s="427">
        <f>IFERROR(H1237*(F1237/E1237),"-")</f>
        <v>2903495.04</v>
      </c>
      <c r="J1237" s="428">
        <f t="shared" si="822"/>
        <v>15563283.84</v>
      </c>
    </row>
    <row r="1238" spans="1:10" ht="23.4" x14ac:dyDescent="0.3">
      <c r="A1238" s="277" t="s">
        <v>110</v>
      </c>
      <c r="B1238" s="904"/>
      <c r="C1238" s="318" t="s">
        <v>201</v>
      </c>
      <c r="D1238" s="318" t="s">
        <v>200</v>
      </c>
      <c r="E1238" s="514">
        <v>254.89750000000001</v>
      </c>
      <c r="F1238" s="408">
        <f>IFERROR(E1238*'01 Prod Physique Boites'!H1228,"-")</f>
        <v>0</v>
      </c>
      <c r="G1238" s="409">
        <f>IFERROR(E1238*'01 Prod Physique Boites'!L1228,"-")</f>
        <v>0</v>
      </c>
      <c r="H1238" s="391"/>
      <c r="I1238" s="427">
        <f>IFERROR(H1238*(F1238/E1238),"-")</f>
        <v>0</v>
      </c>
      <c r="J1238" s="428">
        <f t="shared" si="822"/>
        <v>0</v>
      </c>
    </row>
    <row r="1239" spans="1:10" ht="24" thickBot="1" x14ac:dyDescent="0.35">
      <c r="A1239" s="277" t="s">
        <v>110</v>
      </c>
      <c r="B1239" s="905"/>
      <c r="C1239" s="319" t="s">
        <v>37</v>
      </c>
      <c r="D1239" s="319"/>
      <c r="E1239" s="511">
        <v>229.99359999999999</v>
      </c>
      <c r="F1239" s="408">
        <f>IFERROR(E1239*'01 Prod Physique Boites'!H1229,"-")</f>
        <v>0</v>
      </c>
      <c r="G1239" s="409">
        <f>IFERROR(E1239*'01 Prod Physique Boites'!L1229,"-")</f>
        <v>0</v>
      </c>
      <c r="H1239" s="393"/>
      <c r="I1239" s="429">
        <f>IFERROR(H1239*(F1239/E1239),"-")</f>
        <v>0</v>
      </c>
      <c r="J1239" s="430">
        <f t="shared" si="822"/>
        <v>0</v>
      </c>
    </row>
    <row r="1240" spans="1:10" ht="24" thickBot="1" x14ac:dyDescent="0.35">
      <c r="A1240" s="277" t="s">
        <v>110</v>
      </c>
      <c r="B1240" s="906" t="s">
        <v>38</v>
      </c>
      <c r="C1240" s="907"/>
      <c r="D1240" s="908"/>
      <c r="E1240" s="396"/>
      <c r="F1240" s="412">
        <f t="shared" ref="F1240:G1240" si="823">SUM(F1236:F1239)</f>
        <v>1664461.8528</v>
      </c>
      <c r="G1240" s="413">
        <f t="shared" si="823"/>
        <v>8921831.0688000005</v>
      </c>
      <c r="H1240" s="397"/>
      <c r="I1240" s="412">
        <f>SUM(I1236:I1239)</f>
        <v>2903495.04</v>
      </c>
      <c r="J1240" s="431">
        <f>SUM(J1236:J1239)</f>
        <v>15563283.84</v>
      </c>
    </row>
    <row r="1241" spans="1:10" ht="23.4" x14ac:dyDescent="0.3">
      <c r="A1241" s="277" t="s">
        <v>110</v>
      </c>
      <c r="B1241" s="903" t="s">
        <v>39</v>
      </c>
      <c r="C1241" s="320" t="s">
        <v>124</v>
      </c>
      <c r="D1241" s="320"/>
      <c r="E1241" s="513">
        <v>195.2808</v>
      </c>
      <c r="F1241" s="408">
        <f>IFERROR(E1241*'01 Prod Physique Boites'!H1231,"-")</f>
        <v>0</v>
      </c>
      <c r="G1241" s="409">
        <f>IFERROR(E1241*'01 Prod Physique Boites'!L1231,"-")</f>
        <v>0</v>
      </c>
      <c r="H1241" s="387"/>
      <c r="I1241" s="425">
        <f>IFERROR(H1241*(F1241/E1241),"-")</f>
        <v>0</v>
      </c>
      <c r="J1241" s="426">
        <f t="shared" ref="J1241:J1242" si="824">IFERROR(H1241*(G1241/E1241),"-")</f>
        <v>0</v>
      </c>
    </row>
    <row r="1242" spans="1:10" ht="24" thickBot="1" x14ac:dyDescent="0.35">
      <c r="A1242" s="277" t="s">
        <v>110</v>
      </c>
      <c r="B1242" s="905"/>
      <c r="C1242" s="290" t="s">
        <v>140</v>
      </c>
      <c r="D1242" s="290"/>
      <c r="E1242" s="511">
        <v>189.91890000000001</v>
      </c>
      <c r="F1242" s="408">
        <f>IFERROR(E1242*'01 Prod Physique Boites'!H1232,"-")</f>
        <v>0</v>
      </c>
      <c r="G1242" s="409">
        <f>IFERROR(E1242*'01 Prod Physique Boites'!L1232,"-")</f>
        <v>0</v>
      </c>
      <c r="H1242" s="393">
        <v>320.35000000000002</v>
      </c>
      <c r="I1242" s="429">
        <f>IFERROR(H1242*(F1242/E1242),"-")</f>
        <v>0</v>
      </c>
      <c r="J1242" s="430">
        <f t="shared" si="824"/>
        <v>0</v>
      </c>
    </row>
    <row r="1243" spans="1:10" ht="24" thickBot="1" x14ac:dyDescent="0.35">
      <c r="A1243" s="801" t="s">
        <v>110</v>
      </c>
      <c r="B1243" s="906" t="s">
        <v>40</v>
      </c>
      <c r="C1243" s="907"/>
      <c r="D1243" s="908"/>
      <c r="E1243" s="396"/>
      <c r="F1243" s="412">
        <f>SUM(F1241:F1242)</f>
        <v>0</v>
      </c>
      <c r="G1243" s="413">
        <f t="shared" ref="G1243" si="825">SUM(G1241:G1242)</f>
        <v>0</v>
      </c>
      <c r="H1243" s="397"/>
      <c r="I1243" s="412">
        <f t="shared" ref="I1243:J1243" si="826">SUM(I1241:I1242)</f>
        <v>0</v>
      </c>
      <c r="J1243" s="431">
        <f t="shared" si="826"/>
        <v>0</v>
      </c>
    </row>
    <row r="1244" spans="1:10" ht="23.4" x14ac:dyDescent="0.3">
      <c r="A1244" s="277" t="s">
        <v>110</v>
      </c>
      <c r="B1244" s="903" t="s">
        <v>41</v>
      </c>
      <c r="C1244" s="272" t="s">
        <v>346</v>
      </c>
      <c r="D1244" s="272" t="s">
        <v>263</v>
      </c>
      <c r="E1244" s="515">
        <v>37.248699999999999</v>
      </c>
      <c r="F1244" s="408">
        <f>IFERROR(E1244*'01 Prod Physique Boites'!H1234,"-")</f>
        <v>750933.79200000002</v>
      </c>
      <c r="G1244" s="409">
        <f>IFERROR(E1244*'01 Prod Physique Boites'!L1234,"-")</f>
        <v>8584335.4020000007</v>
      </c>
      <c r="H1244" s="387">
        <v>71.44</v>
      </c>
      <c r="I1244" s="425">
        <f>IFERROR(H1244*(F1244/E1244),"-")</f>
        <v>1440230.3999999999</v>
      </c>
      <c r="J1244" s="426">
        <f>IFERROR(H1244*(G1244/E1244),"-")</f>
        <v>16464062.400000002</v>
      </c>
    </row>
    <row r="1245" spans="1:10" ht="23.4" x14ac:dyDescent="0.3">
      <c r="A1245" s="277" t="s">
        <v>110</v>
      </c>
      <c r="B1245" s="904"/>
      <c r="C1245" s="272" t="s">
        <v>165</v>
      </c>
      <c r="D1245" s="278"/>
      <c r="E1245" s="515">
        <v>37.248699999999999</v>
      </c>
      <c r="F1245" s="408">
        <f>IFERROR(E1245*'01 Prod Physique Boites'!H1235,"-")</f>
        <v>0</v>
      </c>
      <c r="G1245" s="409">
        <f>IFERROR(E1245*'01 Prod Physique Boites'!L1235,"-")</f>
        <v>0</v>
      </c>
      <c r="H1245" s="391"/>
      <c r="I1245" s="427">
        <f>IFERROR(H1245*(F1245/E1245),"-")</f>
        <v>0</v>
      </c>
      <c r="J1245" s="428">
        <f t="shared" ref="J1245:J1248" si="827">IFERROR(H1245*(G1245/E1245),"-")</f>
        <v>0</v>
      </c>
    </row>
    <row r="1246" spans="1:10" ht="23.4" x14ac:dyDescent="0.3">
      <c r="A1246" s="277" t="s">
        <v>110</v>
      </c>
      <c r="B1246" s="904"/>
      <c r="C1246" s="278" t="s">
        <v>423</v>
      </c>
      <c r="D1246" s="272" t="s">
        <v>263</v>
      </c>
      <c r="E1246" s="516">
        <v>38.466099999999997</v>
      </c>
      <c r="F1246" s="408">
        <f>IFERROR(E1246*'01 Prod Physique Boites'!H1236,"-")</f>
        <v>0</v>
      </c>
      <c r="G1246" s="409">
        <f>IFERROR(E1246*'01 Prod Physique Boites'!L1236,"-")</f>
        <v>1306308.7559999998</v>
      </c>
      <c r="H1246" s="391">
        <v>71.44</v>
      </c>
      <c r="I1246" s="427">
        <f>IFERROR(H1246*(F1246/E1246),"-")</f>
        <v>0</v>
      </c>
      <c r="J1246" s="428">
        <f t="shared" si="827"/>
        <v>2426102.4</v>
      </c>
    </row>
    <row r="1247" spans="1:10" ht="23.4" x14ac:dyDescent="0.3">
      <c r="A1247" s="277" t="s">
        <v>110</v>
      </c>
      <c r="B1247" s="904"/>
      <c r="C1247" s="278" t="s">
        <v>166</v>
      </c>
      <c r="D1247" s="278"/>
      <c r="E1247" s="516">
        <v>37.248699999999999</v>
      </c>
      <c r="F1247" s="408">
        <f>IFERROR(E1247*'01 Prod Physique Boites'!H1237,"-")</f>
        <v>0</v>
      </c>
      <c r="G1247" s="409">
        <f>IFERROR(E1247*'01 Prod Physique Boites'!L1237,"-")</f>
        <v>0</v>
      </c>
      <c r="H1247" s="391"/>
      <c r="I1247" s="427">
        <f>IFERROR(H1247*(F1247/E1247),"-")</f>
        <v>0</v>
      </c>
      <c r="J1247" s="428">
        <f t="shared" si="827"/>
        <v>0</v>
      </c>
    </row>
    <row r="1248" spans="1:10" ht="24" thickBot="1" x14ac:dyDescent="0.35">
      <c r="A1248" s="277" t="s">
        <v>110</v>
      </c>
      <c r="B1248" s="905"/>
      <c r="C1248" s="282" t="s">
        <v>167</v>
      </c>
      <c r="D1248" s="282"/>
      <c r="E1248" s="512">
        <v>33.711399999999998</v>
      </c>
      <c r="F1248" s="408">
        <f>IFERROR(E1248*'01 Prod Physique Boites'!H1238,"-")</f>
        <v>0</v>
      </c>
      <c r="G1248" s="409">
        <f>IFERROR(E1248*'01 Prod Physique Boites'!L1238,"-")</f>
        <v>0</v>
      </c>
      <c r="H1248" s="393"/>
      <c r="I1248" s="429">
        <f>IFERROR(H1248*(F1248/E1248),"-")</f>
        <v>0</v>
      </c>
      <c r="J1248" s="430">
        <f t="shared" si="827"/>
        <v>0</v>
      </c>
    </row>
    <row r="1249" spans="1:10" ht="24" thickBot="1" x14ac:dyDescent="0.35">
      <c r="A1249" s="277" t="s">
        <v>110</v>
      </c>
      <c r="B1249" s="906" t="s">
        <v>42</v>
      </c>
      <c r="C1249" s="907"/>
      <c r="D1249" s="908"/>
      <c r="E1249" s="396"/>
      <c r="F1249" s="412">
        <f>SUM(F1244:F1248)</f>
        <v>750933.79200000002</v>
      </c>
      <c r="G1249" s="413">
        <f>SUM(G1244:G1248)</f>
        <v>9890644.1579999998</v>
      </c>
      <c r="H1249" s="397"/>
      <c r="I1249" s="412">
        <f>SUM(I1244:I1248)</f>
        <v>1440230.3999999999</v>
      </c>
      <c r="J1249" s="412">
        <f>SUM(J1244:J1248)</f>
        <v>18890164.800000001</v>
      </c>
    </row>
    <row r="1250" spans="1:10" ht="23.4" x14ac:dyDescent="0.3">
      <c r="A1250" s="277" t="s">
        <v>110</v>
      </c>
      <c r="B1250" s="903" t="s">
        <v>43</v>
      </c>
      <c r="C1250" s="272" t="s">
        <v>204</v>
      </c>
      <c r="D1250" s="272" t="s">
        <v>200</v>
      </c>
      <c r="E1250" s="515">
        <v>30.7499</v>
      </c>
      <c r="F1250" s="408">
        <f>IFERROR(E1250*'01 Prod Physique Boites'!H1240,"-")</f>
        <v>0</v>
      </c>
      <c r="G1250" s="409">
        <f>IFERROR(E1250*'01 Prod Physique Boites'!L1240,"-")</f>
        <v>0</v>
      </c>
      <c r="H1250" s="387"/>
      <c r="I1250" s="425">
        <f>IFERROR(H1250*(F1250/E1250),"-")</f>
        <v>0</v>
      </c>
      <c r="J1250" s="426">
        <f>IFERROR(H1250*(G1250/E1250),"-")</f>
        <v>0</v>
      </c>
    </row>
    <row r="1251" spans="1:10" ht="23.4" x14ac:dyDescent="0.3">
      <c r="A1251" s="277" t="s">
        <v>110</v>
      </c>
      <c r="B1251" s="904"/>
      <c r="C1251" s="278" t="s">
        <v>168</v>
      </c>
      <c r="D1251" s="278"/>
      <c r="E1251" s="516">
        <v>28.7</v>
      </c>
      <c r="F1251" s="408">
        <f>IFERROR(E1251*'01 Prod Physique Boites'!H1241,"-")</f>
        <v>0</v>
      </c>
      <c r="G1251" s="409">
        <f>IFERROR(E1251*'01 Prod Physique Boites'!L1241,"-")</f>
        <v>0</v>
      </c>
      <c r="H1251" s="391"/>
      <c r="I1251" s="427">
        <f>IFERROR(H1251*(F1251/E1251),"-")</f>
        <v>0</v>
      </c>
      <c r="J1251" s="428">
        <f t="shared" ref="J1251:J1252" si="828">IFERROR(H1251*(G1251/E1251),"-")</f>
        <v>0</v>
      </c>
    </row>
    <row r="1252" spans="1:10" ht="24" thickBot="1" x14ac:dyDescent="0.35">
      <c r="A1252" s="277" t="s">
        <v>110</v>
      </c>
      <c r="B1252" s="905"/>
      <c r="C1252" s="282" t="s">
        <v>204</v>
      </c>
      <c r="D1252" s="282" t="s">
        <v>203</v>
      </c>
      <c r="E1252" s="512">
        <v>30.073599999999999</v>
      </c>
      <c r="F1252" s="408">
        <f>IFERROR(E1252*'01 Prod Physique Boites'!H1242,"-")</f>
        <v>0</v>
      </c>
      <c r="G1252" s="409">
        <f>IFERROR(E1252*'01 Prod Physique Boites'!L1242,"-")</f>
        <v>0</v>
      </c>
      <c r="H1252" s="393"/>
      <c r="I1252" s="429">
        <f>IFERROR(H1252*(F1252/E1252),"-")</f>
        <v>0</v>
      </c>
      <c r="J1252" s="430">
        <f t="shared" si="828"/>
        <v>0</v>
      </c>
    </row>
    <row r="1253" spans="1:10" ht="24" thickBot="1" x14ac:dyDescent="0.35">
      <c r="A1253" s="277" t="s">
        <v>110</v>
      </c>
      <c r="B1253" s="909" t="s">
        <v>44</v>
      </c>
      <c r="C1253" s="910"/>
      <c r="D1253" s="911"/>
      <c r="E1253" s="396"/>
      <c r="F1253" s="412">
        <f t="shared" ref="F1253:G1253" si="829">SUM(F1250:F1252)</f>
        <v>0</v>
      </c>
      <c r="G1253" s="413">
        <f t="shared" si="829"/>
        <v>0</v>
      </c>
      <c r="H1253" s="397"/>
      <c r="I1253" s="412">
        <f t="shared" ref="I1253:J1253" si="830">SUM(I1250:I1252)</f>
        <v>0</v>
      </c>
      <c r="J1253" s="431">
        <f t="shared" si="830"/>
        <v>0</v>
      </c>
    </row>
    <row r="1254" spans="1:10" ht="23.4" x14ac:dyDescent="0.3">
      <c r="A1254" s="277" t="s">
        <v>110</v>
      </c>
      <c r="B1254" s="903" t="s">
        <v>45</v>
      </c>
      <c r="C1254" s="272" t="s">
        <v>169</v>
      </c>
      <c r="D1254" s="272"/>
      <c r="E1254" s="515">
        <v>36.684899999999999</v>
      </c>
      <c r="F1254" s="408">
        <f>IFERROR(E1254*'01 Prod Physique Boites'!H1244,"-")</f>
        <v>0</v>
      </c>
      <c r="G1254" s="409">
        <f>IFERROR(E1254*'01 Prod Physique Boites'!L1244,"-")</f>
        <v>0</v>
      </c>
      <c r="H1254" s="387"/>
      <c r="I1254" s="388" t="s">
        <v>209</v>
      </c>
      <c r="J1254" s="389" t="s">
        <v>209</v>
      </c>
    </row>
    <row r="1255" spans="1:10" ht="24" thickBot="1" x14ac:dyDescent="0.35">
      <c r="A1255" s="277" t="s">
        <v>110</v>
      </c>
      <c r="B1255" s="905"/>
      <c r="C1255" s="282" t="s">
        <v>170</v>
      </c>
      <c r="D1255" s="282"/>
      <c r="E1255" s="512">
        <v>37.002800000000001</v>
      </c>
      <c r="F1255" s="408">
        <f>IFERROR(E1255*'01 Prod Physique Boites'!H1245,"-")</f>
        <v>0</v>
      </c>
      <c r="G1255" s="409">
        <f>IFERROR(E1255*'01 Prod Physique Boites'!L1245,"-")</f>
        <v>0</v>
      </c>
      <c r="H1255" s="393"/>
      <c r="I1255" s="394" t="s">
        <v>209</v>
      </c>
      <c r="J1255" s="395" t="s">
        <v>209</v>
      </c>
    </row>
    <row r="1256" spans="1:10" ht="24" thickBot="1" x14ac:dyDescent="0.35">
      <c r="A1256" s="277" t="s">
        <v>110</v>
      </c>
      <c r="B1256" s="909" t="s">
        <v>46</v>
      </c>
      <c r="C1256" s="910"/>
      <c r="D1256" s="911"/>
      <c r="E1256" s="396"/>
      <c r="F1256" s="412">
        <f t="shared" ref="F1256:G1256" si="831">SUM(F1254:F1255)</f>
        <v>0</v>
      </c>
      <c r="G1256" s="413">
        <f t="shared" si="831"/>
        <v>0</v>
      </c>
      <c r="H1256" s="397"/>
      <c r="I1256" s="412">
        <f t="shared" ref="I1256:J1256" si="832">SUM(I1254:I1255)</f>
        <v>0</v>
      </c>
      <c r="J1256" s="431">
        <f t="shared" si="832"/>
        <v>0</v>
      </c>
    </row>
    <row r="1257" spans="1:10" ht="24" thickBot="1" x14ac:dyDescent="0.35">
      <c r="A1257" s="277" t="s">
        <v>110</v>
      </c>
      <c r="B1257" s="912" t="s">
        <v>25</v>
      </c>
      <c r="C1257" s="913"/>
      <c r="D1257" s="914"/>
      <c r="E1257" s="399"/>
      <c r="F1257" s="416">
        <f t="shared" ref="F1257:G1257" si="833">+F1235+F1240+F1243+F1249+F1253+F1256</f>
        <v>2415395.6447999999</v>
      </c>
      <c r="G1257" s="417">
        <f t="shared" si="833"/>
        <v>21100124.218800001</v>
      </c>
      <c r="H1257" s="400"/>
      <c r="I1257" s="416">
        <f>+I1235+I1240+I1243+I1249+I1253+I1256</f>
        <v>4343725.4399999995</v>
      </c>
      <c r="J1257" s="434">
        <f>+J1235+J1240+J1243+J1249+J1253+J1256</f>
        <v>38444034.239999995</v>
      </c>
    </row>
    <row r="1258" spans="1:10" ht="24" thickBot="1" x14ac:dyDescent="0.35">
      <c r="A1258" s="324" t="s">
        <v>110</v>
      </c>
      <c r="B1258" s="901" t="s">
        <v>182</v>
      </c>
      <c r="C1258" s="901"/>
      <c r="D1258" s="902"/>
      <c r="E1258" s="401"/>
      <c r="F1258" s="418">
        <f t="shared" ref="F1258:G1258" si="834">+F1257</f>
        <v>2415395.6447999999</v>
      </c>
      <c r="G1258" s="419">
        <f t="shared" si="834"/>
        <v>21100124.218800001</v>
      </c>
      <c r="H1258" s="402"/>
      <c r="I1258" s="418">
        <f t="shared" ref="I1258" si="835">+I1257</f>
        <v>4343725.4399999995</v>
      </c>
      <c r="J1258" s="435">
        <f>+J1257</f>
        <v>38444034.239999995</v>
      </c>
    </row>
    <row r="1259" spans="1:10" ht="24.6" thickBot="1" x14ac:dyDescent="0.35">
      <c r="A1259" s="325"/>
      <c r="B1259" s="915" t="s">
        <v>183</v>
      </c>
      <c r="C1259" s="916"/>
      <c r="D1259" s="917"/>
      <c r="E1259" s="407"/>
      <c r="F1259" s="424">
        <f t="shared" ref="F1259:G1259" si="836">+F1204+F1231+F1258</f>
        <v>6390807.7923999997</v>
      </c>
      <c r="G1259" s="424">
        <f t="shared" si="836"/>
        <v>79382037.614500016</v>
      </c>
      <c r="H1259" s="407"/>
      <c r="I1259" s="424">
        <f t="shared" ref="I1259:J1259" si="837">+I1204+I1231+I1258</f>
        <v>9210490.0999999996</v>
      </c>
      <c r="J1259" s="438">
        <f t="shared" si="837"/>
        <v>126934330.4992</v>
      </c>
    </row>
    <row r="1260" spans="1:10" ht="23.4" x14ac:dyDescent="0.3">
      <c r="A1260" s="935" t="s">
        <v>1</v>
      </c>
      <c r="B1260" s="938" t="s">
        <v>2</v>
      </c>
      <c r="C1260" s="941" t="s">
        <v>3</v>
      </c>
      <c r="D1260" s="941" t="s">
        <v>93</v>
      </c>
      <c r="E1260" s="965" t="s">
        <v>176</v>
      </c>
      <c r="F1260" s="966"/>
      <c r="G1260" s="966"/>
      <c r="H1260" s="451"/>
      <c r="I1260" s="451"/>
      <c r="J1260" s="452"/>
    </row>
    <row r="1261" spans="1:10" ht="23.4" x14ac:dyDescent="0.3">
      <c r="A1261" s="936"/>
      <c r="B1261" s="939"/>
      <c r="C1261" s="942"/>
      <c r="D1261" s="942"/>
      <c r="E1261" s="967" t="s">
        <v>178</v>
      </c>
      <c r="F1261" s="968"/>
      <c r="G1261" s="969"/>
      <c r="H1261" s="967" t="s">
        <v>177</v>
      </c>
      <c r="I1261" s="968"/>
      <c r="J1261" s="969"/>
    </row>
    <row r="1262" spans="1:10" ht="46.8" x14ac:dyDescent="0.3">
      <c r="A1262" s="937"/>
      <c r="B1262" s="963"/>
      <c r="C1262" s="964"/>
      <c r="D1262" s="964"/>
      <c r="E1262" s="385" t="s">
        <v>179</v>
      </c>
      <c r="F1262" s="807" t="s">
        <v>11</v>
      </c>
      <c r="G1262" s="808" t="s">
        <v>12</v>
      </c>
      <c r="H1262" s="970" t="s">
        <v>179</v>
      </c>
      <c r="I1262" s="972" t="s">
        <v>145</v>
      </c>
      <c r="J1262" s="974" t="s">
        <v>12</v>
      </c>
    </row>
    <row r="1263" spans="1:10" ht="24" thickBot="1" x14ac:dyDescent="0.35">
      <c r="A1263" s="937"/>
      <c r="B1263" s="940"/>
      <c r="C1263" s="943"/>
      <c r="D1263" s="943"/>
      <c r="E1263" s="976">
        <v>44517</v>
      </c>
      <c r="F1263" s="977"/>
      <c r="G1263" s="978"/>
      <c r="H1263" s="971"/>
      <c r="I1263" s="973"/>
      <c r="J1263" s="975"/>
    </row>
    <row r="1264" spans="1:10" ht="23.4" x14ac:dyDescent="0.3">
      <c r="A1264" s="271" t="s">
        <v>111</v>
      </c>
      <c r="B1264" s="922" t="s">
        <v>16</v>
      </c>
      <c r="C1264" s="272" t="s">
        <v>186</v>
      </c>
      <c r="D1264" s="272" t="s">
        <v>184</v>
      </c>
      <c r="E1264" s="515">
        <v>81.360699999999994</v>
      </c>
      <c r="F1264" s="408">
        <f>IFERROR(E1264*'01 Prod Physique Boites'!H1253,"-")</f>
        <v>0</v>
      </c>
      <c r="G1264" s="408">
        <f>IFERROR(E1264*'01 Prod Physique Boites'!L1253,"-")</f>
        <v>0</v>
      </c>
      <c r="H1264" s="387">
        <v>0</v>
      </c>
      <c r="I1264" s="425">
        <f>IFERROR(H1264*(F1264/E1264),"-")</f>
        <v>0</v>
      </c>
      <c r="J1264" s="426">
        <f t="shared" ref="J1264:J1266" si="838">IFERROR(H1264*(G1264/E1264),"-")</f>
        <v>0</v>
      </c>
    </row>
    <row r="1265" spans="1:10" ht="23.4" x14ac:dyDescent="0.3">
      <c r="A1265" s="277" t="s">
        <v>111</v>
      </c>
      <c r="B1265" s="923"/>
      <c r="C1265" s="278" t="s">
        <v>190</v>
      </c>
      <c r="D1265" s="278" t="s">
        <v>101</v>
      </c>
      <c r="E1265" s="516">
        <v>81.360699999999994</v>
      </c>
      <c r="F1265" s="408">
        <f>IFERROR(E1265*'01 Prod Physique Boites'!H1254,"-")</f>
        <v>0</v>
      </c>
      <c r="G1265" s="408">
        <f>IFERROR(E1265*'01 Prod Physique Boites'!L1254,"-")</f>
        <v>0</v>
      </c>
      <c r="H1265" s="391">
        <v>0</v>
      </c>
      <c r="I1265" s="425">
        <f>IFERROR(H1265*(F1265/E1265),"-")</f>
        <v>0</v>
      </c>
      <c r="J1265" s="426">
        <f t="shared" si="838"/>
        <v>0</v>
      </c>
    </row>
    <row r="1266" spans="1:10" ht="23.4" x14ac:dyDescent="0.3">
      <c r="A1266" s="277" t="s">
        <v>111</v>
      </c>
      <c r="B1266" s="923"/>
      <c r="C1266" s="278" t="s">
        <v>187</v>
      </c>
      <c r="D1266" s="278" t="s">
        <v>185</v>
      </c>
      <c r="E1266" s="516">
        <v>55.476900000000001</v>
      </c>
      <c r="F1266" s="408">
        <f>IFERROR(E1266*'01 Prod Physique Boites'!H1255,"-")</f>
        <v>0</v>
      </c>
      <c r="G1266" s="408">
        <f>IFERROR(E1266*'01 Prod Physique Boites'!L1255,"-")</f>
        <v>0</v>
      </c>
      <c r="H1266" s="391">
        <v>0</v>
      </c>
      <c r="I1266" s="425">
        <f>IFERROR(H1266*(F1266/E1266),"-")</f>
        <v>0</v>
      </c>
      <c r="J1266" s="426">
        <f t="shared" si="838"/>
        <v>0</v>
      </c>
    </row>
    <row r="1267" spans="1:10" ht="24" thickBot="1" x14ac:dyDescent="0.35">
      <c r="A1267" s="277" t="s">
        <v>111</v>
      </c>
      <c r="B1267" s="924"/>
      <c r="C1267" s="282" t="s">
        <v>289</v>
      </c>
      <c r="D1267" s="282" t="s">
        <v>256</v>
      </c>
      <c r="E1267" s="512">
        <v>60.703499999999998</v>
      </c>
      <c r="F1267" s="408">
        <f>IFERROR(E1267*'01 Prod Physique Boites'!H1256,"-")</f>
        <v>35936.472000000002</v>
      </c>
      <c r="G1267" s="408">
        <f>IFERROR(E1267*'01 Prod Physique Boites'!L1256,"-")</f>
        <v>6314135.2560000001</v>
      </c>
      <c r="H1267" s="393">
        <v>111.0883</v>
      </c>
      <c r="I1267" s="425">
        <f>IFERROR(H1267*(F1267/E1267),"-")</f>
        <v>65764.2736</v>
      </c>
      <c r="J1267" s="426">
        <f>IFERROR(H1267*(G1267/E1267),"-")</f>
        <v>11554960.6128</v>
      </c>
    </row>
    <row r="1268" spans="1:10" ht="24" thickBot="1" x14ac:dyDescent="0.35">
      <c r="A1268" s="277" t="s">
        <v>111</v>
      </c>
      <c r="B1268" s="906" t="s">
        <v>47</v>
      </c>
      <c r="C1268" s="907"/>
      <c r="D1268" s="908"/>
      <c r="E1268" s="396"/>
      <c r="F1268" s="412">
        <f t="shared" ref="F1268" si="839">SUM(F1264:F1267)</f>
        <v>35936.472000000002</v>
      </c>
      <c r="G1268" s="413">
        <f>SUM(G1264:G1267)</f>
        <v>6314135.2560000001</v>
      </c>
      <c r="H1268" s="397"/>
      <c r="I1268" s="412">
        <f t="shared" ref="I1268:J1268" si="840">SUM(I1264:I1267)</f>
        <v>65764.2736</v>
      </c>
      <c r="J1268" s="431">
        <f t="shared" si="840"/>
        <v>11554960.6128</v>
      </c>
    </row>
    <row r="1269" spans="1:10" ht="23.4" x14ac:dyDescent="0.3">
      <c r="A1269" s="277" t="s">
        <v>111</v>
      </c>
      <c r="B1269" s="922" t="s">
        <v>17</v>
      </c>
      <c r="C1269" s="272" t="s">
        <v>331</v>
      </c>
      <c r="D1269" s="272"/>
      <c r="E1269" s="515">
        <v>12.5275</v>
      </c>
      <c r="F1269" s="408">
        <f>IFERROR(E1269*'01 Prod Physique Boites'!H1258,"-")</f>
        <v>0</v>
      </c>
      <c r="G1269" s="408">
        <f>IFERROR(E1269*'01 Prod Physique Boites'!L1258,"-")</f>
        <v>0</v>
      </c>
      <c r="H1269" s="387">
        <v>18.836400000000001</v>
      </c>
      <c r="I1269" s="425">
        <f t="shared" ref="I1269:I1275" si="841">IFERROR(H1269*(F1269/E1269),"-")</f>
        <v>0</v>
      </c>
      <c r="J1269" s="426">
        <f t="shared" ref="J1269:J1274" si="842">IFERROR(H1269*(G1269/E1269),"-")</f>
        <v>0</v>
      </c>
    </row>
    <row r="1270" spans="1:10" ht="23.4" x14ac:dyDescent="0.3">
      <c r="A1270" s="277" t="s">
        <v>111</v>
      </c>
      <c r="B1270" s="923"/>
      <c r="C1270" s="278" t="s">
        <v>421</v>
      </c>
      <c r="D1270" s="278" t="s">
        <v>257</v>
      </c>
      <c r="E1270" s="516">
        <v>13.002700000000001</v>
      </c>
      <c r="F1270" s="408">
        <f>IFERROR(E1270*'01 Prod Physique Boites'!H1259,"-")</f>
        <v>1750683.5280000002</v>
      </c>
      <c r="G1270" s="408">
        <f>IFERROR(E1270*'01 Prod Physique Boites'!L1259,"-")</f>
        <v>5281995.8021</v>
      </c>
      <c r="H1270" s="811">
        <v>21.18</v>
      </c>
      <c r="I1270" s="427">
        <f t="shared" si="841"/>
        <v>2851675.2</v>
      </c>
      <c r="J1270" s="428">
        <f t="shared" si="842"/>
        <v>8603803.1400000006</v>
      </c>
    </row>
    <row r="1271" spans="1:10" ht="23.4" x14ac:dyDescent="0.3">
      <c r="A1271" s="277" t="s">
        <v>111</v>
      </c>
      <c r="B1271" s="923"/>
      <c r="C1271" s="278" t="s">
        <v>441</v>
      </c>
      <c r="D1271" s="278" t="s">
        <v>205</v>
      </c>
      <c r="E1271" s="516">
        <v>12.9049</v>
      </c>
      <c r="F1271" s="408">
        <f>IFERROR(E1271*'01 Prod Physique Boites'!H1260,"-")</f>
        <v>0</v>
      </c>
      <c r="G1271" s="408">
        <f>IFERROR(E1271*'01 Prod Physique Boites'!L1260,"-")</f>
        <v>0</v>
      </c>
      <c r="H1271" s="391">
        <v>20.6602</v>
      </c>
      <c r="I1271" s="427">
        <f t="shared" si="841"/>
        <v>0</v>
      </c>
      <c r="J1271" s="428">
        <f t="shared" si="842"/>
        <v>0</v>
      </c>
    </row>
    <row r="1272" spans="1:10" ht="23.4" x14ac:dyDescent="0.3">
      <c r="A1272" s="277" t="s">
        <v>111</v>
      </c>
      <c r="B1272" s="923"/>
      <c r="C1272" s="278" t="s">
        <v>330</v>
      </c>
      <c r="D1272" s="278" t="s">
        <v>206</v>
      </c>
      <c r="E1272" s="516">
        <v>13.078200000000001</v>
      </c>
      <c r="F1272" s="408">
        <f>IFERROR(E1272*'01 Prod Physique Boites'!H1261,"-")</f>
        <v>0</v>
      </c>
      <c r="G1272" s="408">
        <f>IFERROR(E1272*'01 Prod Physique Boites'!L1261,"-")</f>
        <v>24011.575200000003</v>
      </c>
      <c r="H1272" s="811">
        <v>20.66</v>
      </c>
      <c r="I1272" s="427">
        <f t="shared" si="841"/>
        <v>0</v>
      </c>
      <c r="J1272" s="428">
        <f t="shared" si="842"/>
        <v>37931.760000000002</v>
      </c>
    </row>
    <row r="1273" spans="1:10" ht="23.4" x14ac:dyDescent="0.3">
      <c r="A1273" s="277" t="s">
        <v>111</v>
      </c>
      <c r="B1273" s="923"/>
      <c r="C1273" s="278" t="s">
        <v>377</v>
      </c>
      <c r="D1273" s="278" t="s">
        <v>371</v>
      </c>
      <c r="E1273" s="516">
        <v>13.1958</v>
      </c>
      <c r="F1273" s="408">
        <f>IFERROR(E1273*'01 Prod Physique Boites'!H1262,"-")</f>
        <v>0</v>
      </c>
      <c r="G1273" s="408">
        <f>IFERROR(E1273*'01 Prod Physique Boites'!L1262,"-")</f>
        <v>140007.43799999999</v>
      </c>
      <c r="H1273" s="811">
        <v>21.28</v>
      </c>
      <c r="I1273" s="427">
        <f t="shared" si="841"/>
        <v>0</v>
      </c>
      <c r="J1273" s="428">
        <f t="shared" si="842"/>
        <v>225780.80000000002</v>
      </c>
    </row>
    <row r="1274" spans="1:10" ht="23.4" x14ac:dyDescent="0.3">
      <c r="A1274" s="277" t="s">
        <v>111</v>
      </c>
      <c r="B1274" s="923"/>
      <c r="C1274" s="278" t="s">
        <v>443</v>
      </c>
      <c r="D1274" s="278" t="s">
        <v>207</v>
      </c>
      <c r="E1274" s="516">
        <v>12.9049</v>
      </c>
      <c r="F1274" s="408">
        <f>IFERROR(E1274*'01 Prod Physique Boites'!H1263,"-")</f>
        <v>78977.987999999998</v>
      </c>
      <c r="G1274" s="408">
        <f>IFERROR(E1274*'01 Prod Physique Boites'!L1263,"-")</f>
        <v>5370503.1839999994</v>
      </c>
      <c r="H1274" s="812">
        <v>20.66</v>
      </c>
      <c r="I1274" s="427">
        <f t="shared" si="841"/>
        <v>126439.2</v>
      </c>
      <c r="J1274" s="428">
        <f t="shared" si="842"/>
        <v>8597865.5999999996</v>
      </c>
    </row>
    <row r="1275" spans="1:10" ht="24" thickBot="1" x14ac:dyDescent="0.35">
      <c r="A1275" s="277" t="s">
        <v>111</v>
      </c>
      <c r="B1275" s="924"/>
      <c r="C1275" s="282" t="s">
        <v>416</v>
      </c>
      <c r="D1275" s="282" t="s">
        <v>189</v>
      </c>
      <c r="E1275" s="512">
        <v>13.6509</v>
      </c>
      <c r="F1275" s="408">
        <f>IFERROR(E1275*'01 Prod Physique Boites'!H1264,"-")</f>
        <v>0</v>
      </c>
      <c r="G1275" s="408">
        <f>IFERROR(E1275*'01 Prod Physique Boites'!L1264,"-")</f>
        <v>1002522.096</v>
      </c>
      <c r="H1275" s="813">
        <v>21.18</v>
      </c>
      <c r="I1275" s="429">
        <f t="shared" si="841"/>
        <v>0</v>
      </c>
      <c r="J1275" s="430">
        <f>IFERROR(H1275*(G1275/E1275),"-")</f>
        <v>1555459.2</v>
      </c>
    </row>
    <row r="1276" spans="1:10" ht="24" thickBot="1" x14ac:dyDescent="0.35">
      <c r="A1276" s="277" t="s">
        <v>111</v>
      </c>
      <c r="B1276" s="906" t="s">
        <v>48</v>
      </c>
      <c r="C1276" s="907"/>
      <c r="D1276" s="908"/>
      <c r="E1276" s="396"/>
      <c r="F1276" s="412">
        <f t="shared" ref="F1276" si="843">SUM(F1269:F1275)</f>
        <v>1829661.5160000001</v>
      </c>
      <c r="G1276" s="413">
        <f>SUM(G1269:G1275)</f>
        <v>11819040.0953</v>
      </c>
      <c r="H1276" s="397"/>
      <c r="I1276" s="412">
        <f t="shared" ref="I1276" si="844">SUM(I1269:I1275)</f>
        <v>2978114.4000000004</v>
      </c>
      <c r="J1276" s="431">
        <f>SUM(J1269:J1275)</f>
        <v>19020840.5</v>
      </c>
    </row>
    <row r="1277" spans="1:10" ht="23.4" x14ac:dyDescent="0.3">
      <c r="A1277" s="277" t="s">
        <v>111</v>
      </c>
      <c r="B1277" s="922" t="s">
        <v>18</v>
      </c>
      <c r="C1277" s="272" t="s">
        <v>359</v>
      </c>
      <c r="D1277" s="272" t="s">
        <v>99</v>
      </c>
      <c r="E1277" s="515">
        <v>17.8202</v>
      </c>
      <c r="F1277" s="408">
        <f>IFERROR(E1277*'01 Prod Physique Boites'!H1266,"-")</f>
        <v>0</v>
      </c>
      <c r="G1277" s="409">
        <f>IFERROR(E1277*'01 Prod Physique Boites'!L1266,"-")</f>
        <v>0</v>
      </c>
      <c r="H1277" s="387">
        <v>24.93</v>
      </c>
      <c r="I1277" s="425">
        <f t="shared" ref="I1277:I1283" si="845">IFERROR(H1277*(F1277/E1277),"-")</f>
        <v>0</v>
      </c>
      <c r="J1277" s="426">
        <f t="shared" ref="J1277:J1279" si="846">IFERROR(H1277*(G1277/E1277),"-")</f>
        <v>0</v>
      </c>
    </row>
    <row r="1278" spans="1:10" ht="23.4" x14ac:dyDescent="0.3">
      <c r="A1278" s="277" t="s">
        <v>111</v>
      </c>
      <c r="B1278" s="923"/>
      <c r="C1278" s="278" t="s">
        <v>138</v>
      </c>
      <c r="D1278" s="278"/>
      <c r="E1278" s="516">
        <v>17.8202</v>
      </c>
      <c r="F1278" s="408">
        <f>IFERROR(E1278*'01 Prod Physique Boites'!H1267,"-")</f>
        <v>0</v>
      </c>
      <c r="G1278" s="409">
        <f>IFERROR(E1278*'01 Prod Physique Boites'!L1267,"-")</f>
        <v>0</v>
      </c>
      <c r="H1278" s="391">
        <v>0</v>
      </c>
      <c r="I1278" s="427">
        <f t="shared" si="845"/>
        <v>0</v>
      </c>
      <c r="J1278" s="428">
        <f t="shared" si="846"/>
        <v>0</v>
      </c>
    </row>
    <row r="1279" spans="1:10" ht="23.4" x14ac:dyDescent="0.3">
      <c r="A1279" s="277" t="s">
        <v>111</v>
      </c>
      <c r="B1279" s="923"/>
      <c r="C1279" s="278" t="s">
        <v>123</v>
      </c>
      <c r="D1279" s="278"/>
      <c r="E1279" s="516">
        <v>16.4071</v>
      </c>
      <c r="F1279" s="408">
        <f>IFERROR(E1279*'01 Prod Physique Boites'!H1268,"-")</f>
        <v>0</v>
      </c>
      <c r="G1279" s="409">
        <f>IFERROR(E1279*'01 Prod Physique Boites'!L1268,"-")</f>
        <v>0</v>
      </c>
      <c r="H1279" s="391">
        <v>0</v>
      </c>
      <c r="I1279" s="427">
        <f t="shared" si="845"/>
        <v>0</v>
      </c>
      <c r="J1279" s="428">
        <f t="shared" si="846"/>
        <v>0</v>
      </c>
    </row>
    <row r="1280" spans="1:10" ht="23.4" x14ac:dyDescent="0.3">
      <c r="A1280" s="277" t="s">
        <v>111</v>
      </c>
      <c r="B1280" s="923"/>
      <c r="C1280" s="278" t="s">
        <v>130</v>
      </c>
      <c r="D1280" s="278"/>
      <c r="E1280" s="516">
        <v>17.8202</v>
      </c>
      <c r="F1280" s="408">
        <f>IFERROR(E1280*'01 Prod Physique Boites'!H1269,"-")</f>
        <v>0</v>
      </c>
      <c r="G1280" s="409">
        <f>IFERROR(E1280*'01 Prod Physique Boites'!L1269,"-")</f>
        <v>0</v>
      </c>
      <c r="H1280" s="391">
        <v>0</v>
      </c>
      <c r="I1280" s="427">
        <f t="shared" si="845"/>
        <v>0</v>
      </c>
      <c r="J1280" s="428">
        <f>IFERROR(H1280*(G1280/E1280),"-")</f>
        <v>0</v>
      </c>
    </row>
    <row r="1281" spans="1:10" ht="23.4" x14ac:dyDescent="0.3">
      <c r="A1281" s="277" t="s">
        <v>111</v>
      </c>
      <c r="B1281" s="923"/>
      <c r="C1281" s="278" t="s">
        <v>191</v>
      </c>
      <c r="D1281" s="278" t="s">
        <v>192</v>
      </c>
      <c r="E1281" s="516">
        <v>17.8202</v>
      </c>
      <c r="F1281" s="408">
        <f>IFERROR(E1281*'01 Prod Physique Boites'!H1270,"-")</f>
        <v>0</v>
      </c>
      <c r="G1281" s="409">
        <f>IFERROR(E1281*'01 Prod Physique Boites'!L1270,"-")</f>
        <v>0</v>
      </c>
      <c r="H1281" s="391">
        <v>0</v>
      </c>
      <c r="I1281" s="427">
        <f t="shared" si="845"/>
        <v>0</v>
      </c>
      <c r="J1281" s="428">
        <f t="shared" ref="J1281:J1283" si="847">IFERROR(H1281*(G1281/E1281),"-")</f>
        <v>0</v>
      </c>
    </row>
    <row r="1282" spans="1:10" ht="23.4" x14ac:dyDescent="0.3">
      <c r="A1282" s="277" t="s">
        <v>111</v>
      </c>
      <c r="B1282" s="923"/>
      <c r="C1282" s="278" t="s">
        <v>194</v>
      </c>
      <c r="D1282" s="278" t="s">
        <v>193</v>
      </c>
      <c r="E1282" s="516">
        <v>16.7288</v>
      </c>
      <c r="F1282" s="408">
        <f>IFERROR(E1282*'01 Prod Physique Boites'!H1271,"-")</f>
        <v>0</v>
      </c>
      <c r="G1282" s="409">
        <f>IFERROR(E1282*'01 Prod Physique Boites'!L1271,"-")</f>
        <v>0</v>
      </c>
      <c r="H1282" s="391">
        <v>0</v>
      </c>
      <c r="I1282" s="427">
        <f t="shared" si="845"/>
        <v>0</v>
      </c>
      <c r="J1282" s="428">
        <f t="shared" si="847"/>
        <v>0</v>
      </c>
    </row>
    <row r="1283" spans="1:10" ht="24" thickBot="1" x14ac:dyDescent="0.35">
      <c r="A1283" s="277" t="s">
        <v>111</v>
      </c>
      <c r="B1283" s="924"/>
      <c r="C1283" s="290" t="s">
        <v>195</v>
      </c>
      <c r="D1283" s="290" t="s">
        <v>115</v>
      </c>
      <c r="E1283" s="512">
        <v>17.8202</v>
      </c>
      <c r="F1283" s="408">
        <f>IFERROR(E1283*'01 Prod Physique Boites'!H1272,"-")</f>
        <v>0</v>
      </c>
      <c r="G1283" s="409">
        <f>IFERROR(E1283*'01 Prod Physique Boites'!L1272,"-")</f>
        <v>0</v>
      </c>
      <c r="H1283" s="391">
        <v>0</v>
      </c>
      <c r="I1283" s="429">
        <f t="shared" si="845"/>
        <v>0</v>
      </c>
      <c r="J1283" s="430">
        <f t="shared" si="847"/>
        <v>0</v>
      </c>
    </row>
    <row r="1284" spans="1:10" ht="24" thickBot="1" x14ac:dyDescent="0.35">
      <c r="A1284" s="277" t="s">
        <v>111</v>
      </c>
      <c r="B1284" s="906" t="s">
        <v>29</v>
      </c>
      <c r="C1284" s="907"/>
      <c r="D1284" s="908"/>
      <c r="E1284" s="777"/>
      <c r="F1284" s="778">
        <f t="shared" ref="F1284:G1284" si="848">SUM(F1277:F1283)</f>
        <v>0</v>
      </c>
      <c r="G1284" s="413">
        <f t="shared" si="848"/>
        <v>0</v>
      </c>
      <c r="H1284" s="397"/>
      <c r="I1284" s="412">
        <f t="shared" ref="I1284:J1284" si="849">SUM(I1277:I1283)</f>
        <v>0</v>
      </c>
      <c r="J1284" s="431">
        <f t="shared" si="849"/>
        <v>0</v>
      </c>
    </row>
    <row r="1285" spans="1:10" ht="23.4" x14ac:dyDescent="0.3">
      <c r="A1285" s="277"/>
      <c r="B1285" s="918" t="s">
        <v>19</v>
      </c>
      <c r="C1285" s="779" t="s">
        <v>260</v>
      </c>
      <c r="D1285" s="785" t="s">
        <v>192</v>
      </c>
      <c r="E1285" s="786">
        <v>12.2659</v>
      </c>
      <c r="F1285" s="787">
        <f>IFERROR(E1285*'01 Prod Physique Boites'!H1274,"-")</f>
        <v>0</v>
      </c>
      <c r="G1285" s="788">
        <f>IFERROR(E1285*'01 Prod Physique Boites'!L1274,"-")</f>
        <v>4024662.5762</v>
      </c>
      <c r="H1285" s="782">
        <v>14.79</v>
      </c>
      <c r="I1285" s="703">
        <f t="shared" ref="I1285:I1287" si="850">IFERROR(H1285*(F1285/E1285),"-")</f>
        <v>0</v>
      </c>
      <c r="J1285" s="703">
        <f>IFERROR(H1285*(G1285/E1285),"-")</f>
        <v>4852865.22</v>
      </c>
    </row>
    <row r="1286" spans="1:10" ht="23.4" x14ac:dyDescent="0.3">
      <c r="A1286" s="277"/>
      <c r="B1286" s="919"/>
      <c r="C1286" s="780" t="s">
        <v>458</v>
      </c>
      <c r="D1286" s="789"/>
      <c r="E1286" s="762">
        <v>12.2659</v>
      </c>
      <c r="F1286" s="763">
        <f>IFERROR(E1286*'01 Prod Physique Boites'!H1275,"-")</f>
        <v>725356.26240000001</v>
      </c>
      <c r="G1286" s="663">
        <f>IFERROR(E1286*'01 Prod Physique Boites'!L1275,"-")</f>
        <v>2072446.4640000002</v>
      </c>
      <c r="H1286" s="783">
        <v>14.79</v>
      </c>
      <c r="I1286" s="763">
        <f t="shared" si="850"/>
        <v>874621.43999999994</v>
      </c>
      <c r="J1286" s="763">
        <f>IFERROR(H1286*(G1286/E1286),"-")</f>
        <v>2498918.3999999999</v>
      </c>
    </row>
    <row r="1287" spans="1:10" ht="24" thickBot="1" x14ac:dyDescent="0.35">
      <c r="A1287" s="809" t="s">
        <v>111</v>
      </c>
      <c r="B1287" s="920"/>
      <c r="C1287" s="781" t="s">
        <v>417</v>
      </c>
      <c r="D1287" s="790"/>
      <c r="E1287" s="791">
        <v>0</v>
      </c>
      <c r="F1287" s="792">
        <f>IFERROR(E1287*'01 Prod Physique Boites'!H1276,"-")</f>
        <v>0</v>
      </c>
      <c r="G1287" s="793">
        <f>IFERROR(E1287*'01 Prod Physique Boites'!L1276,"-")</f>
        <v>0</v>
      </c>
      <c r="H1287" s="784">
        <v>0</v>
      </c>
      <c r="I1287" s="432" t="str">
        <f t="shared" si="850"/>
        <v>-</v>
      </c>
      <c r="J1287" s="433" t="str">
        <f t="shared" ref="J1287" si="851">IFERROR(I1287*(G1287/F1287),"-")</f>
        <v>-</v>
      </c>
    </row>
    <row r="1288" spans="1:10" ht="24" thickBot="1" x14ac:dyDescent="0.35">
      <c r="A1288" s="277" t="s">
        <v>111</v>
      </c>
      <c r="B1288" s="906" t="s">
        <v>49</v>
      </c>
      <c r="C1288" s="907"/>
      <c r="D1288" s="908"/>
      <c r="E1288" s="396"/>
      <c r="F1288" s="412">
        <f>SUM(F1285:F1287)</f>
        <v>725356.26240000001</v>
      </c>
      <c r="G1288" s="412">
        <f>SUM(G1285:G1287)</f>
        <v>6097109.0402000006</v>
      </c>
      <c r="H1288" s="397"/>
      <c r="I1288" s="412">
        <f t="shared" ref="I1288" si="852">SUM(I1287)</f>
        <v>0</v>
      </c>
      <c r="J1288" s="431">
        <f>SUM(J1285:J1287)</f>
        <v>7351783.6199999992</v>
      </c>
    </row>
    <row r="1289" spans="1:10" ht="23.4" x14ac:dyDescent="0.3">
      <c r="A1289" s="277" t="s">
        <v>111</v>
      </c>
      <c r="B1289" s="922" t="s">
        <v>20</v>
      </c>
      <c r="C1289" s="297" t="s">
        <v>370</v>
      </c>
      <c r="D1289" s="297" t="s">
        <v>324</v>
      </c>
      <c r="E1289" s="515">
        <v>26.032900000000001</v>
      </c>
      <c r="F1289" s="408">
        <f>IFERROR(E1289*'01 Prod Physique Boites'!H1278,"-")</f>
        <v>0</v>
      </c>
      <c r="G1289" s="409">
        <f>IFERROR(E1289*'01 Prod Physique Boites'!L1278,"-")</f>
        <v>0</v>
      </c>
      <c r="H1289" s="387">
        <v>36.44</v>
      </c>
      <c r="I1289" s="425">
        <f>IFERROR(H1289*(F1289/E1289),"-")</f>
        <v>0</v>
      </c>
      <c r="J1289" s="426">
        <f t="shared" ref="J1289:J1291" si="853">IFERROR(H1289*(G1289/E1289),"-")</f>
        <v>0</v>
      </c>
    </row>
    <row r="1290" spans="1:10" ht="23.4" x14ac:dyDescent="0.3">
      <c r="A1290" s="277" t="s">
        <v>111</v>
      </c>
      <c r="B1290" s="923"/>
      <c r="C1290" s="298" t="s">
        <v>122</v>
      </c>
      <c r="D1290" s="298"/>
      <c r="E1290" s="390">
        <v>24.2607</v>
      </c>
      <c r="F1290" s="408">
        <f>IFERROR(E1290*'01 Prod Physique Boites'!H1279,"-")</f>
        <v>0</v>
      </c>
      <c r="G1290" s="409">
        <f>IFERROR(E1290*'01 Prod Physique Boites'!L1279,"-")</f>
        <v>0</v>
      </c>
      <c r="H1290" s="391">
        <v>37.369999999999997</v>
      </c>
      <c r="I1290" s="427">
        <f>IFERROR(H1290*(F1290/E1290),"-")</f>
        <v>0</v>
      </c>
      <c r="J1290" s="428">
        <f t="shared" si="853"/>
        <v>0</v>
      </c>
    </row>
    <row r="1291" spans="1:10" ht="24" thickBot="1" x14ac:dyDescent="0.35">
      <c r="A1291" s="277" t="s">
        <v>111</v>
      </c>
      <c r="B1291" s="924"/>
      <c r="C1291" s="299" t="s">
        <v>128</v>
      </c>
      <c r="D1291" s="299"/>
      <c r="E1291" s="392">
        <v>26.035799999999998</v>
      </c>
      <c r="F1291" s="408">
        <f>IFERROR(E1291*'01 Prod Physique Boites'!H1280,"-")</f>
        <v>0</v>
      </c>
      <c r="G1291" s="409">
        <f>IFERROR(E1291*'01 Prod Physique Boites'!L1280,"-")</f>
        <v>0</v>
      </c>
      <c r="H1291" s="393">
        <v>37.11</v>
      </c>
      <c r="I1291" s="429">
        <f>IFERROR(H1291*(F1291/E1291),"-")</f>
        <v>0</v>
      </c>
      <c r="J1291" s="430">
        <f t="shared" si="853"/>
        <v>0</v>
      </c>
    </row>
    <row r="1292" spans="1:10" ht="24" thickBot="1" x14ac:dyDescent="0.35">
      <c r="A1292" s="277" t="s">
        <v>111</v>
      </c>
      <c r="B1292" s="907" t="s">
        <v>50</v>
      </c>
      <c r="C1292" s="907"/>
      <c r="D1292" s="925"/>
      <c r="E1292" s="396"/>
      <c r="F1292" s="412">
        <f t="shared" ref="F1292:G1292" si="854">SUM(F1289:F1291)</f>
        <v>0</v>
      </c>
      <c r="G1292" s="413">
        <f t="shared" si="854"/>
        <v>0</v>
      </c>
      <c r="H1292" s="397"/>
      <c r="I1292" s="412">
        <f t="shared" ref="I1292:J1292" si="855">SUM(I1289:I1291)</f>
        <v>0</v>
      </c>
      <c r="J1292" s="431">
        <f t="shared" si="855"/>
        <v>0</v>
      </c>
    </row>
    <row r="1293" spans="1:10" ht="24" thickBot="1" x14ac:dyDescent="0.35">
      <c r="A1293" s="277" t="s">
        <v>111</v>
      </c>
      <c r="B1293" s="926" t="s">
        <v>21</v>
      </c>
      <c r="C1293" s="927"/>
      <c r="D1293" s="928"/>
      <c r="E1293" s="399"/>
      <c r="F1293" s="416">
        <f>+F1268+F1276+F1284+F1288+F1292</f>
        <v>2590954.2504000003</v>
      </c>
      <c r="G1293" s="417">
        <f>+G1268+G1276+G1284+G1288+G1292</f>
        <v>24230284.391500004</v>
      </c>
      <c r="H1293" s="400"/>
      <c r="I1293" s="416">
        <f>+I1268+I1276+I1284+I1288+I1292</f>
        <v>3043878.6736000003</v>
      </c>
      <c r="J1293" s="434">
        <f>+J1268+J1276+J1284+J1288+J1292</f>
        <v>37927584.732799999</v>
      </c>
    </row>
    <row r="1294" spans="1:10" ht="23.4" x14ac:dyDescent="0.3">
      <c r="A1294" s="277" t="s">
        <v>111</v>
      </c>
      <c r="B1294" s="922" t="s">
        <v>22</v>
      </c>
      <c r="C1294" s="272" t="s">
        <v>133</v>
      </c>
      <c r="D1294" s="272"/>
      <c r="E1294" s="386">
        <v>22.820599999999999</v>
      </c>
      <c r="F1294" s="408">
        <f>IFERROR(E1294*'01 Prod Physique Boites'!H1283,"-")</f>
        <v>0</v>
      </c>
      <c r="G1294" s="409">
        <f>IFERROR(E1294*'01 Prod Physique Boites'!L1283,"-")</f>
        <v>0</v>
      </c>
      <c r="H1294" s="387">
        <v>27.5</v>
      </c>
      <c r="I1294" s="425">
        <f>IFERROR(H1294*(F1294/E1294),"-")</f>
        <v>0</v>
      </c>
      <c r="J1294" s="426">
        <f t="shared" ref="J1294:J1297" si="856">IFERROR(H1294*(G1294/E1294),"-")</f>
        <v>0</v>
      </c>
    </row>
    <row r="1295" spans="1:10" ht="23.4" x14ac:dyDescent="0.3">
      <c r="A1295" s="277" t="s">
        <v>111</v>
      </c>
      <c r="B1295" s="923"/>
      <c r="C1295" s="301" t="s">
        <v>291</v>
      </c>
      <c r="D1295" s="301" t="s">
        <v>196</v>
      </c>
      <c r="E1295" s="390">
        <v>23.570699999999999</v>
      </c>
      <c r="F1295" s="408">
        <f>IFERROR(E1295*'01 Prod Physique Boites'!H1284,"-")</f>
        <v>0</v>
      </c>
      <c r="G1295" s="409">
        <f>IFERROR(E1295*'01 Prod Physique Boites'!L1284,"-")</f>
        <v>0</v>
      </c>
      <c r="H1295" s="391">
        <v>27.5</v>
      </c>
      <c r="I1295" s="427">
        <f>IFERROR(H1295*(F1295/E1295),"-")</f>
        <v>0</v>
      </c>
      <c r="J1295" s="428">
        <f t="shared" si="856"/>
        <v>0</v>
      </c>
    </row>
    <row r="1296" spans="1:10" ht="23.4" x14ac:dyDescent="0.3">
      <c r="A1296" s="277" t="s">
        <v>111</v>
      </c>
      <c r="B1296" s="923"/>
      <c r="C1296" s="301" t="s">
        <v>198</v>
      </c>
      <c r="D1296" s="301" t="s">
        <v>100</v>
      </c>
      <c r="E1296" s="390">
        <v>22.238499999999998</v>
      </c>
      <c r="F1296" s="408">
        <f>IFERROR(E1296*'01 Prod Physique Boites'!H1285,"-")</f>
        <v>0</v>
      </c>
      <c r="G1296" s="409">
        <f>IFERROR(E1296*'01 Prod Physique Boites'!L1285,"-")</f>
        <v>0</v>
      </c>
      <c r="H1296" s="391">
        <v>24</v>
      </c>
      <c r="I1296" s="427">
        <f>IFERROR(H1296*(F1296/E1296),"-")</f>
        <v>0</v>
      </c>
      <c r="J1296" s="428">
        <f t="shared" si="856"/>
        <v>0</v>
      </c>
    </row>
    <row r="1297" spans="1:10" ht="24" thickBot="1" x14ac:dyDescent="0.35">
      <c r="A1297" s="277" t="s">
        <v>111</v>
      </c>
      <c r="B1297" s="924"/>
      <c r="C1297" s="282" t="s">
        <v>197</v>
      </c>
      <c r="D1297" s="282" t="s">
        <v>100</v>
      </c>
      <c r="E1297" s="392">
        <v>23.5685</v>
      </c>
      <c r="F1297" s="408">
        <f>IFERROR(E1297*'01 Prod Physique Boites'!H1286,"-")</f>
        <v>0</v>
      </c>
      <c r="G1297" s="409">
        <f>IFERROR(E1297*'01 Prod Physique Boites'!L1286,"-")</f>
        <v>0</v>
      </c>
      <c r="H1297" s="393">
        <v>24</v>
      </c>
      <c r="I1297" s="429">
        <f>IFERROR(H1297*(F1297/E1297),"-")</f>
        <v>0</v>
      </c>
      <c r="J1297" s="430">
        <f t="shared" si="856"/>
        <v>0</v>
      </c>
    </row>
    <row r="1298" spans="1:10" ht="24" thickBot="1" x14ac:dyDescent="0.35">
      <c r="A1298" s="277" t="s">
        <v>111</v>
      </c>
      <c r="B1298" s="906" t="s">
        <v>51</v>
      </c>
      <c r="C1298" s="907"/>
      <c r="D1298" s="908"/>
      <c r="E1298" s="396"/>
      <c r="F1298" s="412">
        <f t="shared" ref="F1298:G1298" si="857">SUM(F1294:F1297)</f>
        <v>0</v>
      </c>
      <c r="G1298" s="413">
        <f t="shared" si="857"/>
        <v>0</v>
      </c>
      <c r="H1298" s="397"/>
      <c r="I1298" s="412">
        <f t="shared" ref="I1298:J1298" si="858">SUM(I1294:I1297)</f>
        <v>0</v>
      </c>
      <c r="J1298" s="431">
        <f t="shared" si="858"/>
        <v>0</v>
      </c>
    </row>
    <row r="1299" spans="1:10" ht="23.4" x14ac:dyDescent="0.3">
      <c r="A1299" s="277" t="s">
        <v>111</v>
      </c>
      <c r="B1299" s="922" t="s">
        <v>23</v>
      </c>
      <c r="C1299" s="302" t="s">
        <v>348</v>
      </c>
      <c r="D1299" s="302" t="s">
        <v>263</v>
      </c>
      <c r="E1299" s="386">
        <v>101.4935</v>
      </c>
      <c r="F1299" s="408">
        <f>IFERROR(E1299*'01 Prod Physique Boites'!H1288,"-")</f>
        <v>0</v>
      </c>
      <c r="G1299" s="409">
        <f>IFERROR(E1299*'01 Prod Physique Boites'!L1288,"-")</f>
        <v>0</v>
      </c>
      <c r="H1299" s="391">
        <v>160.44999999999999</v>
      </c>
      <c r="I1299" s="425">
        <f t="shared" ref="I1299:I1306" si="859">IFERROR(H1299*(F1299/E1299),"-")</f>
        <v>0</v>
      </c>
      <c r="J1299" s="426">
        <f t="shared" ref="J1299:J1306" si="860">IFERROR(H1299*(G1299/E1299),"-")</f>
        <v>0</v>
      </c>
    </row>
    <row r="1300" spans="1:10" ht="23.4" x14ac:dyDescent="0.3">
      <c r="A1300" s="277" t="s">
        <v>111</v>
      </c>
      <c r="B1300" s="923"/>
      <c r="C1300" s="278" t="s">
        <v>24</v>
      </c>
      <c r="D1300" s="278" t="s">
        <v>263</v>
      </c>
      <c r="E1300" s="390">
        <v>101.4935</v>
      </c>
      <c r="F1300" s="408">
        <f>IFERROR(E1300*'01 Prod Physique Boites'!H1289,"-")</f>
        <v>978295.84649999999</v>
      </c>
      <c r="G1300" s="409">
        <f>IFERROR(E1300*'01 Prod Physique Boites'!L1289,"-")</f>
        <v>7372386.3465</v>
      </c>
      <c r="H1300" s="391">
        <v>160.44999999999999</v>
      </c>
      <c r="I1300" s="427">
        <f t="shared" si="859"/>
        <v>1546577.5499999998</v>
      </c>
      <c r="J1300" s="428">
        <f t="shared" si="860"/>
        <v>11654927.549999999</v>
      </c>
    </row>
    <row r="1301" spans="1:10" ht="23.4" x14ac:dyDescent="0.3">
      <c r="A1301" s="277" t="s">
        <v>111</v>
      </c>
      <c r="B1301" s="923"/>
      <c r="C1301" s="278" t="s">
        <v>261</v>
      </c>
      <c r="D1301" s="278" t="s">
        <v>263</v>
      </c>
      <c r="E1301" s="390">
        <v>101.4935</v>
      </c>
      <c r="F1301" s="408">
        <f>IFERROR(E1301*'01 Prod Physique Boites'!H1290,"-")</f>
        <v>0</v>
      </c>
      <c r="G1301" s="409">
        <f>IFERROR(E1301*'01 Prod Physique Boites'!L1290,"-")</f>
        <v>1106380.6435</v>
      </c>
      <c r="H1301" s="391">
        <v>160.44999999999999</v>
      </c>
      <c r="I1301" s="427">
        <f t="shared" si="859"/>
        <v>0</v>
      </c>
      <c r="J1301" s="428">
        <f t="shared" si="860"/>
        <v>1749065.45</v>
      </c>
    </row>
    <row r="1302" spans="1:10" ht="23.4" x14ac:dyDescent="0.3">
      <c r="A1302" s="277" t="s">
        <v>111</v>
      </c>
      <c r="B1302" s="923"/>
      <c r="C1302" s="278" t="s">
        <v>262</v>
      </c>
      <c r="D1302" s="278" t="s">
        <v>263</v>
      </c>
      <c r="E1302" s="390">
        <v>101.4935</v>
      </c>
      <c r="F1302" s="408">
        <f>IFERROR(E1302*'01 Prod Physique Boites'!H1291,"-")</f>
        <v>0</v>
      </c>
      <c r="G1302" s="409">
        <f>IFERROR(E1302*'01 Prod Physique Boites'!L1291,"-")</f>
        <v>772568.522</v>
      </c>
      <c r="H1302" s="391">
        <v>160.44999999999999</v>
      </c>
      <c r="I1302" s="427">
        <f t="shared" si="859"/>
        <v>0</v>
      </c>
      <c r="J1302" s="428">
        <f t="shared" si="860"/>
        <v>1221345.3999999999</v>
      </c>
    </row>
    <row r="1303" spans="1:10" ht="23.4" x14ac:dyDescent="0.3">
      <c r="A1303" s="277" t="s">
        <v>111</v>
      </c>
      <c r="B1303" s="923"/>
      <c r="C1303" s="301" t="s">
        <v>264</v>
      </c>
      <c r="D1303" s="278" t="s">
        <v>263</v>
      </c>
      <c r="E1303" s="390">
        <v>101.4935</v>
      </c>
      <c r="F1303" s="408">
        <f>IFERROR(E1303*'01 Prod Physique Boites'!H1292,"-")</f>
        <v>0</v>
      </c>
      <c r="G1303" s="409">
        <f>IFERROR(E1303*'01 Prod Physique Boites'!L1292,"-")</f>
        <v>0</v>
      </c>
      <c r="H1303" s="391">
        <v>160.44999999999999</v>
      </c>
      <c r="I1303" s="427">
        <f t="shared" si="859"/>
        <v>0</v>
      </c>
      <c r="J1303" s="428">
        <f t="shared" si="860"/>
        <v>0</v>
      </c>
    </row>
    <row r="1304" spans="1:10" ht="23.4" x14ac:dyDescent="0.3">
      <c r="A1304" s="277" t="s">
        <v>111</v>
      </c>
      <c r="B1304" s="923"/>
      <c r="C1304" s="301" t="s">
        <v>265</v>
      </c>
      <c r="D1304" s="278" t="s">
        <v>263</v>
      </c>
      <c r="E1304" s="390">
        <v>101.4935</v>
      </c>
      <c r="F1304" s="408">
        <f>IFERROR(E1304*'01 Prod Physique Boites'!H1293,"-")</f>
        <v>0</v>
      </c>
      <c r="G1304" s="409">
        <f>IFERROR(E1304*'01 Prod Physique Boites'!L1293,"-")</f>
        <v>0</v>
      </c>
      <c r="H1304" s="391">
        <v>160.44999999999999</v>
      </c>
      <c r="I1304" s="427">
        <f t="shared" si="859"/>
        <v>0</v>
      </c>
      <c r="J1304" s="428">
        <f t="shared" si="860"/>
        <v>0</v>
      </c>
    </row>
    <row r="1305" spans="1:10" ht="23.4" x14ac:dyDescent="0.3">
      <c r="A1305" s="277" t="s">
        <v>111</v>
      </c>
      <c r="B1305" s="923"/>
      <c r="C1305" s="301" t="s">
        <v>266</v>
      </c>
      <c r="D1305" s="278" t="s">
        <v>268</v>
      </c>
      <c r="E1305" s="390">
        <v>101.4935</v>
      </c>
      <c r="F1305" s="408">
        <f>IFERROR(E1305*'01 Prod Physique Boites'!H1294,"-")</f>
        <v>0</v>
      </c>
      <c r="G1305" s="409">
        <f>IFERROR(E1305*'01 Prod Physique Boites'!L1294,"-")</f>
        <v>1057257.7895</v>
      </c>
      <c r="H1305" s="391">
        <v>160.44999999999999</v>
      </c>
      <c r="I1305" s="427">
        <f t="shared" si="859"/>
        <v>0</v>
      </c>
      <c r="J1305" s="428">
        <f t="shared" si="860"/>
        <v>1671407.65</v>
      </c>
    </row>
    <row r="1306" spans="1:10" ht="24" thickBot="1" x14ac:dyDescent="0.35">
      <c r="A1306" s="277" t="s">
        <v>111</v>
      </c>
      <c r="B1306" s="924"/>
      <c r="C1306" s="301" t="s">
        <v>267</v>
      </c>
      <c r="D1306" s="278" t="s">
        <v>263</v>
      </c>
      <c r="E1306" s="392">
        <v>101.4935</v>
      </c>
      <c r="F1306" s="408">
        <f>IFERROR(E1306*'01 Prod Physique Boites'!H1295,"-")</f>
        <v>0</v>
      </c>
      <c r="G1306" s="409">
        <f>IFERROR(E1306*'01 Prod Physique Boites'!L1295,"-")</f>
        <v>1420909</v>
      </c>
      <c r="H1306" s="391">
        <v>160.44999999999999</v>
      </c>
      <c r="I1306" s="429">
        <f t="shared" si="859"/>
        <v>0</v>
      </c>
      <c r="J1306" s="430">
        <f t="shared" si="860"/>
        <v>2246300</v>
      </c>
    </row>
    <row r="1307" spans="1:10" ht="24" thickBot="1" x14ac:dyDescent="0.35">
      <c r="A1307" s="277" t="s">
        <v>111</v>
      </c>
      <c r="B1307" s="906" t="s">
        <v>52</v>
      </c>
      <c r="C1307" s="907"/>
      <c r="D1307" s="908"/>
      <c r="E1307" s="396"/>
      <c r="F1307" s="412">
        <f t="shared" ref="F1307:G1307" si="861">SUM(F1299:F1306)</f>
        <v>978295.84649999999</v>
      </c>
      <c r="G1307" s="413">
        <f t="shared" si="861"/>
        <v>11729502.3015</v>
      </c>
      <c r="H1307" s="397"/>
      <c r="I1307" s="412">
        <f t="shared" ref="I1307:J1307" si="862">SUM(I1299:I1306)</f>
        <v>1546577.5499999998</v>
      </c>
      <c r="J1307" s="431">
        <f t="shared" si="862"/>
        <v>18543046.049999997</v>
      </c>
    </row>
    <row r="1308" spans="1:10" ht="24" thickBot="1" x14ac:dyDescent="0.35">
      <c r="A1308" s="277" t="s">
        <v>111</v>
      </c>
      <c r="B1308" s="926" t="s">
        <v>25</v>
      </c>
      <c r="C1308" s="927"/>
      <c r="D1308" s="928"/>
      <c r="E1308" s="399"/>
      <c r="F1308" s="416">
        <f t="shared" ref="F1308:G1308" si="863">+F1298+F1307</f>
        <v>978295.84649999999</v>
      </c>
      <c r="G1308" s="417">
        <f t="shared" si="863"/>
        <v>11729502.3015</v>
      </c>
      <c r="H1308" s="400"/>
      <c r="I1308" s="416">
        <f t="shared" ref="I1308:J1308" si="864">+I1298+I1307</f>
        <v>1546577.5499999998</v>
      </c>
      <c r="J1308" s="434">
        <f t="shared" si="864"/>
        <v>18543046.049999997</v>
      </c>
    </row>
    <row r="1309" spans="1:10" ht="24" thickBot="1" x14ac:dyDescent="0.35">
      <c r="A1309" s="277" t="s">
        <v>111</v>
      </c>
      <c r="B1309" s="900" t="s">
        <v>181</v>
      </c>
      <c r="C1309" s="901"/>
      <c r="D1309" s="902"/>
      <c r="E1309" s="401"/>
      <c r="F1309" s="418">
        <f t="shared" ref="F1309:G1309" si="865">+F1293+F1308</f>
        <v>3569250.0969000002</v>
      </c>
      <c r="G1309" s="419">
        <f t="shared" si="865"/>
        <v>35959786.693000004</v>
      </c>
      <c r="H1309" s="402"/>
      <c r="I1309" s="418">
        <f t="shared" ref="I1309:J1309" si="866">+I1293+I1308</f>
        <v>4590456.2236000001</v>
      </c>
      <c r="J1309" s="435">
        <f t="shared" si="866"/>
        <v>56470630.782799996</v>
      </c>
    </row>
    <row r="1310" spans="1:10" ht="23.4" x14ac:dyDescent="0.3">
      <c r="A1310" s="271" t="s">
        <v>109</v>
      </c>
      <c r="B1310" s="929" t="s">
        <v>26</v>
      </c>
      <c r="C1310" s="303" t="s">
        <v>334</v>
      </c>
      <c r="D1310" s="305" t="s">
        <v>192</v>
      </c>
      <c r="E1310" s="515">
        <v>13.1272</v>
      </c>
      <c r="F1310" s="408">
        <f>IFERROR(E1310*'01 Prod Physique Boites'!H1299,"-")</f>
        <v>0</v>
      </c>
      <c r="G1310" s="409">
        <f>IFERROR(E1310*'01 Prod Physique Boites'!L1299,"-")</f>
        <v>4229820.1295999996</v>
      </c>
      <c r="H1310" s="387">
        <v>20.76</v>
      </c>
      <c r="I1310" s="425">
        <f t="shared" ref="I1310:I1318" si="867">IFERROR(H1310*(F1310/E1310),"-")</f>
        <v>0</v>
      </c>
      <c r="J1310" s="662">
        <f t="shared" ref="J1310:J1318" si="868">IFERROR(H1310*(G1310/E1310),"-")</f>
        <v>6689245.6799999997</v>
      </c>
    </row>
    <row r="1311" spans="1:10" ht="23.4" x14ac:dyDescent="0.3">
      <c r="A1311" s="277" t="s">
        <v>109</v>
      </c>
      <c r="B1311" s="929"/>
      <c r="C1311" s="304" t="s">
        <v>199</v>
      </c>
      <c r="D1311" s="304" t="s">
        <v>115</v>
      </c>
      <c r="E1311" s="516">
        <v>14.608000000000001</v>
      </c>
      <c r="F1311" s="408">
        <f>IFERROR(E1311*'01 Prod Physique Boites'!H1300,"-")</f>
        <v>0</v>
      </c>
      <c r="G1311" s="409">
        <f>IFERROR(E1311*'01 Prod Physique Boites'!L1300,"-")</f>
        <v>0</v>
      </c>
      <c r="H1311" s="391">
        <v>24.93</v>
      </c>
      <c r="I1311" s="427">
        <f t="shared" si="867"/>
        <v>0</v>
      </c>
      <c r="J1311" s="663">
        <f t="shared" si="868"/>
        <v>0</v>
      </c>
    </row>
    <row r="1312" spans="1:10" ht="23.4" x14ac:dyDescent="0.3">
      <c r="A1312" s="277" t="s">
        <v>109</v>
      </c>
      <c r="B1312" s="929"/>
      <c r="C1312" s="305" t="s">
        <v>27</v>
      </c>
      <c r="D1312" s="305" t="s">
        <v>310</v>
      </c>
      <c r="E1312" s="512">
        <v>17.8202</v>
      </c>
      <c r="F1312" s="408">
        <f>IFERROR(E1312*'01 Prod Physique Boites'!H1301,"-")</f>
        <v>0</v>
      </c>
      <c r="G1312" s="409">
        <f>IFERROR(E1312*'01 Prod Physique Boites'!L1301,"-")</f>
        <v>0</v>
      </c>
      <c r="H1312" s="391">
        <v>24.93</v>
      </c>
      <c r="I1312" s="427">
        <f t="shared" si="867"/>
        <v>0</v>
      </c>
      <c r="J1312" s="663">
        <f t="shared" si="868"/>
        <v>0</v>
      </c>
    </row>
    <row r="1313" spans="1:10" ht="23.4" x14ac:dyDescent="0.3">
      <c r="A1313" s="277" t="s">
        <v>109</v>
      </c>
      <c r="B1313" s="929"/>
      <c r="C1313" s="305" t="s">
        <v>27</v>
      </c>
      <c r="D1313" s="305" t="s">
        <v>311</v>
      </c>
      <c r="E1313" s="512">
        <v>17.8202</v>
      </c>
      <c r="F1313" s="408">
        <f>IFERROR(E1313*'01 Prod Physique Boites'!H1302,"-")</f>
        <v>0</v>
      </c>
      <c r="G1313" s="409">
        <f>IFERROR(E1313*'01 Prod Physique Boites'!L1302,"-")</f>
        <v>0</v>
      </c>
      <c r="H1313" s="391">
        <v>24.93</v>
      </c>
      <c r="I1313" s="427">
        <f t="shared" si="867"/>
        <v>0</v>
      </c>
      <c r="J1313" s="663">
        <f t="shared" si="868"/>
        <v>0</v>
      </c>
    </row>
    <row r="1314" spans="1:10" ht="23.4" x14ac:dyDescent="0.3">
      <c r="A1314" s="277" t="s">
        <v>109</v>
      </c>
      <c r="B1314" s="929"/>
      <c r="C1314" s="305" t="s">
        <v>325</v>
      </c>
      <c r="D1314" s="305" t="s">
        <v>324</v>
      </c>
      <c r="E1314" s="512">
        <v>14.608000000000001</v>
      </c>
      <c r="F1314" s="408">
        <f>IFERROR(E1314*'01 Prod Physique Boites'!H1303,"-")</f>
        <v>0</v>
      </c>
      <c r="G1314" s="409">
        <f>IFERROR(E1314*'01 Prod Physique Boites'!L1303,"-")</f>
        <v>0</v>
      </c>
      <c r="H1314" s="391">
        <v>24.93</v>
      </c>
      <c r="I1314" s="427">
        <f t="shared" si="867"/>
        <v>0</v>
      </c>
      <c r="J1314" s="663">
        <f t="shared" si="868"/>
        <v>0</v>
      </c>
    </row>
    <row r="1315" spans="1:10" ht="23.4" x14ac:dyDescent="0.3">
      <c r="A1315" s="277"/>
      <c r="B1315" s="929"/>
      <c r="C1315" s="305" t="s">
        <v>393</v>
      </c>
      <c r="D1315" s="305" t="s">
        <v>192</v>
      </c>
      <c r="E1315" s="512">
        <v>17.8202</v>
      </c>
      <c r="F1315" s="408">
        <f>IFERROR(E1315*'01 Prod Physique Boites'!H1304,"-")</f>
        <v>0</v>
      </c>
      <c r="G1315" s="409">
        <f>IFERROR(E1315*'01 Prod Physique Boites'!L1304,"-")</f>
        <v>0</v>
      </c>
      <c r="H1315" s="393">
        <v>21.22</v>
      </c>
      <c r="I1315" s="427">
        <f t="shared" si="867"/>
        <v>0</v>
      </c>
      <c r="J1315" s="664">
        <f t="shared" si="868"/>
        <v>0</v>
      </c>
    </row>
    <row r="1316" spans="1:10" ht="23.4" x14ac:dyDescent="0.3">
      <c r="A1316" s="277"/>
      <c r="B1316" s="929"/>
      <c r="C1316" s="305" t="s">
        <v>325</v>
      </c>
      <c r="D1316" s="305" t="s">
        <v>101</v>
      </c>
      <c r="E1316" s="512">
        <v>14.608000000000001</v>
      </c>
      <c r="F1316" s="408">
        <f>IFERROR(E1316*'01 Prod Physique Boites'!H1305,"-")</f>
        <v>0</v>
      </c>
      <c r="G1316" s="409">
        <f>IFERROR(E1316*'01 Prod Physique Boites'!L1305,"-")</f>
        <v>58110.624000000003</v>
      </c>
      <c r="H1316" s="393">
        <v>24.93</v>
      </c>
      <c r="I1316" s="429">
        <f t="shared" si="867"/>
        <v>0</v>
      </c>
      <c r="J1316" s="664">
        <f t="shared" si="868"/>
        <v>99171.54</v>
      </c>
    </row>
    <row r="1317" spans="1:10" ht="23.4" x14ac:dyDescent="0.3">
      <c r="A1317" s="277"/>
      <c r="B1317" s="929"/>
      <c r="C1317" s="305" t="s">
        <v>325</v>
      </c>
      <c r="D1317" s="305" t="s">
        <v>394</v>
      </c>
      <c r="E1317" s="512">
        <v>14.608000000000001</v>
      </c>
      <c r="F1317" s="408">
        <f>IFERROR(E1317*'01 Prod Physique Boites'!H1306,"-")</f>
        <v>174331.872</v>
      </c>
      <c r="G1317" s="409">
        <f>IFERROR(E1317*'01 Prod Physique Boites'!L1306,"-")</f>
        <v>10053137.952</v>
      </c>
      <c r="H1317" s="393">
        <v>21.22</v>
      </c>
      <c r="I1317" s="429">
        <f t="shared" si="867"/>
        <v>253239.47999999998</v>
      </c>
      <c r="J1317" s="664">
        <f t="shared" si="868"/>
        <v>14603476.68</v>
      </c>
    </row>
    <row r="1318" spans="1:10" ht="24" thickBot="1" x14ac:dyDescent="0.35">
      <c r="A1318" s="277" t="s">
        <v>109</v>
      </c>
      <c r="B1318" s="929"/>
      <c r="C1318" s="306" t="s">
        <v>326</v>
      </c>
      <c r="D1318" s="305" t="s">
        <v>324</v>
      </c>
      <c r="E1318" s="512">
        <v>12.6997</v>
      </c>
      <c r="F1318" s="408">
        <f>IFERROR(E1318*'01 Prod Physique Boites'!H1307,"-")</f>
        <v>0</v>
      </c>
      <c r="G1318" s="409">
        <f>IFERROR(E1318*'01 Prod Physique Boites'!L1307,"-")</f>
        <v>101038.8132</v>
      </c>
      <c r="H1318" s="393">
        <v>13.25</v>
      </c>
      <c r="I1318" s="429">
        <f t="shared" si="867"/>
        <v>0</v>
      </c>
      <c r="J1318" s="664">
        <f t="shared" si="868"/>
        <v>105417</v>
      </c>
    </row>
    <row r="1319" spans="1:10" ht="24" thickBot="1" x14ac:dyDescent="0.35">
      <c r="A1319" s="277" t="s">
        <v>109</v>
      </c>
      <c r="B1319" s="930"/>
      <c r="C1319" s="307"/>
      <c r="D1319" s="308" t="s">
        <v>55</v>
      </c>
      <c r="E1319" s="396"/>
      <c r="F1319" s="412">
        <f>SUM(F1310:F1318)</f>
        <v>174331.872</v>
      </c>
      <c r="G1319" s="413">
        <f t="shared" ref="G1319" si="869">SUM(G1310:G1318)</f>
        <v>14442107.5188</v>
      </c>
      <c r="H1319" s="397"/>
      <c r="I1319" s="412">
        <f t="shared" ref="I1319" si="870">SUM(I1310:I1318)</f>
        <v>253239.47999999998</v>
      </c>
      <c r="J1319" s="431">
        <f>SUM(J1310:J1318)</f>
        <v>21497310.899999999</v>
      </c>
    </row>
    <row r="1320" spans="1:10" ht="23.4" x14ac:dyDescent="0.3">
      <c r="A1320" s="277" t="s">
        <v>109</v>
      </c>
      <c r="B1320" s="931" t="s">
        <v>28</v>
      </c>
      <c r="C1320" s="303" t="s">
        <v>27</v>
      </c>
      <c r="D1320" s="303" t="s">
        <v>193</v>
      </c>
      <c r="E1320" s="515">
        <v>12.6997</v>
      </c>
      <c r="F1320" s="408">
        <f>IFERROR(E1320*'01 Prod Physique Boites'!H1309,"-")</f>
        <v>0</v>
      </c>
      <c r="G1320" s="409">
        <f>IFERROR(E1320*'01 Prod Physique Boites'!L1309,"-")</f>
        <v>0</v>
      </c>
      <c r="H1320" s="387">
        <v>13.25</v>
      </c>
      <c r="I1320" s="425">
        <f>IFERROR(H1320*(F1320/E1320),"-")</f>
        <v>0</v>
      </c>
      <c r="J1320" s="662">
        <f t="shared" ref="J1320:J1322" si="871">IFERROR(H1320*(G1320/E1320),"-")</f>
        <v>0</v>
      </c>
    </row>
    <row r="1321" spans="1:10" ht="23.4" x14ac:dyDescent="0.3">
      <c r="A1321" s="277" t="s">
        <v>109</v>
      </c>
      <c r="B1321" s="929"/>
      <c r="C1321" s="305" t="s">
        <v>27</v>
      </c>
      <c r="D1321" s="305" t="s">
        <v>311</v>
      </c>
      <c r="E1321" s="512">
        <v>17.8202</v>
      </c>
      <c r="F1321" s="408">
        <f>IFERROR(E1321*'01 Prod Physique Boites'!H1310,"-")</f>
        <v>0</v>
      </c>
      <c r="G1321" s="409">
        <f>IFERROR(E1321*'01 Prod Physique Boites'!L1310,"-")</f>
        <v>0</v>
      </c>
      <c r="H1321" s="391">
        <v>24.93</v>
      </c>
      <c r="I1321" s="427">
        <f>IFERROR(H1321*(F1321/E1321),"-")</f>
        <v>0</v>
      </c>
      <c r="J1321" s="663">
        <f t="shared" si="871"/>
        <v>0</v>
      </c>
    </row>
    <row r="1322" spans="1:10" ht="24" thickBot="1" x14ac:dyDescent="0.35">
      <c r="A1322" s="277" t="s">
        <v>109</v>
      </c>
      <c r="B1322" s="929"/>
      <c r="C1322" s="305" t="s">
        <v>27</v>
      </c>
      <c r="D1322" s="306" t="s">
        <v>259</v>
      </c>
      <c r="E1322" s="512">
        <v>17.8202</v>
      </c>
      <c r="F1322" s="408">
        <f>IFERROR(E1322*'01 Prod Physique Boites'!H1311,"-")</f>
        <v>1913996.4012</v>
      </c>
      <c r="G1322" s="409">
        <f>IFERROR(E1322*'01 Prod Physique Boites'!L1311,"-")</f>
        <v>3189994.0019999999</v>
      </c>
      <c r="H1322" s="391">
        <v>24.93</v>
      </c>
      <c r="I1322" s="429">
        <f>IFERROR(H1322*(F1322/E1322),"-")</f>
        <v>2677631.58</v>
      </c>
      <c r="J1322" s="664">
        <f t="shared" si="871"/>
        <v>4462719.3</v>
      </c>
    </row>
    <row r="1323" spans="1:10" ht="24" thickBot="1" x14ac:dyDescent="0.35">
      <c r="A1323" s="277" t="s">
        <v>109</v>
      </c>
      <c r="B1323" s="929"/>
      <c r="C1323" s="310"/>
      <c r="D1323" s="311" t="s">
        <v>55</v>
      </c>
      <c r="E1323" s="403"/>
      <c r="F1323" s="420">
        <f t="shared" ref="F1323:G1323" si="872">SUM(F1320:F1322)</f>
        <v>1913996.4012</v>
      </c>
      <c r="G1323" s="421">
        <f t="shared" si="872"/>
        <v>3189994.0019999999</v>
      </c>
      <c r="H1323" s="404"/>
      <c r="I1323" s="420">
        <f t="shared" ref="I1323:J1323" si="873">SUM(I1320:I1322)</f>
        <v>2677631.58</v>
      </c>
      <c r="J1323" s="436">
        <f t="shared" si="873"/>
        <v>4462719.3</v>
      </c>
    </row>
    <row r="1324" spans="1:10" ht="24" thickBot="1" x14ac:dyDescent="0.35">
      <c r="A1324" s="809" t="s">
        <v>109</v>
      </c>
      <c r="B1324" s="932" t="s">
        <v>171</v>
      </c>
      <c r="C1324" s="933"/>
      <c r="D1324" s="934"/>
      <c r="E1324" s="405"/>
      <c r="F1324" s="422">
        <f t="shared" ref="F1324:G1324" si="874">+F1319+F1323</f>
        <v>2088328.2731999999</v>
      </c>
      <c r="G1324" s="423">
        <f t="shared" si="874"/>
        <v>17632101.520799998</v>
      </c>
      <c r="H1324" s="406"/>
      <c r="I1324" s="422">
        <f t="shared" ref="I1324:J1324" si="875">+I1319+I1323</f>
        <v>2930871.06</v>
      </c>
      <c r="J1324" s="437">
        <f t="shared" si="875"/>
        <v>25960030.199999999</v>
      </c>
    </row>
    <row r="1325" spans="1:10" ht="23.4" x14ac:dyDescent="0.3">
      <c r="A1325" s="277" t="s">
        <v>109</v>
      </c>
      <c r="B1325" s="929" t="s">
        <v>30</v>
      </c>
      <c r="C1325" s="309" t="s">
        <v>375</v>
      </c>
      <c r="D1325" s="303" t="s">
        <v>193</v>
      </c>
      <c r="E1325" s="515">
        <v>15.2788</v>
      </c>
      <c r="F1325" s="408">
        <f>IFERROR(E1325*'01 Prod Physique Boites'!H1314,"-")</f>
        <v>0</v>
      </c>
      <c r="G1325" s="409">
        <f>IFERROR(E1325*'01 Prod Physique Boites'!L1314,"-")</f>
        <v>0</v>
      </c>
      <c r="H1325" s="387">
        <v>23.65</v>
      </c>
      <c r="I1325" s="425">
        <f>IFERROR(H1325*(F1325/E1325),"-")</f>
        <v>0</v>
      </c>
      <c r="J1325" s="426">
        <f t="shared" ref="J1325:J1327" si="876">IFERROR(H1325*(G1325/E1325),"-")</f>
        <v>0</v>
      </c>
    </row>
    <row r="1326" spans="1:10" ht="23.4" x14ac:dyDescent="0.3">
      <c r="A1326" s="277" t="s">
        <v>109</v>
      </c>
      <c r="B1326" s="929"/>
      <c r="C1326" s="309" t="s">
        <v>368</v>
      </c>
      <c r="D1326" s="309" t="s">
        <v>324</v>
      </c>
      <c r="E1326" s="516">
        <v>22.6356</v>
      </c>
      <c r="F1326" s="408">
        <f>IFERROR(E1326*'01 Prod Physique Boites'!H1315,"-")</f>
        <v>0</v>
      </c>
      <c r="G1326" s="409">
        <f>IFERROR(E1326*'01 Prod Physique Boites'!L1315,"-")</f>
        <v>0</v>
      </c>
      <c r="H1326" s="391">
        <v>34.26</v>
      </c>
      <c r="I1326" s="427">
        <f>IFERROR(H1326*(F1326/E1326),"-")</f>
        <v>0</v>
      </c>
      <c r="J1326" s="428">
        <f t="shared" si="876"/>
        <v>0</v>
      </c>
    </row>
    <row r="1327" spans="1:10" ht="24" thickBot="1" x14ac:dyDescent="0.35">
      <c r="A1327" s="277" t="s">
        <v>109</v>
      </c>
      <c r="B1327" s="929"/>
      <c r="C1327" s="306" t="s">
        <v>327</v>
      </c>
      <c r="D1327" s="306"/>
      <c r="E1327" s="512">
        <v>25.751300000000001</v>
      </c>
      <c r="F1327" s="408">
        <f>IFERROR(E1327*'01 Prod Physique Boites'!H1316,"-")</f>
        <v>0</v>
      </c>
      <c r="G1327" s="409">
        <f>IFERROR(E1327*'01 Prod Physique Boites'!L1316,"-")</f>
        <v>0</v>
      </c>
      <c r="H1327" s="393">
        <v>37.89</v>
      </c>
      <c r="I1327" s="429">
        <f>IFERROR(H1327*(F1327/E1327),"-")</f>
        <v>0</v>
      </c>
      <c r="J1327" s="430">
        <f t="shared" si="876"/>
        <v>0</v>
      </c>
    </row>
    <row r="1328" spans="1:10" ht="24" thickBot="1" x14ac:dyDescent="0.35">
      <c r="A1328" s="277" t="s">
        <v>109</v>
      </c>
      <c r="B1328" s="929"/>
      <c r="C1328" s="307"/>
      <c r="D1328" s="308" t="s">
        <v>53</v>
      </c>
      <c r="E1328" s="396"/>
      <c r="F1328" s="412">
        <f t="shared" ref="F1328:G1328" si="877">SUM(F1325:F1327)</f>
        <v>0</v>
      </c>
      <c r="G1328" s="413">
        <f t="shared" si="877"/>
        <v>0</v>
      </c>
      <c r="H1328" s="397"/>
      <c r="I1328" s="412">
        <f t="shared" ref="I1328" si="878">SUM(I1325:I1327)</f>
        <v>0</v>
      </c>
      <c r="J1328" s="431">
        <f>SUM(J1325:J1327)</f>
        <v>0</v>
      </c>
    </row>
    <row r="1329" spans="1:10" ht="23.4" x14ac:dyDescent="0.3">
      <c r="A1329" s="277" t="s">
        <v>109</v>
      </c>
      <c r="B1329" s="929"/>
      <c r="C1329" s="303" t="s">
        <v>352</v>
      </c>
      <c r="D1329" s="303"/>
      <c r="E1329" s="515">
        <v>22.094999999999999</v>
      </c>
      <c r="F1329" s="408">
        <f>IFERROR(E1329*'01 Prod Physique Boites'!H1318,"-")</f>
        <v>0</v>
      </c>
      <c r="G1329" s="409">
        <f>IFERROR(E1329*'01 Prod Physique Boites'!L1318,"-")</f>
        <v>0</v>
      </c>
      <c r="H1329" s="387">
        <v>37.11</v>
      </c>
      <c r="I1329" s="425">
        <f>IFERROR(H1329*(F1329/E1329),"-")</f>
        <v>0</v>
      </c>
      <c r="J1329" s="426">
        <f t="shared" ref="J1329:J1331" si="879">IFERROR(H1329*(G1329/E1329),"-")</f>
        <v>0</v>
      </c>
    </row>
    <row r="1330" spans="1:10" ht="23.4" x14ac:dyDescent="0.3">
      <c r="A1330" s="277" t="s">
        <v>109</v>
      </c>
      <c r="B1330" s="929"/>
      <c r="C1330" s="309" t="s">
        <v>397</v>
      </c>
      <c r="D1330" s="309" t="s">
        <v>259</v>
      </c>
      <c r="E1330" s="516">
        <v>27.917000000000002</v>
      </c>
      <c r="F1330" s="408">
        <f>IFERROR(E1330*'01 Prod Physique Boites'!H1319,"-")</f>
        <v>261303.12000000002</v>
      </c>
      <c r="G1330" s="409">
        <f>IFERROR(E1330*'01 Prod Physique Boites'!L1319,"-")</f>
        <v>10608906.672</v>
      </c>
      <c r="H1330" s="391">
        <v>39</v>
      </c>
      <c r="I1330" s="427">
        <f>IFERROR(H1330*(F1330/E1330),"-")</f>
        <v>365040</v>
      </c>
      <c r="J1330" s="428">
        <f t="shared" si="879"/>
        <v>14820624</v>
      </c>
    </row>
    <row r="1331" spans="1:10" ht="24" thickBot="1" x14ac:dyDescent="0.35">
      <c r="A1331" s="277" t="s">
        <v>109</v>
      </c>
      <c r="B1331" s="929"/>
      <c r="C1331" s="306" t="s">
        <v>146</v>
      </c>
      <c r="D1331" s="306"/>
      <c r="E1331" s="512">
        <v>25.4041</v>
      </c>
      <c r="F1331" s="408">
        <f>IFERROR(E1331*'01 Prod Physique Boites'!H1320,"-")</f>
        <v>0</v>
      </c>
      <c r="G1331" s="409">
        <f>IFERROR(E1331*'01 Prod Physique Boites'!L1320,"-")</f>
        <v>0</v>
      </c>
      <c r="H1331" s="393">
        <v>28.21</v>
      </c>
      <c r="I1331" s="429">
        <f>IFERROR(H1331*(F1331/E1331),"-")</f>
        <v>0</v>
      </c>
      <c r="J1331" s="430">
        <f t="shared" si="879"/>
        <v>0</v>
      </c>
    </row>
    <row r="1332" spans="1:10" ht="24" thickBot="1" x14ac:dyDescent="0.35">
      <c r="A1332" s="277" t="s">
        <v>109</v>
      </c>
      <c r="B1332" s="929"/>
      <c r="C1332" s="310"/>
      <c r="D1332" s="311" t="s">
        <v>54</v>
      </c>
      <c r="E1332" s="403"/>
      <c r="F1332" s="420">
        <f t="shared" ref="F1332:G1332" si="880">SUM(F1329:F1331)</f>
        <v>261303.12000000002</v>
      </c>
      <c r="G1332" s="421">
        <f t="shared" si="880"/>
        <v>10608906.672</v>
      </c>
      <c r="H1332" s="404"/>
      <c r="I1332" s="420">
        <f t="shared" ref="I1332" si="881">SUM(I1329:I1331)</f>
        <v>365040</v>
      </c>
      <c r="J1332" s="436">
        <f>SUM(J1329:J1331)</f>
        <v>14820624</v>
      </c>
    </row>
    <row r="1333" spans="1:10" ht="24" thickBot="1" x14ac:dyDescent="0.35">
      <c r="A1333" s="277" t="s">
        <v>109</v>
      </c>
      <c r="B1333" s="932" t="s">
        <v>172</v>
      </c>
      <c r="C1333" s="933"/>
      <c r="D1333" s="934"/>
      <c r="E1333" s="405"/>
      <c r="F1333" s="422">
        <f t="shared" ref="F1333:G1333" si="882">+F1328+F1332</f>
        <v>261303.12000000002</v>
      </c>
      <c r="G1333" s="423">
        <f t="shared" si="882"/>
        <v>10608906.672</v>
      </c>
      <c r="H1333" s="406"/>
      <c r="I1333" s="422">
        <f t="shared" ref="I1333:J1333" si="883">+I1328+I1332</f>
        <v>365040</v>
      </c>
      <c r="J1333" s="437">
        <f t="shared" si="883"/>
        <v>14820624</v>
      </c>
    </row>
    <row r="1334" spans="1:10" ht="24" thickBot="1" x14ac:dyDescent="0.35">
      <c r="A1334" s="277" t="s">
        <v>109</v>
      </c>
      <c r="B1334" s="617" t="s">
        <v>32</v>
      </c>
      <c r="C1334" s="805"/>
      <c r="D1334" s="316"/>
      <c r="E1334" s="517">
        <v>12.2659</v>
      </c>
      <c r="F1334" s="414">
        <f>IFERROR(E1334*'01 Prod Physique Boites'!H1323,"-")</f>
        <v>0</v>
      </c>
      <c r="G1334" s="415">
        <f>IFERROR(E1334*'01 Prod Physique Boites'!L1323,"-")</f>
        <v>0</v>
      </c>
      <c r="H1334" s="398"/>
      <c r="I1334" s="432">
        <f>IFERROR(H1334*(F1334/E1334),"-")</f>
        <v>0</v>
      </c>
      <c r="J1334" s="433">
        <f>IFERROR(H1334*(G1334/E1334),"-")</f>
        <v>0</v>
      </c>
    </row>
    <row r="1335" spans="1:10" ht="24" thickBot="1" x14ac:dyDescent="0.35">
      <c r="A1335" s="277" t="s">
        <v>109</v>
      </c>
      <c r="B1335" s="926" t="s">
        <v>21</v>
      </c>
      <c r="C1335" s="927"/>
      <c r="D1335" s="928"/>
      <c r="E1335" s="399"/>
      <c r="F1335" s="416">
        <f t="shared" ref="F1335" si="884">+F1324+F1333+F1334</f>
        <v>2349631.3931999998</v>
      </c>
      <c r="G1335" s="417">
        <f>+G1324+G1333+G1334</f>
        <v>28241008.1928</v>
      </c>
      <c r="H1335" s="400"/>
      <c r="I1335" s="416">
        <f t="shared" ref="I1335:J1335" si="885">+I1324+I1333+I1334</f>
        <v>3295911.06</v>
      </c>
      <c r="J1335" s="434">
        <f t="shared" si="885"/>
        <v>40780654.200000003</v>
      </c>
    </row>
    <row r="1336" spans="1:10" ht="24" thickBot="1" x14ac:dyDescent="0.35">
      <c r="A1336" s="277" t="s">
        <v>109</v>
      </c>
      <c r="B1336" s="900" t="s">
        <v>180</v>
      </c>
      <c r="C1336" s="901"/>
      <c r="D1336" s="902"/>
      <c r="E1336" s="401"/>
      <c r="F1336" s="418">
        <f t="shared" ref="F1336:G1336" si="886">+F1335</f>
        <v>2349631.3931999998</v>
      </c>
      <c r="G1336" s="419">
        <f t="shared" si="886"/>
        <v>28241008.1928</v>
      </c>
      <c r="H1336" s="402"/>
      <c r="I1336" s="418">
        <f t="shared" ref="I1336:J1336" si="887">+I1335</f>
        <v>3295911.06</v>
      </c>
      <c r="J1336" s="435">
        <f t="shared" si="887"/>
        <v>40780654.200000003</v>
      </c>
    </row>
    <row r="1337" spans="1:10" ht="23.4" x14ac:dyDescent="0.3">
      <c r="A1337" s="271" t="s">
        <v>110</v>
      </c>
      <c r="B1337" s="903" t="s">
        <v>33</v>
      </c>
      <c r="C1337" s="317" t="s">
        <v>121</v>
      </c>
      <c r="D1337" s="317"/>
      <c r="E1337" s="513">
        <v>254.89750000000001</v>
      </c>
      <c r="F1337" s="408">
        <f>IFERROR(E1337*'01 Prod Physique Boites'!H1326,"-")</f>
        <v>0</v>
      </c>
      <c r="G1337" s="409">
        <f>IFERROR(E1337*'01 Prod Physique Boites'!L1326,"-")</f>
        <v>0</v>
      </c>
      <c r="H1337" s="387">
        <v>445.38</v>
      </c>
      <c r="I1337" s="425">
        <f>IFERROR(H1337*(F1337/E1337),"-")</f>
        <v>0</v>
      </c>
      <c r="J1337" s="426">
        <f t="shared" ref="J1337:J1339" si="888">IFERROR(H1337*(G1337/E1337),"-")</f>
        <v>0</v>
      </c>
    </row>
    <row r="1338" spans="1:10" ht="23.4" x14ac:dyDescent="0.3">
      <c r="A1338" s="277" t="s">
        <v>110</v>
      </c>
      <c r="B1338" s="904"/>
      <c r="C1338" s="318" t="s">
        <v>274</v>
      </c>
      <c r="D1338" s="318"/>
      <c r="E1338" s="514">
        <v>246.51390000000001</v>
      </c>
      <c r="F1338" s="408">
        <f>IFERROR(E1338*'01 Prod Physique Boites'!H1327,"-")</f>
        <v>0</v>
      </c>
      <c r="G1338" s="409">
        <f>IFERROR(E1338*'01 Prod Physique Boites'!L1327,"-")</f>
        <v>2287648.9920000001</v>
      </c>
      <c r="H1338" s="391">
        <v>430.02</v>
      </c>
      <c r="I1338" s="427">
        <f>IFERROR(H1338*(F1338/E1338),"-")</f>
        <v>0</v>
      </c>
      <c r="J1338" s="428">
        <f t="shared" si="888"/>
        <v>3990585.5999999996</v>
      </c>
    </row>
    <row r="1339" spans="1:10" ht="24" thickBot="1" x14ac:dyDescent="0.35">
      <c r="A1339" s="277" t="s">
        <v>110</v>
      </c>
      <c r="B1339" s="905"/>
      <c r="C1339" s="319" t="s">
        <v>34</v>
      </c>
      <c r="D1339" s="319"/>
      <c r="E1339" s="511">
        <v>225.7713</v>
      </c>
      <c r="F1339" s="408">
        <f>IFERROR(E1339*'01 Prod Physique Boites'!H1328,"-")</f>
        <v>0</v>
      </c>
      <c r="G1339" s="409">
        <f>IFERROR(E1339*'01 Prod Physique Boites'!L1328,"-")</f>
        <v>0</v>
      </c>
      <c r="H1339" s="393"/>
      <c r="I1339" s="429">
        <f>IFERROR(H1339*(F1339/E1339),"-")</f>
        <v>0</v>
      </c>
      <c r="J1339" s="430">
        <f t="shared" si="888"/>
        <v>0</v>
      </c>
    </row>
    <row r="1340" spans="1:10" ht="24" thickBot="1" x14ac:dyDescent="0.35">
      <c r="A1340" s="277" t="s">
        <v>110</v>
      </c>
      <c r="B1340" s="906" t="s">
        <v>35</v>
      </c>
      <c r="C1340" s="907"/>
      <c r="D1340" s="908"/>
      <c r="E1340" s="396"/>
      <c r="F1340" s="412">
        <f t="shared" ref="F1340:G1340" si="889">SUM(F1337:F1339)</f>
        <v>0</v>
      </c>
      <c r="G1340" s="413">
        <f t="shared" si="889"/>
        <v>2287648.9920000001</v>
      </c>
      <c r="H1340" s="397"/>
      <c r="I1340" s="412">
        <f t="shared" ref="I1340:J1340" si="890">SUM(I1337:I1339)</f>
        <v>0</v>
      </c>
      <c r="J1340" s="431">
        <f t="shared" si="890"/>
        <v>3990585.5999999996</v>
      </c>
    </row>
    <row r="1341" spans="1:10" ht="23.4" x14ac:dyDescent="0.3">
      <c r="A1341" s="277" t="s">
        <v>110</v>
      </c>
      <c r="B1341" s="903" t="s">
        <v>36</v>
      </c>
      <c r="C1341" s="317" t="s">
        <v>121</v>
      </c>
      <c r="D1341" s="317"/>
      <c r="E1341" s="513">
        <v>254.89750000000001</v>
      </c>
      <c r="F1341" s="408">
        <f>IFERROR(E1341*'01 Prod Physique Boites'!H1330,"-")</f>
        <v>0</v>
      </c>
      <c r="G1341" s="409">
        <f>IFERROR(E1341*'01 Prod Physique Boites'!L1330,"-")</f>
        <v>0</v>
      </c>
      <c r="H1341" s="387">
        <v>445.38</v>
      </c>
      <c r="I1341" s="425">
        <f>IFERROR(H1341*(F1341/E1341),"-")</f>
        <v>0</v>
      </c>
      <c r="J1341" s="426">
        <f t="shared" ref="J1341:J1344" si="891">IFERROR(H1341*(G1341/E1341),"-")</f>
        <v>0</v>
      </c>
    </row>
    <row r="1342" spans="1:10" ht="23.4" x14ac:dyDescent="0.3">
      <c r="A1342" s="277" t="s">
        <v>110</v>
      </c>
      <c r="B1342" s="904"/>
      <c r="C1342" s="318" t="s">
        <v>274</v>
      </c>
      <c r="D1342" s="318"/>
      <c r="E1342" s="514">
        <v>246.51390000000001</v>
      </c>
      <c r="F1342" s="408">
        <f>IFERROR(E1342*'01 Prod Physique Boites'!H1331,"-")</f>
        <v>2445417.8880000003</v>
      </c>
      <c r="G1342" s="409">
        <f>IFERROR(E1342*'01 Prod Physique Boites'!L1331,"-")</f>
        <v>11367248.956800001</v>
      </c>
      <c r="H1342" s="391">
        <v>430.02</v>
      </c>
      <c r="I1342" s="427">
        <f>IFERROR(H1342*(F1342/E1342),"-")</f>
        <v>4265798.3999999994</v>
      </c>
      <c r="J1342" s="428">
        <f t="shared" si="891"/>
        <v>19829082.239999998</v>
      </c>
    </row>
    <row r="1343" spans="1:10" ht="23.4" x14ac:dyDescent="0.3">
      <c r="A1343" s="277" t="s">
        <v>110</v>
      </c>
      <c r="B1343" s="904"/>
      <c r="C1343" s="318" t="s">
        <v>201</v>
      </c>
      <c r="D1343" s="318" t="s">
        <v>200</v>
      </c>
      <c r="E1343" s="514">
        <v>254.89750000000001</v>
      </c>
      <c r="F1343" s="408">
        <f>IFERROR(E1343*'01 Prod Physique Boites'!H1332,"-")</f>
        <v>0</v>
      </c>
      <c r="G1343" s="409">
        <f>IFERROR(E1343*'01 Prod Physique Boites'!L1332,"-")</f>
        <v>0</v>
      </c>
      <c r="H1343" s="391"/>
      <c r="I1343" s="427">
        <f>IFERROR(H1343*(F1343/E1343),"-")</f>
        <v>0</v>
      </c>
      <c r="J1343" s="428">
        <f t="shared" si="891"/>
        <v>0</v>
      </c>
    </row>
    <row r="1344" spans="1:10" ht="24" thickBot="1" x14ac:dyDescent="0.35">
      <c r="A1344" s="277" t="s">
        <v>110</v>
      </c>
      <c r="B1344" s="905"/>
      <c r="C1344" s="319" t="s">
        <v>37</v>
      </c>
      <c r="D1344" s="319"/>
      <c r="E1344" s="511">
        <v>229.99359999999999</v>
      </c>
      <c r="F1344" s="408">
        <f>IFERROR(E1344*'01 Prod Physique Boites'!H1333,"-")</f>
        <v>0</v>
      </c>
      <c r="G1344" s="409">
        <f>IFERROR(E1344*'01 Prod Physique Boites'!L1333,"-")</f>
        <v>0</v>
      </c>
      <c r="H1344" s="393"/>
      <c r="I1344" s="429">
        <f>IFERROR(H1344*(F1344/E1344),"-")</f>
        <v>0</v>
      </c>
      <c r="J1344" s="430">
        <f t="shared" si="891"/>
        <v>0</v>
      </c>
    </row>
    <row r="1345" spans="1:10" ht="24" thickBot="1" x14ac:dyDescent="0.35">
      <c r="A1345" s="277" t="s">
        <v>110</v>
      </c>
      <c r="B1345" s="906" t="s">
        <v>38</v>
      </c>
      <c r="C1345" s="907"/>
      <c r="D1345" s="908"/>
      <c r="E1345" s="396"/>
      <c r="F1345" s="412">
        <f t="shared" ref="F1345:G1345" si="892">SUM(F1341:F1344)</f>
        <v>2445417.8880000003</v>
      </c>
      <c r="G1345" s="413">
        <f t="shared" si="892"/>
        <v>11367248.956800001</v>
      </c>
      <c r="H1345" s="397"/>
      <c r="I1345" s="412">
        <f>SUM(I1341:I1344)</f>
        <v>4265798.3999999994</v>
      </c>
      <c r="J1345" s="431">
        <f>SUM(J1341:J1344)</f>
        <v>19829082.239999998</v>
      </c>
    </row>
    <row r="1346" spans="1:10" ht="23.4" x14ac:dyDescent="0.3">
      <c r="A1346" s="277" t="s">
        <v>110</v>
      </c>
      <c r="B1346" s="903" t="s">
        <v>39</v>
      </c>
      <c r="C1346" s="320" t="s">
        <v>124</v>
      </c>
      <c r="D1346" s="320"/>
      <c r="E1346" s="513">
        <v>195.2808</v>
      </c>
      <c r="F1346" s="408">
        <f>IFERROR(E1346*'01 Prod Physique Boites'!H1336,"-")</f>
        <v>0</v>
      </c>
      <c r="G1346" s="409">
        <f>IFERROR(E1346*'01 Prod Physique Boites'!L1336,"-")</f>
        <v>0</v>
      </c>
      <c r="H1346" s="387"/>
      <c r="I1346" s="425">
        <f>IFERROR(H1346*(F1346/E1346),"-")</f>
        <v>0</v>
      </c>
      <c r="J1346" s="426">
        <f t="shared" ref="J1346:J1347" si="893">IFERROR(H1346*(G1346/E1346),"-")</f>
        <v>0</v>
      </c>
    </row>
    <row r="1347" spans="1:10" ht="24" thickBot="1" x14ac:dyDescent="0.35">
      <c r="A1347" s="277" t="s">
        <v>110</v>
      </c>
      <c r="B1347" s="905"/>
      <c r="C1347" s="290" t="s">
        <v>140</v>
      </c>
      <c r="D1347" s="290"/>
      <c r="E1347" s="511">
        <v>189.91890000000001</v>
      </c>
      <c r="F1347" s="408">
        <f>IFERROR(E1347*'01 Prod Physique Boites'!H1337,"-")</f>
        <v>0</v>
      </c>
      <c r="G1347" s="409">
        <f>IFERROR(E1347*'01 Prod Physique Boites'!L1337,"-")</f>
        <v>0</v>
      </c>
      <c r="H1347" s="393">
        <v>320.35000000000002</v>
      </c>
      <c r="I1347" s="429">
        <f>IFERROR(H1347*(F1347/E1347),"-")</f>
        <v>0</v>
      </c>
      <c r="J1347" s="430">
        <f t="shared" si="893"/>
        <v>0</v>
      </c>
    </row>
    <row r="1348" spans="1:10" ht="24" thickBot="1" x14ac:dyDescent="0.35">
      <c r="A1348" s="809" t="s">
        <v>110</v>
      </c>
      <c r="B1348" s="906" t="s">
        <v>40</v>
      </c>
      <c r="C1348" s="907"/>
      <c r="D1348" s="908"/>
      <c r="E1348" s="396"/>
      <c r="F1348" s="412">
        <f>SUM(F1346:F1347)</f>
        <v>0</v>
      </c>
      <c r="G1348" s="413">
        <f t="shared" ref="G1348" si="894">SUM(G1346:G1347)</f>
        <v>0</v>
      </c>
      <c r="H1348" s="397"/>
      <c r="I1348" s="412">
        <f t="shared" ref="I1348:J1348" si="895">SUM(I1346:I1347)</f>
        <v>0</v>
      </c>
      <c r="J1348" s="431">
        <f t="shared" si="895"/>
        <v>0</v>
      </c>
    </row>
    <row r="1349" spans="1:10" ht="23.4" x14ac:dyDescent="0.3">
      <c r="A1349" s="277" t="s">
        <v>110</v>
      </c>
      <c r="B1349" s="903" t="s">
        <v>41</v>
      </c>
      <c r="C1349" s="272" t="s">
        <v>346</v>
      </c>
      <c r="D1349" s="272" t="s">
        <v>263</v>
      </c>
      <c r="E1349" s="515">
        <v>37.248699999999999</v>
      </c>
      <c r="F1349" s="408">
        <f>IFERROR(E1349*'01 Prod Physique Boites'!H1338,"-")</f>
        <v>760320.46439999994</v>
      </c>
      <c r="G1349" s="409">
        <f>IFERROR(E1349*'01 Prod Physique Boites'!L1338,"-")</f>
        <v>9344655.8663999997</v>
      </c>
      <c r="H1349" s="387">
        <v>71.44</v>
      </c>
      <c r="I1349" s="425">
        <f>IFERROR(H1349*(F1349/E1349),"-")</f>
        <v>1458233.28</v>
      </c>
      <c r="J1349" s="426">
        <f>IFERROR(H1349*(G1349/E1349),"-")</f>
        <v>17922295.68</v>
      </c>
    </row>
    <row r="1350" spans="1:10" ht="23.4" x14ac:dyDescent="0.3">
      <c r="A1350" s="277" t="s">
        <v>110</v>
      </c>
      <c r="B1350" s="904"/>
      <c r="C1350" s="272" t="s">
        <v>165</v>
      </c>
      <c r="D1350" s="278"/>
      <c r="E1350" s="515">
        <v>37.248699999999999</v>
      </c>
      <c r="F1350" s="408">
        <f>IFERROR(E1350*'01 Prod Physique Boites'!H1339,"-")</f>
        <v>0</v>
      </c>
      <c r="G1350" s="409">
        <f>IFERROR(E1350*'01 Prod Physique Boites'!L1339,"-")</f>
        <v>0</v>
      </c>
      <c r="H1350" s="391"/>
      <c r="I1350" s="427">
        <f>IFERROR(H1350*(F1350/E1350),"-")</f>
        <v>0</v>
      </c>
      <c r="J1350" s="428">
        <f t="shared" ref="J1350:J1353" si="896">IFERROR(H1350*(G1350/E1350),"-")</f>
        <v>0</v>
      </c>
    </row>
    <row r="1351" spans="1:10" ht="23.4" x14ac:dyDescent="0.3">
      <c r="A1351" s="277" t="s">
        <v>110</v>
      </c>
      <c r="B1351" s="904"/>
      <c r="C1351" s="278" t="s">
        <v>423</v>
      </c>
      <c r="D1351" s="272" t="s">
        <v>263</v>
      </c>
      <c r="E1351" s="516">
        <v>38.466099999999997</v>
      </c>
      <c r="F1351" s="408">
        <f>IFERROR(E1351*'01 Prod Physique Boites'!H1340,"-")</f>
        <v>0</v>
      </c>
      <c r="G1351" s="409">
        <f>IFERROR(E1351*'01 Prod Physique Boites'!L1340,"-")</f>
        <v>1306308.7559999998</v>
      </c>
      <c r="H1351" s="391">
        <v>71.44</v>
      </c>
      <c r="I1351" s="427">
        <f>IFERROR(H1351*(F1351/E1351),"-")</f>
        <v>0</v>
      </c>
      <c r="J1351" s="428">
        <f t="shared" si="896"/>
        <v>2426102.4</v>
      </c>
    </row>
    <row r="1352" spans="1:10" ht="23.4" x14ac:dyDescent="0.3">
      <c r="A1352" s="277" t="s">
        <v>110</v>
      </c>
      <c r="B1352" s="904"/>
      <c r="C1352" s="278" t="s">
        <v>166</v>
      </c>
      <c r="D1352" s="278"/>
      <c r="E1352" s="516">
        <v>37.248699999999999</v>
      </c>
      <c r="F1352" s="408">
        <f>IFERROR(E1352*'01 Prod Physique Boites'!H1341,"-")</f>
        <v>0</v>
      </c>
      <c r="G1352" s="409">
        <f>IFERROR(E1352*'01 Prod Physique Boites'!L1341,"-")</f>
        <v>0</v>
      </c>
      <c r="H1352" s="391"/>
      <c r="I1352" s="427">
        <f>IFERROR(H1352*(F1352/E1352),"-")</f>
        <v>0</v>
      </c>
      <c r="J1352" s="428">
        <f t="shared" si="896"/>
        <v>0</v>
      </c>
    </row>
    <row r="1353" spans="1:10" ht="24" thickBot="1" x14ac:dyDescent="0.35">
      <c r="A1353" s="277" t="s">
        <v>110</v>
      </c>
      <c r="B1353" s="905"/>
      <c r="C1353" s="282" t="s">
        <v>167</v>
      </c>
      <c r="D1353" s="282"/>
      <c r="E1353" s="512">
        <v>33.711399999999998</v>
      </c>
      <c r="F1353" s="408">
        <f>IFERROR(E1353*'01 Prod Physique Boites'!H1342,"-")</f>
        <v>0</v>
      </c>
      <c r="G1353" s="409">
        <f>IFERROR(E1353*'01 Prod Physique Boites'!L1342,"-")</f>
        <v>0</v>
      </c>
      <c r="H1353" s="393"/>
      <c r="I1353" s="429">
        <f>IFERROR(H1353*(F1353/E1353),"-")</f>
        <v>0</v>
      </c>
      <c r="J1353" s="430">
        <f t="shared" si="896"/>
        <v>0</v>
      </c>
    </row>
    <row r="1354" spans="1:10" ht="24" thickBot="1" x14ac:dyDescent="0.35">
      <c r="A1354" s="277" t="s">
        <v>110</v>
      </c>
      <c r="B1354" s="906" t="s">
        <v>42</v>
      </c>
      <c r="C1354" s="907"/>
      <c r="D1354" s="908"/>
      <c r="E1354" s="396"/>
      <c r="F1354" s="412">
        <f>SUM(F1349:F1353)</f>
        <v>760320.46439999994</v>
      </c>
      <c r="G1354" s="413">
        <f>SUM(G1349:G1353)</f>
        <v>10650964.622399999</v>
      </c>
      <c r="H1354" s="397"/>
      <c r="I1354" s="412">
        <f>SUM(I1349:I1353)</f>
        <v>1458233.28</v>
      </c>
      <c r="J1354" s="412">
        <f>SUM(J1349:J1353)</f>
        <v>20348398.079999998</v>
      </c>
    </row>
    <row r="1355" spans="1:10" ht="23.4" x14ac:dyDescent="0.3">
      <c r="A1355" s="277" t="s">
        <v>110</v>
      </c>
      <c r="B1355" s="903" t="s">
        <v>43</v>
      </c>
      <c r="C1355" s="272" t="s">
        <v>204</v>
      </c>
      <c r="D1355" s="272" t="s">
        <v>200</v>
      </c>
      <c r="E1355" s="515">
        <v>30.7499</v>
      </c>
      <c r="F1355" s="408">
        <f>IFERROR(E1355*'01 Prod Physique Boites'!H1344,"-")</f>
        <v>0</v>
      </c>
      <c r="G1355" s="409">
        <f>IFERROR(E1355*'01 Prod Physique Boites'!L1344,"-")</f>
        <v>0</v>
      </c>
      <c r="H1355" s="387"/>
      <c r="I1355" s="425">
        <f>IFERROR(H1355*(F1355/E1355),"-")</f>
        <v>0</v>
      </c>
      <c r="J1355" s="426">
        <f>IFERROR(H1355*(G1355/E1355),"-")</f>
        <v>0</v>
      </c>
    </row>
    <row r="1356" spans="1:10" ht="23.4" x14ac:dyDescent="0.3">
      <c r="A1356" s="277" t="s">
        <v>110</v>
      </c>
      <c r="B1356" s="904"/>
      <c r="C1356" s="278" t="s">
        <v>168</v>
      </c>
      <c r="D1356" s="278"/>
      <c r="E1356" s="516">
        <v>28.7</v>
      </c>
      <c r="F1356" s="408">
        <f>IFERROR(E1356*'01 Prod Physique Boites'!H1345,"-")</f>
        <v>0</v>
      </c>
      <c r="G1356" s="409">
        <f>IFERROR(E1356*'01 Prod Physique Boites'!L1345,"-")</f>
        <v>0</v>
      </c>
      <c r="H1356" s="391"/>
      <c r="I1356" s="427">
        <f>IFERROR(H1356*(F1356/E1356),"-")</f>
        <v>0</v>
      </c>
      <c r="J1356" s="428">
        <f t="shared" ref="J1356:J1357" si="897">IFERROR(H1356*(G1356/E1356),"-")</f>
        <v>0</v>
      </c>
    </row>
    <row r="1357" spans="1:10" ht="24" thickBot="1" x14ac:dyDescent="0.35">
      <c r="A1357" s="277" t="s">
        <v>110</v>
      </c>
      <c r="B1357" s="905"/>
      <c r="C1357" s="282" t="s">
        <v>204</v>
      </c>
      <c r="D1357" s="282" t="s">
        <v>203</v>
      </c>
      <c r="E1357" s="512">
        <v>30.073599999999999</v>
      </c>
      <c r="F1357" s="408">
        <f>IFERROR(E1357*'01 Prod Physique Boites'!H1346,"-")</f>
        <v>0</v>
      </c>
      <c r="G1357" s="409">
        <f>IFERROR(E1357*'01 Prod Physique Boites'!L1346,"-")</f>
        <v>0</v>
      </c>
      <c r="H1357" s="393"/>
      <c r="I1357" s="429">
        <f>IFERROR(H1357*(F1357/E1357),"-")</f>
        <v>0</v>
      </c>
      <c r="J1357" s="430">
        <f t="shared" si="897"/>
        <v>0</v>
      </c>
    </row>
    <row r="1358" spans="1:10" ht="24" thickBot="1" x14ac:dyDescent="0.35">
      <c r="A1358" s="277" t="s">
        <v>110</v>
      </c>
      <c r="B1358" s="909" t="s">
        <v>44</v>
      </c>
      <c r="C1358" s="910"/>
      <c r="D1358" s="911"/>
      <c r="E1358" s="396"/>
      <c r="F1358" s="412">
        <f t="shared" ref="F1358:G1358" si="898">SUM(F1355:F1357)</f>
        <v>0</v>
      </c>
      <c r="G1358" s="413">
        <f t="shared" si="898"/>
        <v>0</v>
      </c>
      <c r="H1358" s="397"/>
      <c r="I1358" s="412">
        <f t="shared" ref="I1358:J1358" si="899">SUM(I1355:I1357)</f>
        <v>0</v>
      </c>
      <c r="J1358" s="431">
        <f t="shared" si="899"/>
        <v>0</v>
      </c>
    </row>
    <row r="1359" spans="1:10" ht="23.4" x14ac:dyDescent="0.3">
      <c r="A1359" s="277" t="s">
        <v>110</v>
      </c>
      <c r="B1359" s="903" t="s">
        <v>45</v>
      </c>
      <c r="C1359" s="272" t="s">
        <v>169</v>
      </c>
      <c r="D1359" s="272"/>
      <c r="E1359" s="515">
        <v>36.684899999999999</v>
      </c>
      <c r="F1359" s="408">
        <f>IFERROR(E1359*'01 Prod Physique Boites'!H1348,"-")</f>
        <v>0</v>
      </c>
      <c r="G1359" s="409">
        <f>IFERROR(E1359*'01 Prod Physique Boites'!L1348,"-")</f>
        <v>0</v>
      </c>
      <c r="H1359" s="387"/>
      <c r="I1359" s="388" t="s">
        <v>209</v>
      </c>
      <c r="J1359" s="389" t="s">
        <v>209</v>
      </c>
    </row>
    <row r="1360" spans="1:10" ht="24" thickBot="1" x14ac:dyDescent="0.35">
      <c r="A1360" s="277" t="s">
        <v>110</v>
      </c>
      <c r="B1360" s="905"/>
      <c r="C1360" s="282" t="s">
        <v>170</v>
      </c>
      <c r="D1360" s="282"/>
      <c r="E1360" s="512">
        <v>37.002800000000001</v>
      </c>
      <c r="F1360" s="408">
        <f>IFERROR(E1360*'01 Prod Physique Boites'!H1349,"-")</f>
        <v>0</v>
      </c>
      <c r="G1360" s="409">
        <f>IFERROR(E1360*'01 Prod Physique Boites'!L1349,"-")</f>
        <v>0</v>
      </c>
      <c r="H1360" s="393"/>
      <c r="I1360" s="394" t="s">
        <v>209</v>
      </c>
      <c r="J1360" s="395" t="s">
        <v>209</v>
      </c>
    </row>
    <row r="1361" spans="1:10" ht="24" thickBot="1" x14ac:dyDescent="0.35">
      <c r="A1361" s="277" t="s">
        <v>110</v>
      </c>
      <c r="B1361" s="909" t="s">
        <v>46</v>
      </c>
      <c r="C1361" s="910"/>
      <c r="D1361" s="911"/>
      <c r="E1361" s="396"/>
      <c r="F1361" s="412">
        <f t="shared" ref="F1361:G1361" si="900">SUM(F1359:F1360)</f>
        <v>0</v>
      </c>
      <c r="G1361" s="413">
        <f t="shared" si="900"/>
        <v>0</v>
      </c>
      <c r="H1361" s="397"/>
      <c r="I1361" s="412">
        <f t="shared" ref="I1361:J1361" si="901">SUM(I1359:I1360)</f>
        <v>0</v>
      </c>
      <c r="J1361" s="431">
        <f t="shared" si="901"/>
        <v>0</v>
      </c>
    </row>
    <row r="1362" spans="1:10" ht="24" thickBot="1" x14ac:dyDescent="0.35">
      <c r="A1362" s="277" t="s">
        <v>110</v>
      </c>
      <c r="B1362" s="912" t="s">
        <v>25</v>
      </c>
      <c r="C1362" s="913"/>
      <c r="D1362" s="914"/>
      <c r="E1362" s="399"/>
      <c r="F1362" s="416">
        <f t="shared" ref="F1362:G1362" si="902">+F1340+F1345+F1348+F1354+F1358+F1361</f>
        <v>3205738.3524000002</v>
      </c>
      <c r="G1362" s="417">
        <f t="shared" si="902"/>
        <v>24305862.571199998</v>
      </c>
      <c r="H1362" s="400"/>
      <c r="I1362" s="416">
        <f>+I1340+I1345+I1348+I1354+I1358+I1361</f>
        <v>5724031.6799999997</v>
      </c>
      <c r="J1362" s="434">
        <f>+J1340+J1345+J1348+J1354+J1358+J1361</f>
        <v>44168065.919999994</v>
      </c>
    </row>
    <row r="1363" spans="1:10" ht="24" thickBot="1" x14ac:dyDescent="0.35">
      <c r="A1363" s="324" t="s">
        <v>110</v>
      </c>
      <c r="B1363" s="901" t="s">
        <v>182</v>
      </c>
      <c r="C1363" s="901"/>
      <c r="D1363" s="902"/>
      <c r="E1363" s="401"/>
      <c r="F1363" s="418">
        <f t="shared" ref="F1363:G1363" si="903">+F1362</f>
        <v>3205738.3524000002</v>
      </c>
      <c r="G1363" s="419">
        <f t="shared" si="903"/>
        <v>24305862.571199998</v>
      </c>
      <c r="H1363" s="402"/>
      <c r="I1363" s="418">
        <f t="shared" ref="I1363" si="904">+I1362</f>
        <v>5724031.6799999997</v>
      </c>
      <c r="J1363" s="435">
        <f>+J1362</f>
        <v>44168065.919999994</v>
      </c>
    </row>
    <row r="1364" spans="1:10" ht="24.6" thickBot="1" x14ac:dyDescent="0.35">
      <c r="A1364" s="325"/>
      <c r="B1364" s="915" t="s">
        <v>183</v>
      </c>
      <c r="C1364" s="916"/>
      <c r="D1364" s="917"/>
      <c r="E1364" s="407"/>
      <c r="F1364" s="424">
        <f t="shared" ref="F1364:G1364" si="905">+F1309+F1336+F1363</f>
        <v>9124619.8425000012</v>
      </c>
      <c r="G1364" s="424">
        <f t="shared" si="905"/>
        <v>88506657.457000002</v>
      </c>
      <c r="H1364" s="407"/>
      <c r="I1364" s="424">
        <f t="shared" ref="I1364:J1364" si="906">+I1309+I1336+I1363</f>
        <v>13610398.9636</v>
      </c>
      <c r="J1364" s="438">
        <f t="shared" si="906"/>
        <v>141419350.90279999</v>
      </c>
    </row>
    <row r="1365" spans="1:10" ht="23.4" x14ac:dyDescent="0.3">
      <c r="A1365" s="935" t="s">
        <v>1</v>
      </c>
      <c r="B1365" s="938" t="s">
        <v>2</v>
      </c>
      <c r="C1365" s="941" t="s">
        <v>3</v>
      </c>
      <c r="D1365" s="941" t="s">
        <v>93</v>
      </c>
      <c r="E1365" s="965" t="s">
        <v>176</v>
      </c>
      <c r="F1365" s="966"/>
      <c r="G1365" s="966"/>
      <c r="H1365" s="451"/>
      <c r="I1365" s="451"/>
      <c r="J1365" s="452"/>
    </row>
    <row r="1366" spans="1:10" ht="23.4" x14ac:dyDescent="0.3">
      <c r="A1366" s="936"/>
      <c r="B1366" s="939"/>
      <c r="C1366" s="942"/>
      <c r="D1366" s="942"/>
      <c r="E1366" s="967" t="s">
        <v>178</v>
      </c>
      <c r="F1366" s="968"/>
      <c r="G1366" s="969"/>
      <c r="H1366" s="967" t="s">
        <v>177</v>
      </c>
      <c r="I1366" s="968"/>
      <c r="J1366" s="969"/>
    </row>
    <row r="1367" spans="1:10" ht="46.8" x14ac:dyDescent="0.3">
      <c r="A1367" s="937"/>
      <c r="B1367" s="963"/>
      <c r="C1367" s="964"/>
      <c r="D1367" s="964"/>
      <c r="E1367" s="385" t="s">
        <v>179</v>
      </c>
      <c r="F1367" s="819" t="s">
        <v>11</v>
      </c>
      <c r="G1367" s="820" t="s">
        <v>12</v>
      </c>
      <c r="H1367" s="970" t="s">
        <v>179</v>
      </c>
      <c r="I1367" s="972" t="s">
        <v>145</v>
      </c>
      <c r="J1367" s="974" t="s">
        <v>12</v>
      </c>
    </row>
    <row r="1368" spans="1:10" ht="24" thickBot="1" x14ac:dyDescent="0.35">
      <c r="A1368" s="937"/>
      <c r="B1368" s="940"/>
      <c r="C1368" s="943"/>
      <c r="D1368" s="943"/>
      <c r="E1368" s="976" t="s">
        <v>512</v>
      </c>
      <c r="F1368" s="977"/>
      <c r="G1368" s="978"/>
      <c r="H1368" s="971"/>
      <c r="I1368" s="973"/>
      <c r="J1368" s="975"/>
    </row>
    <row r="1369" spans="1:10" ht="23.4" x14ac:dyDescent="0.3">
      <c r="A1369" s="271" t="s">
        <v>111</v>
      </c>
      <c r="B1369" s="922" t="s">
        <v>16</v>
      </c>
      <c r="C1369" s="272" t="s">
        <v>186</v>
      </c>
      <c r="D1369" s="272" t="s">
        <v>184</v>
      </c>
      <c r="E1369" s="515">
        <v>81.360699999999994</v>
      </c>
      <c r="F1369" s="408">
        <f>IFERROR(E1369*'01 Prod Physique Boites'!H1357,"-")</f>
        <v>0</v>
      </c>
      <c r="G1369" s="408">
        <f>IFERROR(E1369*'01 Prod Physique Boites'!L1357,"-")</f>
        <v>0</v>
      </c>
      <c r="H1369" s="387">
        <v>0</v>
      </c>
      <c r="I1369" s="425">
        <f>IFERROR(H1369*(F1369/E1369),"-")</f>
        <v>0</v>
      </c>
      <c r="J1369" s="426">
        <f t="shared" ref="J1369:J1371" si="907">IFERROR(H1369*(G1369/E1369),"-")</f>
        <v>0</v>
      </c>
    </row>
    <row r="1370" spans="1:10" ht="23.4" x14ac:dyDescent="0.3">
      <c r="A1370" s="277" t="s">
        <v>111</v>
      </c>
      <c r="B1370" s="923"/>
      <c r="C1370" s="278" t="s">
        <v>190</v>
      </c>
      <c r="D1370" s="278" t="s">
        <v>101</v>
      </c>
      <c r="E1370" s="516">
        <v>81.360699999999994</v>
      </c>
      <c r="F1370" s="408">
        <f>IFERROR(E1370*'01 Prod Physique Boites'!H1358,"-")</f>
        <v>0</v>
      </c>
      <c r="G1370" s="408">
        <f>IFERROR(E1370*'01 Prod Physique Boites'!L1358,"-")</f>
        <v>0</v>
      </c>
      <c r="H1370" s="391">
        <v>0</v>
      </c>
      <c r="I1370" s="425">
        <f>IFERROR(H1370*(F1370/E1370),"-")</f>
        <v>0</v>
      </c>
      <c r="J1370" s="426">
        <f t="shared" si="907"/>
        <v>0</v>
      </c>
    </row>
    <row r="1371" spans="1:10" ht="23.4" x14ac:dyDescent="0.3">
      <c r="A1371" s="277" t="s">
        <v>111</v>
      </c>
      <c r="B1371" s="923"/>
      <c r="C1371" s="278" t="s">
        <v>187</v>
      </c>
      <c r="D1371" s="278" t="s">
        <v>185</v>
      </c>
      <c r="E1371" s="516">
        <v>55.476900000000001</v>
      </c>
      <c r="F1371" s="408">
        <f>IFERROR(E1371*'01 Prod Physique Boites'!H1359,"-")</f>
        <v>0</v>
      </c>
      <c r="G1371" s="408">
        <f>IFERROR(E1371*'01 Prod Physique Boites'!L1359,"-")</f>
        <v>0</v>
      </c>
      <c r="H1371" s="391">
        <v>0</v>
      </c>
      <c r="I1371" s="425">
        <f>IFERROR(H1371*(F1371/E1371),"-")</f>
        <v>0</v>
      </c>
      <c r="J1371" s="426">
        <f t="shared" si="907"/>
        <v>0</v>
      </c>
    </row>
    <row r="1372" spans="1:10" ht="24" thickBot="1" x14ac:dyDescent="0.35">
      <c r="A1372" s="277" t="s">
        <v>111</v>
      </c>
      <c r="B1372" s="924"/>
      <c r="C1372" s="282" t="s">
        <v>289</v>
      </c>
      <c r="D1372" s="282" t="s">
        <v>256</v>
      </c>
      <c r="E1372" s="512">
        <v>60.703499999999998</v>
      </c>
      <c r="F1372" s="408">
        <f>IFERROR(E1372*'01 Prod Physique Boites'!H1360,"-")</f>
        <v>0</v>
      </c>
      <c r="G1372" s="408">
        <f>IFERROR(E1372*'01 Prod Physique Boites'!L1360,"-")</f>
        <v>6314135.2560000001</v>
      </c>
      <c r="H1372" s="393">
        <v>111.0883</v>
      </c>
      <c r="I1372" s="425">
        <f>IFERROR(H1372*(F1372/E1372),"-")</f>
        <v>0</v>
      </c>
      <c r="J1372" s="426">
        <f>IFERROR(H1372*(G1372/E1372),"-")</f>
        <v>11554960.6128</v>
      </c>
    </row>
    <row r="1373" spans="1:10" ht="24" thickBot="1" x14ac:dyDescent="0.35">
      <c r="A1373" s="277" t="s">
        <v>111</v>
      </c>
      <c r="B1373" s="906" t="s">
        <v>47</v>
      </c>
      <c r="C1373" s="907"/>
      <c r="D1373" s="908"/>
      <c r="E1373" s="396"/>
      <c r="F1373" s="412">
        <f t="shared" ref="F1373" si="908">SUM(F1369:F1372)</f>
        <v>0</v>
      </c>
      <c r="G1373" s="413">
        <f>SUM(G1369:G1372)</f>
        <v>6314135.2560000001</v>
      </c>
      <c r="H1373" s="397"/>
      <c r="I1373" s="412">
        <f t="shared" ref="I1373:J1373" si="909">SUM(I1369:I1372)</f>
        <v>0</v>
      </c>
      <c r="J1373" s="431">
        <f t="shared" si="909"/>
        <v>11554960.6128</v>
      </c>
    </row>
    <row r="1374" spans="1:10" ht="23.4" x14ac:dyDescent="0.3">
      <c r="A1374" s="277" t="s">
        <v>111</v>
      </c>
      <c r="B1374" s="922" t="s">
        <v>17</v>
      </c>
      <c r="C1374" s="272" t="s">
        <v>331</v>
      </c>
      <c r="D1374" s="272"/>
      <c r="E1374" s="515">
        <v>12.5275</v>
      </c>
      <c r="F1374" s="408">
        <f>IFERROR(E1374*'01 Prod Physique Boites'!H1362,"-")</f>
        <v>0</v>
      </c>
      <c r="G1374" s="408">
        <f>IFERROR(E1374*'01 Prod Physique Boites'!L1362,"-")</f>
        <v>0</v>
      </c>
      <c r="H1374" s="387">
        <v>18.836400000000001</v>
      </c>
      <c r="I1374" s="425">
        <f t="shared" ref="I1374:I1380" si="910">IFERROR(H1374*(F1374/E1374),"-")</f>
        <v>0</v>
      </c>
      <c r="J1374" s="426">
        <f t="shared" ref="J1374:J1379" si="911">IFERROR(H1374*(G1374/E1374),"-")</f>
        <v>0</v>
      </c>
    </row>
    <row r="1375" spans="1:10" ht="23.4" x14ac:dyDescent="0.3">
      <c r="A1375" s="277" t="s">
        <v>111</v>
      </c>
      <c r="B1375" s="923"/>
      <c r="C1375" s="278" t="s">
        <v>421</v>
      </c>
      <c r="D1375" s="278" t="s">
        <v>257</v>
      </c>
      <c r="E1375" s="516">
        <v>13.002700000000001</v>
      </c>
      <c r="F1375" s="408">
        <f>IFERROR(E1375*'01 Prod Physique Boites'!H1363,"-")</f>
        <v>397882.62000000005</v>
      </c>
      <c r="G1375" s="408">
        <f>IFERROR(E1375*'01 Prod Physique Boites'!L1363,"-")</f>
        <v>5679878.4221000001</v>
      </c>
      <c r="H1375" s="811">
        <v>21.18</v>
      </c>
      <c r="I1375" s="427">
        <f t="shared" si="910"/>
        <v>648108.00000000012</v>
      </c>
      <c r="J1375" s="428">
        <f t="shared" si="911"/>
        <v>9251911.1400000006</v>
      </c>
    </row>
    <row r="1376" spans="1:10" ht="23.4" x14ac:dyDescent="0.3">
      <c r="A1376" s="277" t="s">
        <v>111</v>
      </c>
      <c r="B1376" s="923"/>
      <c r="C1376" s="278" t="s">
        <v>441</v>
      </c>
      <c r="D1376" s="278" t="s">
        <v>205</v>
      </c>
      <c r="E1376" s="516">
        <v>12.9049</v>
      </c>
      <c r="F1376" s="408">
        <f>IFERROR(E1376*'01 Prod Physique Boites'!H1364,"-")</f>
        <v>0</v>
      </c>
      <c r="G1376" s="408">
        <f>IFERROR(E1376*'01 Prod Physique Boites'!L1364,"-")</f>
        <v>0</v>
      </c>
      <c r="H1376" s="391">
        <v>20.6602</v>
      </c>
      <c r="I1376" s="427">
        <f t="shared" si="910"/>
        <v>0</v>
      </c>
      <c r="J1376" s="428">
        <f t="shared" si="911"/>
        <v>0</v>
      </c>
    </row>
    <row r="1377" spans="1:10" ht="23.4" x14ac:dyDescent="0.3">
      <c r="A1377" s="277" t="s">
        <v>111</v>
      </c>
      <c r="B1377" s="923"/>
      <c r="C1377" s="278" t="s">
        <v>330</v>
      </c>
      <c r="D1377" s="278" t="s">
        <v>206</v>
      </c>
      <c r="E1377" s="516">
        <v>13.078200000000001</v>
      </c>
      <c r="F1377" s="408">
        <f>IFERROR(E1377*'01 Prod Physique Boites'!H1365,"-")</f>
        <v>0</v>
      </c>
      <c r="G1377" s="408">
        <f>IFERROR(E1377*'01 Prod Physique Boites'!L1365,"-")</f>
        <v>24011.575200000003</v>
      </c>
      <c r="H1377" s="811">
        <v>20.66</v>
      </c>
      <c r="I1377" s="427">
        <f t="shared" si="910"/>
        <v>0</v>
      </c>
      <c r="J1377" s="428">
        <f t="shared" si="911"/>
        <v>37931.760000000002</v>
      </c>
    </row>
    <row r="1378" spans="1:10" ht="23.4" x14ac:dyDescent="0.3">
      <c r="A1378" s="277" t="s">
        <v>111</v>
      </c>
      <c r="B1378" s="923"/>
      <c r="C1378" s="278" t="s">
        <v>377</v>
      </c>
      <c r="D1378" s="278" t="s">
        <v>371</v>
      </c>
      <c r="E1378" s="516">
        <v>13.1958</v>
      </c>
      <c r="F1378" s="408">
        <f>IFERROR(E1378*'01 Prod Physique Boites'!H1366,"-")</f>
        <v>0</v>
      </c>
      <c r="G1378" s="408">
        <f>IFERROR(E1378*'01 Prod Physique Boites'!L1366,"-")</f>
        <v>140007.43799999999</v>
      </c>
      <c r="H1378" s="811">
        <v>21.28</v>
      </c>
      <c r="I1378" s="427">
        <f t="shared" si="910"/>
        <v>0</v>
      </c>
      <c r="J1378" s="428">
        <f t="shared" si="911"/>
        <v>225780.80000000002</v>
      </c>
    </row>
    <row r="1379" spans="1:10" ht="23.4" x14ac:dyDescent="0.3">
      <c r="A1379" s="277" t="s">
        <v>111</v>
      </c>
      <c r="B1379" s="923"/>
      <c r="C1379" s="278" t="s">
        <v>443</v>
      </c>
      <c r="D1379" s="278" t="s">
        <v>207</v>
      </c>
      <c r="E1379" s="516">
        <v>12.9049</v>
      </c>
      <c r="F1379" s="408">
        <f>IFERROR(E1379*'01 Prod Physique Boites'!H1367,"-")</f>
        <v>157955.976</v>
      </c>
      <c r="G1379" s="408">
        <f>IFERROR(E1379*'01 Prod Physique Boites'!L1367,"-")</f>
        <v>5528459.1600000001</v>
      </c>
      <c r="H1379" s="812">
        <v>20.5</v>
      </c>
      <c r="I1379" s="427">
        <f t="shared" si="910"/>
        <v>250920</v>
      </c>
      <c r="J1379" s="428">
        <f t="shared" si="911"/>
        <v>8782200</v>
      </c>
    </row>
    <row r="1380" spans="1:10" ht="24" thickBot="1" x14ac:dyDescent="0.35">
      <c r="A1380" s="277" t="s">
        <v>111</v>
      </c>
      <c r="B1380" s="924"/>
      <c r="C1380" s="282" t="s">
        <v>416</v>
      </c>
      <c r="D1380" s="282" t="s">
        <v>189</v>
      </c>
      <c r="E1380" s="512">
        <v>13.6509</v>
      </c>
      <c r="F1380" s="408">
        <f>IFERROR(E1380*'01 Prod Physique Boites'!H1368,"-")</f>
        <v>0</v>
      </c>
      <c r="G1380" s="408">
        <f>IFERROR(E1380*'01 Prod Physique Boites'!L1368,"-")</f>
        <v>1002522.096</v>
      </c>
      <c r="H1380" s="813">
        <v>21.18</v>
      </c>
      <c r="I1380" s="429">
        <f t="shared" si="910"/>
        <v>0</v>
      </c>
      <c r="J1380" s="430">
        <f>IFERROR(H1380*(G1380/E1380),"-")</f>
        <v>1555459.2</v>
      </c>
    </row>
    <row r="1381" spans="1:10" ht="24" thickBot="1" x14ac:dyDescent="0.35">
      <c r="A1381" s="277" t="s">
        <v>111</v>
      </c>
      <c r="B1381" s="906" t="s">
        <v>48</v>
      </c>
      <c r="C1381" s="907"/>
      <c r="D1381" s="908"/>
      <c r="E1381" s="396"/>
      <c r="F1381" s="412">
        <f t="shared" ref="F1381" si="912">SUM(F1374:F1380)</f>
        <v>555838.59600000002</v>
      </c>
      <c r="G1381" s="413">
        <f>SUM(G1374:G1380)</f>
        <v>12374878.691300001</v>
      </c>
      <c r="H1381" s="397"/>
      <c r="I1381" s="412">
        <f t="shared" ref="I1381" si="913">SUM(I1374:I1380)</f>
        <v>899028.00000000012</v>
      </c>
      <c r="J1381" s="431">
        <f>SUM(J1374:J1380)</f>
        <v>19853282.900000002</v>
      </c>
    </row>
    <row r="1382" spans="1:10" ht="23.4" x14ac:dyDescent="0.3">
      <c r="A1382" s="277" t="s">
        <v>111</v>
      </c>
      <c r="B1382" s="922" t="s">
        <v>18</v>
      </c>
      <c r="C1382" s="272" t="s">
        <v>359</v>
      </c>
      <c r="D1382" s="272" t="s">
        <v>99</v>
      </c>
      <c r="E1382" s="515">
        <v>17.8202</v>
      </c>
      <c r="F1382" s="408">
        <f>IFERROR(E1382*'01 Prod Physique Boites'!H1370,"-")</f>
        <v>0</v>
      </c>
      <c r="G1382" s="409">
        <f>IFERROR(E1382*'01 Prod Physique Boites'!L1370,"-")</f>
        <v>0</v>
      </c>
      <c r="H1382" s="387">
        <v>24.93</v>
      </c>
      <c r="I1382" s="425">
        <f t="shared" ref="I1382:I1388" si="914">IFERROR(H1382*(F1382/E1382),"-")</f>
        <v>0</v>
      </c>
      <c r="J1382" s="426">
        <f t="shared" ref="J1382:J1384" si="915">IFERROR(H1382*(G1382/E1382),"-")</f>
        <v>0</v>
      </c>
    </row>
    <row r="1383" spans="1:10" ht="23.4" x14ac:dyDescent="0.3">
      <c r="A1383" s="277" t="s">
        <v>111</v>
      </c>
      <c r="B1383" s="923"/>
      <c r="C1383" s="278" t="s">
        <v>138</v>
      </c>
      <c r="D1383" s="278"/>
      <c r="E1383" s="516">
        <v>17.8202</v>
      </c>
      <c r="F1383" s="408">
        <f>IFERROR(E1383*'01 Prod Physique Boites'!H1371,"-")</f>
        <v>0</v>
      </c>
      <c r="G1383" s="409">
        <f>IFERROR(E1383*'01 Prod Physique Boites'!L1371,"-")</f>
        <v>0</v>
      </c>
      <c r="H1383" s="391">
        <v>0</v>
      </c>
      <c r="I1383" s="427">
        <f t="shared" si="914"/>
        <v>0</v>
      </c>
      <c r="J1383" s="428">
        <f t="shared" si="915"/>
        <v>0</v>
      </c>
    </row>
    <row r="1384" spans="1:10" ht="23.4" x14ac:dyDescent="0.3">
      <c r="A1384" s="277" t="s">
        <v>111</v>
      </c>
      <c r="B1384" s="923"/>
      <c r="C1384" s="278" t="s">
        <v>123</v>
      </c>
      <c r="D1384" s="278"/>
      <c r="E1384" s="516">
        <v>16.4071</v>
      </c>
      <c r="F1384" s="408">
        <f>IFERROR(E1384*'01 Prod Physique Boites'!H1372,"-")</f>
        <v>0</v>
      </c>
      <c r="G1384" s="409">
        <f>IFERROR(E1384*'01 Prod Physique Boites'!L1372,"-")</f>
        <v>0</v>
      </c>
      <c r="H1384" s="391">
        <v>0</v>
      </c>
      <c r="I1384" s="427">
        <f t="shared" si="914"/>
        <v>0</v>
      </c>
      <c r="J1384" s="428">
        <f t="shared" si="915"/>
        <v>0</v>
      </c>
    </row>
    <row r="1385" spans="1:10" ht="23.4" x14ac:dyDescent="0.3">
      <c r="A1385" s="277" t="s">
        <v>111</v>
      </c>
      <c r="B1385" s="923"/>
      <c r="C1385" s="278" t="s">
        <v>130</v>
      </c>
      <c r="D1385" s="278"/>
      <c r="E1385" s="516">
        <v>17.8202</v>
      </c>
      <c r="F1385" s="408">
        <f>IFERROR(E1385*'01 Prod Physique Boites'!H1373,"-")</f>
        <v>0</v>
      </c>
      <c r="G1385" s="409">
        <f>IFERROR(E1385*'01 Prod Physique Boites'!L1373,"-")</f>
        <v>0</v>
      </c>
      <c r="H1385" s="391">
        <v>0</v>
      </c>
      <c r="I1385" s="427">
        <f t="shared" si="914"/>
        <v>0</v>
      </c>
      <c r="J1385" s="428">
        <f>IFERROR(H1385*(G1385/E1385),"-")</f>
        <v>0</v>
      </c>
    </row>
    <row r="1386" spans="1:10" ht="23.4" x14ac:dyDescent="0.3">
      <c r="A1386" s="277" t="s">
        <v>111</v>
      </c>
      <c r="B1386" s="923"/>
      <c r="C1386" s="278" t="s">
        <v>191</v>
      </c>
      <c r="D1386" s="278" t="s">
        <v>192</v>
      </c>
      <c r="E1386" s="516">
        <v>17.8202</v>
      </c>
      <c r="F1386" s="408">
        <f>IFERROR(E1386*'01 Prod Physique Boites'!H1374,"-")</f>
        <v>0</v>
      </c>
      <c r="G1386" s="409">
        <f>IFERROR(E1386*'01 Prod Physique Boites'!L1374,"-")</f>
        <v>0</v>
      </c>
      <c r="H1386" s="391">
        <v>0</v>
      </c>
      <c r="I1386" s="427">
        <f t="shared" si="914"/>
        <v>0</v>
      </c>
      <c r="J1386" s="428">
        <f t="shared" ref="J1386:J1388" si="916">IFERROR(H1386*(G1386/E1386),"-")</f>
        <v>0</v>
      </c>
    </row>
    <row r="1387" spans="1:10" ht="23.4" x14ac:dyDescent="0.3">
      <c r="A1387" s="277" t="s">
        <v>111</v>
      </c>
      <c r="B1387" s="923"/>
      <c r="C1387" s="278" t="s">
        <v>194</v>
      </c>
      <c r="D1387" s="278" t="s">
        <v>193</v>
      </c>
      <c r="E1387" s="516">
        <v>16.7288</v>
      </c>
      <c r="F1387" s="408">
        <f>IFERROR(E1387*'01 Prod Physique Boites'!H1375,"-")</f>
        <v>0</v>
      </c>
      <c r="G1387" s="409">
        <f>IFERROR(E1387*'01 Prod Physique Boites'!L1375,"-")</f>
        <v>0</v>
      </c>
      <c r="H1387" s="391">
        <v>0</v>
      </c>
      <c r="I1387" s="427">
        <f t="shared" si="914"/>
        <v>0</v>
      </c>
      <c r="J1387" s="428">
        <f t="shared" si="916"/>
        <v>0</v>
      </c>
    </row>
    <row r="1388" spans="1:10" ht="24" thickBot="1" x14ac:dyDescent="0.35">
      <c r="A1388" s="277" t="s">
        <v>111</v>
      </c>
      <c r="B1388" s="924"/>
      <c r="C1388" s="290" t="s">
        <v>195</v>
      </c>
      <c r="D1388" s="290" t="s">
        <v>115</v>
      </c>
      <c r="E1388" s="512">
        <v>17.8202</v>
      </c>
      <c r="F1388" s="408">
        <f>IFERROR(E1388*'01 Prod Physique Boites'!H1376,"-")</f>
        <v>0</v>
      </c>
      <c r="G1388" s="409">
        <f>IFERROR(E1388*'01 Prod Physique Boites'!L1376,"-")</f>
        <v>0</v>
      </c>
      <c r="H1388" s="391">
        <v>0</v>
      </c>
      <c r="I1388" s="429">
        <f t="shared" si="914"/>
        <v>0</v>
      </c>
      <c r="J1388" s="430">
        <f t="shared" si="916"/>
        <v>0</v>
      </c>
    </row>
    <row r="1389" spans="1:10" ht="24" thickBot="1" x14ac:dyDescent="0.35">
      <c r="A1389" s="277" t="s">
        <v>111</v>
      </c>
      <c r="B1389" s="906" t="s">
        <v>29</v>
      </c>
      <c r="C1389" s="907"/>
      <c r="D1389" s="908"/>
      <c r="E1389" s="777"/>
      <c r="F1389" s="778">
        <f t="shared" ref="F1389:G1389" si="917">SUM(F1382:F1388)</f>
        <v>0</v>
      </c>
      <c r="G1389" s="413">
        <f t="shared" si="917"/>
        <v>0</v>
      </c>
      <c r="H1389" s="397"/>
      <c r="I1389" s="412">
        <f t="shared" ref="I1389:J1389" si="918">SUM(I1382:I1388)</f>
        <v>0</v>
      </c>
      <c r="J1389" s="431">
        <f t="shared" si="918"/>
        <v>0</v>
      </c>
    </row>
    <row r="1390" spans="1:10" ht="23.4" x14ac:dyDescent="0.3">
      <c r="A1390" s="277"/>
      <c r="B1390" s="918" t="s">
        <v>19</v>
      </c>
      <c r="C1390" s="779" t="s">
        <v>260</v>
      </c>
      <c r="D1390" s="785" t="s">
        <v>192</v>
      </c>
      <c r="E1390" s="786">
        <v>12.2659</v>
      </c>
      <c r="F1390" s="787">
        <f>IFERROR(E1390*'01 Prod Physique Boites'!H1378,"-")</f>
        <v>0</v>
      </c>
      <c r="G1390" s="788">
        <f>IFERROR(E1390*'01 Prod Physique Boites'!L1378,"-")</f>
        <v>4024662.5762</v>
      </c>
      <c r="H1390" s="782">
        <v>14.79</v>
      </c>
      <c r="I1390" s="703">
        <f t="shared" ref="I1390:I1392" si="919">IFERROR(H1390*(F1390/E1390),"-")</f>
        <v>0</v>
      </c>
      <c r="J1390" s="703">
        <f>IFERROR(H1390*(G1390/E1390),"-")</f>
        <v>4852865.22</v>
      </c>
    </row>
    <row r="1391" spans="1:10" ht="23.4" x14ac:dyDescent="0.3">
      <c r="A1391" s="277"/>
      <c r="B1391" s="919"/>
      <c r="C1391" s="780" t="s">
        <v>458</v>
      </c>
      <c r="D1391" s="789"/>
      <c r="E1391" s="762">
        <v>12.2659</v>
      </c>
      <c r="F1391" s="763">
        <f>IFERROR(E1391*'01 Prod Physique Boites'!H1379,"-")</f>
        <v>828978.58559999999</v>
      </c>
      <c r="G1391" s="663">
        <f>IFERROR(E1391*'01 Prod Physique Boites'!L1379,"-")</f>
        <v>2901425.0496</v>
      </c>
      <c r="H1391" s="783">
        <v>14.79</v>
      </c>
      <c r="I1391" s="763">
        <f t="shared" si="919"/>
        <v>999567.35999999999</v>
      </c>
      <c r="J1391" s="763">
        <f>IFERROR(H1391*(G1391/E1391),"-")</f>
        <v>3498485.7599999998</v>
      </c>
    </row>
    <row r="1392" spans="1:10" ht="24" thickBot="1" x14ac:dyDescent="0.35">
      <c r="A1392" s="821" t="s">
        <v>111</v>
      </c>
      <c r="B1392" s="920"/>
      <c r="C1392" s="781" t="s">
        <v>417</v>
      </c>
      <c r="D1392" s="790"/>
      <c r="E1392" s="791">
        <v>0</v>
      </c>
      <c r="F1392" s="792">
        <f>IFERROR(E1392*'01 Prod Physique Boites'!H1380,"-")</f>
        <v>0</v>
      </c>
      <c r="G1392" s="793">
        <f>IFERROR(E1392*'01 Prod Physique Boites'!L1380,"-")</f>
        <v>0</v>
      </c>
      <c r="H1392" s="784">
        <v>0</v>
      </c>
      <c r="I1392" s="432" t="str">
        <f t="shared" si="919"/>
        <v>-</v>
      </c>
      <c r="J1392" s="433" t="str">
        <f t="shared" ref="J1392" si="920">IFERROR(I1392*(G1392/F1392),"-")</f>
        <v>-</v>
      </c>
    </row>
    <row r="1393" spans="1:10" ht="24" thickBot="1" x14ac:dyDescent="0.35">
      <c r="A1393" s="277" t="s">
        <v>111</v>
      </c>
      <c r="B1393" s="906" t="s">
        <v>49</v>
      </c>
      <c r="C1393" s="907"/>
      <c r="D1393" s="908"/>
      <c r="E1393" s="396"/>
      <c r="F1393" s="412">
        <f>SUM(F1390:F1392)</f>
        <v>828978.58559999999</v>
      </c>
      <c r="G1393" s="412">
        <f>SUM(G1390:G1392)</f>
        <v>6926087.6258000005</v>
      </c>
      <c r="H1393" s="397"/>
      <c r="I1393" s="412">
        <f t="shared" ref="I1393" si="921">SUM(I1392)</f>
        <v>0</v>
      </c>
      <c r="J1393" s="431">
        <f>SUM(J1390:J1392)</f>
        <v>8351350.9799999995</v>
      </c>
    </row>
    <row r="1394" spans="1:10" ht="23.4" x14ac:dyDescent="0.3">
      <c r="A1394" s="277" t="s">
        <v>111</v>
      </c>
      <c r="B1394" s="922" t="s">
        <v>20</v>
      </c>
      <c r="C1394" s="297" t="s">
        <v>370</v>
      </c>
      <c r="D1394" s="297" t="s">
        <v>324</v>
      </c>
      <c r="E1394" s="515">
        <v>26.032900000000001</v>
      </c>
      <c r="F1394" s="408">
        <f>IFERROR(E1394*'01 Prod Physique Boites'!H1382,"-")</f>
        <v>0</v>
      </c>
      <c r="G1394" s="409">
        <f>IFERROR(E1394*'01 Prod Physique Boites'!L1382,"-")</f>
        <v>0</v>
      </c>
      <c r="H1394" s="387">
        <v>36.44</v>
      </c>
      <c r="I1394" s="425">
        <f>IFERROR(H1394*(F1394/E1394),"-")</f>
        <v>0</v>
      </c>
      <c r="J1394" s="426">
        <f t="shared" ref="J1394:J1396" si="922">IFERROR(H1394*(G1394/E1394),"-")</f>
        <v>0</v>
      </c>
    </row>
    <row r="1395" spans="1:10" ht="23.4" x14ac:dyDescent="0.3">
      <c r="A1395" s="277" t="s">
        <v>111</v>
      </c>
      <c r="B1395" s="923"/>
      <c r="C1395" s="298" t="s">
        <v>122</v>
      </c>
      <c r="D1395" s="298"/>
      <c r="E1395" s="390">
        <v>24.2607</v>
      </c>
      <c r="F1395" s="408">
        <f>IFERROR(E1395*'01 Prod Physique Boites'!H1383,"-")</f>
        <v>0</v>
      </c>
      <c r="G1395" s="409">
        <f>IFERROR(E1395*'01 Prod Physique Boites'!L1383,"-")</f>
        <v>0</v>
      </c>
      <c r="H1395" s="391">
        <v>37.369999999999997</v>
      </c>
      <c r="I1395" s="427">
        <f>IFERROR(H1395*(F1395/E1395),"-")</f>
        <v>0</v>
      </c>
      <c r="J1395" s="428">
        <f t="shared" si="922"/>
        <v>0</v>
      </c>
    </row>
    <row r="1396" spans="1:10" ht="24" thickBot="1" x14ac:dyDescent="0.35">
      <c r="A1396" s="277" t="s">
        <v>111</v>
      </c>
      <c r="B1396" s="924"/>
      <c r="C1396" s="299" t="s">
        <v>128</v>
      </c>
      <c r="D1396" s="299"/>
      <c r="E1396" s="392">
        <v>26.035799999999998</v>
      </c>
      <c r="F1396" s="408">
        <f>IFERROR(E1396*'01 Prod Physique Boites'!H1384,"-")</f>
        <v>0</v>
      </c>
      <c r="G1396" s="409">
        <f>IFERROR(E1396*'01 Prod Physique Boites'!L1384,"-")</f>
        <v>0</v>
      </c>
      <c r="H1396" s="393">
        <v>37.11</v>
      </c>
      <c r="I1396" s="429">
        <f>IFERROR(H1396*(F1396/E1396),"-")</f>
        <v>0</v>
      </c>
      <c r="J1396" s="430">
        <f t="shared" si="922"/>
        <v>0</v>
      </c>
    </row>
    <row r="1397" spans="1:10" ht="24" thickBot="1" x14ac:dyDescent="0.35">
      <c r="A1397" s="277" t="s">
        <v>111</v>
      </c>
      <c r="B1397" s="907" t="s">
        <v>50</v>
      </c>
      <c r="C1397" s="907"/>
      <c r="D1397" s="925"/>
      <c r="E1397" s="396"/>
      <c r="F1397" s="412">
        <f t="shared" ref="F1397:G1397" si="923">SUM(F1394:F1396)</f>
        <v>0</v>
      </c>
      <c r="G1397" s="413">
        <f t="shared" si="923"/>
        <v>0</v>
      </c>
      <c r="H1397" s="397"/>
      <c r="I1397" s="412">
        <f t="shared" ref="I1397:J1397" si="924">SUM(I1394:I1396)</f>
        <v>0</v>
      </c>
      <c r="J1397" s="431">
        <f t="shared" si="924"/>
        <v>0</v>
      </c>
    </row>
    <row r="1398" spans="1:10" ht="24" thickBot="1" x14ac:dyDescent="0.35">
      <c r="A1398" s="277" t="s">
        <v>111</v>
      </c>
      <c r="B1398" s="926" t="s">
        <v>21</v>
      </c>
      <c r="C1398" s="927"/>
      <c r="D1398" s="928"/>
      <c r="E1398" s="399"/>
      <c r="F1398" s="416">
        <f>+F1373+F1381+F1389+F1393+F1397</f>
        <v>1384817.1816</v>
      </c>
      <c r="G1398" s="417">
        <f>+G1373+G1381+G1389+G1393+G1397</f>
        <v>25615101.573100001</v>
      </c>
      <c r="H1398" s="400"/>
      <c r="I1398" s="416">
        <f>+I1373+I1381+I1389+I1393+I1397</f>
        <v>899028.00000000012</v>
      </c>
      <c r="J1398" s="434">
        <f>+J1373+J1381+J1389+J1393+J1397</f>
        <v>39759594.492799997</v>
      </c>
    </row>
    <row r="1399" spans="1:10" ht="23.4" x14ac:dyDescent="0.3">
      <c r="A1399" s="277" t="s">
        <v>111</v>
      </c>
      <c r="B1399" s="922" t="s">
        <v>22</v>
      </c>
      <c r="C1399" s="272" t="s">
        <v>133</v>
      </c>
      <c r="D1399" s="272"/>
      <c r="E1399" s="386">
        <v>22.820599999999999</v>
      </c>
      <c r="F1399" s="408">
        <f>IFERROR(E1399*'01 Prod Physique Boites'!H1387,"-")</f>
        <v>0</v>
      </c>
      <c r="G1399" s="409">
        <f>IFERROR(E1399*'01 Prod Physique Boites'!L1387,"-")</f>
        <v>0</v>
      </c>
      <c r="H1399" s="387">
        <v>27.5</v>
      </c>
      <c r="I1399" s="425">
        <f>IFERROR(H1399*(F1399/E1399),"-")</f>
        <v>0</v>
      </c>
      <c r="J1399" s="426">
        <f t="shared" ref="J1399:J1402" si="925">IFERROR(H1399*(G1399/E1399),"-")</f>
        <v>0</v>
      </c>
    </row>
    <row r="1400" spans="1:10" ht="23.4" x14ac:dyDescent="0.3">
      <c r="A1400" s="277" t="s">
        <v>111</v>
      </c>
      <c r="B1400" s="923"/>
      <c r="C1400" s="301" t="s">
        <v>291</v>
      </c>
      <c r="D1400" s="301" t="s">
        <v>196</v>
      </c>
      <c r="E1400" s="390">
        <v>23.570699999999999</v>
      </c>
      <c r="F1400" s="408">
        <f>IFERROR(E1400*'01 Prod Physique Boites'!H1388,"-")</f>
        <v>0</v>
      </c>
      <c r="G1400" s="409">
        <f>IFERROR(E1400*'01 Prod Physique Boites'!L1388,"-")</f>
        <v>0</v>
      </c>
      <c r="H1400" s="391">
        <v>27.5</v>
      </c>
      <c r="I1400" s="427">
        <f>IFERROR(H1400*(F1400/E1400),"-")</f>
        <v>0</v>
      </c>
      <c r="J1400" s="428">
        <f t="shared" si="925"/>
        <v>0</v>
      </c>
    </row>
    <row r="1401" spans="1:10" ht="23.4" x14ac:dyDescent="0.3">
      <c r="A1401" s="277" t="s">
        <v>111</v>
      </c>
      <c r="B1401" s="923"/>
      <c r="C1401" s="301" t="s">
        <v>473</v>
      </c>
      <c r="D1401" s="301" t="s">
        <v>196</v>
      </c>
      <c r="E1401" s="390">
        <v>22.820599999999999</v>
      </c>
      <c r="F1401" s="408">
        <f>IFERROR(E1401*'01 Prod Physique Boites'!H1389,"-")</f>
        <v>903695.76</v>
      </c>
      <c r="G1401" s="409">
        <f>IFERROR(E1401*'01 Prod Physique Boites'!L1389,"-")</f>
        <v>903695.76</v>
      </c>
      <c r="H1401" s="391">
        <v>24</v>
      </c>
      <c r="I1401" s="427">
        <f>IFERROR(H1401*(F1401/E1401),"-")</f>
        <v>950400</v>
      </c>
      <c r="J1401" s="428">
        <f t="shared" si="925"/>
        <v>950400</v>
      </c>
    </row>
    <row r="1402" spans="1:10" ht="24" thickBot="1" x14ac:dyDescent="0.35">
      <c r="A1402" s="277" t="s">
        <v>111</v>
      </c>
      <c r="B1402" s="924"/>
      <c r="C1402" s="282" t="s">
        <v>197</v>
      </c>
      <c r="D1402" s="282" t="s">
        <v>100</v>
      </c>
      <c r="E1402" s="392">
        <v>23.5685</v>
      </c>
      <c r="F1402" s="408">
        <f>IFERROR(E1402*'01 Prod Physique Boites'!H1390,"-")</f>
        <v>0</v>
      </c>
      <c r="G1402" s="409">
        <f>IFERROR(E1402*'01 Prod Physique Boites'!L1390,"-")</f>
        <v>0</v>
      </c>
      <c r="H1402" s="393">
        <v>24</v>
      </c>
      <c r="I1402" s="429">
        <f>IFERROR(H1402*(F1402/E1402),"-")</f>
        <v>0</v>
      </c>
      <c r="J1402" s="430">
        <f t="shared" si="925"/>
        <v>0</v>
      </c>
    </row>
    <row r="1403" spans="1:10" ht="24" thickBot="1" x14ac:dyDescent="0.35">
      <c r="A1403" s="277" t="s">
        <v>111</v>
      </c>
      <c r="B1403" s="906" t="s">
        <v>51</v>
      </c>
      <c r="C1403" s="907"/>
      <c r="D1403" s="908"/>
      <c r="E1403" s="396"/>
      <c r="F1403" s="412">
        <f t="shared" ref="F1403:G1403" si="926">SUM(F1399:F1402)</f>
        <v>903695.76</v>
      </c>
      <c r="G1403" s="413">
        <f t="shared" si="926"/>
        <v>903695.76</v>
      </c>
      <c r="H1403" s="397"/>
      <c r="I1403" s="412">
        <f t="shared" ref="I1403:J1403" si="927">SUM(I1399:I1402)</f>
        <v>950400</v>
      </c>
      <c r="J1403" s="431">
        <f t="shared" si="927"/>
        <v>950400</v>
      </c>
    </row>
    <row r="1404" spans="1:10" ht="23.4" x14ac:dyDescent="0.3">
      <c r="A1404" s="277" t="s">
        <v>111</v>
      </c>
      <c r="B1404" s="922" t="s">
        <v>23</v>
      </c>
      <c r="C1404" s="302" t="s">
        <v>348</v>
      </c>
      <c r="D1404" s="302" t="s">
        <v>263</v>
      </c>
      <c r="E1404" s="386">
        <v>101.4935</v>
      </c>
      <c r="F1404" s="408">
        <f>IFERROR(E1404*'01 Prod Physique Boites'!H1392,"-")</f>
        <v>0</v>
      </c>
      <c r="G1404" s="409">
        <f>IFERROR(E1404*'01 Prod Physique Boites'!L1392,"-")</f>
        <v>0</v>
      </c>
      <c r="H1404" s="391">
        <v>160.44999999999999</v>
      </c>
      <c r="I1404" s="425">
        <f t="shared" ref="I1404:I1411" si="928">IFERROR(H1404*(F1404/E1404),"-")</f>
        <v>0</v>
      </c>
      <c r="J1404" s="426">
        <f t="shared" ref="J1404:J1411" si="929">IFERROR(H1404*(G1404/E1404),"-")</f>
        <v>0</v>
      </c>
    </row>
    <row r="1405" spans="1:10" ht="23.4" x14ac:dyDescent="0.3">
      <c r="A1405" s="277" t="s">
        <v>111</v>
      </c>
      <c r="B1405" s="923"/>
      <c r="C1405" s="278" t="s">
        <v>24</v>
      </c>
      <c r="D1405" s="278" t="s">
        <v>263</v>
      </c>
      <c r="E1405" s="390">
        <v>101.4935</v>
      </c>
      <c r="F1405" s="408">
        <f>IFERROR(E1405*'01 Prod Physique Boites'!H1393,"-")</f>
        <v>989561.625</v>
      </c>
      <c r="G1405" s="409">
        <f>IFERROR(E1405*'01 Prod Physique Boites'!L1393,"-")</f>
        <v>8361947.9715</v>
      </c>
      <c r="H1405" s="391">
        <v>160.44999999999999</v>
      </c>
      <c r="I1405" s="427">
        <f t="shared" si="928"/>
        <v>1564387.5</v>
      </c>
      <c r="J1405" s="428">
        <f t="shared" si="929"/>
        <v>13219315.049999999</v>
      </c>
    </row>
    <row r="1406" spans="1:10" ht="23.4" x14ac:dyDescent="0.3">
      <c r="A1406" s="277" t="s">
        <v>111</v>
      </c>
      <c r="B1406" s="923"/>
      <c r="C1406" s="278" t="s">
        <v>261</v>
      </c>
      <c r="D1406" s="278" t="s">
        <v>263</v>
      </c>
      <c r="E1406" s="390">
        <v>101.4935</v>
      </c>
      <c r="F1406" s="408">
        <f>IFERROR(E1406*'01 Prod Physique Boites'!H1394,"-")</f>
        <v>0</v>
      </c>
      <c r="G1406" s="409">
        <f>IFERROR(E1406*'01 Prod Physique Boites'!L1394,"-")</f>
        <v>1106380.6435</v>
      </c>
      <c r="H1406" s="391">
        <v>160.44999999999999</v>
      </c>
      <c r="I1406" s="427">
        <f t="shared" si="928"/>
        <v>0</v>
      </c>
      <c r="J1406" s="428">
        <f t="shared" si="929"/>
        <v>1749065.45</v>
      </c>
    </row>
    <row r="1407" spans="1:10" ht="23.4" x14ac:dyDescent="0.3">
      <c r="A1407" s="277" t="s">
        <v>111</v>
      </c>
      <c r="B1407" s="923"/>
      <c r="C1407" s="278" t="s">
        <v>262</v>
      </c>
      <c r="D1407" s="278" t="s">
        <v>263</v>
      </c>
      <c r="E1407" s="390">
        <v>101.4935</v>
      </c>
      <c r="F1407" s="408">
        <f>IFERROR(E1407*'01 Prod Physique Boites'!H1395,"-")</f>
        <v>0</v>
      </c>
      <c r="G1407" s="409">
        <f>IFERROR(E1407*'01 Prod Physique Boites'!L1395,"-")</f>
        <v>772568.522</v>
      </c>
      <c r="H1407" s="391">
        <v>160.44999999999999</v>
      </c>
      <c r="I1407" s="427">
        <f t="shared" si="928"/>
        <v>0</v>
      </c>
      <c r="J1407" s="428">
        <f t="shared" si="929"/>
        <v>1221345.3999999999</v>
      </c>
    </row>
    <row r="1408" spans="1:10" ht="23.4" x14ac:dyDescent="0.3">
      <c r="A1408" s="277" t="s">
        <v>111</v>
      </c>
      <c r="B1408" s="923"/>
      <c r="C1408" s="301" t="s">
        <v>264</v>
      </c>
      <c r="D1408" s="278" t="s">
        <v>263</v>
      </c>
      <c r="E1408" s="390">
        <v>101.4935</v>
      </c>
      <c r="F1408" s="408">
        <f>IFERROR(E1408*'01 Prod Physique Boites'!H1396,"-")</f>
        <v>0</v>
      </c>
      <c r="G1408" s="409">
        <f>IFERROR(E1408*'01 Prod Physique Boites'!L1396,"-")</f>
        <v>0</v>
      </c>
      <c r="H1408" s="391">
        <v>160.44999999999999</v>
      </c>
      <c r="I1408" s="427">
        <f t="shared" si="928"/>
        <v>0</v>
      </c>
      <c r="J1408" s="428">
        <f t="shared" si="929"/>
        <v>0</v>
      </c>
    </row>
    <row r="1409" spans="1:10" ht="23.4" x14ac:dyDescent="0.3">
      <c r="A1409" s="277" t="s">
        <v>111</v>
      </c>
      <c r="B1409" s="923"/>
      <c r="C1409" s="301" t="s">
        <v>265</v>
      </c>
      <c r="D1409" s="278" t="s">
        <v>263</v>
      </c>
      <c r="E1409" s="390">
        <v>101.4935</v>
      </c>
      <c r="F1409" s="408">
        <f>IFERROR(E1409*'01 Prod Physique Boites'!H1397,"-")</f>
        <v>0</v>
      </c>
      <c r="G1409" s="409">
        <f>IFERROR(E1409*'01 Prod Physique Boites'!L1397,"-")</f>
        <v>0</v>
      </c>
      <c r="H1409" s="391">
        <v>160.44999999999999</v>
      </c>
      <c r="I1409" s="427">
        <f t="shared" si="928"/>
        <v>0</v>
      </c>
      <c r="J1409" s="428">
        <f t="shared" si="929"/>
        <v>0</v>
      </c>
    </row>
    <row r="1410" spans="1:10" ht="23.4" x14ac:dyDescent="0.3">
      <c r="A1410" s="277" t="s">
        <v>111</v>
      </c>
      <c r="B1410" s="923"/>
      <c r="C1410" s="301" t="s">
        <v>266</v>
      </c>
      <c r="D1410" s="278" t="s">
        <v>268</v>
      </c>
      <c r="E1410" s="390">
        <v>101.4935</v>
      </c>
      <c r="F1410" s="408">
        <f>IFERROR(E1410*'01 Prod Physique Boites'!H1398,"-")</f>
        <v>0</v>
      </c>
      <c r="G1410" s="409">
        <f>IFERROR(E1410*'01 Prod Physique Boites'!L1398,"-")</f>
        <v>1057257.7895</v>
      </c>
      <c r="H1410" s="391">
        <v>160.44999999999999</v>
      </c>
      <c r="I1410" s="427">
        <f t="shared" si="928"/>
        <v>0</v>
      </c>
      <c r="J1410" s="428">
        <f t="shared" si="929"/>
        <v>1671407.65</v>
      </c>
    </row>
    <row r="1411" spans="1:10" ht="24" thickBot="1" x14ac:dyDescent="0.35">
      <c r="A1411" s="277" t="s">
        <v>111</v>
      </c>
      <c r="B1411" s="924"/>
      <c r="C1411" s="301" t="s">
        <v>267</v>
      </c>
      <c r="D1411" s="278" t="s">
        <v>263</v>
      </c>
      <c r="E1411" s="392">
        <v>101.4935</v>
      </c>
      <c r="F1411" s="408">
        <f>IFERROR(E1411*'01 Prod Physique Boites'!H1399,"-")</f>
        <v>0</v>
      </c>
      <c r="G1411" s="409">
        <f>IFERROR(E1411*'01 Prod Physique Boites'!L1399,"-")</f>
        <v>1420909</v>
      </c>
      <c r="H1411" s="391">
        <v>160.44999999999999</v>
      </c>
      <c r="I1411" s="429">
        <f t="shared" si="928"/>
        <v>0</v>
      </c>
      <c r="J1411" s="430">
        <f t="shared" si="929"/>
        <v>2246300</v>
      </c>
    </row>
    <row r="1412" spans="1:10" ht="24" thickBot="1" x14ac:dyDescent="0.35">
      <c r="A1412" s="277" t="s">
        <v>111</v>
      </c>
      <c r="B1412" s="906" t="s">
        <v>52</v>
      </c>
      <c r="C1412" s="907"/>
      <c r="D1412" s="908"/>
      <c r="E1412" s="396"/>
      <c r="F1412" s="412">
        <f t="shared" ref="F1412:G1412" si="930">SUM(F1404:F1411)</f>
        <v>989561.625</v>
      </c>
      <c r="G1412" s="413">
        <f t="shared" si="930"/>
        <v>12719063.9265</v>
      </c>
      <c r="H1412" s="397"/>
      <c r="I1412" s="412">
        <f t="shared" ref="I1412:J1412" si="931">SUM(I1404:I1411)</f>
        <v>1564387.5</v>
      </c>
      <c r="J1412" s="431">
        <f t="shared" si="931"/>
        <v>20107433.549999997</v>
      </c>
    </row>
    <row r="1413" spans="1:10" ht="24" thickBot="1" x14ac:dyDescent="0.35">
      <c r="A1413" s="277" t="s">
        <v>111</v>
      </c>
      <c r="B1413" s="926" t="s">
        <v>25</v>
      </c>
      <c r="C1413" s="927"/>
      <c r="D1413" s="928"/>
      <c r="E1413" s="399"/>
      <c r="F1413" s="416">
        <f t="shared" ref="F1413" si="932">+F1403+F1412</f>
        <v>1893257.385</v>
      </c>
      <c r="G1413" s="417">
        <f>+G1403+G1412</f>
        <v>13622759.6865</v>
      </c>
      <c r="H1413" s="400"/>
      <c r="I1413" s="416">
        <f t="shared" ref="I1413:J1413" si="933">+I1403+I1412</f>
        <v>2514787.5</v>
      </c>
      <c r="J1413" s="434">
        <f t="shared" si="933"/>
        <v>21057833.549999997</v>
      </c>
    </row>
    <row r="1414" spans="1:10" ht="24" thickBot="1" x14ac:dyDescent="0.35">
      <c r="A1414" s="277" t="s">
        <v>111</v>
      </c>
      <c r="B1414" s="900" t="s">
        <v>181</v>
      </c>
      <c r="C1414" s="901"/>
      <c r="D1414" s="902"/>
      <c r="E1414" s="401"/>
      <c r="F1414" s="418">
        <f t="shared" ref="F1414:G1414" si="934">+F1398+F1413</f>
        <v>3278074.5666</v>
      </c>
      <c r="G1414" s="419">
        <f t="shared" si="934"/>
        <v>39237861.259599999</v>
      </c>
      <c r="H1414" s="402"/>
      <c r="I1414" s="418">
        <f t="shared" ref="I1414:J1414" si="935">+I1398+I1413</f>
        <v>3413815.5</v>
      </c>
      <c r="J1414" s="435">
        <f t="shared" si="935"/>
        <v>60817428.042799994</v>
      </c>
    </row>
    <row r="1415" spans="1:10" ht="23.4" x14ac:dyDescent="0.3">
      <c r="A1415" s="271" t="s">
        <v>109</v>
      </c>
      <c r="B1415" s="929" t="s">
        <v>26</v>
      </c>
      <c r="C1415" s="303" t="s">
        <v>334</v>
      </c>
      <c r="D1415" s="305" t="s">
        <v>192</v>
      </c>
      <c r="E1415" s="515">
        <v>13.1272</v>
      </c>
      <c r="F1415" s="408">
        <f>IFERROR(E1415*'01 Prod Physique Boites'!H1403,"-")</f>
        <v>0</v>
      </c>
      <c r="G1415" s="409">
        <f>IFERROR(E1415*'01 Prod Physique Boites'!L1403,"-")</f>
        <v>4229820.1295999996</v>
      </c>
      <c r="H1415" s="387">
        <v>20.76</v>
      </c>
      <c r="I1415" s="425">
        <f t="shared" ref="I1415:I1423" si="936">IFERROR(H1415*(F1415/E1415),"-")</f>
        <v>0</v>
      </c>
      <c r="J1415" s="662">
        <f t="shared" ref="J1415:J1423" si="937">IFERROR(H1415*(G1415/E1415),"-")</f>
        <v>6689245.6799999997</v>
      </c>
    </row>
    <row r="1416" spans="1:10" ht="23.4" x14ac:dyDescent="0.3">
      <c r="A1416" s="277" t="s">
        <v>109</v>
      </c>
      <c r="B1416" s="929"/>
      <c r="C1416" s="304" t="s">
        <v>199</v>
      </c>
      <c r="D1416" s="304" t="s">
        <v>115</v>
      </c>
      <c r="E1416" s="516">
        <v>14.608000000000001</v>
      </c>
      <c r="F1416" s="408">
        <f>IFERROR(E1416*'01 Prod Physique Boites'!H1404,"-")</f>
        <v>0</v>
      </c>
      <c r="G1416" s="409">
        <f>IFERROR(E1416*'01 Prod Physique Boites'!L1404,"-")</f>
        <v>0</v>
      </c>
      <c r="H1416" s="391">
        <v>24.93</v>
      </c>
      <c r="I1416" s="427">
        <f t="shared" si="936"/>
        <v>0</v>
      </c>
      <c r="J1416" s="663">
        <f t="shared" si="937"/>
        <v>0</v>
      </c>
    </row>
    <row r="1417" spans="1:10" ht="23.4" x14ac:dyDescent="0.3">
      <c r="A1417" s="277" t="s">
        <v>109</v>
      </c>
      <c r="B1417" s="929"/>
      <c r="C1417" s="305" t="s">
        <v>27</v>
      </c>
      <c r="D1417" s="305" t="s">
        <v>310</v>
      </c>
      <c r="E1417" s="512">
        <v>17.8202</v>
      </c>
      <c r="F1417" s="408">
        <f>IFERROR(E1417*'01 Prod Physique Boites'!H1405,"-")</f>
        <v>0</v>
      </c>
      <c r="G1417" s="409">
        <f>IFERROR(E1417*'01 Prod Physique Boites'!L1405,"-")</f>
        <v>0</v>
      </c>
      <c r="H1417" s="391">
        <v>24.93</v>
      </c>
      <c r="I1417" s="427">
        <f t="shared" si="936"/>
        <v>0</v>
      </c>
      <c r="J1417" s="663">
        <f t="shared" si="937"/>
        <v>0</v>
      </c>
    </row>
    <row r="1418" spans="1:10" ht="23.4" x14ac:dyDescent="0.3">
      <c r="A1418" s="277" t="s">
        <v>109</v>
      </c>
      <c r="B1418" s="929"/>
      <c r="C1418" s="305" t="s">
        <v>27</v>
      </c>
      <c r="D1418" s="305" t="s">
        <v>311</v>
      </c>
      <c r="E1418" s="512">
        <v>17.8202</v>
      </c>
      <c r="F1418" s="408">
        <f>IFERROR(E1418*'01 Prod Physique Boites'!H1406,"-")</f>
        <v>0</v>
      </c>
      <c r="G1418" s="409">
        <f>IFERROR(E1418*'01 Prod Physique Boites'!L1406,"-")</f>
        <v>0</v>
      </c>
      <c r="H1418" s="391">
        <v>24.93</v>
      </c>
      <c r="I1418" s="427">
        <f t="shared" si="936"/>
        <v>0</v>
      </c>
      <c r="J1418" s="663">
        <f t="shared" si="937"/>
        <v>0</v>
      </c>
    </row>
    <row r="1419" spans="1:10" ht="23.4" x14ac:dyDescent="0.3">
      <c r="A1419" s="277" t="s">
        <v>109</v>
      </c>
      <c r="B1419" s="929"/>
      <c r="C1419" s="305" t="s">
        <v>325</v>
      </c>
      <c r="D1419" s="305" t="s">
        <v>324</v>
      </c>
      <c r="E1419" s="512">
        <v>14.608000000000001</v>
      </c>
      <c r="F1419" s="408">
        <f>IFERROR(E1419*'01 Prod Physique Boites'!H1407,"-")</f>
        <v>0</v>
      </c>
      <c r="G1419" s="409">
        <f>IFERROR(E1419*'01 Prod Physique Boites'!L1407,"-")</f>
        <v>0</v>
      </c>
      <c r="H1419" s="391">
        <v>24.93</v>
      </c>
      <c r="I1419" s="427">
        <f t="shared" si="936"/>
        <v>0</v>
      </c>
      <c r="J1419" s="663">
        <f t="shared" si="937"/>
        <v>0</v>
      </c>
    </row>
    <row r="1420" spans="1:10" ht="23.4" x14ac:dyDescent="0.3">
      <c r="A1420" s="277"/>
      <c r="B1420" s="929"/>
      <c r="C1420" s="305" t="s">
        <v>393</v>
      </c>
      <c r="D1420" s="305" t="s">
        <v>192</v>
      </c>
      <c r="E1420" s="512">
        <v>17.8202</v>
      </c>
      <c r="F1420" s="408">
        <f>IFERROR(E1420*'01 Prod Physique Boites'!H1408,"-")</f>
        <v>0</v>
      </c>
      <c r="G1420" s="409">
        <f>IFERROR(E1420*'01 Prod Physique Boites'!L1408,"-")</f>
        <v>0</v>
      </c>
      <c r="H1420" s="393">
        <v>21.22</v>
      </c>
      <c r="I1420" s="427">
        <f t="shared" si="936"/>
        <v>0</v>
      </c>
      <c r="J1420" s="664">
        <f t="shared" si="937"/>
        <v>0</v>
      </c>
    </row>
    <row r="1421" spans="1:10" ht="23.4" x14ac:dyDescent="0.3">
      <c r="A1421" s="277"/>
      <c r="B1421" s="929"/>
      <c r="C1421" s="305" t="s">
        <v>325</v>
      </c>
      <c r="D1421" s="305" t="s">
        <v>101</v>
      </c>
      <c r="E1421" s="512">
        <v>14.608000000000001</v>
      </c>
      <c r="F1421" s="408">
        <f>IFERROR(E1421*'01 Prod Physique Boites'!H1409,"-")</f>
        <v>0</v>
      </c>
      <c r="G1421" s="409">
        <f>IFERROR(E1421*'01 Prod Physique Boites'!L1409,"-")</f>
        <v>58110.624000000003</v>
      </c>
      <c r="H1421" s="393">
        <v>24.93</v>
      </c>
      <c r="I1421" s="429">
        <f t="shared" si="936"/>
        <v>0</v>
      </c>
      <c r="J1421" s="664">
        <f t="shared" si="937"/>
        <v>99171.54</v>
      </c>
    </row>
    <row r="1422" spans="1:10" ht="23.4" x14ac:dyDescent="0.3">
      <c r="A1422" s="277"/>
      <c r="B1422" s="929"/>
      <c r="C1422" s="305" t="s">
        <v>325</v>
      </c>
      <c r="D1422" s="305" t="s">
        <v>394</v>
      </c>
      <c r="E1422" s="512">
        <v>14.608000000000001</v>
      </c>
      <c r="F1422" s="408">
        <f>IFERROR(E1422*'01 Prod Physique Boites'!H1410,"-")</f>
        <v>0</v>
      </c>
      <c r="G1422" s="409">
        <f>IFERROR(E1422*'01 Prod Physique Boites'!L1410,"-")</f>
        <v>10053137.952</v>
      </c>
      <c r="H1422" s="393">
        <v>21.22</v>
      </c>
      <c r="I1422" s="429">
        <f t="shared" si="936"/>
        <v>0</v>
      </c>
      <c r="J1422" s="664">
        <f t="shared" si="937"/>
        <v>14603476.68</v>
      </c>
    </row>
    <row r="1423" spans="1:10" ht="24" thickBot="1" x14ac:dyDescent="0.35">
      <c r="A1423" s="277" t="s">
        <v>109</v>
      </c>
      <c r="B1423" s="929"/>
      <c r="C1423" s="306" t="s">
        <v>326</v>
      </c>
      <c r="D1423" s="305" t="s">
        <v>324</v>
      </c>
      <c r="E1423" s="512">
        <v>12.6997</v>
      </c>
      <c r="F1423" s="408">
        <f>IFERROR(E1423*'01 Prod Physique Boites'!H1411,"-")</f>
        <v>0</v>
      </c>
      <c r="G1423" s="409">
        <f>IFERROR(E1423*'01 Prod Physique Boites'!L1411,"-")</f>
        <v>101038.8132</v>
      </c>
      <c r="H1423" s="393">
        <v>13.25</v>
      </c>
      <c r="I1423" s="429">
        <f t="shared" si="936"/>
        <v>0</v>
      </c>
      <c r="J1423" s="664">
        <f t="shared" si="937"/>
        <v>105417</v>
      </c>
    </row>
    <row r="1424" spans="1:10" ht="24" thickBot="1" x14ac:dyDescent="0.35">
      <c r="A1424" s="277" t="s">
        <v>109</v>
      </c>
      <c r="B1424" s="930"/>
      <c r="C1424" s="307"/>
      <c r="D1424" s="308" t="s">
        <v>55</v>
      </c>
      <c r="E1424" s="396"/>
      <c r="F1424" s="412">
        <f>SUM(F1415:F1423)</f>
        <v>0</v>
      </c>
      <c r="G1424" s="413">
        <f t="shared" ref="G1424" si="938">SUM(G1415:G1423)</f>
        <v>14442107.5188</v>
      </c>
      <c r="H1424" s="397"/>
      <c r="I1424" s="412">
        <f t="shared" ref="I1424" si="939">SUM(I1415:I1423)</f>
        <v>0</v>
      </c>
      <c r="J1424" s="431">
        <f>SUM(J1415:J1423)</f>
        <v>21497310.899999999</v>
      </c>
    </row>
    <row r="1425" spans="1:10" ht="23.4" x14ac:dyDescent="0.3">
      <c r="A1425" s="277" t="s">
        <v>109</v>
      </c>
      <c r="B1425" s="931" t="s">
        <v>28</v>
      </c>
      <c r="C1425" s="303" t="s">
        <v>27</v>
      </c>
      <c r="D1425" s="303" t="s">
        <v>193</v>
      </c>
      <c r="E1425" s="515">
        <v>12.6997</v>
      </c>
      <c r="F1425" s="408">
        <f>IFERROR(E1425*'01 Prod Physique Boites'!H1413,"-")</f>
        <v>0</v>
      </c>
      <c r="G1425" s="409">
        <f>IFERROR(E1425*'01 Prod Physique Boites'!L1413,"-")</f>
        <v>0</v>
      </c>
      <c r="H1425" s="387">
        <v>13.25</v>
      </c>
      <c r="I1425" s="425">
        <f>IFERROR(H1425*(F1425/E1425),"-")</f>
        <v>0</v>
      </c>
      <c r="J1425" s="662">
        <f t="shared" ref="J1425:J1427" si="940">IFERROR(H1425*(G1425/E1425),"-")</f>
        <v>0</v>
      </c>
    </row>
    <row r="1426" spans="1:10" ht="23.4" x14ac:dyDescent="0.3">
      <c r="A1426" s="277" t="s">
        <v>109</v>
      </c>
      <c r="B1426" s="929"/>
      <c r="C1426" s="305" t="s">
        <v>27</v>
      </c>
      <c r="D1426" s="305" t="s">
        <v>394</v>
      </c>
      <c r="E1426" s="512">
        <v>17.8202</v>
      </c>
      <c r="F1426" s="408">
        <f>IFERROR(E1426*'01 Prod Physique Boites'!H1414,"-")</f>
        <v>2481106.446</v>
      </c>
      <c r="G1426" s="409">
        <f>IFERROR(E1426*'01 Prod Physique Boites'!L1414,"-")</f>
        <v>2481106.446</v>
      </c>
      <c r="H1426" s="391">
        <v>21.22</v>
      </c>
      <c r="I1426" s="427">
        <f>IFERROR(H1426*(F1426/E1426),"-")</f>
        <v>2954460.5999999996</v>
      </c>
      <c r="J1426" s="663">
        <f t="shared" si="940"/>
        <v>2954460.5999999996</v>
      </c>
    </row>
    <row r="1427" spans="1:10" ht="24" thickBot="1" x14ac:dyDescent="0.35">
      <c r="A1427" s="277" t="s">
        <v>109</v>
      </c>
      <c r="B1427" s="929"/>
      <c r="C1427" s="305" t="s">
        <v>27</v>
      </c>
      <c r="D1427" s="306" t="s">
        <v>259</v>
      </c>
      <c r="E1427" s="512">
        <v>17.8202</v>
      </c>
      <c r="F1427" s="408">
        <f>IFERROR(E1427*'01 Prod Physique Boites'!H1415,"-")</f>
        <v>708887.55599999998</v>
      </c>
      <c r="G1427" s="409">
        <f>IFERROR(E1427*'01 Prod Physique Boites'!L1415,"-")</f>
        <v>3898881.5579999997</v>
      </c>
      <c r="H1427" s="391">
        <v>24.93</v>
      </c>
      <c r="I1427" s="429">
        <f>IFERROR(H1427*(F1427/E1427),"-")</f>
        <v>991715.4</v>
      </c>
      <c r="J1427" s="664">
        <f t="shared" si="940"/>
        <v>5454434.7000000002</v>
      </c>
    </row>
    <row r="1428" spans="1:10" ht="24" thickBot="1" x14ac:dyDescent="0.35">
      <c r="A1428" s="277" t="s">
        <v>109</v>
      </c>
      <c r="B1428" s="929"/>
      <c r="C1428" s="310"/>
      <c r="D1428" s="311" t="s">
        <v>55</v>
      </c>
      <c r="E1428" s="403"/>
      <c r="F1428" s="420">
        <f t="shared" ref="F1428:G1428" si="941">SUM(F1425:F1427)</f>
        <v>3189994.0019999999</v>
      </c>
      <c r="G1428" s="421">
        <f t="shared" si="941"/>
        <v>6379988.0039999997</v>
      </c>
      <c r="H1428" s="404"/>
      <c r="I1428" s="420">
        <f t="shared" ref="I1428:J1428" si="942">SUM(I1425:I1427)</f>
        <v>3946175.9999999995</v>
      </c>
      <c r="J1428" s="436">
        <f t="shared" si="942"/>
        <v>8408895.3000000007</v>
      </c>
    </row>
    <row r="1429" spans="1:10" ht="24" thickBot="1" x14ac:dyDescent="0.35">
      <c r="A1429" s="821" t="s">
        <v>109</v>
      </c>
      <c r="B1429" s="932" t="s">
        <v>171</v>
      </c>
      <c r="C1429" s="933"/>
      <c r="D1429" s="934"/>
      <c r="E1429" s="405"/>
      <c r="F1429" s="422">
        <f t="shared" ref="F1429:G1429" si="943">+F1424+F1428</f>
        <v>3189994.0019999999</v>
      </c>
      <c r="G1429" s="423">
        <f t="shared" si="943"/>
        <v>20822095.522799999</v>
      </c>
      <c r="H1429" s="406"/>
      <c r="I1429" s="422">
        <f t="shared" ref="I1429:J1429" si="944">+I1424+I1428</f>
        <v>3946175.9999999995</v>
      </c>
      <c r="J1429" s="437">
        <f t="shared" si="944"/>
        <v>29906206.199999999</v>
      </c>
    </row>
    <row r="1430" spans="1:10" ht="23.4" x14ac:dyDescent="0.3">
      <c r="A1430" s="277" t="s">
        <v>109</v>
      </c>
      <c r="B1430" s="929" t="s">
        <v>30</v>
      </c>
      <c r="C1430" s="309" t="s">
        <v>375</v>
      </c>
      <c r="D1430" s="303" t="s">
        <v>193</v>
      </c>
      <c r="E1430" s="515">
        <v>15.2788</v>
      </c>
      <c r="F1430" s="408">
        <f>IFERROR(E1430*'01 Prod Physique Boites'!H1418,"-")</f>
        <v>0</v>
      </c>
      <c r="G1430" s="409">
        <f>IFERROR(E1430*'01 Prod Physique Boites'!L1418,"-")</f>
        <v>0</v>
      </c>
      <c r="H1430" s="387">
        <v>23.65</v>
      </c>
      <c r="I1430" s="425">
        <f>IFERROR(H1430*(F1430/E1430),"-")</f>
        <v>0</v>
      </c>
      <c r="J1430" s="426">
        <f t="shared" ref="J1430:J1432" si="945">IFERROR(H1430*(G1430/E1430),"-")</f>
        <v>0</v>
      </c>
    </row>
    <row r="1431" spans="1:10" ht="23.4" x14ac:dyDescent="0.3">
      <c r="A1431" s="277" t="s">
        <v>109</v>
      </c>
      <c r="B1431" s="929"/>
      <c r="C1431" s="309" t="s">
        <v>368</v>
      </c>
      <c r="D1431" s="309" t="s">
        <v>324</v>
      </c>
      <c r="E1431" s="516">
        <v>22.6356</v>
      </c>
      <c r="F1431" s="408">
        <f>IFERROR(E1431*'01 Prod Physique Boites'!H1419,"-")</f>
        <v>0</v>
      </c>
      <c r="G1431" s="409">
        <f>IFERROR(E1431*'01 Prod Physique Boites'!L1419,"-")</f>
        <v>0</v>
      </c>
      <c r="H1431" s="391">
        <v>34.26</v>
      </c>
      <c r="I1431" s="427">
        <f>IFERROR(H1431*(F1431/E1431),"-")</f>
        <v>0</v>
      </c>
      <c r="J1431" s="428">
        <f t="shared" si="945"/>
        <v>0</v>
      </c>
    </row>
    <row r="1432" spans="1:10" ht="24" thickBot="1" x14ac:dyDescent="0.35">
      <c r="A1432" s="277" t="s">
        <v>109</v>
      </c>
      <c r="B1432" s="929"/>
      <c r="C1432" s="306" t="s">
        <v>327</v>
      </c>
      <c r="D1432" s="306"/>
      <c r="E1432" s="512">
        <v>25.751300000000001</v>
      </c>
      <c r="F1432" s="408">
        <f>IFERROR(E1432*'01 Prod Physique Boites'!H1420,"-")</f>
        <v>530270.7696</v>
      </c>
      <c r="G1432" s="409">
        <f>IFERROR(E1432*'01 Prod Physique Boites'!L1420,"-")</f>
        <v>530270.7696</v>
      </c>
      <c r="H1432" s="393">
        <v>37.89</v>
      </c>
      <c r="I1432" s="429">
        <f>IFERROR(H1432*(F1432/E1432),"-")</f>
        <v>780230.88</v>
      </c>
      <c r="J1432" s="430">
        <f t="shared" si="945"/>
        <v>780230.88</v>
      </c>
    </row>
    <row r="1433" spans="1:10" ht="24" thickBot="1" x14ac:dyDescent="0.35">
      <c r="A1433" s="277" t="s">
        <v>109</v>
      </c>
      <c r="B1433" s="929"/>
      <c r="C1433" s="307"/>
      <c r="D1433" s="308" t="s">
        <v>53</v>
      </c>
      <c r="E1433" s="396"/>
      <c r="F1433" s="412">
        <f t="shared" ref="F1433:G1433" si="946">SUM(F1430:F1432)</f>
        <v>530270.7696</v>
      </c>
      <c r="G1433" s="413">
        <f t="shared" si="946"/>
        <v>530270.7696</v>
      </c>
      <c r="H1433" s="397"/>
      <c r="I1433" s="412">
        <f t="shared" ref="I1433" si="947">SUM(I1430:I1432)</f>
        <v>780230.88</v>
      </c>
      <c r="J1433" s="431">
        <f>SUM(J1430:J1432)</f>
        <v>780230.88</v>
      </c>
    </row>
    <row r="1434" spans="1:10" ht="23.4" x14ac:dyDescent="0.3">
      <c r="A1434" s="277" t="s">
        <v>109</v>
      </c>
      <c r="B1434" s="929"/>
      <c r="C1434" s="303" t="s">
        <v>352</v>
      </c>
      <c r="D1434" s="303"/>
      <c r="E1434" s="515">
        <v>22.094999999999999</v>
      </c>
      <c r="F1434" s="408">
        <f>IFERROR(E1434*'01 Prod Physique Boites'!H1422,"-")</f>
        <v>0</v>
      </c>
      <c r="G1434" s="409">
        <f>IFERROR(E1434*'01 Prod Physique Boites'!L1422,"-")</f>
        <v>0</v>
      </c>
      <c r="H1434" s="387">
        <v>37.11</v>
      </c>
      <c r="I1434" s="425">
        <f>IFERROR(H1434*(F1434/E1434),"-")</f>
        <v>0</v>
      </c>
      <c r="J1434" s="426">
        <f t="shared" ref="J1434:J1436" si="948">IFERROR(H1434*(G1434/E1434),"-")</f>
        <v>0</v>
      </c>
    </row>
    <row r="1435" spans="1:10" ht="23.4" x14ac:dyDescent="0.3">
      <c r="A1435" s="277" t="s">
        <v>109</v>
      </c>
      <c r="B1435" s="929"/>
      <c r="C1435" s="309" t="s">
        <v>397</v>
      </c>
      <c r="D1435" s="309" t="s">
        <v>259</v>
      </c>
      <c r="E1435" s="516">
        <v>27.917000000000002</v>
      </c>
      <c r="F1435" s="408">
        <f>IFERROR(E1435*'01 Prod Physique Boites'!H1423,"-")</f>
        <v>2822073.696</v>
      </c>
      <c r="G1435" s="409">
        <f>IFERROR(E1435*'01 Prod Physique Boites'!L1423,"-")</f>
        <v>13430980.368000001</v>
      </c>
      <c r="H1435" s="391">
        <v>39</v>
      </c>
      <c r="I1435" s="427">
        <f>IFERROR(H1435*(F1435/E1435),"-")</f>
        <v>3942432</v>
      </c>
      <c r="J1435" s="428">
        <f t="shared" si="948"/>
        <v>18763056</v>
      </c>
    </row>
    <row r="1436" spans="1:10" ht="24" thickBot="1" x14ac:dyDescent="0.35">
      <c r="A1436" s="277" t="s">
        <v>109</v>
      </c>
      <c r="B1436" s="929"/>
      <c r="C1436" s="306" t="s">
        <v>146</v>
      </c>
      <c r="D1436" s="306"/>
      <c r="E1436" s="512">
        <v>25.4041</v>
      </c>
      <c r="F1436" s="408">
        <f>IFERROR(E1436*'01 Prod Physique Boites'!H1424,"-")</f>
        <v>0</v>
      </c>
      <c r="G1436" s="409">
        <f>IFERROR(E1436*'01 Prod Physique Boites'!L1424,"-")</f>
        <v>0</v>
      </c>
      <c r="H1436" s="393">
        <v>28.21</v>
      </c>
      <c r="I1436" s="429">
        <f>IFERROR(H1436*(F1436/E1436),"-")</f>
        <v>0</v>
      </c>
      <c r="J1436" s="430">
        <f t="shared" si="948"/>
        <v>0</v>
      </c>
    </row>
    <row r="1437" spans="1:10" ht="24" thickBot="1" x14ac:dyDescent="0.35">
      <c r="A1437" s="277" t="s">
        <v>109</v>
      </c>
      <c r="B1437" s="929"/>
      <c r="C1437" s="310"/>
      <c r="D1437" s="311" t="s">
        <v>54</v>
      </c>
      <c r="E1437" s="403"/>
      <c r="F1437" s="420">
        <f t="shared" ref="F1437:G1437" si="949">SUM(F1434:F1436)</f>
        <v>2822073.696</v>
      </c>
      <c r="G1437" s="421">
        <f t="shared" si="949"/>
        <v>13430980.368000001</v>
      </c>
      <c r="H1437" s="404"/>
      <c r="I1437" s="420">
        <f t="shared" ref="I1437" si="950">SUM(I1434:I1436)</f>
        <v>3942432</v>
      </c>
      <c r="J1437" s="436">
        <f>SUM(J1434:J1436)</f>
        <v>18763056</v>
      </c>
    </row>
    <row r="1438" spans="1:10" ht="24" thickBot="1" x14ac:dyDescent="0.35">
      <c r="A1438" s="277" t="s">
        <v>109</v>
      </c>
      <c r="B1438" s="932" t="s">
        <v>172</v>
      </c>
      <c r="C1438" s="933"/>
      <c r="D1438" s="934"/>
      <c r="E1438" s="405"/>
      <c r="F1438" s="422">
        <f t="shared" ref="F1438:G1438" si="951">+F1433+F1437</f>
        <v>3352344.4655999998</v>
      </c>
      <c r="G1438" s="423">
        <f t="shared" si="951"/>
        <v>13961251.137600001</v>
      </c>
      <c r="H1438" s="406"/>
      <c r="I1438" s="422">
        <f t="shared" ref="I1438:J1438" si="952">+I1433+I1437</f>
        <v>4722662.88</v>
      </c>
      <c r="J1438" s="437">
        <f t="shared" si="952"/>
        <v>19543286.879999999</v>
      </c>
    </row>
    <row r="1439" spans="1:10" ht="24" thickBot="1" x14ac:dyDescent="0.35">
      <c r="A1439" s="277" t="s">
        <v>109</v>
      </c>
      <c r="B1439" s="617" t="s">
        <v>32</v>
      </c>
      <c r="C1439" s="817"/>
      <c r="D1439" s="316"/>
      <c r="E1439" s="517">
        <v>12.2659</v>
      </c>
      <c r="F1439" s="414">
        <f>IFERROR(E1439*'01 Prod Physique Boites'!H1427,"-")</f>
        <v>0</v>
      </c>
      <c r="G1439" s="415">
        <f>IFERROR(E1439*'01 Prod Physique Boites'!L1427,"-")</f>
        <v>0</v>
      </c>
      <c r="H1439" s="398"/>
      <c r="I1439" s="432">
        <f>IFERROR(H1439*(F1439/E1439),"-")</f>
        <v>0</v>
      </c>
      <c r="J1439" s="433">
        <f>IFERROR(H1439*(G1439/E1439),"-")</f>
        <v>0</v>
      </c>
    </row>
    <row r="1440" spans="1:10" ht="24" thickBot="1" x14ac:dyDescent="0.35">
      <c r="A1440" s="277" t="s">
        <v>109</v>
      </c>
      <c r="B1440" s="926" t="s">
        <v>21</v>
      </c>
      <c r="C1440" s="927"/>
      <c r="D1440" s="928"/>
      <c r="E1440" s="399"/>
      <c r="F1440" s="416">
        <f t="shared" ref="F1440" si="953">+F1429+F1438+F1439</f>
        <v>6542338.4675999992</v>
      </c>
      <c r="G1440" s="417">
        <f>+G1429+G1438+G1439</f>
        <v>34783346.660400003</v>
      </c>
      <c r="H1440" s="400"/>
      <c r="I1440" s="416">
        <f t="shared" ref="I1440:J1440" si="954">+I1429+I1438+I1439</f>
        <v>8668838.879999999</v>
      </c>
      <c r="J1440" s="434">
        <f t="shared" si="954"/>
        <v>49449493.079999998</v>
      </c>
    </row>
    <row r="1441" spans="1:10" ht="24" thickBot="1" x14ac:dyDescent="0.35">
      <c r="A1441" s="277" t="s">
        <v>109</v>
      </c>
      <c r="B1441" s="900" t="s">
        <v>180</v>
      </c>
      <c r="C1441" s="901"/>
      <c r="D1441" s="902"/>
      <c r="E1441" s="401"/>
      <c r="F1441" s="418">
        <f t="shared" ref="F1441:G1441" si="955">+F1440</f>
        <v>6542338.4675999992</v>
      </c>
      <c r="G1441" s="419">
        <f t="shared" si="955"/>
        <v>34783346.660400003</v>
      </c>
      <c r="H1441" s="402"/>
      <c r="I1441" s="418">
        <f t="shared" ref="I1441:J1441" si="956">+I1440</f>
        <v>8668838.879999999</v>
      </c>
      <c r="J1441" s="435">
        <f t="shared" si="956"/>
        <v>49449493.079999998</v>
      </c>
    </row>
    <row r="1442" spans="1:10" ht="23.4" x14ac:dyDescent="0.3">
      <c r="A1442" s="271" t="s">
        <v>110</v>
      </c>
      <c r="B1442" s="903" t="s">
        <v>33</v>
      </c>
      <c r="C1442" s="317" t="s">
        <v>121</v>
      </c>
      <c r="D1442" s="317"/>
      <c r="E1442" s="513">
        <v>254.89750000000001</v>
      </c>
      <c r="F1442" s="408">
        <f>IFERROR(E1442*'01 Prod Physique Boites'!H1430,"-")</f>
        <v>0</v>
      </c>
      <c r="G1442" s="409">
        <f>IFERROR(E1442*'01 Prod Physique Boites'!L1430,"-")</f>
        <v>0</v>
      </c>
      <c r="H1442" s="387">
        <v>445.38</v>
      </c>
      <c r="I1442" s="425">
        <f>IFERROR(H1442*(F1442/E1442),"-")</f>
        <v>0</v>
      </c>
      <c r="J1442" s="426">
        <f t="shared" ref="J1442:J1444" si="957">IFERROR(H1442*(G1442/E1442),"-")</f>
        <v>0</v>
      </c>
    </row>
    <row r="1443" spans="1:10" ht="23.4" x14ac:dyDescent="0.3">
      <c r="A1443" s="277" t="s">
        <v>110</v>
      </c>
      <c r="B1443" s="904"/>
      <c r="C1443" s="318" t="s">
        <v>274</v>
      </c>
      <c r="D1443" s="318"/>
      <c r="E1443" s="514">
        <v>246.51390000000001</v>
      </c>
      <c r="F1443" s="408">
        <f>IFERROR(E1443*'01 Prod Physique Boites'!H1431,"-")</f>
        <v>0</v>
      </c>
      <c r="G1443" s="409">
        <f>IFERROR(E1443*'01 Prod Physique Boites'!L1431,"-")</f>
        <v>2287648.9920000001</v>
      </c>
      <c r="H1443" s="391">
        <v>430.02</v>
      </c>
      <c r="I1443" s="427">
        <f>IFERROR(H1443*(F1443/E1443),"-")</f>
        <v>0</v>
      </c>
      <c r="J1443" s="428">
        <f t="shared" si="957"/>
        <v>3990585.5999999996</v>
      </c>
    </row>
    <row r="1444" spans="1:10" ht="24" thickBot="1" x14ac:dyDescent="0.35">
      <c r="A1444" s="277" t="s">
        <v>110</v>
      </c>
      <c r="B1444" s="905"/>
      <c r="C1444" s="319" t="s">
        <v>34</v>
      </c>
      <c r="D1444" s="319"/>
      <c r="E1444" s="511">
        <v>225.7713</v>
      </c>
      <c r="F1444" s="408">
        <f>IFERROR(E1444*'01 Prod Physique Boites'!H1432,"-")</f>
        <v>0</v>
      </c>
      <c r="G1444" s="409">
        <f>IFERROR(E1444*'01 Prod Physique Boites'!L1432,"-")</f>
        <v>0</v>
      </c>
      <c r="H1444" s="393"/>
      <c r="I1444" s="429">
        <f>IFERROR(H1444*(F1444/E1444),"-")</f>
        <v>0</v>
      </c>
      <c r="J1444" s="430">
        <f t="shared" si="957"/>
        <v>0</v>
      </c>
    </row>
    <row r="1445" spans="1:10" ht="24" thickBot="1" x14ac:dyDescent="0.35">
      <c r="A1445" s="277" t="s">
        <v>110</v>
      </c>
      <c r="B1445" s="906" t="s">
        <v>35</v>
      </c>
      <c r="C1445" s="907"/>
      <c r="D1445" s="908"/>
      <c r="E1445" s="396"/>
      <c r="F1445" s="412">
        <f t="shared" ref="F1445:G1445" si="958">SUM(F1442:F1444)</f>
        <v>0</v>
      </c>
      <c r="G1445" s="413">
        <f t="shared" si="958"/>
        <v>2287648.9920000001</v>
      </c>
      <c r="H1445" s="397"/>
      <c r="I1445" s="412">
        <f t="shared" ref="I1445:J1445" si="959">SUM(I1442:I1444)</f>
        <v>0</v>
      </c>
      <c r="J1445" s="431">
        <f t="shared" si="959"/>
        <v>3990585.5999999996</v>
      </c>
    </row>
    <row r="1446" spans="1:10" ht="23.4" x14ac:dyDescent="0.3">
      <c r="A1446" s="277" t="s">
        <v>110</v>
      </c>
      <c r="B1446" s="903" t="s">
        <v>36</v>
      </c>
      <c r="C1446" s="317" t="s">
        <v>121</v>
      </c>
      <c r="D1446" s="317"/>
      <c r="E1446" s="513">
        <v>254.89750000000001</v>
      </c>
      <c r="F1446" s="408">
        <f>IFERROR(E1446*'01 Prod Physique Boites'!H1434,"-")</f>
        <v>0</v>
      </c>
      <c r="G1446" s="409">
        <f>IFERROR(E1446*'01 Prod Physique Boites'!L1434,"-")</f>
        <v>0</v>
      </c>
      <c r="H1446" s="387">
        <v>445.38</v>
      </c>
      <c r="I1446" s="425">
        <f>IFERROR(H1446*(F1446/E1446),"-")</f>
        <v>0</v>
      </c>
      <c r="J1446" s="426">
        <f t="shared" ref="J1446:J1449" si="960">IFERROR(H1446*(G1446/E1446),"-")</f>
        <v>0</v>
      </c>
    </row>
    <row r="1447" spans="1:10" ht="23.4" x14ac:dyDescent="0.3">
      <c r="A1447" s="277" t="s">
        <v>110</v>
      </c>
      <c r="B1447" s="904"/>
      <c r="C1447" s="318" t="s">
        <v>274</v>
      </c>
      <c r="D1447" s="318"/>
      <c r="E1447" s="514">
        <v>246.51390000000001</v>
      </c>
      <c r="F1447" s="408">
        <f>IFERROR(E1447*'01 Prod Physique Boites'!H1435,"-")</f>
        <v>1104382.2720000001</v>
      </c>
      <c r="G1447" s="409">
        <f>IFERROR(E1447*'01 Prod Physique Boites'!L1435,"-")</f>
        <v>12471631.228800001</v>
      </c>
      <c r="H1447" s="391">
        <v>430.02</v>
      </c>
      <c r="I1447" s="427">
        <f>IFERROR(H1447*(F1447/E1447),"-")</f>
        <v>1926489.5999999999</v>
      </c>
      <c r="J1447" s="428">
        <f t="shared" si="960"/>
        <v>21755571.84</v>
      </c>
    </row>
    <row r="1448" spans="1:10" ht="23.4" x14ac:dyDescent="0.3">
      <c r="A1448" s="277" t="s">
        <v>110</v>
      </c>
      <c r="B1448" s="904"/>
      <c r="C1448" s="318" t="s">
        <v>201</v>
      </c>
      <c r="D1448" s="318" t="s">
        <v>200</v>
      </c>
      <c r="E1448" s="514">
        <v>254.89750000000001</v>
      </c>
      <c r="F1448" s="408">
        <f>IFERROR(E1448*'01 Prod Physique Boites'!H1436,"-")</f>
        <v>0</v>
      </c>
      <c r="G1448" s="409">
        <f>IFERROR(E1448*'01 Prod Physique Boites'!L1436,"-")</f>
        <v>0</v>
      </c>
      <c r="H1448" s="391"/>
      <c r="I1448" s="427">
        <f>IFERROR(H1448*(F1448/E1448),"-")</f>
        <v>0</v>
      </c>
      <c r="J1448" s="428">
        <f t="shared" si="960"/>
        <v>0</v>
      </c>
    </row>
    <row r="1449" spans="1:10" ht="24" thickBot="1" x14ac:dyDescent="0.35">
      <c r="A1449" s="277" t="s">
        <v>110</v>
      </c>
      <c r="B1449" s="905"/>
      <c r="C1449" s="319" t="s">
        <v>37</v>
      </c>
      <c r="D1449" s="319"/>
      <c r="E1449" s="511">
        <v>229.99359999999999</v>
      </c>
      <c r="F1449" s="408">
        <f>IFERROR(E1449*'01 Prod Physique Boites'!H1437,"-")</f>
        <v>0</v>
      </c>
      <c r="G1449" s="409">
        <f>IFERROR(E1449*'01 Prod Physique Boites'!L1437,"-")</f>
        <v>0</v>
      </c>
      <c r="H1449" s="393"/>
      <c r="I1449" s="429">
        <f>IFERROR(H1449*(F1449/E1449),"-")</f>
        <v>0</v>
      </c>
      <c r="J1449" s="430">
        <f t="shared" si="960"/>
        <v>0</v>
      </c>
    </row>
    <row r="1450" spans="1:10" ht="24" thickBot="1" x14ac:dyDescent="0.35">
      <c r="A1450" s="277" t="s">
        <v>110</v>
      </c>
      <c r="B1450" s="906" t="s">
        <v>38</v>
      </c>
      <c r="C1450" s="907"/>
      <c r="D1450" s="908"/>
      <c r="E1450" s="396"/>
      <c r="F1450" s="412">
        <f t="shared" ref="F1450:G1450" si="961">SUM(F1446:F1449)</f>
        <v>1104382.2720000001</v>
      </c>
      <c r="G1450" s="413">
        <f t="shared" si="961"/>
        <v>12471631.228800001</v>
      </c>
      <c r="H1450" s="397"/>
      <c r="I1450" s="412">
        <f>SUM(I1446:I1449)</f>
        <v>1926489.5999999999</v>
      </c>
      <c r="J1450" s="431">
        <f>SUM(J1446:J1449)</f>
        <v>21755571.84</v>
      </c>
    </row>
    <row r="1451" spans="1:10" ht="23.4" x14ac:dyDescent="0.3">
      <c r="A1451" s="277" t="s">
        <v>110</v>
      </c>
      <c r="B1451" s="903" t="s">
        <v>39</v>
      </c>
      <c r="C1451" s="320" t="s">
        <v>124</v>
      </c>
      <c r="D1451" s="320"/>
      <c r="E1451" s="513">
        <v>195.2808</v>
      </c>
      <c r="F1451" s="408">
        <f>IFERROR(E1451*'01 Prod Physique Boites'!H1439,"-")</f>
        <v>0</v>
      </c>
      <c r="G1451" s="409">
        <f>IFERROR(E1451*'01 Prod Physique Boites'!L1439,"-")</f>
        <v>0</v>
      </c>
      <c r="H1451" s="387"/>
      <c r="I1451" s="425">
        <f>IFERROR(H1451*(F1451/E1451),"-")</f>
        <v>0</v>
      </c>
      <c r="J1451" s="426">
        <f t="shared" ref="J1451:J1452" si="962">IFERROR(H1451*(G1451/E1451),"-")</f>
        <v>0</v>
      </c>
    </row>
    <row r="1452" spans="1:10" ht="24" thickBot="1" x14ac:dyDescent="0.35">
      <c r="A1452" s="277" t="s">
        <v>110</v>
      </c>
      <c r="B1452" s="905"/>
      <c r="C1452" s="290" t="s">
        <v>140</v>
      </c>
      <c r="D1452" s="290"/>
      <c r="E1452" s="511">
        <v>189.91890000000001</v>
      </c>
      <c r="F1452" s="408">
        <f>IFERROR(E1452*'01 Prod Physique Boites'!H1440,"-")</f>
        <v>0</v>
      </c>
      <c r="G1452" s="409">
        <f>IFERROR(E1452*'01 Prod Physique Boites'!L1440,"-")</f>
        <v>0</v>
      </c>
      <c r="H1452" s="393">
        <v>320.35000000000002</v>
      </c>
      <c r="I1452" s="429">
        <f>IFERROR(H1452*(F1452/E1452),"-")</f>
        <v>0</v>
      </c>
      <c r="J1452" s="430">
        <f t="shared" si="962"/>
        <v>0</v>
      </c>
    </row>
    <row r="1453" spans="1:10" ht="24" thickBot="1" x14ac:dyDescent="0.35">
      <c r="A1453" s="821" t="s">
        <v>110</v>
      </c>
      <c r="B1453" s="906" t="s">
        <v>40</v>
      </c>
      <c r="C1453" s="907"/>
      <c r="D1453" s="908"/>
      <c r="E1453" s="396"/>
      <c r="F1453" s="412">
        <f>SUM(F1451:F1452)</f>
        <v>0</v>
      </c>
      <c r="G1453" s="413">
        <f t="shared" ref="G1453" si="963">SUM(G1451:G1452)</f>
        <v>0</v>
      </c>
      <c r="H1453" s="397"/>
      <c r="I1453" s="412">
        <f t="shared" ref="I1453:J1453" si="964">SUM(I1451:I1452)</f>
        <v>0</v>
      </c>
      <c r="J1453" s="431">
        <f t="shared" si="964"/>
        <v>0</v>
      </c>
    </row>
    <row r="1454" spans="1:10" ht="23.4" x14ac:dyDescent="0.3">
      <c r="A1454" s="277" t="s">
        <v>110</v>
      </c>
      <c r="B1454" s="903" t="s">
        <v>41</v>
      </c>
      <c r="C1454" s="272" t="s">
        <v>346</v>
      </c>
      <c r="D1454" s="272" t="s">
        <v>263</v>
      </c>
      <c r="E1454" s="515">
        <v>37.248699999999999</v>
      </c>
      <c r="F1454" s="408">
        <f>IFERROR(E1454*'01 Prod Physique Boites'!H1442,"-")</f>
        <v>438044.712</v>
      </c>
      <c r="G1454" s="409">
        <f>IFERROR(E1454*'01 Prod Physique Boites'!L1442,"-")</f>
        <v>9782700.5783999991</v>
      </c>
      <c r="H1454" s="387">
        <v>71.44</v>
      </c>
      <c r="I1454" s="425">
        <f>IFERROR(H1454*(F1454/E1454),"-")</f>
        <v>840134.4</v>
      </c>
      <c r="J1454" s="426">
        <f>IFERROR(H1454*(G1454/E1454),"-")</f>
        <v>18762430.079999998</v>
      </c>
    </row>
    <row r="1455" spans="1:10" ht="23.4" x14ac:dyDescent="0.3">
      <c r="A1455" s="277" t="s">
        <v>110</v>
      </c>
      <c r="B1455" s="904"/>
      <c r="C1455" s="272" t="s">
        <v>165</v>
      </c>
      <c r="D1455" s="278"/>
      <c r="E1455" s="515">
        <v>37.248699999999999</v>
      </c>
      <c r="F1455" s="408">
        <f>IFERROR(E1455*'01 Prod Physique Boites'!H1443,"-")</f>
        <v>0</v>
      </c>
      <c r="G1455" s="409">
        <f>IFERROR(E1455*'01 Prod Physique Boites'!L1443,"-")</f>
        <v>0</v>
      </c>
      <c r="H1455" s="391"/>
      <c r="I1455" s="427">
        <f>IFERROR(H1455*(F1455/E1455),"-")</f>
        <v>0</v>
      </c>
      <c r="J1455" s="428">
        <f t="shared" ref="J1455:J1458" si="965">IFERROR(H1455*(G1455/E1455),"-")</f>
        <v>0</v>
      </c>
    </row>
    <row r="1456" spans="1:10" ht="23.4" x14ac:dyDescent="0.3">
      <c r="A1456" s="277" t="s">
        <v>110</v>
      </c>
      <c r="B1456" s="904"/>
      <c r="C1456" s="278" t="s">
        <v>423</v>
      </c>
      <c r="D1456" s="272" t="s">
        <v>263</v>
      </c>
      <c r="E1456" s="516">
        <v>38.466099999999997</v>
      </c>
      <c r="F1456" s="408">
        <f>IFERROR(E1456*'01 Prod Physique Boites'!H1444,"-")</f>
        <v>0</v>
      </c>
      <c r="G1456" s="409">
        <f>IFERROR(E1456*'01 Prod Physique Boites'!L1444,"-")</f>
        <v>1306308.7559999998</v>
      </c>
      <c r="H1456" s="391">
        <v>71.44</v>
      </c>
      <c r="I1456" s="427">
        <f>IFERROR(H1456*(F1456/E1456),"-")</f>
        <v>0</v>
      </c>
      <c r="J1456" s="428">
        <f t="shared" si="965"/>
        <v>2426102.4</v>
      </c>
    </row>
    <row r="1457" spans="1:10" ht="23.4" x14ac:dyDescent="0.3">
      <c r="A1457" s="277" t="s">
        <v>110</v>
      </c>
      <c r="B1457" s="904"/>
      <c r="C1457" s="278" t="s">
        <v>166</v>
      </c>
      <c r="D1457" s="278"/>
      <c r="E1457" s="516">
        <v>37.248699999999999</v>
      </c>
      <c r="F1457" s="408">
        <f>IFERROR(E1457*'01 Prod Physique Boites'!H1445,"-")</f>
        <v>0</v>
      </c>
      <c r="G1457" s="409">
        <f>IFERROR(E1457*'01 Prod Physique Boites'!L1445,"-")</f>
        <v>0</v>
      </c>
      <c r="H1457" s="391"/>
      <c r="I1457" s="427">
        <f>IFERROR(H1457*(F1457/E1457),"-")</f>
        <v>0</v>
      </c>
      <c r="J1457" s="428">
        <f t="shared" si="965"/>
        <v>0</v>
      </c>
    </row>
    <row r="1458" spans="1:10" ht="24" thickBot="1" x14ac:dyDescent="0.35">
      <c r="A1458" s="277" t="s">
        <v>110</v>
      </c>
      <c r="B1458" s="905"/>
      <c r="C1458" s="282" t="s">
        <v>167</v>
      </c>
      <c r="D1458" s="282"/>
      <c r="E1458" s="512">
        <v>33.711399999999998</v>
      </c>
      <c r="F1458" s="408">
        <f>IFERROR(E1458*'01 Prod Physique Boites'!H1446,"-")</f>
        <v>0</v>
      </c>
      <c r="G1458" s="409">
        <f>IFERROR(E1458*'01 Prod Physique Boites'!L1446,"-")</f>
        <v>0</v>
      </c>
      <c r="H1458" s="393"/>
      <c r="I1458" s="429">
        <f>IFERROR(H1458*(F1458/E1458),"-")</f>
        <v>0</v>
      </c>
      <c r="J1458" s="430">
        <f t="shared" si="965"/>
        <v>0</v>
      </c>
    </row>
    <row r="1459" spans="1:10" ht="24" thickBot="1" x14ac:dyDescent="0.35">
      <c r="A1459" s="277" t="s">
        <v>110</v>
      </c>
      <c r="B1459" s="906" t="s">
        <v>42</v>
      </c>
      <c r="C1459" s="907"/>
      <c r="D1459" s="908"/>
      <c r="E1459" s="396"/>
      <c r="F1459" s="412">
        <f>SUM(F1454:F1458)</f>
        <v>438044.712</v>
      </c>
      <c r="G1459" s="413">
        <f>SUM(G1454:G1458)</f>
        <v>11089009.334399998</v>
      </c>
      <c r="H1459" s="397"/>
      <c r="I1459" s="412">
        <f>SUM(I1454:I1458)</f>
        <v>840134.4</v>
      </c>
      <c r="J1459" s="412">
        <f>SUM(J1454:J1458)</f>
        <v>21188532.479999997</v>
      </c>
    </row>
    <row r="1460" spans="1:10" ht="23.4" x14ac:dyDescent="0.3">
      <c r="A1460" s="277" t="s">
        <v>110</v>
      </c>
      <c r="B1460" s="903" t="s">
        <v>43</v>
      </c>
      <c r="C1460" s="272" t="s">
        <v>204</v>
      </c>
      <c r="D1460" s="272" t="s">
        <v>200</v>
      </c>
      <c r="E1460" s="515">
        <v>30.7499</v>
      </c>
      <c r="F1460" s="408">
        <f>IFERROR(E1460*'01 Prod Physique Boites'!H1448,"-")</f>
        <v>0</v>
      </c>
      <c r="G1460" s="409">
        <f>IFERROR(E1460*'01 Prod Physique Boites'!L1448,"-")</f>
        <v>0</v>
      </c>
      <c r="H1460" s="387"/>
      <c r="I1460" s="425">
        <f>IFERROR(H1460*(F1460/E1460),"-")</f>
        <v>0</v>
      </c>
      <c r="J1460" s="426">
        <f>IFERROR(H1460*(G1460/E1460),"-")</f>
        <v>0</v>
      </c>
    </row>
    <row r="1461" spans="1:10" ht="23.4" x14ac:dyDescent="0.3">
      <c r="A1461" s="277" t="s">
        <v>110</v>
      </c>
      <c r="B1461" s="904"/>
      <c r="C1461" s="278" t="s">
        <v>168</v>
      </c>
      <c r="D1461" s="278"/>
      <c r="E1461" s="516">
        <v>28.7</v>
      </c>
      <c r="F1461" s="408">
        <f>IFERROR(E1461*'01 Prod Physique Boites'!H1449,"-")</f>
        <v>0</v>
      </c>
      <c r="G1461" s="409">
        <f>IFERROR(E1461*'01 Prod Physique Boites'!L1449,"-")</f>
        <v>0</v>
      </c>
      <c r="H1461" s="391"/>
      <c r="I1461" s="427">
        <f>IFERROR(H1461*(F1461/E1461),"-")</f>
        <v>0</v>
      </c>
      <c r="J1461" s="428">
        <f t="shared" ref="J1461:J1462" si="966">IFERROR(H1461*(G1461/E1461),"-")</f>
        <v>0</v>
      </c>
    </row>
    <row r="1462" spans="1:10" ht="24" thickBot="1" x14ac:dyDescent="0.35">
      <c r="A1462" s="277" t="s">
        <v>110</v>
      </c>
      <c r="B1462" s="905"/>
      <c r="C1462" s="282" t="s">
        <v>204</v>
      </c>
      <c r="D1462" s="282" t="s">
        <v>203</v>
      </c>
      <c r="E1462" s="512">
        <v>30.073599999999999</v>
      </c>
      <c r="F1462" s="408">
        <f>IFERROR(E1462*'01 Prod Physique Boites'!H1450,"-")</f>
        <v>0</v>
      </c>
      <c r="G1462" s="409">
        <f>IFERROR(E1462*'01 Prod Physique Boites'!L1450,"-")</f>
        <v>0</v>
      </c>
      <c r="H1462" s="393"/>
      <c r="I1462" s="429">
        <f>IFERROR(H1462*(F1462/E1462),"-")</f>
        <v>0</v>
      </c>
      <c r="J1462" s="430">
        <f t="shared" si="966"/>
        <v>0</v>
      </c>
    </row>
    <row r="1463" spans="1:10" ht="24" thickBot="1" x14ac:dyDescent="0.35">
      <c r="A1463" s="277" t="s">
        <v>110</v>
      </c>
      <c r="B1463" s="909" t="s">
        <v>44</v>
      </c>
      <c r="C1463" s="910"/>
      <c r="D1463" s="911"/>
      <c r="E1463" s="396"/>
      <c r="F1463" s="412">
        <f t="shared" ref="F1463:G1463" si="967">SUM(F1460:F1462)</f>
        <v>0</v>
      </c>
      <c r="G1463" s="413">
        <f t="shared" si="967"/>
        <v>0</v>
      </c>
      <c r="H1463" s="397"/>
      <c r="I1463" s="412">
        <f t="shared" ref="I1463:J1463" si="968">SUM(I1460:I1462)</f>
        <v>0</v>
      </c>
      <c r="J1463" s="431">
        <f t="shared" si="968"/>
        <v>0</v>
      </c>
    </row>
    <row r="1464" spans="1:10" ht="23.4" x14ac:dyDescent="0.3">
      <c r="A1464" s="277" t="s">
        <v>110</v>
      </c>
      <c r="B1464" s="903" t="s">
        <v>45</v>
      </c>
      <c r="C1464" s="272" t="s">
        <v>169</v>
      </c>
      <c r="D1464" s="272"/>
      <c r="E1464" s="515">
        <v>36.684899999999999</v>
      </c>
      <c r="F1464" s="408">
        <f>IFERROR(E1464*'01 Prod Physique Boites'!H1452,"-")</f>
        <v>0</v>
      </c>
      <c r="G1464" s="409">
        <f>IFERROR(E1464*'01 Prod Physique Boites'!L1452,"-")</f>
        <v>0</v>
      </c>
      <c r="H1464" s="387"/>
      <c r="I1464" s="388" t="s">
        <v>209</v>
      </c>
      <c r="J1464" s="389" t="s">
        <v>209</v>
      </c>
    </row>
    <row r="1465" spans="1:10" ht="24" thickBot="1" x14ac:dyDescent="0.35">
      <c r="A1465" s="277" t="s">
        <v>110</v>
      </c>
      <c r="B1465" s="905"/>
      <c r="C1465" s="282" t="s">
        <v>170</v>
      </c>
      <c r="D1465" s="282"/>
      <c r="E1465" s="512">
        <v>37.002800000000001</v>
      </c>
      <c r="F1465" s="408">
        <f>IFERROR(E1465*'01 Prod Physique Boites'!H1453,"-")</f>
        <v>0</v>
      </c>
      <c r="G1465" s="409">
        <f>IFERROR(E1465*'01 Prod Physique Boites'!L1453,"-")</f>
        <v>0</v>
      </c>
      <c r="H1465" s="393"/>
      <c r="I1465" s="394" t="s">
        <v>209</v>
      </c>
      <c r="J1465" s="395" t="s">
        <v>209</v>
      </c>
    </row>
    <row r="1466" spans="1:10" ht="24" thickBot="1" x14ac:dyDescent="0.35">
      <c r="A1466" s="277" t="s">
        <v>110</v>
      </c>
      <c r="B1466" s="909" t="s">
        <v>46</v>
      </c>
      <c r="C1466" s="910"/>
      <c r="D1466" s="911"/>
      <c r="E1466" s="396"/>
      <c r="F1466" s="412">
        <f t="shared" ref="F1466:G1466" si="969">SUM(F1464:F1465)</f>
        <v>0</v>
      </c>
      <c r="G1466" s="413">
        <f t="shared" si="969"/>
        <v>0</v>
      </c>
      <c r="H1466" s="397"/>
      <c r="I1466" s="412">
        <f t="shared" ref="I1466:J1466" si="970">SUM(I1464:I1465)</f>
        <v>0</v>
      </c>
      <c r="J1466" s="431">
        <f t="shared" si="970"/>
        <v>0</v>
      </c>
    </row>
    <row r="1467" spans="1:10" ht="24" thickBot="1" x14ac:dyDescent="0.35">
      <c r="A1467" s="277" t="s">
        <v>110</v>
      </c>
      <c r="B1467" s="912" t="s">
        <v>25</v>
      </c>
      <c r="C1467" s="913"/>
      <c r="D1467" s="914"/>
      <c r="E1467" s="399"/>
      <c r="F1467" s="416">
        <f t="shared" ref="F1467:G1467" si="971">+F1445+F1450+F1453+F1459+F1463+F1466</f>
        <v>1542426.9840000002</v>
      </c>
      <c r="G1467" s="417">
        <f t="shared" si="971"/>
        <v>25848289.555199999</v>
      </c>
      <c r="H1467" s="400"/>
      <c r="I1467" s="416">
        <f>+I1445+I1450+I1453+I1459+I1463+I1466</f>
        <v>2766624</v>
      </c>
      <c r="J1467" s="434">
        <f>+J1445+J1450+J1453+J1459+J1463+J1466</f>
        <v>46934689.919999994</v>
      </c>
    </row>
    <row r="1468" spans="1:10" ht="24" thickBot="1" x14ac:dyDescent="0.35">
      <c r="A1468" s="324" t="s">
        <v>110</v>
      </c>
      <c r="B1468" s="901" t="s">
        <v>182</v>
      </c>
      <c r="C1468" s="901"/>
      <c r="D1468" s="902"/>
      <c r="E1468" s="401"/>
      <c r="F1468" s="418">
        <f t="shared" ref="F1468:G1468" si="972">+F1467</f>
        <v>1542426.9840000002</v>
      </c>
      <c r="G1468" s="419">
        <f t="shared" si="972"/>
        <v>25848289.555199999</v>
      </c>
      <c r="H1468" s="402"/>
      <c r="I1468" s="418">
        <f t="shared" ref="I1468" si="973">+I1467</f>
        <v>2766624</v>
      </c>
      <c r="J1468" s="435">
        <f>+J1467</f>
        <v>46934689.919999994</v>
      </c>
    </row>
    <row r="1469" spans="1:10" ht="24.6" thickBot="1" x14ac:dyDescent="0.35">
      <c r="A1469" s="325"/>
      <c r="B1469" s="915" t="s">
        <v>183</v>
      </c>
      <c r="C1469" s="916"/>
      <c r="D1469" s="917"/>
      <c r="E1469" s="407"/>
      <c r="F1469" s="424">
        <f t="shared" ref="F1469:G1469" si="974">+F1414+F1441+F1468</f>
        <v>11362840.018199999</v>
      </c>
      <c r="G1469" s="424">
        <f t="shared" si="974"/>
        <v>99869497.475199997</v>
      </c>
      <c r="H1469" s="407"/>
      <c r="I1469" s="424">
        <f t="shared" ref="I1469:J1469" si="975">+I1414+I1441+I1468</f>
        <v>14849278.379999999</v>
      </c>
      <c r="J1469" s="438">
        <f t="shared" si="975"/>
        <v>157201611.04279998</v>
      </c>
    </row>
    <row r="1470" spans="1:10" ht="23.4" x14ac:dyDescent="0.3">
      <c r="A1470" s="935" t="s">
        <v>1</v>
      </c>
      <c r="B1470" s="938" t="s">
        <v>2</v>
      </c>
      <c r="C1470" s="941" t="s">
        <v>3</v>
      </c>
      <c r="D1470" s="941" t="s">
        <v>93</v>
      </c>
      <c r="E1470" s="965" t="s">
        <v>176</v>
      </c>
      <c r="F1470" s="966"/>
      <c r="G1470" s="966"/>
      <c r="H1470" s="451"/>
      <c r="I1470" s="451"/>
      <c r="J1470" s="452"/>
    </row>
    <row r="1471" spans="1:10" ht="23.4" x14ac:dyDescent="0.3">
      <c r="A1471" s="936"/>
      <c r="B1471" s="939"/>
      <c r="C1471" s="942"/>
      <c r="D1471" s="942"/>
      <c r="E1471" s="967" t="s">
        <v>178</v>
      </c>
      <c r="F1471" s="968"/>
      <c r="G1471" s="969"/>
      <c r="H1471" s="967" t="s">
        <v>177</v>
      </c>
      <c r="I1471" s="968"/>
      <c r="J1471" s="969"/>
    </row>
    <row r="1472" spans="1:10" ht="46.8" x14ac:dyDescent="0.3">
      <c r="A1472" s="937"/>
      <c r="B1472" s="963"/>
      <c r="C1472" s="964"/>
      <c r="D1472" s="964"/>
      <c r="E1472" s="385" t="s">
        <v>179</v>
      </c>
      <c r="F1472" s="827" t="s">
        <v>11</v>
      </c>
      <c r="G1472" s="828" t="s">
        <v>12</v>
      </c>
      <c r="H1472" s="970" t="s">
        <v>179</v>
      </c>
      <c r="I1472" s="972" t="s">
        <v>145</v>
      </c>
      <c r="J1472" s="974" t="s">
        <v>12</v>
      </c>
    </row>
    <row r="1473" spans="1:10" ht="24" thickBot="1" x14ac:dyDescent="0.35">
      <c r="A1473" s="937"/>
      <c r="B1473" s="940"/>
      <c r="C1473" s="943"/>
      <c r="D1473" s="943"/>
      <c r="E1473" s="976">
        <v>44521</v>
      </c>
      <c r="F1473" s="977"/>
      <c r="G1473" s="978"/>
      <c r="H1473" s="971"/>
      <c r="I1473" s="973"/>
      <c r="J1473" s="975"/>
    </row>
    <row r="1474" spans="1:10" ht="23.4" x14ac:dyDescent="0.3">
      <c r="A1474" s="271" t="s">
        <v>111</v>
      </c>
      <c r="B1474" s="922" t="s">
        <v>16</v>
      </c>
      <c r="C1474" s="272" t="s">
        <v>186</v>
      </c>
      <c r="D1474" s="272" t="s">
        <v>184</v>
      </c>
      <c r="E1474" s="515">
        <v>81.360699999999994</v>
      </c>
      <c r="F1474" s="408">
        <f>IFERROR(E1474*'01 Prod Physique Boites'!H1461,"-")</f>
        <v>0</v>
      </c>
      <c r="G1474" s="408">
        <f>IFERROR(E1474*'01 Prod Physique Boites'!L1461,"-")</f>
        <v>0</v>
      </c>
      <c r="H1474" s="387">
        <v>0</v>
      </c>
      <c r="I1474" s="425">
        <f>IFERROR(H1474*(F1474/E1474),"-")</f>
        <v>0</v>
      </c>
      <c r="J1474" s="426">
        <f t="shared" ref="J1474:J1476" si="976">IFERROR(H1474*(G1474/E1474),"-")</f>
        <v>0</v>
      </c>
    </row>
    <row r="1475" spans="1:10" ht="23.4" x14ac:dyDescent="0.3">
      <c r="A1475" s="277" t="s">
        <v>111</v>
      </c>
      <c r="B1475" s="923"/>
      <c r="C1475" s="278" t="s">
        <v>190</v>
      </c>
      <c r="D1475" s="278" t="s">
        <v>101</v>
      </c>
      <c r="E1475" s="516">
        <v>81.360699999999994</v>
      </c>
      <c r="F1475" s="408">
        <f>IFERROR(E1475*'01 Prod Physique Boites'!H1462,"-")</f>
        <v>0</v>
      </c>
      <c r="G1475" s="408">
        <f>IFERROR(E1475*'01 Prod Physique Boites'!L1462,"-")</f>
        <v>0</v>
      </c>
      <c r="H1475" s="391">
        <v>0</v>
      </c>
      <c r="I1475" s="425">
        <f>IFERROR(H1475*(F1475/E1475),"-")</f>
        <v>0</v>
      </c>
      <c r="J1475" s="426">
        <f t="shared" si="976"/>
        <v>0</v>
      </c>
    </row>
    <row r="1476" spans="1:10" ht="23.4" x14ac:dyDescent="0.3">
      <c r="A1476" s="277" t="s">
        <v>111</v>
      </c>
      <c r="B1476" s="923"/>
      <c r="C1476" s="278" t="s">
        <v>187</v>
      </c>
      <c r="D1476" s="278" t="s">
        <v>185</v>
      </c>
      <c r="E1476" s="516">
        <v>55.476900000000001</v>
      </c>
      <c r="F1476" s="408">
        <f>IFERROR(E1476*'01 Prod Physique Boites'!H1463,"-")</f>
        <v>0</v>
      </c>
      <c r="G1476" s="408">
        <f>IFERROR(E1476*'01 Prod Physique Boites'!L1463,"-")</f>
        <v>0</v>
      </c>
      <c r="H1476" s="391">
        <v>0</v>
      </c>
      <c r="I1476" s="425">
        <f>IFERROR(H1476*(F1476/E1476),"-")</f>
        <v>0</v>
      </c>
      <c r="J1476" s="426">
        <f t="shared" si="976"/>
        <v>0</v>
      </c>
    </row>
    <row r="1477" spans="1:10" ht="24" thickBot="1" x14ac:dyDescent="0.35">
      <c r="A1477" s="277" t="s">
        <v>111</v>
      </c>
      <c r="B1477" s="924"/>
      <c r="C1477" s="282" t="s">
        <v>289</v>
      </c>
      <c r="D1477" s="282" t="s">
        <v>256</v>
      </c>
      <c r="E1477" s="512">
        <v>60.703499999999998</v>
      </c>
      <c r="F1477" s="408">
        <f>IFERROR(E1477*'01 Prod Physique Boites'!H1464,"-")</f>
        <v>0</v>
      </c>
      <c r="G1477" s="408">
        <f>IFERROR(E1477*'01 Prod Physique Boites'!L1464,"-")</f>
        <v>6314135.2560000001</v>
      </c>
      <c r="H1477" s="393">
        <v>111.0883</v>
      </c>
      <c r="I1477" s="425">
        <f>IFERROR(H1477*(F1477/E1477),"-")</f>
        <v>0</v>
      </c>
      <c r="J1477" s="426">
        <f>IFERROR(H1477*(G1477/E1477),"-")</f>
        <v>11554960.6128</v>
      </c>
    </row>
    <row r="1478" spans="1:10" ht="24" thickBot="1" x14ac:dyDescent="0.35">
      <c r="A1478" s="277" t="s">
        <v>111</v>
      </c>
      <c r="B1478" s="906" t="s">
        <v>47</v>
      </c>
      <c r="C1478" s="907"/>
      <c r="D1478" s="908"/>
      <c r="E1478" s="396"/>
      <c r="F1478" s="412">
        <f t="shared" ref="F1478" si="977">SUM(F1474:F1477)</f>
        <v>0</v>
      </c>
      <c r="G1478" s="413">
        <f>SUM(G1474:G1477)</f>
        <v>6314135.2560000001</v>
      </c>
      <c r="H1478" s="397"/>
      <c r="I1478" s="412">
        <f t="shared" ref="I1478:J1478" si="978">SUM(I1474:I1477)</f>
        <v>0</v>
      </c>
      <c r="J1478" s="431">
        <f t="shared" si="978"/>
        <v>11554960.6128</v>
      </c>
    </row>
    <row r="1479" spans="1:10" ht="23.4" x14ac:dyDescent="0.3">
      <c r="A1479" s="277" t="s">
        <v>111</v>
      </c>
      <c r="B1479" s="922" t="s">
        <v>17</v>
      </c>
      <c r="C1479" s="272" t="s">
        <v>331</v>
      </c>
      <c r="D1479" s="272"/>
      <c r="E1479" s="515">
        <v>12.5275</v>
      </c>
      <c r="F1479" s="408">
        <f>IFERROR(E1479*'01 Prod Physique Boites'!H1466,"-")</f>
        <v>0</v>
      </c>
      <c r="G1479" s="408">
        <f>IFERROR(E1479*'01 Prod Physique Boites'!L1466,"-")</f>
        <v>0</v>
      </c>
      <c r="H1479" s="387">
        <v>18.836400000000001</v>
      </c>
      <c r="I1479" s="425">
        <f t="shared" ref="I1479:I1485" si="979">IFERROR(H1479*(F1479/E1479),"-")</f>
        <v>0</v>
      </c>
      <c r="J1479" s="426">
        <f t="shared" ref="J1479:J1484" si="980">IFERROR(H1479*(G1479/E1479),"-")</f>
        <v>0</v>
      </c>
    </row>
    <row r="1480" spans="1:10" ht="23.4" x14ac:dyDescent="0.3">
      <c r="A1480" s="277" t="s">
        <v>111</v>
      </c>
      <c r="B1480" s="923"/>
      <c r="C1480" s="278" t="s">
        <v>421</v>
      </c>
      <c r="D1480" s="278" t="s">
        <v>257</v>
      </c>
      <c r="E1480" s="516">
        <v>13.002700000000001</v>
      </c>
      <c r="F1480" s="408">
        <f>IFERROR(E1480*'01 Prod Physique Boites'!H1467,"-")</f>
        <v>636612.19200000004</v>
      </c>
      <c r="G1480" s="408">
        <f>IFERROR(E1480*'01 Prod Physique Boites'!L1467,"-")</f>
        <v>6316490.6141000008</v>
      </c>
      <c r="H1480" s="811">
        <v>21.18</v>
      </c>
      <c r="I1480" s="427">
        <f t="shared" si="979"/>
        <v>1036972.7999999999</v>
      </c>
      <c r="J1480" s="428">
        <f t="shared" si="980"/>
        <v>10288883.940000001</v>
      </c>
    </row>
    <row r="1481" spans="1:10" ht="23.4" x14ac:dyDescent="0.3">
      <c r="A1481" s="277" t="s">
        <v>111</v>
      </c>
      <c r="B1481" s="923"/>
      <c r="C1481" s="278" t="s">
        <v>441</v>
      </c>
      <c r="D1481" s="278" t="s">
        <v>205</v>
      </c>
      <c r="E1481" s="516">
        <v>12.9049</v>
      </c>
      <c r="F1481" s="408">
        <f>IFERROR(E1481*'01 Prod Physique Boites'!H1468,"-")</f>
        <v>0</v>
      </c>
      <c r="G1481" s="408">
        <f>IFERROR(E1481*'01 Prod Physique Boites'!L1468,"-")</f>
        <v>0</v>
      </c>
      <c r="H1481" s="391">
        <v>20.6602</v>
      </c>
      <c r="I1481" s="427">
        <f t="shared" si="979"/>
        <v>0</v>
      </c>
      <c r="J1481" s="428">
        <f t="shared" si="980"/>
        <v>0</v>
      </c>
    </row>
    <row r="1482" spans="1:10" ht="23.4" x14ac:dyDescent="0.3">
      <c r="A1482" s="277" t="s">
        <v>111</v>
      </c>
      <c r="B1482" s="923"/>
      <c r="C1482" s="278" t="s">
        <v>330</v>
      </c>
      <c r="D1482" s="278" t="s">
        <v>206</v>
      </c>
      <c r="E1482" s="516">
        <v>13.078200000000001</v>
      </c>
      <c r="F1482" s="408">
        <f>IFERROR(E1482*'01 Prod Physique Boites'!H1469,"-")</f>
        <v>0</v>
      </c>
      <c r="G1482" s="408">
        <f>IFERROR(E1482*'01 Prod Physique Boites'!L1469,"-")</f>
        <v>24011.575200000003</v>
      </c>
      <c r="H1482" s="811">
        <v>20.66</v>
      </c>
      <c r="I1482" s="427">
        <f t="shared" si="979"/>
        <v>0</v>
      </c>
      <c r="J1482" s="428">
        <f t="shared" si="980"/>
        <v>37931.760000000002</v>
      </c>
    </row>
    <row r="1483" spans="1:10" ht="23.4" x14ac:dyDescent="0.3">
      <c r="A1483" s="277" t="s">
        <v>111</v>
      </c>
      <c r="B1483" s="923"/>
      <c r="C1483" s="278" t="s">
        <v>377</v>
      </c>
      <c r="D1483" s="278" t="s">
        <v>371</v>
      </c>
      <c r="E1483" s="516">
        <v>13.1958</v>
      </c>
      <c r="F1483" s="408">
        <f>IFERROR(E1483*'01 Prod Physique Boites'!H1470,"-")</f>
        <v>0</v>
      </c>
      <c r="G1483" s="408">
        <f>IFERROR(E1483*'01 Prod Physique Boites'!L1470,"-")</f>
        <v>140007.43799999999</v>
      </c>
      <c r="H1483" s="811">
        <v>21.28</v>
      </c>
      <c r="I1483" s="427">
        <f t="shared" si="979"/>
        <v>0</v>
      </c>
      <c r="J1483" s="428">
        <f t="shared" si="980"/>
        <v>225780.80000000002</v>
      </c>
    </row>
    <row r="1484" spans="1:10" ht="23.4" x14ac:dyDescent="0.3">
      <c r="A1484" s="277" t="s">
        <v>111</v>
      </c>
      <c r="B1484" s="923"/>
      <c r="C1484" s="278" t="s">
        <v>443</v>
      </c>
      <c r="D1484" s="278" t="s">
        <v>207</v>
      </c>
      <c r="E1484" s="516">
        <v>12.9049</v>
      </c>
      <c r="F1484" s="408">
        <f>IFERROR(E1484*'01 Prod Physique Boites'!H1471,"-")</f>
        <v>157955.976</v>
      </c>
      <c r="G1484" s="408">
        <f>IFERROR(E1484*'01 Prod Physique Boites'!L1471,"-")</f>
        <v>5686415.1359999999</v>
      </c>
      <c r="H1484" s="812">
        <v>20.5</v>
      </c>
      <c r="I1484" s="427">
        <f t="shared" si="979"/>
        <v>250920</v>
      </c>
      <c r="J1484" s="428">
        <f t="shared" si="980"/>
        <v>9033120</v>
      </c>
    </row>
    <row r="1485" spans="1:10" ht="24" thickBot="1" x14ac:dyDescent="0.35">
      <c r="A1485" s="277" t="s">
        <v>111</v>
      </c>
      <c r="B1485" s="924"/>
      <c r="C1485" s="282" t="s">
        <v>416</v>
      </c>
      <c r="D1485" s="282" t="s">
        <v>189</v>
      </c>
      <c r="E1485" s="512">
        <v>13.6509</v>
      </c>
      <c r="F1485" s="408">
        <f>IFERROR(E1485*'01 Prod Physique Boites'!H1472,"-")</f>
        <v>0</v>
      </c>
      <c r="G1485" s="408">
        <f>IFERROR(E1485*'01 Prod Physique Boites'!L1472,"-")</f>
        <v>1002522.096</v>
      </c>
      <c r="H1485" s="813">
        <v>21.18</v>
      </c>
      <c r="I1485" s="429">
        <f t="shared" si="979"/>
        <v>0</v>
      </c>
      <c r="J1485" s="430">
        <f>IFERROR(H1485*(G1485/E1485),"-")</f>
        <v>1555459.2</v>
      </c>
    </row>
    <row r="1486" spans="1:10" ht="24" thickBot="1" x14ac:dyDescent="0.35">
      <c r="A1486" s="277" t="s">
        <v>111</v>
      </c>
      <c r="B1486" s="906" t="s">
        <v>48</v>
      </c>
      <c r="C1486" s="907"/>
      <c r="D1486" s="908"/>
      <c r="E1486" s="396"/>
      <c r="F1486" s="412">
        <f t="shared" ref="F1486" si="981">SUM(F1479:F1485)</f>
        <v>794568.16800000006</v>
      </c>
      <c r="G1486" s="413">
        <f>SUM(G1479:G1485)</f>
        <v>13169446.859300002</v>
      </c>
      <c r="H1486" s="397"/>
      <c r="I1486" s="412">
        <f t="shared" ref="I1486" si="982">SUM(I1479:I1485)</f>
        <v>1287892.7999999998</v>
      </c>
      <c r="J1486" s="431">
        <f>SUM(J1479:J1485)</f>
        <v>21141175.699999999</v>
      </c>
    </row>
    <row r="1487" spans="1:10" ht="23.4" x14ac:dyDescent="0.3">
      <c r="A1487" s="277" t="s">
        <v>111</v>
      </c>
      <c r="B1487" s="922" t="s">
        <v>18</v>
      </c>
      <c r="C1487" s="272" t="s">
        <v>359</v>
      </c>
      <c r="D1487" s="272" t="s">
        <v>99</v>
      </c>
      <c r="E1487" s="515">
        <v>17.8202</v>
      </c>
      <c r="F1487" s="408">
        <f>IFERROR(E1487*'01 Prod Physique Boites'!H1474,"-")</f>
        <v>0</v>
      </c>
      <c r="G1487" s="409">
        <f>IFERROR(E1487*'01 Prod Physique Boites'!L1474,"-")</f>
        <v>0</v>
      </c>
      <c r="H1487" s="387">
        <v>24.93</v>
      </c>
      <c r="I1487" s="425">
        <f t="shared" ref="I1487:I1493" si="983">IFERROR(H1487*(F1487/E1487),"-")</f>
        <v>0</v>
      </c>
      <c r="J1487" s="426">
        <f t="shared" ref="J1487:J1489" si="984">IFERROR(H1487*(G1487/E1487),"-")</f>
        <v>0</v>
      </c>
    </row>
    <row r="1488" spans="1:10" ht="23.4" x14ac:dyDescent="0.3">
      <c r="A1488" s="277" t="s">
        <v>111</v>
      </c>
      <c r="B1488" s="923"/>
      <c r="C1488" s="278" t="s">
        <v>138</v>
      </c>
      <c r="D1488" s="278"/>
      <c r="E1488" s="516">
        <v>17.8202</v>
      </c>
      <c r="F1488" s="408">
        <f>IFERROR(E1488*'01 Prod Physique Boites'!H1475,"-")</f>
        <v>0</v>
      </c>
      <c r="G1488" s="409">
        <f>IFERROR(E1488*'01 Prod Physique Boites'!L1475,"-")</f>
        <v>0</v>
      </c>
      <c r="H1488" s="391">
        <v>0</v>
      </c>
      <c r="I1488" s="427">
        <f t="shared" si="983"/>
        <v>0</v>
      </c>
      <c r="J1488" s="428">
        <f t="shared" si="984"/>
        <v>0</v>
      </c>
    </row>
    <row r="1489" spans="1:10" ht="23.4" x14ac:dyDescent="0.3">
      <c r="A1489" s="277" t="s">
        <v>111</v>
      </c>
      <c r="B1489" s="923"/>
      <c r="C1489" s="278" t="s">
        <v>123</v>
      </c>
      <c r="D1489" s="278"/>
      <c r="E1489" s="516">
        <v>16.4071</v>
      </c>
      <c r="F1489" s="408">
        <f>IFERROR(E1489*'01 Prod Physique Boites'!H1476,"-")</f>
        <v>0</v>
      </c>
      <c r="G1489" s="409">
        <f>IFERROR(E1489*'01 Prod Physique Boites'!L1476,"-")</f>
        <v>0</v>
      </c>
      <c r="H1489" s="391">
        <v>0</v>
      </c>
      <c r="I1489" s="427">
        <f t="shared" si="983"/>
        <v>0</v>
      </c>
      <c r="J1489" s="428">
        <f t="shared" si="984"/>
        <v>0</v>
      </c>
    </row>
    <row r="1490" spans="1:10" ht="23.4" x14ac:dyDescent="0.3">
      <c r="A1490" s="277" t="s">
        <v>111</v>
      </c>
      <c r="B1490" s="923"/>
      <c r="C1490" s="278" t="s">
        <v>130</v>
      </c>
      <c r="D1490" s="278"/>
      <c r="E1490" s="516">
        <v>17.8202</v>
      </c>
      <c r="F1490" s="408">
        <f>IFERROR(E1490*'01 Prod Physique Boites'!H1477,"-")</f>
        <v>0</v>
      </c>
      <c r="G1490" s="409">
        <f>IFERROR(E1490*'01 Prod Physique Boites'!L1477,"-")</f>
        <v>0</v>
      </c>
      <c r="H1490" s="391">
        <v>0</v>
      </c>
      <c r="I1490" s="427">
        <f t="shared" si="983"/>
        <v>0</v>
      </c>
      <c r="J1490" s="428">
        <f>IFERROR(H1490*(G1490/E1490),"-")</f>
        <v>0</v>
      </c>
    </row>
    <row r="1491" spans="1:10" ht="23.4" x14ac:dyDescent="0.3">
      <c r="A1491" s="277" t="s">
        <v>111</v>
      </c>
      <c r="B1491" s="923"/>
      <c r="C1491" s="278" t="s">
        <v>191</v>
      </c>
      <c r="D1491" s="278" t="s">
        <v>192</v>
      </c>
      <c r="E1491" s="516">
        <v>17.8202</v>
      </c>
      <c r="F1491" s="408">
        <f>IFERROR(E1491*'01 Prod Physique Boites'!H1478,"-")</f>
        <v>0</v>
      </c>
      <c r="G1491" s="409">
        <f>IFERROR(E1491*'01 Prod Physique Boites'!L1478,"-")</f>
        <v>0</v>
      </c>
      <c r="H1491" s="391">
        <v>0</v>
      </c>
      <c r="I1491" s="427">
        <f t="shared" si="983"/>
        <v>0</v>
      </c>
      <c r="J1491" s="428">
        <f t="shared" ref="J1491:J1493" si="985">IFERROR(H1491*(G1491/E1491),"-")</f>
        <v>0</v>
      </c>
    </row>
    <row r="1492" spans="1:10" ht="23.4" x14ac:dyDescent="0.3">
      <c r="A1492" s="277" t="s">
        <v>111</v>
      </c>
      <c r="B1492" s="923"/>
      <c r="C1492" s="278" t="s">
        <v>194</v>
      </c>
      <c r="D1492" s="278" t="s">
        <v>193</v>
      </c>
      <c r="E1492" s="516">
        <v>16.7288</v>
      </c>
      <c r="F1492" s="408">
        <f>IFERROR(E1492*'01 Prod Physique Boites'!H1479,"-")</f>
        <v>0</v>
      </c>
      <c r="G1492" s="409">
        <f>IFERROR(E1492*'01 Prod Physique Boites'!L1479,"-")</f>
        <v>0</v>
      </c>
      <c r="H1492" s="391">
        <v>0</v>
      </c>
      <c r="I1492" s="427">
        <f t="shared" si="983"/>
        <v>0</v>
      </c>
      <c r="J1492" s="428">
        <f t="shared" si="985"/>
        <v>0</v>
      </c>
    </row>
    <row r="1493" spans="1:10" ht="24" thickBot="1" x14ac:dyDescent="0.35">
      <c r="A1493" s="277" t="s">
        <v>111</v>
      </c>
      <c r="B1493" s="924"/>
      <c r="C1493" s="290" t="s">
        <v>195</v>
      </c>
      <c r="D1493" s="290" t="s">
        <v>115</v>
      </c>
      <c r="E1493" s="512">
        <v>17.8202</v>
      </c>
      <c r="F1493" s="408">
        <f>IFERROR(E1493*'01 Prod Physique Boites'!H1480,"-")</f>
        <v>0</v>
      </c>
      <c r="G1493" s="409">
        <f>IFERROR(E1493*'01 Prod Physique Boites'!L1480,"-")</f>
        <v>0</v>
      </c>
      <c r="H1493" s="391">
        <v>0</v>
      </c>
      <c r="I1493" s="429">
        <f t="shared" si="983"/>
        <v>0</v>
      </c>
      <c r="J1493" s="430">
        <f t="shared" si="985"/>
        <v>0</v>
      </c>
    </row>
    <row r="1494" spans="1:10" ht="24" thickBot="1" x14ac:dyDescent="0.35">
      <c r="A1494" s="277" t="s">
        <v>111</v>
      </c>
      <c r="B1494" s="906" t="s">
        <v>29</v>
      </c>
      <c r="C1494" s="907"/>
      <c r="D1494" s="908"/>
      <c r="E1494" s="777"/>
      <c r="F1494" s="778">
        <f t="shared" ref="F1494:G1494" si="986">SUM(F1487:F1493)</f>
        <v>0</v>
      </c>
      <c r="G1494" s="413">
        <f t="shared" si="986"/>
        <v>0</v>
      </c>
      <c r="H1494" s="397"/>
      <c r="I1494" s="412">
        <f t="shared" ref="I1494:J1494" si="987">SUM(I1487:I1493)</f>
        <v>0</v>
      </c>
      <c r="J1494" s="431">
        <f t="shared" si="987"/>
        <v>0</v>
      </c>
    </row>
    <row r="1495" spans="1:10" ht="23.4" x14ac:dyDescent="0.3">
      <c r="A1495" s="277"/>
      <c r="B1495" s="918" t="s">
        <v>19</v>
      </c>
      <c r="C1495" s="779" t="s">
        <v>260</v>
      </c>
      <c r="D1495" s="785" t="s">
        <v>192</v>
      </c>
      <c r="E1495" s="786">
        <v>12.2659</v>
      </c>
      <c r="F1495" s="787">
        <f>IFERROR(E1495*'01 Prod Physique Boites'!H1482,"-")</f>
        <v>0</v>
      </c>
      <c r="G1495" s="788">
        <f>IFERROR(E1495*'01 Prod Physique Boites'!L1482,"-")</f>
        <v>4024662.5762</v>
      </c>
      <c r="H1495" s="782">
        <v>14.79</v>
      </c>
      <c r="I1495" s="703">
        <f t="shared" ref="I1495:I1497" si="988">IFERROR(H1495*(F1495/E1495),"-")</f>
        <v>0</v>
      </c>
      <c r="J1495" s="703">
        <f>IFERROR(H1495*(G1495/E1495),"-")</f>
        <v>4852865.22</v>
      </c>
    </row>
    <row r="1496" spans="1:10" ht="23.4" x14ac:dyDescent="0.3">
      <c r="A1496" s="277"/>
      <c r="B1496" s="919"/>
      <c r="C1496" s="780" t="s">
        <v>458</v>
      </c>
      <c r="D1496" s="789"/>
      <c r="E1496" s="762">
        <v>12.2659</v>
      </c>
      <c r="F1496" s="763">
        <f>IFERROR(E1496*'01 Prod Physique Boites'!H1483,"-")</f>
        <v>621733.93920000002</v>
      </c>
      <c r="G1496" s="663">
        <f>IFERROR(E1496*'01 Prod Physique Boites'!L1483,"-")</f>
        <v>3523158.9887999999</v>
      </c>
      <c r="H1496" s="783">
        <v>14.79</v>
      </c>
      <c r="I1496" s="763">
        <f t="shared" si="988"/>
        <v>749675.5199999999</v>
      </c>
      <c r="J1496" s="763">
        <f>IFERROR(H1496*(G1496/E1496),"-")</f>
        <v>4248161.2799999993</v>
      </c>
    </row>
    <row r="1497" spans="1:10" ht="24" thickBot="1" x14ac:dyDescent="0.35">
      <c r="A1497" s="829" t="s">
        <v>111</v>
      </c>
      <c r="B1497" s="920"/>
      <c r="C1497" s="781" t="s">
        <v>417</v>
      </c>
      <c r="D1497" s="790"/>
      <c r="E1497" s="791">
        <v>0</v>
      </c>
      <c r="F1497" s="792">
        <f>IFERROR(E1497*'01 Prod Physique Boites'!H1484,"-")</f>
        <v>0</v>
      </c>
      <c r="G1497" s="793">
        <f>IFERROR(E1497*'01 Prod Physique Boites'!L1484,"-")</f>
        <v>0</v>
      </c>
      <c r="H1497" s="784">
        <v>0</v>
      </c>
      <c r="I1497" s="432" t="str">
        <f t="shared" si="988"/>
        <v>-</v>
      </c>
      <c r="J1497" s="433" t="str">
        <f t="shared" ref="J1497" si="989">IFERROR(I1497*(G1497/F1497),"-")</f>
        <v>-</v>
      </c>
    </row>
    <row r="1498" spans="1:10" ht="24" thickBot="1" x14ac:dyDescent="0.35">
      <c r="A1498" s="277" t="s">
        <v>111</v>
      </c>
      <c r="B1498" s="906" t="s">
        <v>49</v>
      </c>
      <c r="C1498" s="907"/>
      <c r="D1498" s="908"/>
      <c r="E1498" s="396"/>
      <c r="F1498" s="412">
        <f>SUM(F1495:F1497)</f>
        <v>621733.93920000002</v>
      </c>
      <c r="G1498" s="412">
        <f>SUM(G1495:G1497)</f>
        <v>7547821.5649999995</v>
      </c>
      <c r="H1498" s="397"/>
      <c r="I1498" s="412">
        <f t="shared" ref="I1498" si="990">SUM(I1497)</f>
        <v>0</v>
      </c>
      <c r="J1498" s="431">
        <f>SUM(J1495:J1497)</f>
        <v>9101026.5</v>
      </c>
    </row>
    <row r="1499" spans="1:10" ht="23.4" x14ac:dyDescent="0.3">
      <c r="A1499" s="277" t="s">
        <v>111</v>
      </c>
      <c r="B1499" s="922" t="s">
        <v>20</v>
      </c>
      <c r="C1499" s="297" t="s">
        <v>370</v>
      </c>
      <c r="D1499" s="297" t="s">
        <v>324</v>
      </c>
      <c r="E1499" s="515">
        <v>26.032900000000001</v>
      </c>
      <c r="F1499" s="408">
        <f>IFERROR(E1499*'01 Prod Physique Boites'!H1486,"-")</f>
        <v>0</v>
      </c>
      <c r="G1499" s="409">
        <f>IFERROR(E1499*'01 Prod Physique Boites'!L1486,"-")</f>
        <v>0</v>
      </c>
      <c r="H1499" s="387">
        <v>36.44</v>
      </c>
      <c r="I1499" s="425">
        <f>IFERROR(H1499*(F1499/E1499),"-")</f>
        <v>0</v>
      </c>
      <c r="J1499" s="426">
        <f t="shared" ref="J1499:J1501" si="991">IFERROR(H1499*(G1499/E1499),"-")</f>
        <v>0</v>
      </c>
    </row>
    <row r="1500" spans="1:10" ht="23.4" x14ac:dyDescent="0.3">
      <c r="A1500" s="277" t="s">
        <v>111</v>
      </c>
      <c r="B1500" s="923"/>
      <c r="C1500" s="298" t="s">
        <v>122</v>
      </c>
      <c r="D1500" s="298"/>
      <c r="E1500" s="390">
        <v>24.2607</v>
      </c>
      <c r="F1500" s="408">
        <f>IFERROR(E1500*'01 Prod Physique Boites'!H1487,"-")</f>
        <v>0</v>
      </c>
      <c r="G1500" s="409">
        <f>IFERROR(E1500*'01 Prod Physique Boites'!L1487,"-")</f>
        <v>0</v>
      </c>
      <c r="H1500" s="391">
        <v>37.369999999999997</v>
      </c>
      <c r="I1500" s="427">
        <f>IFERROR(H1500*(F1500/E1500),"-")</f>
        <v>0</v>
      </c>
      <c r="J1500" s="428">
        <f t="shared" si="991"/>
        <v>0</v>
      </c>
    </row>
    <row r="1501" spans="1:10" ht="24" thickBot="1" x14ac:dyDescent="0.35">
      <c r="A1501" s="277" t="s">
        <v>111</v>
      </c>
      <c r="B1501" s="924"/>
      <c r="C1501" s="299" t="s">
        <v>128</v>
      </c>
      <c r="D1501" s="299"/>
      <c r="E1501" s="392">
        <v>26.035799999999998</v>
      </c>
      <c r="F1501" s="408">
        <f>IFERROR(E1501*'01 Prod Physique Boites'!H1488,"-")</f>
        <v>0</v>
      </c>
      <c r="G1501" s="409">
        <f>IFERROR(E1501*'01 Prod Physique Boites'!L1488,"-")</f>
        <v>0</v>
      </c>
      <c r="H1501" s="393">
        <v>37.11</v>
      </c>
      <c r="I1501" s="429">
        <f>IFERROR(H1501*(F1501/E1501),"-")</f>
        <v>0</v>
      </c>
      <c r="J1501" s="430">
        <f t="shared" si="991"/>
        <v>0</v>
      </c>
    </row>
    <row r="1502" spans="1:10" ht="24" thickBot="1" x14ac:dyDescent="0.35">
      <c r="A1502" s="277" t="s">
        <v>111</v>
      </c>
      <c r="B1502" s="907" t="s">
        <v>50</v>
      </c>
      <c r="C1502" s="907"/>
      <c r="D1502" s="925"/>
      <c r="E1502" s="396"/>
      <c r="F1502" s="412">
        <f t="shared" ref="F1502:G1502" si="992">SUM(F1499:F1501)</f>
        <v>0</v>
      </c>
      <c r="G1502" s="413">
        <f t="shared" si="992"/>
        <v>0</v>
      </c>
      <c r="H1502" s="397"/>
      <c r="I1502" s="412">
        <f t="shared" ref="I1502:J1502" si="993">SUM(I1499:I1501)</f>
        <v>0</v>
      </c>
      <c r="J1502" s="431">
        <f t="shared" si="993"/>
        <v>0</v>
      </c>
    </row>
    <row r="1503" spans="1:10" ht="24" thickBot="1" x14ac:dyDescent="0.35">
      <c r="A1503" s="277" t="s">
        <v>111</v>
      </c>
      <c r="B1503" s="926" t="s">
        <v>21</v>
      </c>
      <c r="C1503" s="927"/>
      <c r="D1503" s="928"/>
      <c r="E1503" s="399"/>
      <c r="F1503" s="416">
        <f>+F1478+F1486+F1494+F1498+F1502</f>
        <v>1416302.1072</v>
      </c>
      <c r="G1503" s="417">
        <f>+G1478+G1486+G1494+G1498+G1502</f>
        <v>27031403.680300005</v>
      </c>
      <c r="H1503" s="400"/>
      <c r="I1503" s="416">
        <f>+I1478+I1486+I1494+I1498+I1502</f>
        <v>1287892.7999999998</v>
      </c>
      <c r="J1503" s="434">
        <f>+J1478+J1486+J1494+J1498+J1502</f>
        <v>41797162.812799998</v>
      </c>
    </row>
    <row r="1504" spans="1:10" ht="23.4" x14ac:dyDescent="0.3">
      <c r="A1504" s="277" t="s">
        <v>111</v>
      </c>
      <c r="B1504" s="922" t="s">
        <v>22</v>
      </c>
      <c r="C1504" s="272" t="s">
        <v>133</v>
      </c>
      <c r="D1504" s="272"/>
      <c r="E1504" s="386">
        <v>22.820599999999999</v>
      </c>
      <c r="F1504" s="408">
        <f>IFERROR(E1504*'01 Prod Physique Boites'!H1491,"-")</f>
        <v>0</v>
      </c>
      <c r="G1504" s="409">
        <f>IFERROR(E1504*'01 Prod Physique Boites'!L1491,"-")</f>
        <v>0</v>
      </c>
      <c r="H1504" s="387">
        <v>27.5</v>
      </c>
      <c r="I1504" s="425">
        <f>IFERROR(H1504*(F1504/E1504),"-")</f>
        <v>0</v>
      </c>
      <c r="J1504" s="426">
        <f t="shared" ref="J1504:J1507" si="994">IFERROR(H1504*(G1504/E1504),"-")</f>
        <v>0</v>
      </c>
    </row>
    <row r="1505" spans="1:10" ht="23.4" x14ac:dyDescent="0.3">
      <c r="A1505" s="277" t="s">
        <v>111</v>
      </c>
      <c r="B1505" s="923"/>
      <c r="C1505" s="301" t="s">
        <v>291</v>
      </c>
      <c r="D1505" s="301" t="s">
        <v>196</v>
      </c>
      <c r="E1505" s="390">
        <v>23.570699999999999</v>
      </c>
      <c r="F1505" s="408">
        <f>IFERROR(E1505*'01 Prod Physique Boites'!H1492,"-")</f>
        <v>0</v>
      </c>
      <c r="G1505" s="409">
        <f>IFERROR(E1505*'01 Prod Physique Boites'!L1492,"-")</f>
        <v>0</v>
      </c>
      <c r="H1505" s="391">
        <v>27.5</v>
      </c>
      <c r="I1505" s="427">
        <f>IFERROR(H1505*(F1505/E1505),"-")</f>
        <v>0</v>
      </c>
      <c r="J1505" s="428">
        <f t="shared" si="994"/>
        <v>0</v>
      </c>
    </row>
    <row r="1506" spans="1:10" ht="23.4" x14ac:dyDescent="0.3">
      <c r="A1506" s="277" t="s">
        <v>111</v>
      </c>
      <c r="B1506" s="923"/>
      <c r="C1506" s="301" t="s">
        <v>473</v>
      </c>
      <c r="D1506" s="301" t="s">
        <v>196</v>
      </c>
      <c r="E1506" s="390">
        <v>22.820599999999999</v>
      </c>
      <c r="F1506" s="408">
        <f>IFERROR(E1506*'01 Prod Physique Boites'!H1493,"-")</f>
        <v>1355543.64</v>
      </c>
      <c r="G1506" s="409">
        <f>IFERROR(E1506*'01 Prod Physique Boites'!L1493,"-")</f>
        <v>2259239.4</v>
      </c>
      <c r="H1506" s="391">
        <v>24</v>
      </c>
      <c r="I1506" s="427">
        <f>IFERROR(H1506*(F1506/E1506),"-")</f>
        <v>1425600</v>
      </c>
      <c r="J1506" s="428">
        <f t="shared" si="994"/>
        <v>2376000</v>
      </c>
    </row>
    <row r="1507" spans="1:10" ht="24" thickBot="1" x14ac:dyDescent="0.35">
      <c r="A1507" s="277" t="s">
        <v>111</v>
      </c>
      <c r="B1507" s="924"/>
      <c r="C1507" s="282" t="s">
        <v>197</v>
      </c>
      <c r="D1507" s="282" t="s">
        <v>100</v>
      </c>
      <c r="E1507" s="392">
        <v>23.5685</v>
      </c>
      <c r="F1507" s="408">
        <f>IFERROR(E1507*'01 Prod Physique Boites'!H1494,"-")</f>
        <v>0</v>
      </c>
      <c r="G1507" s="409">
        <f>IFERROR(E1507*'01 Prod Physique Boites'!L1494,"-")</f>
        <v>0</v>
      </c>
      <c r="H1507" s="393">
        <v>24</v>
      </c>
      <c r="I1507" s="429">
        <f>IFERROR(H1507*(F1507/E1507),"-")</f>
        <v>0</v>
      </c>
      <c r="J1507" s="430">
        <f t="shared" si="994"/>
        <v>0</v>
      </c>
    </row>
    <row r="1508" spans="1:10" ht="24" thickBot="1" x14ac:dyDescent="0.35">
      <c r="A1508" s="277" t="s">
        <v>111</v>
      </c>
      <c r="B1508" s="906" t="s">
        <v>51</v>
      </c>
      <c r="C1508" s="907"/>
      <c r="D1508" s="908"/>
      <c r="E1508" s="396"/>
      <c r="F1508" s="412">
        <f t="shared" ref="F1508:G1508" si="995">SUM(F1504:F1507)</f>
        <v>1355543.64</v>
      </c>
      <c r="G1508" s="413">
        <f t="shared" si="995"/>
        <v>2259239.4</v>
      </c>
      <c r="H1508" s="397"/>
      <c r="I1508" s="412">
        <f t="shared" ref="I1508:J1508" si="996">SUM(I1504:I1507)</f>
        <v>1425600</v>
      </c>
      <c r="J1508" s="431">
        <f t="shared" si="996"/>
        <v>2376000</v>
      </c>
    </row>
    <row r="1509" spans="1:10" ht="23.4" x14ac:dyDescent="0.3">
      <c r="A1509" s="277" t="s">
        <v>111</v>
      </c>
      <c r="B1509" s="922" t="s">
        <v>23</v>
      </c>
      <c r="C1509" s="302" t="s">
        <v>348</v>
      </c>
      <c r="D1509" s="302" t="s">
        <v>263</v>
      </c>
      <c r="E1509" s="386">
        <v>101.4935</v>
      </c>
      <c r="F1509" s="408">
        <f>IFERROR(E1509*'01 Prod Physique Boites'!H1496,"-")</f>
        <v>0</v>
      </c>
      <c r="G1509" s="409">
        <f>IFERROR(E1509*'01 Prod Physique Boites'!L1496,"-")</f>
        <v>0</v>
      </c>
      <c r="H1509" s="391">
        <v>160.44999999999999</v>
      </c>
      <c r="I1509" s="425">
        <f t="shared" ref="I1509:I1516" si="997">IFERROR(H1509*(F1509/E1509),"-")</f>
        <v>0</v>
      </c>
      <c r="J1509" s="426">
        <f t="shared" ref="J1509:J1516" si="998">IFERROR(H1509*(G1509/E1509),"-")</f>
        <v>0</v>
      </c>
    </row>
    <row r="1510" spans="1:10" ht="23.4" x14ac:dyDescent="0.3">
      <c r="A1510" s="277" t="s">
        <v>111</v>
      </c>
      <c r="B1510" s="923"/>
      <c r="C1510" s="278" t="s">
        <v>24</v>
      </c>
      <c r="D1510" s="278" t="s">
        <v>263</v>
      </c>
      <c r="E1510" s="390">
        <v>101.4935</v>
      </c>
      <c r="F1510" s="408">
        <f>IFERROR(E1510*'01 Prod Physique Boites'!H1497,"-")</f>
        <v>1332102.1875</v>
      </c>
      <c r="G1510" s="409">
        <f>IFERROR(E1510*'01 Prod Physique Boites'!L1497,"-")</f>
        <v>9694050.159</v>
      </c>
      <c r="H1510" s="391">
        <v>160.44999999999999</v>
      </c>
      <c r="I1510" s="427">
        <f t="shared" si="997"/>
        <v>2105906.25</v>
      </c>
      <c r="J1510" s="428">
        <f t="shared" si="998"/>
        <v>15325221.299999999</v>
      </c>
    </row>
    <row r="1511" spans="1:10" ht="23.4" x14ac:dyDescent="0.3">
      <c r="A1511" s="277" t="s">
        <v>111</v>
      </c>
      <c r="B1511" s="923"/>
      <c r="C1511" s="278" t="s">
        <v>261</v>
      </c>
      <c r="D1511" s="278" t="s">
        <v>263</v>
      </c>
      <c r="E1511" s="390">
        <v>101.4935</v>
      </c>
      <c r="F1511" s="408">
        <f>IFERROR(E1511*'01 Prod Physique Boites'!H1498,"-")</f>
        <v>0</v>
      </c>
      <c r="G1511" s="409">
        <f>IFERROR(E1511*'01 Prod Physique Boites'!L1498,"-")</f>
        <v>1106380.6435</v>
      </c>
      <c r="H1511" s="391">
        <v>160.44999999999999</v>
      </c>
      <c r="I1511" s="427">
        <f t="shared" si="997"/>
        <v>0</v>
      </c>
      <c r="J1511" s="428">
        <f t="shared" si="998"/>
        <v>1749065.45</v>
      </c>
    </row>
    <row r="1512" spans="1:10" ht="23.4" x14ac:dyDescent="0.3">
      <c r="A1512" s="277" t="s">
        <v>111</v>
      </c>
      <c r="B1512" s="923"/>
      <c r="C1512" s="278" t="s">
        <v>262</v>
      </c>
      <c r="D1512" s="278" t="s">
        <v>263</v>
      </c>
      <c r="E1512" s="390">
        <v>101.4935</v>
      </c>
      <c r="F1512" s="408">
        <f>IFERROR(E1512*'01 Prod Physique Boites'!H1499,"-")</f>
        <v>0</v>
      </c>
      <c r="G1512" s="409">
        <f>IFERROR(E1512*'01 Prod Physique Boites'!L1499,"-")</f>
        <v>772568.522</v>
      </c>
      <c r="H1512" s="391">
        <v>160.44999999999999</v>
      </c>
      <c r="I1512" s="427">
        <f t="shared" si="997"/>
        <v>0</v>
      </c>
      <c r="J1512" s="428">
        <f t="shared" si="998"/>
        <v>1221345.3999999999</v>
      </c>
    </row>
    <row r="1513" spans="1:10" ht="23.4" x14ac:dyDescent="0.3">
      <c r="A1513" s="277" t="s">
        <v>111</v>
      </c>
      <c r="B1513" s="923"/>
      <c r="C1513" s="301" t="s">
        <v>264</v>
      </c>
      <c r="D1513" s="278" t="s">
        <v>263</v>
      </c>
      <c r="E1513" s="390">
        <v>101.4935</v>
      </c>
      <c r="F1513" s="408">
        <f>IFERROR(E1513*'01 Prod Physique Boites'!H1500,"-")</f>
        <v>0</v>
      </c>
      <c r="G1513" s="409">
        <f>IFERROR(E1513*'01 Prod Physique Boites'!L1500,"-")</f>
        <v>0</v>
      </c>
      <c r="H1513" s="391">
        <v>160.44999999999999</v>
      </c>
      <c r="I1513" s="427">
        <f t="shared" si="997"/>
        <v>0</v>
      </c>
      <c r="J1513" s="428">
        <f t="shared" si="998"/>
        <v>0</v>
      </c>
    </row>
    <row r="1514" spans="1:10" ht="23.4" x14ac:dyDescent="0.3">
      <c r="A1514" s="277" t="s">
        <v>111</v>
      </c>
      <c r="B1514" s="923"/>
      <c r="C1514" s="301" t="s">
        <v>265</v>
      </c>
      <c r="D1514" s="278" t="s">
        <v>263</v>
      </c>
      <c r="E1514" s="390">
        <v>101.4935</v>
      </c>
      <c r="F1514" s="408">
        <f>IFERROR(E1514*'01 Prod Physique Boites'!H1501,"-")</f>
        <v>0</v>
      </c>
      <c r="G1514" s="409">
        <f>IFERROR(E1514*'01 Prod Physique Boites'!L1501,"-")</f>
        <v>0</v>
      </c>
      <c r="H1514" s="391">
        <v>160.44999999999999</v>
      </c>
      <c r="I1514" s="427">
        <f t="shared" si="997"/>
        <v>0</v>
      </c>
      <c r="J1514" s="428">
        <f t="shared" si="998"/>
        <v>0</v>
      </c>
    </row>
    <row r="1515" spans="1:10" ht="23.4" x14ac:dyDescent="0.3">
      <c r="A1515" s="277" t="s">
        <v>111</v>
      </c>
      <c r="B1515" s="923"/>
      <c r="C1515" s="301" t="s">
        <v>266</v>
      </c>
      <c r="D1515" s="278" t="s">
        <v>268</v>
      </c>
      <c r="E1515" s="390">
        <v>101.4935</v>
      </c>
      <c r="F1515" s="408">
        <f>IFERROR(E1515*'01 Prod Physique Boites'!H1502,"-")</f>
        <v>0</v>
      </c>
      <c r="G1515" s="409">
        <f>IFERROR(E1515*'01 Prod Physique Boites'!L1502,"-")</f>
        <v>1057257.7895</v>
      </c>
      <c r="H1515" s="391">
        <v>160.44999999999999</v>
      </c>
      <c r="I1515" s="427">
        <f t="shared" si="997"/>
        <v>0</v>
      </c>
      <c r="J1515" s="428">
        <f t="shared" si="998"/>
        <v>1671407.65</v>
      </c>
    </row>
    <row r="1516" spans="1:10" ht="24" thickBot="1" x14ac:dyDescent="0.35">
      <c r="A1516" s="277" t="s">
        <v>111</v>
      </c>
      <c r="B1516" s="924"/>
      <c r="C1516" s="301" t="s">
        <v>267</v>
      </c>
      <c r="D1516" s="278" t="s">
        <v>263</v>
      </c>
      <c r="E1516" s="392">
        <v>101.4935</v>
      </c>
      <c r="F1516" s="408">
        <f>IFERROR(E1516*'01 Prod Physique Boites'!H1503,"-")</f>
        <v>0</v>
      </c>
      <c r="G1516" s="409">
        <f>IFERROR(E1516*'01 Prod Physique Boites'!L1503,"-")</f>
        <v>1420909</v>
      </c>
      <c r="H1516" s="391">
        <v>160.44999999999999</v>
      </c>
      <c r="I1516" s="429">
        <f t="shared" si="997"/>
        <v>0</v>
      </c>
      <c r="J1516" s="430">
        <f t="shared" si="998"/>
        <v>2246300</v>
      </c>
    </row>
    <row r="1517" spans="1:10" ht="24" thickBot="1" x14ac:dyDescent="0.35">
      <c r="A1517" s="277" t="s">
        <v>111</v>
      </c>
      <c r="B1517" s="906" t="s">
        <v>52</v>
      </c>
      <c r="C1517" s="907"/>
      <c r="D1517" s="908"/>
      <c r="E1517" s="396"/>
      <c r="F1517" s="412">
        <f t="shared" ref="F1517:G1517" si="999">SUM(F1509:F1516)</f>
        <v>1332102.1875</v>
      </c>
      <c r="G1517" s="413">
        <f t="shared" si="999"/>
        <v>14051166.114</v>
      </c>
      <c r="H1517" s="397"/>
      <c r="I1517" s="412">
        <f t="shared" ref="I1517:J1517" si="1000">SUM(I1509:I1516)</f>
        <v>2105906.25</v>
      </c>
      <c r="J1517" s="431">
        <f t="shared" si="1000"/>
        <v>22213339.799999997</v>
      </c>
    </row>
    <row r="1518" spans="1:10" ht="24" thickBot="1" x14ac:dyDescent="0.35">
      <c r="A1518" s="277" t="s">
        <v>111</v>
      </c>
      <c r="B1518" s="926" t="s">
        <v>25</v>
      </c>
      <c r="C1518" s="927"/>
      <c r="D1518" s="928"/>
      <c r="E1518" s="399"/>
      <c r="F1518" s="416">
        <f t="shared" ref="F1518" si="1001">+F1508+F1517</f>
        <v>2687645.8274999997</v>
      </c>
      <c r="G1518" s="417">
        <f>+G1508+G1517</f>
        <v>16310405.514</v>
      </c>
      <c r="H1518" s="400"/>
      <c r="I1518" s="416">
        <f t="shared" ref="I1518:J1518" si="1002">+I1508+I1517</f>
        <v>3531506.25</v>
      </c>
      <c r="J1518" s="434">
        <f t="shared" si="1002"/>
        <v>24589339.799999997</v>
      </c>
    </row>
    <row r="1519" spans="1:10" ht="24" thickBot="1" x14ac:dyDescent="0.35">
      <c r="A1519" s="277" t="s">
        <v>111</v>
      </c>
      <c r="B1519" s="900" t="s">
        <v>181</v>
      </c>
      <c r="C1519" s="901"/>
      <c r="D1519" s="902"/>
      <c r="E1519" s="401"/>
      <c r="F1519" s="418">
        <f t="shared" ref="F1519:G1519" si="1003">+F1503+F1518</f>
        <v>4103947.9346999996</v>
      </c>
      <c r="G1519" s="419">
        <f t="shared" si="1003"/>
        <v>43341809.194300003</v>
      </c>
      <c r="H1519" s="402"/>
      <c r="I1519" s="418">
        <f t="shared" ref="I1519:J1519" si="1004">+I1503+I1518</f>
        <v>4819399.05</v>
      </c>
      <c r="J1519" s="435">
        <f t="shared" si="1004"/>
        <v>66386502.612799995</v>
      </c>
    </row>
    <row r="1520" spans="1:10" ht="23.4" x14ac:dyDescent="0.3">
      <c r="A1520" s="271" t="s">
        <v>109</v>
      </c>
      <c r="B1520" s="929" t="s">
        <v>26</v>
      </c>
      <c r="C1520" s="303" t="s">
        <v>334</v>
      </c>
      <c r="D1520" s="305" t="s">
        <v>192</v>
      </c>
      <c r="E1520" s="515">
        <v>13.1272</v>
      </c>
      <c r="F1520" s="408">
        <f>IFERROR(E1520*'01 Prod Physique Boites'!H1507,"-")</f>
        <v>0</v>
      </c>
      <c r="G1520" s="409">
        <f>IFERROR(E1520*'01 Prod Physique Boites'!L1507,"-")</f>
        <v>4229820.1295999996</v>
      </c>
      <c r="H1520" s="387">
        <v>20.76</v>
      </c>
      <c r="I1520" s="425">
        <f t="shared" ref="I1520:I1528" si="1005">IFERROR(H1520*(F1520/E1520),"-")</f>
        <v>0</v>
      </c>
      <c r="J1520" s="662">
        <f t="shared" ref="J1520:J1528" si="1006">IFERROR(H1520*(G1520/E1520),"-")</f>
        <v>6689245.6799999997</v>
      </c>
    </row>
    <row r="1521" spans="1:10" ht="23.4" x14ac:dyDescent="0.3">
      <c r="A1521" s="277" t="s">
        <v>109</v>
      </c>
      <c r="B1521" s="929"/>
      <c r="C1521" s="304" t="s">
        <v>199</v>
      </c>
      <c r="D1521" s="304" t="s">
        <v>115</v>
      </c>
      <c r="E1521" s="516">
        <v>14.608000000000001</v>
      </c>
      <c r="F1521" s="408">
        <f>IFERROR(E1521*'01 Prod Physique Boites'!H1508,"-")</f>
        <v>0</v>
      </c>
      <c r="G1521" s="409">
        <f>IFERROR(E1521*'01 Prod Physique Boites'!L1508,"-")</f>
        <v>0</v>
      </c>
      <c r="H1521" s="391">
        <v>24.93</v>
      </c>
      <c r="I1521" s="427">
        <f t="shared" si="1005"/>
        <v>0</v>
      </c>
      <c r="J1521" s="663">
        <f t="shared" si="1006"/>
        <v>0</v>
      </c>
    </row>
    <row r="1522" spans="1:10" ht="23.4" x14ac:dyDescent="0.3">
      <c r="A1522" s="277" t="s">
        <v>109</v>
      </c>
      <c r="B1522" s="929"/>
      <c r="C1522" s="305" t="s">
        <v>27</v>
      </c>
      <c r="D1522" s="305" t="s">
        <v>310</v>
      </c>
      <c r="E1522" s="512">
        <v>17.8202</v>
      </c>
      <c r="F1522" s="408">
        <f>IFERROR(E1522*'01 Prod Physique Boites'!H1509,"-")</f>
        <v>0</v>
      </c>
      <c r="G1522" s="409">
        <f>IFERROR(E1522*'01 Prod Physique Boites'!L1509,"-")</f>
        <v>0</v>
      </c>
      <c r="H1522" s="391">
        <v>24.93</v>
      </c>
      <c r="I1522" s="427">
        <f t="shared" si="1005"/>
        <v>0</v>
      </c>
      <c r="J1522" s="663">
        <f t="shared" si="1006"/>
        <v>0</v>
      </c>
    </row>
    <row r="1523" spans="1:10" ht="23.4" x14ac:dyDescent="0.3">
      <c r="A1523" s="277" t="s">
        <v>109</v>
      </c>
      <c r="B1523" s="929"/>
      <c r="C1523" s="305" t="s">
        <v>27</v>
      </c>
      <c r="D1523" s="305" t="s">
        <v>311</v>
      </c>
      <c r="E1523" s="512">
        <v>17.8202</v>
      </c>
      <c r="F1523" s="408">
        <f>IFERROR(E1523*'01 Prod Physique Boites'!H1510,"-")</f>
        <v>0</v>
      </c>
      <c r="G1523" s="409">
        <f>IFERROR(E1523*'01 Prod Physique Boites'!L1510,"-")</f>
        <v>0</v>
      </c>
      <c r="H1523" s="391">
        <v>24.93</v>
      </c>
      <c r="I1523" s="427">
        <f t="shared" si="1005"/>
        <v>0</v>
      </c>
      <c r="J1523" s="663">
        <f t="shared" si="1006"/>
        <v>0</v>
      </c>
    </row>
    <row r="1524" spans="1:10" ht="23.4" x14ac:dyDescent="0.3">
      <c r="A1524" s="277" t="s">
        <v>109</v>
      </c>
      <c r="B1524" s="929"/>
      <c r="C1524" s="305" t="s">
        <v>325</v>
      </c>
      <c r="D1524" s="305" t="s">
        <v>324</v>
      </c>
      <c r="E1524" s="512">
        <v>14.608000000000001</v>
      </c>
      <c r="F1524" s="408">
        <f>IFERROR(E1524*'01 Prod Physique Boites'!H1511,"-")</f>
        <v>0</v>
      </c>
      <c r="G1524" s="409">
        <f>IFERROR(E1524*'01 Prod Physique Boites'!L1511,"-")</f>
        <v>0</v>
      </c>
      <c r="H1524" s="391">
        <v>24.93</v>
      </c>
      <c r="I1524" s="427">
        <f t="shared" si="1005"/>
        <v>0</v>
      </c>
      <c r="J1524" s="663">
        <f t="shared" si="1006"/>
        <v>0</v>
      </c>
    </row>
    <row r="1525" spans="1:10" ht="23.4" x14ac:dyDescent="0.3">
      <c r="A1525" s="277"/>
      <c r="B1525" s="929"/>
      <c r="C1525" s="305" t="s">
        <v>393</v>
      </c>
      <c r="D1525" s="305" t="s">
        <v>192</v>
      </c>
      <c r="E1525" s="512">
        <v>17.8202</v>
      </c>
      <c r="F1525" s="408">
        <f>IFERROR(E1525*'01 Prod Physique Boites'!H1512,"-")</f>
        <v>0</v>
      </c>
      <c r="G1525" s="409">
        <f>IFERROR(E1525*'01 Prod Physique Boites'!L1512,"-")</f>
        <v>0</v>
      </c>
      <c r="H1525" s="393">
        <v>21.22</v>
      </c>
      <c r="I1525" s="427">
        <f t="shared" si="1005"/>
        <v>0</v>
      </c>
      <c r="J1525" s="664">
        <f t="shared" si="1006"/>
        <v>0</v>
      </c>
    </row>
    <row r="1526" spans="1:10" ht="23.4" x14ac:dyDescent="0.3">
      <c r="A1526" s="277"/>
      <c r="B1526" s="929"/>
      <c r="C1526" s="305" t="s">
        <v>325</v>
      </c>
      <c r="D1526" s="305" t="s">
        <v>101</v>
      </c>
      <c r="E1526" s="512">
        <v>14.608000000000001</v>
      </c>
      <c r="F1526" s="408">
        <f>IFERROR(E1526*'01 Prod Physique Boites'!H1513,"-")</f>
        <v>0</v>
      </c>
      <c r="G1526" s="409">
        <f>IFERROR(E1526*'01 Prod Physique Boites'!L1513,"-")</f>
        <v>58110.624000000003</v>
      </c>
      <c r="H1526" s="393">
        <v>24.93</v>
      </c>
      <c r="I1526" s="429">
        <f t="shared" si="1005"/>
        <v>0</v>
      </c>
      <c r="J1526" s="664">
        <f t="shared" si="1006"/>
        <v>99171.54</v>
      </c>
    </row>
    <row r="1527" spans="1:10" ht="23.4" x14ac:dyDescent="0.3">
      <c r="A1527" s="277"/>
      <c r="B1527" s="929"/>
      <c r="C1527" s="305" t="s">
        <v>325</v>
      </c>
      <c r="D1527" s="305" t="s">
        <v>394</v>
      </c>
      <c r="E1527" s="512">
        <v>14.608000000000001</v>
      </c>
      <c r="F1527" s="408">
        <f>IFERROR(E1527*'01 Prod Physique Boites'!H1514,"-")</f>
        <v>232442.49600000001</v>
      </c>
      <c r="G1527" s="409">
        <f>IFERROR(E1527*'01 Prod Physique Boites'!L1514,"-")</f>
        <v>10285580.448000001</v>
      </c>
      <c r="H1527" s="393">
        <v>21.22</v>
      </c>
      <c r="I1527" s="429">
        <f t="shared" si="1005"/>
        <v>337652.63999999996</v>
      </c>
      <c r="J1527" s="664">
        <f t="shared" si="1006"/>
        <v>14941129.319999998</v>
      </c>
    </row>
    <row r="1528" spans="1:10" ht="24" thickBot="1" x14ac:dyDescent="0.35">
      <c r="A1528" s="277" t="s">
        <v>109</v>
      </c>
      <c r="B1528" s="929"/>
      <c r="C1528" s="306" t="s">
        <v>326</v>
      </c>
      <c r="D1528" s="305" t="s">
        <v>324</v>
      </c>
      <c r="E1528" s="512">
        <v>12.6997</v>
      </c>
      <c r="F1528" s="408">
        <f>IFERROR(E1528*'01 Prod Physique Boites'!H1515,"-")</f>
        <v>0</v>
      </c>
      <c r="G1528" s="409">
        <f>IFERROR(E1528*'01 Prod Physique Boites'!L1515,"-")</f>
        <v>101038.8132</v>
      </c>
      <c r="H1528" s="393">
        <v>13.25</v>
      </c>
      <c r="I1528" s="429">
        <f t="shared" si="1005"/>
        <v>0</v>
      </c>
      <c r="J1528" s="664">
        <f t="shared" si="1006"/>
        <v>105417</v>
      </c>
    </row>
    <row r="1529" spans="1:10" ht="24" thickBot="1" x14ac:dyDescent="0.35">
      <c r="A1529" s="277" t="s">
        <v>109</v>
      </c>
      <c r="B1529" s="930"/>
      <c r="C1529" s="307"/>
      <c r="D1529" s="308" t="s">
        <v>55</v>
      </c>
      <c r="E1529" s="396"/>
      <c r="F1529" s="412">
        <f>SUM(F1520:F1528)</f>
        <v>232442.49600000001</v>
      </c>
      <c r="G1529" s="413">
        <f t="shared" ref="G1529" si="1007">SUM(G1520:G1528)</f>
        <v>14674550.014800001</v>
      </c>
      <c r="H1529" s="397"/>
      <c r="I1529" s="412">
        <f t="shared" ref="I1529" si="1008">SUM(I1520:I1528)</f>
        <v>337652.63999999996</v>
      </c>
      <c r="J1529" s="431">
        <f>SUM(J1520:J1528)</f>
        <v>21834963.539999999</v>
      </c>
    </row>
    <row r="1530" spans="1:10" ht="23.4" x14ac:dyDescent="0.3">
      <c r="A1530" s="277" t="s">
        <v>109</v>
      </c>
      <c r="B1530" s="931" t="s">
        <v>28</v>
      </c>
      <c r="C1530" s="303" t="s">
        <v>27</v>
      </c>
      <c r="D1530" s="303" t="s">
        <v>193</v>
      </c>
      <c r="E1530" s="515">
        <v>12.6997</v>
      </c>
      <c r="F1530" s="408">
        <f>IFERROR(E1530*'01 Prod Physique Boites'!H1517,"-")</f>
        <v>0</v>
      </c>
      <c r="G1530" s="409">
        <f>IFERROR(E1530*'01 Prod Physique Boites'!L1517,"-")</f>
        <v>0</v>
      </c>
      <c r="H1530" s="387">
        <v>13.25</v>
      </c>
      <c r="I1530" s="425">
        <f>IFERROR(H1530*(F1530/E1530),"-")</f>
        <v>0</v>
      </c>
      <c r="J1530" s="662">
        <f t="shared" ref="J1530:J1532" si="1009">IFERROR(H1530*(G1530/E1530),"-")</f>
        <v>0</v>
      </c>
    </row>
    <row r="1531" spans="1:10" ht="23.4" x14ac:dyDescent="0.3">
      <c r="A1531" s="277" t="s">
        <v>109</v>
      </c>
      <c r="B1531" s="929"/>
      <c r="C1531" s="305" t="s">
        <v>27</v>
      </c>
      <c r="D1531" s="305" t="s">
        <v>394</v>
      </c>
      <c r="E1531" s="512">
        <v>17.8202</v>
      </c>
      <c r="F1531" s="408">
        <f>IFERROR(E1531*'01 Prod Physique Boites'!H1518,"-")</f>
        <v>1772218.89</v>
      </c>
      <c r="G1531" s="409">
        <f>IFERROR(E1531*'01 Prod Physique Boites'!L1518,"-")</f>
        <v>4253325.3360000001</v>
      </c>
      <c r="H1531" s="391">
        <v>21.22</v>
      </c>
      <c r="I1531" s="427">
        <f>IFERROR(H1531*(F1531/E1531),"-")</f>
        <v>2110329</v>
      </c>
      <c r="J1531" s="663">
        <f t="shared" si="1009"/>
        <v>5064789.5999999996</v>
      </c>
    </row>
    <row r="1532" spans="1:10" ht="24" thickBot="1" x14ac:dyDescent="0.35">
      <c r="A1532" s="277" t="s">
        <v>109</v>
      </c>
      <c r="B1532" s="929"/>
      <c r="C1532" s="305" t="s">
        <v>27</v>
      </c>
      <c r="D1532" s="306" t="s">
        <v>259</v>
      </c>
      <c r="E1532" s="512">
        <v>17.8202</v>
      </c>
      <c r="F1532" s="408">
        <f>IFERROR(E1532*'01 Prod Physique Boites'!H1519,"-")</f>
        <v>0</v>
      </c>
      <c r="G1532" s="409">
        <f>IFERROR(E1532*'01 Prod Physique Boites'!L1519,"-")</f>
        <v>3898881.5579999997</v>
      </c>
      <c r="H1532" s="391">
        <v>24.93</v>
      </c>
      <c r="I1532" s="429">
        <f>IFERROR(H1532*(F1532/E1532),"-")</f>
        <v>0</v>
      </c>
      <c r="J1532" s="664">
        <f t="shared" si="1009"/>
        <v>5454434.7000000002</v>
      </c>
    </row>
    <row r="1533" spans="1:10" ht="24" thickBot="1" x14ac:dyDescent="0.35">
      <c r="A1533" s="277" t="s">
        <v>109</v>
      </c>
      <c r="B1533" s="929"/>
      <c r="C1533" s="310"/>
      <c r="D1533" s="311" t="s">
        <v>55</v>
      </c>
      <c r="E1533" s="403"/>
      <c r="F1533" s="420">
        <f t="shared" ref="F1533:G1533" si="1010">SUM(F1530:F1532)</f>
        <v>1772218.89</v>
      </c>
      <c r="G1533" s="421">
        <f t="shared" si="1010"/>
        <v>8152206.8939999994</v>
      </c>
      <c r="H1533" s="404"/>
      <c r="I1533" s="420">
        <f t="shared" ref="I1533:J1533" si="1011">SUM(I1530:I1532)</f>
        <v>2110329</v>
      </c>
      <c r="J1533" s="436">
        <f t="shared" si="1011"/>
        <v>10519224.300000001</v>
      </c>
    </row>
    <row r="1534" spans="1:10" ht="24" thickBot="1" x14ac:dyDescent="0.35">
      <c r="A1534" s="829" t="s">
        <v>109</v>
      </c>
      <c r="B1534" s="932" t="s">
        <v>171</v>
      </c>
      <c r="C1534" s="933"/>
      <c r="D1534" s="934"/>
      <c r="E1534" s="405"/>
      <c r="F1534" s="422">
        <f t="shared" ref="F1534:G1534" si="1012">+F1529+F1533</f>
        <v>2004661.3859999999</v>
      </c>
      <c r="G1534" s="423">
        <f t="shared" si="1012"/>
        <v>22826756.908799998</v>
      </c>
      <c r="H1534" s="406"/>
      <c r="I1534" s="422">
        <f t="shared" ref="I1534:J1534" si="1013">+I1529+I1533</f>
        <v>2447981.64</v>
      </c>
      <c r="J1534" s="437">
        <f t="shared" si="1013"/>
        <v>32354187.84</v>
      </c>
    </row>
    <row r="1535" spans="1:10" ht="23.4" x14ac:dyDescent="0.3">
      <c r="A1535" s="277" t="s">
        <v>109</v>
      </c>
      <c r="B1535" s="929" t="s">
        <v>30</v>
      </c>
      <c r="C1535" s="309" t="s">
        <v>375</v>
      </c>
      <c r="D1535" s="303" t="s">
        <v>193</v>
      </c>
      <c r="E1535" s="515">
        <v>15.2788</v>
      </c>
      <c r="F1535" s="408">
        <f>IFERROR(E1535*'01 Prod Physique Boites'!H1522,"-")</f>
        <v>0</v>
      </c>
      <c r="G1535" s="409">
        <f>IFERROR(E1535*'01 Prod Physique Boites'!L1522,"-")</f>
        <v>0</v>
      </c>
      <c r="H1535" s="387">
        <v>23.65</v>
      </c>
      <c r="I1535" s="425">
        <f>IFERROR(H1535*(F1535/E1535),"-")</f>
        <v>0</v>
      </c>
      <c r="J1535" s="426">
        <f t="shared" ref="J1535:J1537" si="1014">IFERROR(H1535*(G1535/E1535),"-")</f>
        <v>0</v>
      </c>
    </row>
    <row r="1536" spans="1:10" ht="23.4" x14ac:dyDescent="0.3">
      <c r="A1536" s="277" t="s">
        <v>109</v>
      </c>
      <c r="B1536" s="929"/>
      <c r="C1536" s="309" t="s">
        <v>368</v>
      </c>
      <c r="D1536" s="309" t="s">
        <v>324</v>
      </c>
      <c r="E1536" s="516">
        <v>22.6356</v>
      </c>
      <c r="F1536" s="408">
        <f>IFERROR(E1536*'01 Prod Physique Boites'!H1523,"-")</f>
        <v>0</v>
      </c>
      <c r="G1536" s="409">
        <f>IFERROR(E1536*'01 Prod Physique Boites'!L1523,"-")</f>
        <v>0</v>
      </c>
      <c r="H1536" s="391">
        <v>34.26</v>
      </c>
      <c r="I1536" s="427">
        <f>IFERROR(H1536*(F1536/E1536),"-")</f>
        <v>0</v>
      </c>
      <c r="J1536" s="428">
        <f t="shared" si="1014"/>
        <v>0</v>
      </c>
    </row>
    <row r="1537" spans="1:10" ht="24" thickBot="1" x14ac:dyDescent="0.35">
      <c r="A1537" s="277" t="s">
        <v>109</v>
      </c>
      <c r="B1537" s="929"/>
      <c r="C1537" s="306" t="s">
        <v>327</v>
      </c>
      <c r="D1537" s="306"/>
      <c r="E1537" s="512">
        <v>25.751300000000001</v>
      </c>
      <c r="F1537" s="408">
        <f>IFERROR(E1537*'01 Prod Physique Boites'!H1524,"-")</f>
        <v>723096.50399999996</v>
      </c>
      <c r="G1537" s="409">
        <f>IFERROR(E1537*'01 Prod Physique Boites'!L1524,"-")</f>
        <v>1253367.2736</v>
      </c>
      <c r="H1537" s="393">
        <v>37.89</v>
      </c>
      <c r="I1537" s="429">
        <f>IFERROR(H1537*(F1537/E1537),"-")</f>
        <v>1063951.2</v>
      </c>
      <c r="J1537" s="430">
        <f t="shared" si="1014"/>
        <v>1844182.08</v>
      </c>
    </row>
    <row r="1538" spans="1:10" ht="24" thickBot="1" x14ac:dyDescent="0.35">
      <c r="A1538" s="277" t="s">
        <v>109</v>
      </c>
      <c r="B1538" s="929"/>
      <c r="C1538" s="307"/>
      <c r="D1538" s="308" t="s">
        <v>53</v>
      </c>
      <c r="E1538" s="396"/>
      <c r="F1538" s="412">
        <f t="shared" ref="F1538:G1538" si="1015">SUM(F1535:F1537)</f>
        <v>723096.50399999996</v>
      </c>
      <c r="G1538" s="413">
        <f t="shared" si="1015"/>
        <v>1253367.2736</v>
      </c>
      <c r="H1538" s="397"/>
      <c r="I1538" s="412">
        <f t="shared" ref="I1538" si="1016">SUM(I1535:I1537)</f>
        <v>1063951.2</v>
      </c>
      <c r="J1538" s="431">
        <f>SUM(J1535:J1537)</f>
        <v>1844182.08</v>
      </c>
    </row>
    <row r="1539" spans="1:10" ht="23.4" x14ac:dyDescent="0.3">
      <c r="A1539" s="277" t="s">
        <v>109</v>
      </c>
      <c r="B1539" s="929"/>
      <c r="C1539" s="303" t="s">
        <v>352</v>
      </c>
      <c r="D1539" s="303"/>
      <c r="E1539" s="515">
        <v>22.094999999999999</v>
      </c>
      <c r="F1539" s="408">
        <f>IFERROR(E1539*'01 Prod Physique Boites'!H1526,"-")</f>
        <v>0</v>
      </c>
      <c r="G1539" s="409">
        <f>IFERROR(E1539*'01 Prod Physique Boites'!L1526,"-")</f>
        <v>0</v>
      </c>
      <c r="H1539" s="387">
        <v>37.11</v>
      </c>
      <c r="I1539" s="425">
        <f>IFERROR(H1539*(F1539/E1539),"-")</f>
        <v>0</v>
      </c>
      <c r="J1539" s="426">
        <f t="shared" ref="J1539:J1541" si="1017">IFERROR(H1539*(G1539/E1539),"-")</f>
        <v>0</v>
      </c>
    </row>
    <row r="1540" spans="1:10" ht="23.4" x14ac:dyDescent="0.3">
      <c r="A1540" s="277" t="s">
        <v>109</v>
      </c>
      <c r="B1540" s="929"/>
      <c r="C1540" s="309" t="s">
        <v>397</v>
      </c>
      <c r="D1540" s="309" t="s">
        <v>259</v>
      </c>
      <c r="E1540" s="516">
        <v>27.917000000000002</v>
      </c>
      <c r="F1540" s="408">
        <f>IFERROR(E1540*'01 Prod Physique Boites'!H1527,"-")</f>
        <v>0</v>
      </c>
      <c r="G1540" s="409">
        <f>IFERROR(E1540*'01 Prod Physique Boites'!L1527,"-")</f>
        <v>13430980.368000001</v>
      </c>
      <c r="H1540" s="391">
        <v>39</v>
      </c>
      <c r="I1540" s="427">
        <f>IFERROR(H1540*(F1540/E1540),"-")</f>
        <v>0</v>
      </c>
      <c r="J1540" s="428">
        <f t="shared" si="1017"/>
        <v>18763056</v>
      </c>
    </row>
    <row r="1541" spans="1:10" ht="24" thickBot="1" x14ac:dyDescent="0.35">
      <c r="A1541" s="277" t="s">
        <v>109</v>
      </c>
      <c r="B1541" s="929"/>
      <c r="C1541" s="306" t="s">
        <v>146</v>
      </c>
      <c r="D1541" s="306"/>
      <c r="E1541" s="512">
        <v>25.4041</v>
      </c>
      <c r="F1541" s="408">
        <f>IFERROR(E1541*'01 Prod Physique Boites'!H1528,"-")</f>
        <v>0</v>
      </c>
      <c r="G1541" s="409">
        <f>IFERROR(E1541*'01 Prod Physique Boites'!L1528,"-")</f>
        <v>0</v>
      </c>
      <c r="H1541" s="393">
        <v>28.21</v>
      </c>
      <c r="I1541" s="429">
        <f>IFERROR(H1541*(F1541/E1541),"-")</f>
        <v>0</v>
      </c>
      <c r="J1541" s="430">
        <f t="shared" si="1017"/>
        <v>0</v>
      </c>
    </row>
    <row r="1542" spans="1:10" ht="24" thickBot="1" x14ac:dyDescent="0.35">
      <c r="A1542" s="277" t="s">
        <v>109</v>
      </c>
      <c r="B1542" s="929"/>
      <c r="C1542" s="310"/>
      <c r="D1542" s="311" t="s">
        <v>54</v>
      </c>
      <c r="E1542" s="403"/>
      <c r="F1542" s="420">
        <f t="shared" ref="F1542:G1542" si="1018">SUM(F1539:F1541)</f>
        <v>0</v>
      </c>
      <c r="G1542" s="421">
        <f t="shared" si="1018"/>
        <v>13430980.368000001</v>
      </c>
      <c r="H1542" s="404"/>
      <c r="I1542" s="420">
        <f t="shared" ref="I1542" si="1019">SUM(I1539:I1541)</f>
        <v>0</v>
      </c>
      <c r="J1542" s="436">
        <f>SUM(J1539:J1541)</f>
        <v>18763056</v>
      </c>
    </row>
    <row r="1543" spans="1:10" ht="24" thickBot="1" x14ac:dyDescent="0.35">
      <c r="A1543" s="277" t="s">
        <v>109</v>
      </c>
      <c r="B1543" s="932" t="s">
        <v>172</v>
      </c>
      <c r="C1543" s="933"/>
      <c r="D1543" s="934"/>
      <c r="E1543" s="405"/>
      <c r="F1543" s="422">
        <f t="shared" ref="F1543:G1543" si="1020">+F1538+F1542</f>
        <v>723096.50399999996</v>
      </c>
      <c r="G1543" s="423">
        <f t="shared" si="1020"/>
        <v>14684347.641600002</v>
      </c>
      <c r="H1543" s="406"/>
      <c r="I1543" s="422">
        <f t="shared" ref="I1543:J1543" si="1021">+I1538+I1542</f>
        <v>1063951.2</v>
      </c>
      <c r="J1543" s="437">
        <f t="shared" si="1021"/>
        <v>20607238.079999998</v>
      </c>
    </row>
    <row r="1544" spans="1:10" ht="24" thickBot="1" x14ac:dyDescent="0.35">
      <c r="A1544" s="277" t="s">
        <v>109</v>
      </c>
      <c r="B1544" s="617" t="s">
        <v>32</v>
      </c>
      <c r="C1544" s="825"/>
      <c r="D1544" s="316"/>
      <c r="E1544" s="517">
        <v>12.2659</v>
      </c>
      <c r="F1544" s="414">
        <f>IFERROR(E1544*'01 Prod Physique Boites'!H1531,"-")</f>
        <v>0</v>
      </c>
      <c r="G1544" s="415">
        <f>IFERROR(E1544*'01 Prod Physique Boites'!L1531,"-")</f>
        <v>0</v>
      </c>
      <c r="H1544" s="398"/>
      <c r="I1544" s="432">
        <f>IFERROR(H1544*(F1544/E1544),"-")</f>
        <v>0</v>
      </c>
      <c r="J1544" s="433">
        <f>IFERROR(H1544*(G1544/E1544),"-")</f>
        <v>0</v>
      </c>
    </row>
    <row r="1545" spans="1:10" ht="24" thickBot="1" x14ac:dyDescent="0.35">
      <c r="A1545" s="277" t="s">
        <v>109</v>
      </c>
      <c r="B1545" s="926" t="s">
        <v>21</v>
      </c>
      <c r="C1545" s="927"/>
      <c r="D1545" s="928"/>
      <c r="E1545" s="399"/>
      <c r="F1545" s="416">
        <f t="shared" ref="F1545" si="1022">+F1534+F1543+F1544</f>
        <v>2727757.8899999997</v>
      </c>
      <c r="G1545" s="417">
        <f>+G1534+G1543+G1544</f>
        <v>37511104.550400004</v>
      </c>
      <c r="H1545" s="400"/>
      <c r="I1545" s="416">
        <f t="shared" ref="I1545:J1545" si="1023">+I1534+I1543+I1544</f>
        <v>3511932.84</v>
      </c>
      <c r="J1545" s="434">
        <f t="shared" si="1023"/>
        <v>52961425.920000002</v>
      </c>
    </row>
    <row r="1546" spans="1:10" ht="24" thickBot="1" x14ac:dyDescent="0.35">
      <c r="A1546" s="277" t="s">
        <v>109</v>
      </c>
      <c r="B1546" s="900" t="s">
        <v>180</v>
      </c>
      <c r="C1546" s="901"/>
      <c r="D1546" s="902"/>
      <c r="E1546" s="401"/>
      <c r="F1546" s="418">
        <f t="shared" ref="F1546:G1546" si="1024">+F1545</f>
        <v>2727757.8899999997</v>
      </c>
      <c r="G1546" s="419">
        <f t="shared" si="1024"/>
        <v>37511104.550400004</v>
      </c>
      <c r="H1546" s="402"/>
      <c r="I1546" s="418">
        <f t="shared" ref="I1546:J1546" si="1025">+I1545</f>
        <v>3511932.84</v>
      </c>
      <c r="J1546" s="435">
        <f t="shared" si="1025"/>
        <v>52961425.920000002</v>
      </c>
    </row>
    <row r="1547" spans="1:10" ht="23.4" x14ac:dyDescent="0.3">
      <c r="A1547" s="271" t="s">
        <v>110</v>
      </c>
      <c r="B1547" s="903" t="s">
        <v>33</v>
      </c>
      <c r="C1547" s="317" t="s">
        <v>121</v>
      </c>
      <c r="D1547" s="317"/>
      <c r="E1547" s="513">
        <v>254.89750000000001</v>
      </c>
      <c r="F1547" s="408">
        <f>IFERROR(E1547*'01 Prod Physique Boites'!H1534,"-")</f>
        <v>0</v>
      </c>
      <c r="G1547" s="409">
        <f>IFERROR(E1547*'01 Prod Physique Boites'!L1534,"-")</f>
        <v>0</v>
      </c>
      <c r="H1547" s="387">
        <v>445.38</v>
      </c>
      <c r="I1547" s="425">
        <f>IFERROR(H1547*(F1547/E1547),"-")</f>
        <v>0</v>
      </c>
      <c r="J1547" s="426">
        <f t="shared" ref="J1547:J1549" si="1026">IFERROR(H1547*(G1547/E1547),"-")</f>
        <v>0</v>
      </c>
    </row>
    <row r="1548" spans="1:10" ht="23.4" x14ac:dyDescent="0.3">
      <c r="A1548" s="277" t="s">
        <v>110</v>
      </c>
      <c r="B1548" s="904"/>
      <c r="C1548" s="318" t="s">
        <v>274</v>
      </c>
      <c r="D1548" s="318"/>
      <c r="E1548" s="514">
        <v>246.51390000000001</v>
      </c>
      <c r="F1548" s="408">
        <f>IFERROR(E1548*'01 Prod Physique Boites'!H1535,"-")</f>
        <v>0</v>
      </c>
      <c r="G1548" s="409">
        <f>IFERROR(E1548*'01 Prod Physique Boites'!L1535,"-")</f>
        <v>2287648.9920000001</v>
      </c>
      <c r="H1548" s="391">
        <v>430.02</v>
      </c>
      <c r="I1548" s="427">
        <f>IFERROR(H1548*(F1548/E1548),"-")</f>
        <v>0</v>
      </c>
      <c r="J1548" s="428">
        <f t="shared" si="1026"/>
        <v>3990585.5999999996</v>
      </c>
    </row>
    <row r="1549" spans="1:10" ht="24" thickBot="1" x14ac:dyDescent="0.35">
      <c r="A1549" s="277" t="s">
        <v>110</v>
      </c>
      <c r="B1549" s="905"/>
      <c r="C1549" s="319" t="s">
        <v>34</v>
      </c>
      <c r="D1549" s="319"/>
      <c r="E1549" s="511">
        <v>225.7713</v>
      </c>
      <c r="F1549" s="408">
        <f>IFERROR(E1549*'01 Prod Physique Boites'!H1536,"-")</f>
        <v>0</v>
      </c>
      <c r="G1549" s="409">
        <f>IFERROR(E1549*'01 Prod Physique Boites'!L1536,"-")</f>
        <v>0</v>
      </c>
      <c r="H1549" s="393"/>
      <c r="I1549" s="429">
        <f>IFERROR(H1549*(F1549/E1549),"-")</f>
        <v>0</v>
      </c>
      <c r="J1549" s="430">
        <f t="shared" si="1026"/>
        <v>0</v>
      </c>
    </row>
    <row r="1550" spans="1:10" ht="24" thickBot="1" x14ac:dyDescent="0.35">
      <c r="A1550" s="277" t="s">
        <v>110</v>
      </c>
      <c r="B1550" s="906" t="s">
        <v>35</v>
      </c>
      <c r="C1550" s="907"/>
      <c r="D1550" s="908"/>
      <c r="E1550" s="396"/>
      <c r="F1550" s="412">
        <f t="shared" ref="F1550:G1550" si="1027">SUM(F1547:F1549)</f>
        <v>0</v>
      </c>
      <c r="G1550" s="413">
        <f t="shared" si="1027"/>
        <v>2287648.9920000001</v>
      </c>
      <c r="H1550" s="397"/>
      <c r="I1550" s="412">
        <f t="shared" ref="I1550:J1550" si="1028">SUM(I1547:I1549)</f>
        <v>0</v>
      </c>
      <c r="J1550" s="431">
        <f t="shared" si="1028"/>
        <v>3990585.5999999996</v>
      </c>
    </row>
    <row r="1551" spans="1:10" ht="23.4" x14ac:dyDescent="0.3">
      <c r="A1551" s="277" t="s">
        <v>110</v>
      </c>
      <c r="B1551" s="903" t="s">
        <v>36</v>
      </c>
      <c r="C1551" s="317" t="s">
        <v>121</v>
      </c>
      <c r="D1551" s="317"/>
      <c r="E1551" s="513">
        <v>254.89750000000001</v>
      </c>
      <c r="F1551" s="408">
        <f>IFERROR(E1551*'01 Prod Physique Boites'!H1538,"-")</f>
        <v>0</v>
      </c>
      <c r="G1551" s="409">
        <f>IFERROR(E1551*'01 Prod Physique Boites'!L1538,"-")</f>
        <v>0</v>
      </c>
      <c r="H1551" s="387">
        <v>445.38</v>
      </c>
      <c r="I1551" s="425">
        <f>IFERROR(H1551*(F1551/E1551),"-")</f>
        <v>0</v>
      </c>
      <c r="J1551" s="426">
        <f t="shared" ref="J1551:J1554" si="1029">IFERROR(H1551*(G1551/E1551),"-")</f>
        <v>0</v>
      </c>
    </row>
    <row r="1552" spans="1:10" ht="23.4" x14ac:dyDescent="0.3">
      <c r="A1552" s="277" t="s">
        <v>110</v>
      </c>
      <c r="B1552" s="904"/>
      <c r="C1552" s="318" t="s">
        <v>274</v>
      </c>
      <c r="D1552" s="318"/>
      <c r="E1552" s="514">
        <v>246.51390000000001</v>
      </c>
      <c r="F1552" s="408">
        <f>IFERROR(E1552*'01 Prod Physique Boites'!H1539,"-")</f>
        <v>1814342.304</v>
      </c>
      <c r="G1552" s="409">
        <f>IFERROR(E1552*'01 Prod Physique Boites'!L1539,"-")</f>
        <v>14285973.5328</v>
      </c>
      <c r="H1552" s="391">
        <v>430.02</v>
      </c>
      <c r="I1552" s="427">
        <f>IFERROR(H1552*(F1552/E1552),"-")</f>
        <v>3164947.1999999997</v>
      </c>
      <c r="J1552" s="428">
        <f t="shared" si="1029"/>
        <v>24920519.039999999</v>
      </c>
    </row>
    <row r="1553" spans="1:10" ht="23.4" x14ac:dyDescent="0.3">
      <c r="A1553" s="277" t="s">
        <v>110</v>
      </c>
      <c r="B1553" s="904"/>
      <c r="C1553" s="318" t="s">
        <v>201</v>
      </c>
      <c r="D1553" s="318" t="s">
        <v>200</v>
      </c>
      <c r="E1553" s="514">
        <v>254.89750000000001</v>
      </c>
      <c r="F1553" s="408">
        <f>IFERROR(E1553*'01 Prod Physique Boites'!H1540,"-")</f>
        <v>0</v>
      </c>
      <c r="G1553" s="409">
        <f>IFERROR(E1553*'01 Prod Physique Boites'!L1540,"-")</f>
        <v>0</v>
      </c>
      <c r="H1553" s="391"/>
      <c r="I1553" s="427">
        <f>IFERROR(H1553*(F1553/E1553),"-")</f>
        <v>0</v>
      </c>
      <c r="J1553" s="428">
        <f t="shared" si="1029"/>
        <v>0</v>
      </c>
    </row>
    <row r="1554" spans="1:10" ht="24" thickBot="1" x14ac:dyDescent="0.35">
      <c r="A1554" s="277" t="s">
        <v>110</v>
      </c>
      <c r="B1554" s="905"/>
      <c r="C1554" s="319" t="s">
        <v>37</v>
      </c>
      <c r="D1554" s="319"/>
      <c r="E1554" s="511">
        <v>229.99359999999999</v>
      </c>
      <c r="F1554" s="408">
        <f>IFERROR(E1554*'01 Prod Physique Boites'!H1541,"-")</f>
        <v>0</v>
      </c>
      <c r="G1554" s="409">
        <f>IFERROR(E1554*'01 Prod Physique Boites'!L1541,"-")</f>
        <v>0</v>
      </c>
      <c r="H1554" s="393"/>
      <c r="I1554" s="429">
        <f>IFERROR(H1554*(F1554/E1554),"-")</f>
        <v>0</v>
      </c>
      <c r="J1554" s="430">
        <f t="shared" si="1029"/>
        <v>0</v>
      </c>
    </row>
    <row r="1555" spans="1:10" ht="24" thickBot="1" x14ac:dyDescent="0.35">
      <c r="A1555" s="277" t="s">
        <v>110</v>
      </c>
      <c r="B1555" s="906" t="s">
        <v>38</v>
      </c>
      <c r="C1555" s="907"/>
      <c r="D1555" s="908"/>
      <c r="E1555" s="396"/>
      <c r="F1555" s="412">
        <f t="shared" ref="F1555:G1555" si="1030">SUM(F1551:F1554)</f>
        <v>1814342.304</v>
      </c>
      <c r="G1555" s="413">
        <f t="shared" si="1030"/>
        <v>14285973.5328</v>
      </c>
      <c r="H1555" s="397"/>
      <c r="I1555" s="412">
        <f>SUM(I1551:I1554)</f>
        <v>3164947.1999999997</v>
      </c>
      <c r="J1555" s="431">
        <f>SUM(J1551:J1554)</f>
        <v>24920519.039999999</v>
      </c>
    </row>
    <row r="1556" spans="1:10" ht="23.4" x14ac:dyDescent="0.3">
      <c r="A1556" s="277" t="s">
        <v>110</v>
      </c>
      <c r="B1556" s="903" t="s">
        <v>39</v>
      </c>
      <c r="C1556" s="320" t="s">
        <v>124</v>
      </c>
      <c r="D1556" s="320"/>
      <c r="E1556" s="513">
        <v>195.2808</v>
      </c>
      <c r="F1556" s="408">
        <f>IFERROR(E1556*'01 Prod Physique Boites'!H1543,"-")</f>
        <v>0</v>
      </c>
      <c r="G1556" s="409">
        <f>IFERROR(E1556*'01 Prod Physique Boites'!L1543,"-")</f>
        <v>0</v>
      </c>
      <c r="H1556" s="387"/>
      <c r="I1556" s="425">
        <f>IFERROR(H1556*(F1556/E1556),"-")</f>
        <v>0</v>
      </c>
      <c r="J1556" s="426">
        <f t="shared" ref="J1556:J1557" si="1031">IFERROR(H1556*(G1556/E1556),"-")</f>
        <v>0</v>
      </c>
    </row>
    <row r="1557" spans="1:10" ht="24" thickBot="1" x14ac:dyDescent="0.35">
      <c r="A1557" s="277" t="s">
        <v>110</v>
      </c>
      <c r="B1557" s="905"/>
      <c r="C1557" s="290" t="s">
        <v>140</v>
      </c>
      <c r="D1557" s="290"/>
      <c r="E1557" s="511">
        <v>189.91890000000001</v>
      </c>
      <c r="F1557" s="408">
        <f>IFERROR(E1557*'01 Prod Physique Boites'!H1544,"-")</f>
        <v>303870.24</v>
      </c>
      <c r="G1557" s="409">
        <f>IFERROR(E1557*'01 Prod Physique Boites'!L1544,"-")</f>
        <v>303870.24</v>
      </c>
      <c r="H1557" s="393">
        <v>320.35000000000002</v>
      </c>
      <c r="I1557" s="429">
        <f>IFERROR(H1557*(F1557/E1557),"-")</f>
        <v>512559.99999999994</v>
      </c>
      <c r="J1557" s="430">
        <f t="shared" si="1031"/>
        <v>512559.99999999994</v>
      </c>
    </row>
    <row r="1558" spans="1:10" ht="24" thickBot="1" x14ac:dyDescent="0.35">
      <c r="A1558" s="829" t="s">
        <v>110</v>
      </c>
      <c r="B1558" s="906" t="s">
        <v>40</v>
      </c>
      <c r="C1558" s="907"/>
      <c r="D1558" s="908"/>
      <c r="E1558" s="396"/>
      <c r="F1558" s="412">
        <f>SUM(F1556:F1557)</f>
        <v>303870.24</v>
      </c>
      <c r="G1558" s="413">
        <f t="shared" ref="G1558" si="1032">SUM(G1556:G1557)</f>
        <v>303870.24</v>
      </c>
      <c r="H1558" s="397"/>
      <c r="I1558" s="412">
        <f t="shared" ref="I1558:J1558" si="1033">SUM(I1556:I1557)</f>
        <v>512559.99999999994</v>
      </c>
      <c r="J1558" s="431">
        <f t="shared" si="1033"/>
        <v>512559.99999999994</v>
      </c>
    </row>
    <row r="1559" spans="1:10" ht="23.4" x14ac:dyDescent="0.3">
      <c r="A1559" s="277" t="s">
        <v>110</v>
      </c>
      <c r="B1559" s="903" t="s">
        <v>41</v>
      </c>
      <c r="C1559" s="272" t="s">
        <v>346</v>
      </c>
      <c r="D1559" s="272" t="s">
        <v>263</v>
      </c>
      <c r="E1559" s="515">
        <v>37.248699999999999</v>
      </c>
      <c r="F1559" s="408">
        <f>IFERROR(E1559*'01 Prod Physique Boites'!H1546,"-")</f>
        <v>876089.424</v>
      </c>
      <c r="G1559" s="409">
        <f>IFERROR(E1559*'01 Prod Physique Boites'!L1546,"-")</f>
        <v>10658790.0024</v>
      </c>
      <c r="H1559" s="387">
        <v>71.44</v>
      </c>
      <c r="I1559" s="425">
        <f>IFERROR(H1559*(F1559/E1559),"-")</f>
        <v>1680268.8</v>
      </c>
      <c r="J1559" s="426">
        <f>IFERROR(H1559*(G1559/E1559),"-")</f>
        <v>20442698.879999999</v>
      </c>
    </row>
    <row r="1560" spans="1:10" ht="23.4" x14ac:dyDescent="0.3">
      <c r="A1560" s="277" t="s">
        <v>110</v>
      </c>
      <c r="B1560" s="904"/>
      <c r="C1560" s="272" t="s">
        <v>165</v>
      </c>
      <c r="D1560" s="278"/>
      <c r="E1560" s="515">
        <v>37.248699999999999</v>
      </c>
      <c r="F1560" s="408">
        <f>IFERROR(E1560*'01 Prod Physique Boites'!H1547,"-")</f>
        <v>0</v>
      </c>
      <c r="G1560" s="409">
        <f>IFERROR(E1560*'01 Prod Physique Boites'!L1547,"-")</f>
        <v>0</v>
      </c>
      <c r="H1560" s="391"/>
      <c r="I1560" s="427">
        <f>IFERROR(H1560*(F1560/E1560),"-")</f>
        <v>0</v>
      </c>
      <c r="J1560" s="428">
        <f t="shared" ref="J1560:J1563" si="1034">IFERROR(H1560*(G1560/E1560),"-")</f>
        <v>0</v>
      </c>
    </row>
    <row r="1561" spans="1:10" ht="23.4" x14ac:dyDescent="0.3">
      <c r="A1561" s="277" t="s">
        <v>110</v>
      </c>
      <c r="B1561" s="904"/>
      <c r="C1561" s="278" t="s">
        <v>423</v>
      </c>
      <c r="D1561" s="272" t="s">
        <v>263</v>
      </c>
      <c r="E1561" s="516">
        <v>38.466099999999997</v>
      </c>
      <c r="F1561" s="408">
        <f>IFERROR(E1561*'01 Prod Physique Boites'!H1548,"-")</f>
        <v>0</v>
      </c>
      <c r="G1561" s="409">
        <f>IFERROR(E1561*'01 Prod Physique Boites'!L1548,"-")</f>
        <v>1306308.7559999998</v>
      </c>
      <c r="H1561" s="391">
        <v>71.44</v>
      </c>
      <c r="I1561" s="427">
        <f>IFERROR(H1561*(F1561/E1561),"-")</f>
        <v>0</v>
      </c>
      <c r="J1561" s="428">
        <f t="shared" si="1034"/>
        <v>2426102.4</v>
      </c>
    </row>
    <row r="1562" spans="1:10" ht="23.4" x14ac:dyDescent="0.3">
      <c r="A1562" s="277" t="s">
        <v>110</v>
      </c>
      <c r="B1562" s="904"/>
      <c r="C1562" s="278" t="s">
        <v>166</v>
      </c>
      <c r="D1562" s="278"/>
      <c r="E1562" s="516">
        <v>37.248699999999999</v>
      </c>
      <c r="F1562" s="408">
        <f>IFERROR(E1562*'01 Prod Physique Boites'!H1549,"-")</f>
        <v>0</v>
      </c>
      <c r="G1562" s="409">
        <f>IFERROR(E1562*'01 Prod Physique Boites'!L1549,"-")</f>
        <v>0</v>
      </c>
      <c r="H1562" s="391"/>
      <c r="I1562" s="427">
        <f>IFERROR(H1562*(F1562/E1562),"-")</f>
        <v>0</v>
      </c>
      <c r="J1562" s="428">
        <f t="shared" si="1034"/>
        <v>0</v>
      </c>
    </row>
    <row r="1563" spans="1:10" ht="24" thickBot="1" x14ac:dyDescent="0.35">
      <c r="A1563" s="277" t="s">
        <v>110</v>
      </c>
      <c r="B1563" s="905"/>
      <c r="C1563" s="282" t="s">
        <v>167</v>
      </c>
      <c r="D1563" s="282"/>
      <c r="E1563" s="512">
        <v>33.711399999999998</v>
      </c>
      <c r="F1563" s="408">
        <f>IFERROR(E1563*'01 Prod Physique Boites'!H1550,"-")</f>
        <v>0</v>
      </c>
      <c r="G1563" s="409">
        <f>IFERROR(E1563*'01 Prod Physique Boites'!L1550,"-")</f>
        <v>0</v>
      </c>
      <c r="H1563" s="393"/>
      <c r="I1563" s="429">
        <f>IFERROR(H1563*(F1563/E1563),"-")</f>
        <v>0</v>
      </c>
      <c r="J1563" s="430">
        <f t="shared" si="1034"/>
        <v>0</v>
      </c>
    </row>
    <row r="1564" spans="1:10" ht="24" thickBot="1" x14ac:dyDescent="0.35">
      <c r="A1564" s="277" t="s">
        <v>110</v>
      </c>
      <c r="B1564" s="906" t="s">
        <v>42</v>
      </c>
      <c r="C1564" s="907"/>
      <c r="D1564" s="908"/>
      <c r="E1564" s="396"/>
      <c r="F1564" s="412">
        <f>SUM(F1559:F1563)</f>
        <v>876089.424</v>
      </c>
      <c r="G1564" s="413">
        <f>SUM(G1559:G1563)</f>
        <v>11965098.758399999</v>
      </c>
      <c r="H1564" s="397"/>
      <c r="I1564" s="412">
        <f>SUM(I1559:I1563)</f>
        <v>1680268.8</v>
      </c>
      <c r="J1564" s="412">
        <f>SUM(J1559:J1563)</f>
        <v>22868801.279999997</v>
      </c>
    </row>
    <row r="1565" spans="1:10" ht="23.4" x14ac:dyDescent="0.3">
      <c r="A1565" s="277" t="s">
        <v>110</v>
      </c>
      <c r="B1565" s="903" t="s">
        <v>43</v>
      </c>
      <c r="C1565" s="272" t="s">
        <v>204</v>
      </c>
      <c r="D1565" s="272" t="s">
        <v>200</v>
      </c>
      <c r="E1565" s="515">
        <v>30.7499</v>
      </c>
      <c r="F1565" s="408">
        <f>IFERROR(E1565*'01 Prod Physique Boites'!H1552,"-")</f>
        <v>0</v>
      </c>
      <c r="G1565" s="409">
        <f>IFERROR(E1565*'01 Prod Physique Boites'!L1552,"-")</f>
        <v>0</v>
      </c>
      <c r="H1565" s="387"/>
      <c r="I1565" s="425">
        <f>IFERROR(H1565*(F1565/E1565),"-")</f>
        <v>0</v>
      </c>
      <c r="J1565" s="426">
        <f>IFERROR(H1565*(G1565/E1565),"-")</f>
        <v>0</v>
      </c>
    </row>
    <row r="1566" spans="1:10" ht="23.4" x14ac:dyDescent="0.3">
      <c r="A1566" s="277" t="s">
        <v>110</v>
      </c>
      <c r="B1566" s="904"/>
      <c r="C1566" s="278" t="s">
        <v>168</v>
      </c>
      <c r="D1566" s="278"/>
      <c r="E1566" s="516">
        <v>28.7</v>
      </c>
      <c r="F1566" s="408">
        <f>IFERROR(E1566*'01 Prod Physique Boites'!H1553,"-")</f>
        <v>0</v>
      </c>
      <c r="G1566" s="409">
        <f>IFERROR(E1566*'01 Prod Physique Boites'!L1553,"-")</f>
        <v>0</v>
      </c>
      <c r="H1566" s="391"/>
      <c r="I1566" s="427">
        <f>IFERROR(H1566*(F1566/E1566),"-")</f>
        <v>0</v>
      </c>
      <c r="J1566" s="428">
        <f t="shared" ref="J1566:J1567" si="1035">IFERROR(H1566*(G1566/E1566),"-")</f>
        <v>0</v>
      </c>
    </row>
    <row r="1567" spans="1:10" ht="24" thickBot="1" x14ac:dyDescent="0.35">
      <c r="A1567" s="277" t="s">
        <v>110</v>
      </c>
      <c r="B1567" s="905"/>
      <c r="C1567" s="282" t="s">
        <v>204</v>
      </c>
      <c r="D1567" s="282" t="s">
        <v>203</v>
      </c>
      <c r="E1567" s="512">
        <v>30.073599999999999</v>
      </c>
      <c r="F1567" s="408">
        <f>IFERROR(E1567*'01 Prod Physique Boites'!H1554,"-")</f>
        <v>0</v>
      </c>
      <c r="G1567" s="409">
        <f>IFERROR(E1567*'01 Prod Physique Boites'!L1554,"-")</f>
        <v>0</v>
      </c>
      <c r="H1567" s="393"/>
      <c r="I1567" s="429">
        <f>IFERROR(H1567*(F1567/E1567),"-")</f>
        <v>0</v>
      </c>
      <c r="J1567" s="430">
        <f t="shared" si="1035"/>
        <v>0</v>
      </c>
    </row>
    <row r="1568" spans="1:10" ht="24" thickBot="1" x14ac:dyDescent="0.35">
      <c r="A1568" s="277" t="s">
        <v>110</v>
      </c>
      <c r="B1568" s="909" t="s">
        <v>44</v>
      </c>
      <c r="C1568" s="910"/>
      <c r="D1568" s="911"/>
      <c r="E1568" s="396"/>
      <c r="F1568" s="412">
        <f t="shared" ref="F1568:G1568" si="1036">SUM(F1565:F1567)</f>
        <v>0</v>
      </c>
      <c r="G1568" s="413">
        <f t="shared" si="1036"/>
        <v>0</v>
      </c>
      <c r="H1568" s="397"/>
      <c r="I1568" s="412">
        <f t="shared" ref="I1568:J1568" si="1037">SUM(I1565:I1567)</f>
        <v>0</v>
      </c>
      <c r="J1568" s="431">
        <f t="shared" si="1037"/>
        <v>0</v>
      </c>
    </row>
    <row r="1569" spans="1:10" ht="23.4" x14ac:dyDescent="0.3">
      <c r="A1569" s="277" t="s">
        <v>110</v>
      </c>
      <c r="B1569" s="903" t="s">
        <v>45</v>
      </c>
      <c r="C1569" s="272" t="s">
        <v>169</v>
      </c>
      <c r="D1569" s="272"/>
      <c r="E1569" s="515">
        <v>36.684899999999999</v>
      </c>
      <c r="F1569" s="408">
        <f>IFERROR(E1569*'01 Prod Physique Boites'!H1556,"-")</f>
        <v>0</v>
      </c>
      <c r="G1569" s="409">
        <f>IFERROR(E1569*'01 Prod Physique Boites'!L1556,"-")</f>
        <v>0</v>
      </c>
      <c r="H1569" s="387"/>
      <c r="I1569" s="388" t="s">
        <v>209</v>
      </c>
      <c r="J1569" s="389" t="s">
        <v>209</v>
      </c>
    </row>
    <row r="1570" spans="1:10" ht="24" thickBot="1" x14ac:dyDescent="0.35">
      <c r="A1570" s="277" t="s">
        <v>110</v>
      </c>
      <c r="B1570" s="905"/>
      <c r="C1570" s="282" t="s">
        <v>170</v>
      </c>
      <c r="D1570" s="282"/>
      <c r="E1570" s="512">
        <v>37.002800000000001</v>
      </c>
      <c r="F1570" s="408">
        <f>IFERROR(E1570*'01 Prod Physique Boites'!H1557,"-")</f>
        <v>0</v>
      </c>
      <c r="G1570" s="409">
        <f>IFERROR(E1570*'01 Prod Physique Boites'!L1557,"-")</f>
        <v>0</v>
      </c>
      <c r="H1570" s="393"/>
      <c r="I1570" s="394" t="s">
        <v>209</v>
      </c>
      <c r="J1570" s="395" t="s">
        <v>209</v>
      </c>
    </row>
    <row r="1571" spans="1:10" ht="24" thickBot="1" x14ac:dyDescent="0.35">
      <c r="A1571" s="277" t="s">
        <v>110</v>
      </c>
      <c r="B1571" s="909" t="s">
        <v>46</v>
      </c>
      <c r="C1571" s="910"/>
      <c r="D1571" s="911"/>
      <c r="E1571" s="396"/>
      <c r="F1571" s="412">
        <f t="shared" ref="F1571:G1571" si="1038">SUM(F1569:F1570)</f>
        <v>0</v>
      </c>
      <c r="G1571" s="413">
        <f t="shared" si="1038"/>
        <v>0</v>
      </c>
      <c r="H1571" s="397"/>
      <c r="I1571" s="412">
        <f t="shared" ref="I1571:J1571" si="1039">SUM(I1569:I1570)</f>
        <v>0</v>
      </c>
      <c r="J1571" s="431">
        <f t="shared" si="1039"/>
        <v>0</v>
      </c>
    </row>
    <row r="1572" spans="1:10" ht="24" thickBot="1" x14ac:dyDescent="0.35">
      <c r="A1572" s="277" t="s">
        <v>110</v>
      </c>
      <c r="B1572" s="912" t="s">
        <v>25</v>
      </c>
      <c r="C1572" s="913"/>
      <c r="D1572" s="914"/>
      <c r="E1572" s="399"/>
      <c r="F1572" s="416">
        <f t="shared" ref="F1572:G1572" si="1040">+F1550+F1555+F1558+F1564+F1568+F1571</f>
        <v>2994301.9679999999</v>
      </c>
      <c r="G1572" s="417">
        <f t="shared" si="1040"/>
        <v>28842591.523199998</v>
      </c>
      <c r="H1572" s="400"/>
      <c r="I1572" s="416">
        <f>+I1550+I1555+I1558+I1564+I1568+I1571</f>
        <v>5357776</v>
      </c>
      <c r="J1572" s="434">
        <f>+J1550+J1555+J1558+J1564+J1568+J1571</f>
        <v>52292465.920000002</v>
      </c>
    </row>
    <row r="1573" spans="1:10" ht="24" thickBot="1" x14ac:dyDescent="0.35">
      <c r="A1573" s="324" t="s">
        <v>110</v>
      </c>
      <c r="B1573" s="901" t="s">
        <v>182</v>
      </c>
      <c r="C1573" s="901"/>
      <c r="D1573" s="902"/>
      <c r="E1573" s="401"/>
      <c r="F1573" s="418">
        <f t="shared" ref="F1573:G1573" si="1041">+F1572</f>
        <v>2994301.9679999999</v>
      </c>
      <c r="G1573" s="419">
        <f t="shared" si="1041"/>
        <v>28842591.523199998</v>
      </c>
      <c r="H1573" s="402"/>
      <c r="I1573" s="418">
        <f t="shared" ref="I1573" si="1042">+I1572</f>
        <v>5357776</v>
      </c>
      <c r="J1573" s="435">
        <f>+J1572</f>
        <v>52292465.920000002</v>
      </c>
    </row>
    <row r="1574" spans="1:10" ht="24.6" thickBot="1" x14ac:dyDescent="0.35">
      <c r="A1574" s="325"/>
      <c r="B1574" s="915" t="s">
        <v>183</v>
      </c>
      <c r="C1574" s="916"/>
      <c r="D1574" s="917"/>
      <c r="E1574" s="407"/>
      <c r="F1574" s="424">
        <f t="shared" ref="F1574:G1574" si="1043">+F1519+F1546+F1573</f>
        <v>9826007.7927000001</v>
      </c>
      <c r="G1574" s="424">
        <f t="shared" si="1043"/>
        <v>109695505.26790002</v>
      </c>
      <c r="H1574" s="407"/>
      <c r="I1574" s="424">
        <f t="shared" ref="I1574:J1574" si="1044">+I1519+I1546+I1573</f>
        <v>13689107.890000001</v>
      </c>
      <c r="J1574" s="438">
        <f t="shared" si="1044"/>
        <v>171640394.45279998</v>
      </c>
    </row>
    <row r="1575" spans="1:10" ht="23.4" x14ac:dyDescent="0.3">
      <c r="A1575" s="935" t="s">
        <v>1</v>
      </c>
      <c r="B1575" s="938" t="s">
        <v>2</v>
      </c>
      <c r="C1575" s="941" t="s">
        <v>3</v>
      </c>
      <c r="D1575" s="941" t="s">
        <v>93</v>
      </c>
      <c r="E1575" s="965" t="s">
        <v>176</v>
      </c>
      <c r="F1575" s="966"/>
      <c r="G1575" s="966"/>
      <c r="H1575" s="451"/>
      <c r="I1575" s="451"/>
      <c r="J1575" s="452"/>
    </row>
    <row r="1576" spans="1:10" ht="23.4" x14ac:dyDescent="0.3">
      <c r="A1576" s="936"/>
      <c r="B1576" s="939"/>
      <c r="C1576" s="942"/>
      <c r="D1576" s="942"/>
      <c r="E1576" s="967" t="s">
        <v>178</v>
      </c>
      <c r="F1576" s="968"/>
      <c r="G1576" s="969"/>
      <c r="H1576" s="967" t="s">
        <v>177</v>
      </c>
      <c r="I1576" s="968"/>
      <c r="J1576" s="969"/>
    </row>
    <row r="1577" spans="1:10" ht="46.8" x14ac:dyDescent="0.3">
      <c r="A1577" s="937"/>
      <c r="B1577" s="963"/>
      <c r="C1577" s="964"/>
      <c r="D1577" s="964"/>
      <c r="E1577" s="385" t="s">
        <v>179</v>
      </c>
      <c r="F1577" s="835" t="s">
        <v>11</v>
      </c>
      <c r="G1577" s="836" t="s">
        <v>12</v>
      </c>
      <c r="H1577" s="970" t="s">
        <v>179</v>
      </c>
      <c r="I1577" s="972" t="s">
        <v>145</v>
      </c>
      <c r="J1577" s="974" t="s">
        <v>12</v>
      </c>
    </row>
    <row r="1578" spans="1:10" ht="24" thickBot="1" x14ac:dyDescent="0.35">
      <c r="A1578" s="937"/>
      <c r="B1578" s="940"/>
      <c r="C1578" s="943"/>
      <c r="D1578" s="943"/>
      <c r="E1578" s="976">
        <v>44522</v>
      </c>
      <c r="F1578" s="977"/>
      <c r="G1578" s="978"/>
      <c r="H1578" s="971"/>
      <c r="I1578" s="973"/>
      <c r="J1578" s="975"/>
    </row>
    <row r="1579" spans="1:10" ht="23.4" x14ac:dyDescent="0.3">
      <c r="A1579" s="271" t="s">
        <v>111</v>
      </c>
      <c r="B1579" s="922" t="s">
        <v>16</v>
      </c>
      <c r="C1579" s="272" t="s">
        <v>186</v>
      </c>
      <c r="D1579" s="272" t="s">
        <v>184</v>
      </c>
      <c r="E1579" s="515">
        <v>81.360699999999994</v>
      </c>
      <c r="F1579" s="408">
        <f>IFERROR(E1579*'01 Prod Physique Boites'!H1565,"-")</f>
        <v>0</v>
      </c>
      <c r="G1579" s="408">
        <f>IFERROR(E1579*'01 Prod Physique Boites'!L1565,"-")</f>
        <v>0</v>
      </c>
      <c r="H1579" s="387">
        <v>0</v>
      </c>
      <c r="I1579" s="425">
        <f>IFERROR(H1579*(F1579/E1579),"-")</f>
        <v>0</v>
      </c>
      <c r="J1579" s="426">
        <f t="shared" ref="J1579:J1581" si="1045">IFERROR(H1579*(G1579/E1579),"-")</f>
        <v>0</v>
      </c>
    </row>
    <row r="1580" spans="1:10" ht="23.4" x14ac:dyDescent="0.3">
      <c r="A1580" s="277" t="s">
        <v>111</v>
      </c>
      <c r="B1580" s="923"/>
      <c r="C1580" s="278" t="s">
        <v>190</v>
      </c>
      <c r="D1580" s="278" t="s">
        <v>101</v>
      </c>
      <c r="E1580" s="516">
        <v>81.360699999999994</v>
      </c>
      <c r="F1580" s="408">
        <f>IFERROR(E1580*'01 Prod Physique Boites'!H1566,"-")</f>
        <v>0</v>
      </c>
      <c r="G1580" s="408">
        <f>IFERROR(E1580*'01 Prod Physique Boites'!L1566,"-")</f>
        <v>0</v>
      </c>
      <c r="H1580" s="391">
        <v>0</v>
      </c>
      <c r="I1580" s="425">
        <f>IFERROR(H1580*(F1580/E1580),"-")</f>
        <v>0</v>
      </c>
      <c r="J1580" s="426">
        <f t="shared" si="1045"/>
        <v>0</v>
      </c>
    </row>
    <row r="1581" spans="1:10" ht="23.4" x14ac:dyDescent="0.3">
      <c r="A1581" s="277" t="s">
        <v>111</v>
      </c>
      <c r="B1581" s="923"/>
      <c r="C1581" s="278" t="s">
        <v>187</v>
      </c>
      <c r="D1581" s="278" t="s">
        <v>185</v>
      </c>
      <c r="E1581" s="516">
        <v>55.476900000000001</v>
      </c>
      <c r="F1581" s="408">
        <f>IFERROR(E1581*'01 Prod Physique Boites'!H1567,"-")</f>
        <v>0</v>
      </c>
      <c r="G1581" s="408">
        <f>IFERROR(E1581*'01 Prod Physique Boites'!L1567,"-")</f>
        <v>0</v>
      </c>
      <c r="H1581" s="391">
        <v>0</v>
      </c>
      <c r="I1581" s="425">
        <f>IFERROR(H1581*(F1581/E1581),"-")</f>
        <v>0</v>
      </c>
      <c r="J1581" s="426">
        <f t="shared" si="1045"/>
        <v>0</v>
      </c>
    </row>
    <row r="1582" spans="1:10" ht="24" thickBot="1" x14ac:dyDescent="0.35">
      <c r="A1582" s="277" t="s">
        <v>111</v>
      </c>
      <c r="B1582" s="924"/>
      <c r="C1582" s="282" t="s">
        <v>289</v>
      </c>
      <c r="D1582" s="282" t="s">
        <v>256</v>
      </c>
      <c r="E1582" s="512">
        <v>60.703499999999998</v>
      </c>
      <c r="F1582" s="408">
        <f>IFERROR(E1582*'01 Prod Physique Boites'!H1568,"-")</f>
        <v>0</v>
      </c>
      <c r="G1582" s="408">
        <f>IFERROR(E1582*'01 Prod Physique Boites'!L1568,"-")</f>
        <v>6314135.2560000001</v>
      </c>
      <c r="H1582" s="393">
        <v>111.0883</v>
      </c>
      <c r="I1582" s="425">
        <f>IFERROR(H1582*(F1582/E1582),"-")</f>
        <v>0</v>
      </c>
      <c r="J1582" s="426">
        <f>IFERROR(H1582*(G1582/E1582),"-")</f>
        <v>11554960.6128</v>
      </c>
    </row>
    <row r="1583" spans="1:10" ht="24" thickBot="1" x14ac:dyDescent="0.35">
      <c r="A1583" s="277" t="s">
        <v>111</v>
      </c>
      <c r="B1583" s="906" t="s">
        <v>47</v>
      </c>
      <c r="C1583" s="907"/>
      <c r="D1583" s="908"/>
      <c r="E1583" s="396"/>
      <c r="F1583" s="412">
        <f t="shared" ref="F1583" si="1046">SUM(F1579:F1582)</f>
        <v>0</v>
      </c>
      <c r="G1583" s="413">
        <f>SUM(G1579:G1582)</f>
        <v>6314135.2560000001</v>
      </c>
      <c r="H1583" s="397"/>
      <c r="I1583" s="412">
        <f t="shared" ref="I1583:J1583" si="1047">SUM(I1579:I1582)</f>
        <v>0</v>
      </c>
      <c r="J1583" s="431">
        <f t="shared" si="1047"/>
        <v>11554960.6128</v>
      </c>
    </row>
    <row r="1584" spans="1:10" ht="23.4" x14ac:dyDescent="0.3">
      <c r="A1584" s="277" t="s">
        <v>111</v>
      </c>
      <c r="B1584" s="922" t="s">
        <v>17</v>
      </c>
      <c r="C1584" s="272" t="s">
        <v>331</v>
      </c>
      <c r="D1584" s="272"/>
      <c r="E1584" s="515">
        <v>12.5275</v>
      </c>
      <c r="F1584" s="408">
        <f>IFERROR(E1584*'01 Prod Physique Boites'!H1570,"-")</f>
        <v>0</v>
      </c>
      <c r="G1584" s="408">
        <f>IFERROR(E1584*'01 Prod Physique Boites'!L1570,"-")</f>
        <v>0</v>
      </c>
      <c r="H1584" s="387">
        <v>18.836400000000001</v>
      </c>
      <c r="I1584" s="425">
        <f t="shared" ref="I1584:I1590" si="1048">IFERROR(H1584*(F1584/E1584),"-")</f>
        <v>0</v>
      </c>
      <c r="J1584" s="426">
        <f t="shared" ref="J1584:J1589" si="1049">IFERROR(H1584*(G1584/E1584),"-")</f>
        <v>0</v>
      </c>
    </row>
    <row r="1585" spans="1:10" ht="23.4" x14ac:dyDescent="0.3">
      <c r="A1585" s="277" t="s">
        <v>111</v>
      </c>
      <c r="B1585" s="923"/>
      <c r="C1585" s="278" t="s">
        <v>421</v>
      </c>
      <c r="D1585" s="278" t="s">
        <v>257</v>
      </c>
      <c r="E1585" s="516">
        <v>13.002700000000001</v>
      </c>
      <c r="F1585" s="408">
        <f>IFERROR(E1585*'01 Prod Physique Boites'!H1571,"-")</f>
        <v>2307719.196</v>
      </c>
      <c r="G1585" s="408">
        <f>IFERROR(E1585*'01 Prod Physique Boites'!L1571,"-")</f>
        <v>8624209.8101000004</v>
      </c>
      <c r="H1585" s="811">
        <v>21.18</v>
      </c>
      <c r="I1585" s="427">
        <f t="shared" si="1048"/>
        <v>3759026.4</v>
      </c>
      <c r="J1585" s="428">
        <f t="shared" si="1049"/>
        <v>14047910.34</v>
      </c>
    </row>
    <row r="1586" spans="1:10" ht="23.4" x14ac:dyDescent="0.3">
      <c r="A1586" s="277" t="s">
        <v>111</v>
      </c>
      <c r="B1586" s="923"/>
      <c r="C1586" s="278" t="s">
        <v>441</v>
      </c>
      <c r="D1586" s="278" t="s">
        <v>205</v>
      </c>
      <c r="E1586" s="516">
        <v>12.9049</v>
      </c>
      <c r="F1586" s="408">
        <f>IFERROR(E1586*'01 Prod Physique Boites'!H1572,"-")</f>
        <v>0</v>
      </c>
      <c r="G1586" s="408">
        <f>IFERROR(E1586*'01 Prod Physique Boites'!L1572,"-")</f>
        <v>0</v>
      </c>
      <c r="H1586" s="391">
        <v>20.6602</v>
      </c>
      <c r="I1586" s="427">
        <f t="shared" si="1048"/>
        <v>0</v>
      </c>
      <c r="J1586" s="428">
        <f t="shared" si="1049"/>
        <v>0</v>
      </c>
    </row>
    <row r="1587" spans="1:10" ht="23.4" x14ac:dyDescent="0.3">
      <c r="A1587" s="277" t="s">
        <v>111</v>
      </c>
      <c r="B1587" s="923"/>
      <c r="C1587" s="278" t="s">
        <v>330</v>
      </c>
      <c r="D1587" s="278" t="s">
        <v>206</v>
      </c>
      <c r="E1587" s="516">
        <v>13.078200000000001</v>
      </c>
      <c r="F1587" s="408">
        <f>IFERROR(E1587*'01 Prod Physique Boites'!H1573,"-")</f>
        <v>0</v>
      </c>
      <c r="G1587" s="408">
        <f>IFERROR(E1587*'01 Prod Physique Boites'!L1573,"-")</f>
        <v>24011.575200000003</v>
      </c>
      <c r="H1587" s="811">
        <v>20.66</v>
      </c>
      <c r="I1587" s="427">
        <f t="shared" si="1048"/>
        <v>0</v>
      </c>
      <c r="J1587" s="428">
        <f t="shared" si="1049"/>
        <v>37931.760000000002</v>
      </c>
    </row>
    <row r="1588" spans="1:10" ht="23.4" x14ac:dyDescent="0.3">
      <c r="A1588" s="277" t="s">
        <v>111</v>
      </c>
      <c r="B1588" s="923"/>
      <c r="C1588" s="278" t="s">
        <v>377</v>
      </c>
      <c r="D1588" s="278" t="s">
        <v>371</v>
      </c>
      <c r="E1588" s="516">
        <v>13.1958</v>
      </c>
      <c r="F1588" s="408">
        <f>IFERROR(E1588*'01 Prod Physique Boites'!H1574,"-")</f>
        <v>0</v>
      </c>
      <c r="G1588" s="408">
        <f>IFERROR(E1588*'01 Prod Physique Boites'!L1574,"-")</f>
        <v>140007.43799999999</v>
      </c>
      <c r="H1588" s="811">
        <v>21.28</v>
      </c>
      <c r="I1588" s="427">
        <f t="shared" si="1048"/>
        <v>0</v>
      </c>
      <c r="J1588" s="428">
        <f t="shared" si="1049"/>
        <v>225780.80000000002</v>
      </c>
    </row>
    <row r="1589" spans="1:10" ht="23.4" x14ac:dyDescent="0.3">
      <c r="A1589" s="277" t="s">
        <v>111</v>
      </c>
      <c r="B1589" s="923"/>
      <c r="C1589" s="278" t="s">
        <v>443</v>
      </c>
      <c r="D1589" s="278" t="s">
        <v>207</v>
      </c>
      <c r="E1589" s="516">
        <v>12.9049</v>
      </c>
      <c r="F1589" s="408">
        <f>IFERROR(E1589*'01 Prod Physique Boites'!H1575,"-")</f>
        <v>78977.987999999998</v>
      </c>
      <c r="G1589" s="408">
        <f>IFERROR(E1589*'01 Prod Physique Boites'!L1575,"-")</f>
        <v>5765393.1239999998</v>
      </c>
      <c r="H1589" s="812">
        <v>20.5</v>
      </c>
      <c r="I1589" s="427">
        <f t="shared" si="1048"/>
        <v>125460</v>
      </c>
      <c r="J1589" s="428">
        <f t="shared" si="1049"/>
        <v>9158580</v>
      </c>
    </row>
    <row r="1590" spans="1:10" ht="24" thickBot="1" x14ac:dyDescent="0.35">
      <c r="A1590" s="277" t="s">
        <v>111</v>
      </c>
      <c r="B1590" s="924"/>
      <c r="C1590" s="282" t="s">
        <v>416</v>
      </c>
      <c r="D1590" s="282" t="s">
        <v>189</v>
      </c>
      <c r="E1590" s="512">
        <v>13.6509</v>
      </c>
      <c r="F1590" s="408">
        <f>IFERROR(E1590*'01 Prod Physique Boites'!H1576,"-")</f>
        <v>0</v>
      </c>
      <c r="G1590" s="408">
        <f>IFERROR(E1590*'01 Prod Physique Boites'!L1576,"-")</f>
        <v>1002522.096</v>
      </c>
      <c r="H1590" s="813">
        <v>21.18</v>
      </c>
      <c r="I1590" s="429">
        <f t="shared" si="1048"/>
        <v>0</v>
      </c>
      <c r="J1590" s="430">
        <f>IFERROR(H1590*(G1590/E1590),"-")</f>
        <v>1555459.2</v>
      </c>
    </row>
    <row r="1591" spans="1:10" ht="24" thickBot="1" x14ac:dyDescent="0.35">
      <c r="A1591" s="277" t="s">
        <v>111</v>
      </c>
      <c r="B1591" s="906" t="s">
        <v>48</v>
      </c>
      <c r="C1591" s="907"/>
      <c r="D1591" s="908"/>
      <c r="E1591" s="396"/>
      <c r="F1591" s="412">
        <f t="shared" ref="F1591" si="1050">SUM(F1584:F1590)</f>
        <v>2386697.1839999999</v>
      </c>
      <c r="G1591" s="413">
        <f>SUM(G1584:G1590)</f>
        <v>15556144.043300001</v>
      </c>
      <c r="H1591" s="397"/>
      <c r="I1591" s="412">
        <f t="shared" ref="I1591" si="1051">SUM(I1584:I1590)</f>
        <v>3884486.4</v>
      </c>
      <c r="J1591" s="431">
        <f>SUM(J1584:J1590)</f>
        <v>25025662.099999998</v>
      </c>
    </row>
    <row r="1592" spans="1:10" ht="23.4" x14ac:dyDescent="0.3">
      <c r="A1592" s="277" t="s">
        <v>111</v>
      </c>
      <c r="B1592" s="922" t="s">
        <v>18</v>
      </c>
      <c r="C1592" s="272" t="s">
        <v>359</v>
      </c>
      <c r="D1592" s="272" t="s">
        <v>99</v>
      </c>
      <c r="E1592" s="515">
        <v>17.8202</v>
      </c>
      <c r="F1592" s="408">
        <f>IFERROR(E1592*'01 Prod Physique Boites'!H1578,"-")</f>
        <v>0</v>
      </c>
      <c r="G1592" s="409">
        <f>IFERROR(E1592*'01 Prod Physique Boites'!L1578,"-")</f>
        <v>0</v>
      </c>
      <c r="H1592" s="387">
        <v>24.93</v>
      </c>
      <c r="I1592" s="425">
        <f t="shared" ref="I1592:I1598" si="1052">IFERROR(H1592*(F1592/E1592),"-")</f>
        <v>0</v>
      </c>
      <c r="J1592" s="426">
        <f t="shared" ref="J1592:J1594" si="1053">IFERROR(H1592*(G1592/E1592),"-")</f>
        <v>0</v>
      </c>
    </row>
    <row r="1593" spans="1:10" ht="23.4" x14ac:dyDescent="0.3">
      <c r="A1593" s="277" t="s">
        <v>111</v>
      </c>
      <c r="B1593" s="923"/>
      <c r="C1593" s="278" t="s">
        <v>138</v>
      </c>
      <c r="D1593" s="278"/>
      <c r="E1593" s="516">
        <v>17.8202</v>
      </c>
      <c r="F1593" s="408">
        <f>IFERROR(E1593*'01 Prod Physique Boites'!H1579,"-")</f>
        <v>0</v>
      </c>
      <c r="G1593" s="409">
        <f>IFERROR(E1593*'01 Prod Physique Boites'!L1579,"-")</f>
        <v>0</v>
      </c>
      <c r="H1593" s="391">
        <v>0</v>
      </c>
      <c r="I1593" s="427">
        <f t="shared" si="1052"/>
        <v>0</v>
      </c>
      <c r="J1593" s="428">
        <f t="shared" si="1053"/>
        <v>0</v>
      </c>
    </row>
    <row r="1594" spans="1:10" ht="23.4" x14ac:dyDescent="0.3">
      <c r="A1594" s="277" t="s">
        <v>111</v>
      </c>
      <c r="B1594" s="923"/>
      <c r="C1594" s="278" t="s">
        <v>123</v>
      </c>
      <c r="D1594" s="278"/>
      <c r="E1594" s="516">
        <v>16.4071</v>
      </c>
      <c r="F1594" s="408">
        <f>IFERROR(E1594*'01 Prod Physique Boites'!H1580,"-")</f>
        <v>0</v>
      </c>
      <c r="G1594" s="409">
        <f>IFERROR(E1594*'01 Prod Physique Boites'!L1580,"-")</f>
        <v>0</v>
      </c>
      <c r="H1594" s="391">
        <v>0</v>
      </c>
      <c r="I1594" s="427">
        <f t="shared" si="1052"/>
        <v>0</v>
      </c>
      <c r="J1594" s="428">
        <f t="shared" si="1053"/>
        <v>0</v>
      </c>
    </row>
    <row r="1595" spans="1:10" ht="23.4" x14ac:dyDescent="0.3">
      <c r="A1595" s="277" t="s">
        <v>111</v>
      </c>
      <c r="B1595" s="923"/>
      <c r="C1595" s="278" t="s">
        <v>130</v>
      </c>
      <c r="D1595" s="278"/>
      <c r="E1595" s="516">
        <v>17.8202</v>
      </c>
      <c r="F1595" s="408">
        <f>IFERROR(E1595*'01 Prod Physique Boites'!H1581,"-")</f>
        <v>0</v>
      </c>
      <c r="G1595" s="409">
        <f>IFERROR(E1595*'01 Prod Physique Boites'!L1581,"-")</f>
        <v>0</v>
      </c>
      <c r="H1595" s="391">
        <v>0</v>
      </c>
      <c r="I1595" s="427">
        <f t="shared" si="1052"/>
        <v>0</v>
      </c>
      <c r="J1595" s="428">
        <f>IFERROR(H1595*(G1595/E1595),"-")</f>
        <v>0</v>
      </c>
    </row>
    <row r="1596" spans="1:10" ht="23.4" x14ac:dyDescent="0.3">
      <c r="A1596" s="277" t="s">
        <v>111</v>
      </c>
      <c r="B1596" s="923"/>
      <c r="C1596" s="278" t="s">
        <v>191</v>
      </c>
      <c r="D1596" s="278" t="s">
        <v>192</v>
      </c>
      <c r="E1596" s="516">
        <v>17.8202</v>
      </c>
      <c r="F1596" s="408">
        <f>IFERROR(E1596*'01 Prod Physique Boites'!H1582,"-")</f>
        <v>0</v>
      </c>
      <c r="G1596" s="409">
        <f>IFERROR(E1596*'01 Prod Physique Boites'!L1582,"-")</f>
        <v>0</v>
      </c>
      <c r="H1596" s="391">
        <v>0</v>
      </c>
      <c r="I1596" s="427">
        <f t="shared" si="1052"/>
        <v>0</v>
      </c>
      <c r="J1596" s="428">
        <f t="shared" ref="J1596:J1598" si="1054">IFERROR(H1596*(G1596/E1596),"-")</f>
        <v>0</v>
      </c>
    </row>
    <row r="1597" spans="1:10" ht="23.4" x14ac:dyDescent="0.3">
      <c r="A1597" s="277" t="s">
        <v>111</v>
      </c>
      <c r="B1597" s="923"/>
      <c r="C1597" s="278" t="s">
        <v>194</v>
      </c>
      <c r="D1597" s="278" t="s">
        <v>193</v>
      </c>
      <c r="E1597" s="516">
        <v>16.7288</v>
      </c>
      <c r="F1597" s="408">
        <f>IFERROR(E1597*'01 Prod Physique Boites'!H1583,"-")</f>
        <v>0</v>
      </c>
      <c r="G1597" s="409">
        <f>IFERROR(E1597*'01 Prod Physique Boites'!L1583,"-")</f>
        <v>0</v>
      </c>
      <c r="H1597" s="391">
        <v>0</v>
      </c>
      <c r="I1597" s="427">
        <f t="shared" si="1052"/>
        <v>0</v>
      </c>
      <c r="J1597" s="428">
        <f t="shared" si="1054"/>
        <v>0</v>
      </c>
    </row>
    <row r="1598" spans="1:10" ht="24" thickBot="1" x14ac:dyDescent="0.35">
      <c r="A1598" s="277" t="s">
        <v>111</v>
      </c>
      <c r="B1598" s="924"/>
      <c r="C1598" s="290" t="s">
        <v>195</v>
      </c>
      <c r="D1598" s="290" t="s">
        <v>115</v>
      </c>
      <c r="E1598" s="512">
        <v>17.8202</v>
      </c>
      <c r="F1598" s="408">
        <f>IFERROR(E1598*'01 Prod Physique Boites'!H1584,"-")</f>
        <v>0</v>
      </c>
      <c r="G1598" s="409">
        <f>IFERROR(E1598*'01 Prod Physique Boites'!L1584,"-")</f>
        <v>0</v>
      </c>
      <c r="H1598" s="391">
        <v>0</v>
      </c>
      <c r="I1598" s="429">
        <f t="shared" si="1052"/>
        <v>0</v>
      </c>
      <c r="J1598" s="430">
        <f t="shared" si="1054"/>
        <v>0</v>
      </c>
    </row>
    <row r="1599" spans="1:10" ht="24" thickBot="1" x14ac:dyDescent="0.35">
      <c r="A1599" s="277" t="s">
        <v>111</v>
      </c>
      <c r="B1599" s="906" t="s">
        <v>29</v>
      </c>
      <c r="C1599" s="907"/>
      <c r="D1599" s="908"/>
      <c r="E1599" s="777"/>
      <c r="F1599" s="778">
        <f t="shared" ref="F1599:G1599" si="1055">SUM(F1592:F1598)</f>
        <v>0</v>
      </c>
      <c r="G1599" s="413">
        <f t="shared" si="1055"/>
        <v>0</v>
      </c>
      <c r="H1599" s="397"/>
      <c r="I1599" s="412">
        <f t="shared" ref="I1599:J1599" si="1056">SUM(I1592:I1598)</f>
        <v>0</v>
      </c>
      <c r="J1599" s="431">
        <f t="shared" si="1056"/>
        <v>0</v>
      </c>
    </row>
    <row r="1600" spans="1:10" ht="23.4" x14ac:dyDescent="0.3">
      <c r="A1600" s="277"/>
      <c r="B1600" s="918" t="s">
        <v>19</v>
      </c>
      <c r="C1600" s="779" t="s">
        <v>260</v>
      </c>
      <c r="D1600" s="785" t="s">
        <v>192</v>
      </c>
      <c r="E1600" s="786">
        <v>12.2659</v>
      </c>
      <c r="F1600" s="787">
        <f>IFERROR(E1600*'01 Prod Physique Boites'!H1586,"-")</f>
        <v>0</v>
      </c>
      <c r="G1600" s="788">
        <f>IFERROR(E1600*'01 Prod Physique Boites'!L1586,"-")</f>
        <v>4024662.5762</v>
      </c>
      <c r="H1600" s="782">
        <v>14.79</v>
      </c>
      <c r="I1600" s="703">
        <f t="shared" ref="I1600:I1602" si="1057">IFERROR(H1600*(F1600/E1600),"-")</f>
        <v>0</v>
      </c>
      <c r="J1600" s="703">
        <f>IFERROR(H1600*(G1600/E1600),"-")</f>
        <v>4852865.22</v>
      </c>
    </row>
    <row r="1601" spans="1:10" ht="23.4" x14ac:dyDescent="0.3">
      <c r="A1601" s="277"/>
      <c r="B1601" s="919"/>
      <c r="C1601" s="780" t="s">
        <v>458</v>
      </c>
      <c r="D1601" s="789"/>
      <c r="E1601" s="762">
        <v>12.2659</v>
      </c>
      <c r="F1601" s="763">
        <f>IFERROR(E1601*'01 Prod Physique Boites'!H1587,"-")</f>
        <v>828978.58559999999</v>
      </c>
      <c r="G1601" s="663">
        <f>IFERROR(E1601*'01 Prod Physique Boites'!L1587,"-")</f>
        <v>4352137.5744000003</v>
      </c>
      <c r="H1601" s="783">
        <v>14.79</v>
      </c>
      <c r="I1601" s="763">
        <f t="shared" si="1057"/>
        <v>999567.35999999999</v>
      </c>
      <c r="J1601" s="763">
        <f>IFERROR(H1601*(G1601/E1601),"-")</f>
        <v>5247728.6399999997</v>
      </c>
    </row>
    <row r="1602" spans="1:10" ht="24" thickBot="1" x14ac:dyDescent="0.35">
      <c r="A1602" s="837" t="s">
        <v>111</v>
      </c>
      <c r="B1602" s="920"/>
      <c r="C1602" s="781" t="s">
        <v>417</v>
      </c>
      <c r="D1602" s="790"/>
      <c r="E1602" s="791">
        <v>0</v>
      </c>
      <c r="F1602" s="792">
        <f>IFERROR(E1602*'01 Prod Physique Boites'!H1588,"-")</f>
        <v>0</v>
      </c>
      <c r="G1602" s="793">
        <f>IFERROR(E1602*'01 Prod Physique Boites'!L1588,"-")</f>
        <v>0</v>
      </c>
      <c r="H1602" s="784">
        <v>0</v>
      </c>
      <c r="I1602" s="432" t="str">
        <f t="shared" si="1057"/>
        <v>-</v>
      </c>
      <c r="J1602" s="433" t="str">
        <f t="shared" ref="J1602" si="1058">IFERROR(I1602*(G1602/F1602),"-")</f>
        <v>-</v>
      </c>
    </row>
    <row r="1603" spans="1:10" ht="24" thickBot="1" x14ac:dyDescent="0.35">
      <c r="A1603" s="277" t="s">
        <v>111</v>
      </c>
      <c r="B1603" s="906" t="s">
        <v>49</v>
      </c>
      <c r="C1603" s="907"/>
      <c r="D1603" s="908"/>
      <c r="E1603" s="396"/>
      <c r="F1603" s="412">
        <f>SUM(F1600:F1602)</f>
        <v>828978.58559999999</v>
      </c>
      <c r="G1603" s="412">
        <f>SUM(G1600:G1602)</f>
        <v>8376800.1506000003</v>
      </c>
      <c r="H1603" s="397"/>
      <c r="I1603" s="412">
        <f t="shared" ref="I1603" si="1059">SUM(I1602)</f>
        <v>0</v>
      </c>
      <c r="J1603" s="431">
        <f>SUM(J1600:J1602)</f>
        <v>10100593.859999999</v>
      </c>
    </row>
    <row r="1604" spans="1:10" ht="23.4" x14ac:dyDescent="0.3">
      <c r="A1604" s="277" t="s">
        <v>111</v>
      </c>
      <c r="B1604" s="922" t="s">
        <v>20</v>
      </c>
      <c r="C1604" s="297" t="s">
        <v>370</v>
      </c>
      <c r="D1604" s="297" t="s">
        <v>324</v>
      </c>
      <c r="E1604" s="515">
        <v>26.032900000000001</v>
      </c>
      <c r="F1604" s="408">
        <f>IFERROR(E1604*'01 Prod Physique Boites'!H1590,"-")</f>
        <v>0</v>
      </c>
      <c r="G1604" s="409">
        <f>IFERROR(E1604*'01 Prod Physique Boites'!L1590,"-")</f>
        <v>0</v>
      </c>
      <c r="H1604" s="387">
        <v>36.44</v>
      </c>
      <c r="I1604" s="425">
        <f>IFERROR(H1604*(F1604/E1604),"-")</f>
        <v>0</v>
      </c>
      <c r="J1604" s="426">
        <f t="shared" ref="J1604:J1606" si="1060">IFERROR(H1604*(G1604/E1604),"-")</f>
        <v>0</v>
      </c>
    </row>
    <row r="1605" spans="1:10" ht="23.4" x14ac:dyDescent="0.3">
      <c r="A1605" s="277" t="s">
        <v>111</v>
      </c>
      <c r="B1605" s="923"/>
      <c r="C1605" s="298" t="s">
        <v>122</v>
      </c>
      <c r="D1605" s="298"/>
      <c r="E1605" s="390">
        <v>24.2607</v>
      </c>
      <c r="F1605" s="408">
        <f>IFERROR(E1605*'01 Prod Physique Boites'!H1591,"-")</f>
        <v>0</v>
      </c>
      <c r="G1605" s="409">
        <f>IFERROR(E1605*'01 Prod Physique Boites'!L1591,"-")</f>
        <v>0</v>
      </c>
      <c r="H1605" s="391">
        <v>37.369999999999997</v>
      </c>
      <c r="I1605" s="427">
        <f>IFERROR(H1605*(F1605/E1605),"-")</f>
        <v>0</v>
      </c>
      <c r="J1605" s="428">
        <f t="shared" si="1060"/>
        <v>0</v>
      </c>
    </row>
    <row r="1606" spans="1:10" ht="24" thickBot="1" x14ac:dyDescent="0.35">
      <c r="A1606" s="277" t="s">
        <v>111</v>
      </c>
      <c r="B1606" s="924"/>
      <c r="C1606" s="299" t="s">
        <v>128</v>
      </c>
      <c r="D1606" s="299"/>
      <c r="E1606" s="392">
        <v>26.035799999999998</v>
      </c>
      <c r="F1606" s="408">
        <f>IFERROR(E1606*'01 Prod Physique Boites'!H1592,"-")</f>
        <v>0</v>
      </c>
      <c r="G1606" s="409">
        <f>IFERROR(E1606*'01 Prod Physique Boites'!L1592,"-")</f>
        <v>0</v>
      </c>
      <c r="H1606" s="393">
        <v>37.11</v>
      </c>
      <c r="I1606" s="429">
        <f>IFERROR(H1606*(F1606/E1606),"-")</f>
        <v>0</v>
      </c>
      <c r="J1606" s="430">
        <f t="shared" si="1060"/>
        <v>0</v>
      </c>
    </row>
    <row r="1607" spans="1:10" ht="24" thickBot="1" x14ac:dyDescent="0.35">
      <c r="A1607" s="277" t="s">
        <v>111</v>
      </c>
      <c r="B1607" s="907" t="s">
        <v>50</v>
      </c>
      <c r="C1607" s="907"/>
      <c r="D1607" s="925"/>
      <c r="E1607" s="396"/>
      <c r="F1607" s="412">
        <f t="shared" ref="F1607:G1607" si="1061">SUM(F1604:F1606)</f>
        <v>0</v>
      </c>
      <c r="G1607" s="413">
        <f t="shared" si="1061"/>
        <v>0</v>
      </c>
      <c r="H1607" s="397"/>
      <c r="I1607" s="412">
        <f t="shared" ref="I1607:J1607" si="1062">SUM(I1604:I1606)</f>
        <v>0</v>
      </c>
      <c r="J1607" s="431">
        <f t="shared" si="1062"/>
        <v>0</v>
      </c>
    </row>
    <row r="1608" spans="1:10" ht="24" thickBot="1" x14ac:dyDescent="0.35">
      <c r="A1608" s="277" t="s">
        <v>111</v>
      </c>
      <c r="B1608" s="926" t="s">
        <v>21</v>
      </c>
      <c r="C1608" s="927"/>
      <c r="D1608" s="928"/>
      <c r="E1608" s="399"/>
      <c r="F1608" s="416">
        <f>+F1583+F1591+F1599+F1603+F1607</f>
        <v>3215675.7695999998</v>
      </c>
      <c r="G1608" s="417">
        <f>+G1583+G1591+G1599+G1603+G1607</f>
        <v>30247079.449900001</v>
      </c>
      <c r="H1608" s="400"/>
      <c r="I1608" s="416">
        <f>+I1583+I1591+I1599+I1603+I1607</f>
        <v>3884486.4</v>
      </c>
      <c r="J1608" s="434">
        <f>+J1583+J1591+J1599+J1603+J1607</f>
        <v>46681216.572799996</v>
      </c>
    </row>
    <row r="1609" spans="1:10" ht="23.4" x14ac:dyDescent="0.3">
      <c r="A1609" s="277" t="s">
        <v>111</v>
      </c>
      <c r="B1609" s="922" t="s">
        <v>22</v>
      </c>
      <c r="C1609" s="272" t="s">
        <v>133</v>
      </c>
      <c r="D1609" s="272"/>
      <c r="E1609" s="386">
        <v>22.820599999999999</v>
      </c>
      <c r="F1609" s="408">
        <f>IFERROR(E1609*'01 Prod Physique Boites'!H1595,"-")</f>
        <v>0</v>
      </c>
      <c r="G1609" s="409">
        <f>IFERROR(E1609*'01 Prod Physique Boites'!L1595,"-")</f>
        <v>0</v>
      </c>
      <c r="H1609" s="387">
        <v>27.5</v>
      </c>
      <c r="I1609" s="425">
        <f>IFERROR(H1609*(F1609/E1609),"-")</f>
        <v>0</v>
      </c>
      <c r="J1609" s="426">
        <f t="shared" ref="J1609:J1612" si="1063">IFERROR(H1609*(G1609/E1609),"-")</f>
        <v>0</v>
      </c>
    </row>
    <row r="1610" spans="1:10" ht="23.4" x14ac:dyDescent="0.3">
      <c r="A1610" s="277" t="s">
        <v>111</v>
      </c>
      <c r="B1610" s="923"/>
      <c r="C1610" s="301" t="s">
        <v>291</v>
      </c>
      <c r="D1610" s="301" t="s">
        <v>196</v>
      </c>
      <c r="E1610" s="390">
        <v>23.570699999999999</v>
      </c>
      <c r="F1610" s="408">
        <f>IFERROR(E1610*'01 Prod Physique Boites'!H1596,"-")</f>
        <v>0</v>
      </c>
      <c r="G1610" s="409">
        <f>IFERROR(E1610*'01 Prod Physique Boites'!L1596,"-")</f>
        <v>0</v>
      </c>
      <c r="H1610" s="391">
        <v>27.5</v>
      </c>
      <c r="I1610" s="427">
        <f>IFERROR(H1610*(F1610/E1610),"-")</f>
        <v>0</v>
      </c>
      <c r="J1610" s="428">
        <f t="shared" si="1063"/>
        <v>0</v>
      </c>
    </row>
    <row r="1611" spans="1:10" ht="23.4" x14ac:dyDescent="0.3">
      <c r="A1611" s="277" t="s">
        <v>111</v>
      </c>
      <c r="B1611" s="923"/>
      <c r="C1611" s="301" t="s">
        <v>473</v>
      </c>
      <c r="D1611" s="301" t="s">
        <v>196</v>
      </c>
      <c r="E1611" s="390">
        <v>22.820599999999999</v>
      </c>
      <c r="F1611" s="408">
        <f>IFERROR(E1611*'01 Prod Physique Boites'!H1597,"-")</f>
        <v>1581467.5799999998</v>
      </c>
      <c r="G1611" s="409">
        <f>IFERROR(E1611*'01 Prod Physique Boites'!L1597,"-")</f>
        <v>3840706.98</v>
      </c>
      <c r="H1611" s="391">
        <v>24</v>
      </c>
      <c r="I1611" s="427">
        <f>IFERROR(H1611*(F1611/E1611),"-")</f>
        <v>1663200</v>
      </c>
      <c r="J1611" s="428">
        <f t="shared" si="1063"/>
        <v>4039200</v>
      </c>
    </row>
    <row r="1612" spans="1:10" ht="24" thickBot="1" x14ac:dyDescent="0.35">
      <c r="A1612" s="277" t="s">
        <v>111</v>
      </c>
      <c r="B1612" s="924"/>
      <c r="C1612" s="282" t="s">
        <v>197</v>
      </c>
      <c r="D1612" s="282" t="s">
        <v>100</v>
      </c>
      <c r="E1612" s="392">
        <v>23.5685</v>
      </c>
      <c r="F1612" s="408">
        <f>IFERROR(E1612*'01 Prod Physique Boites'!H1598,"-")</f>
        <v>0</v>
      </c>
      <c r="G1612" s="409">
        <f>IFERROR(E1612*'01 Prod Physique Boites'!L1598,"-")</f>
        <v>0</v>
      </c>
      <c r="H1612" s="393">
        <v>24</v>
      </c>
      <c r="I1612" s="429">
        <f>IFERROR(H1612*(F1612/E1612),"-")</f>
        <v>0</v>
      </c>
      <c r="J1612" s="430">
        <f t="shared" si="1063"/>
        <v>0</v>
      </c>
    </row>
    <row r="1613" spans="1:10" ht="24" thickBot="1" x14ac:dyDescent="0.35">
      <c r="A1613" s="277" t="s">
        <v>111</v>
      </c>
      <c r="B1613" s="906" t="s">
        <v>51</v>
      </c>
      <c r="C1613" s="907"/>
      <c r="D1613" s="908"/>
      <c r="E1613" s="396"/>
      <c r="F1613" s="412">
        <f t="shared" ref="F1613:G1613" si="1064">SUM(F1609:F1612)</f>
        <v>1581467.5799999998</v>
      </c>
      <c r="G1613" s="413">
        <f t="shared" si="1064"/>
        <v>3840706.98</v>
      </c>
      <c r="H1613" s="397"/>
      <c r="I1613" s="412">
        <f t="shared" ref="I1613:J1613" si="1065">SUM(I1609:I1612)</f>
        <v>1663200</v>
      </c>
      <c r="J1613" s="431">
        <f t="shared" si="1065"/>
        <v>4039200</v>
      </c>
    </row>
    <row r="1614" spans="1:10" ht="23.4" x14ac:dyDescent="0.3">
      <c r="A1614" s="277" t="s">
        <v>111</v>
      </c>
      <c r="B1614" s="922" t="s">
        <v>23</v>
      </c>
      <c r="C1614" s="302" t="s">
        <v>348</v>
      </c>
      <c r="D1614" s="302" t="s">
        <v>263</v>
      </c>
      <c r="E1614" s="386">
        <v>101.4935</v>
      </c>
      <c r="F1614" s="408">
        <f>IFERROR(E1614*'01 Prod Physique Boites'!H1600,"-")</f>
        <v>0</v>
      </c>
      <c r="G1614" s="409">
        <f>IFERROR(E1614*'01 Prod Physique Boites'!L1600,"-")</f>
        <v>0</v>
      </c>
      <c r="H1614" s="391">
        <v>160.44999999999999</v>
      </c>
      <c r="I1614" s="425">
        <f t="shared" ref="I1614:I1621" si="1066">IFERROR(H1614*(F1614/E1614),"-")</f>
        <v>0</v>
      </c>
      <c r="J1614" s="426">
        <f t="shared" ref="J1614:J1621" si="1067">IFERROR(H1614*(G1614/E1614),"-")</f>
        <v>0</v>
      </c>
    </row>
    <row r="1615" spans="1:10" ht="23.4" x14ac:dyDescent="0.3">
      <c r="A1615" s="277" t="s">
        <v>111</v>
      </c>
      <c r="B1615" s="923"/>
      <c r="C1615" s="278" t="s">
        <v>24</v>
      </c>
      <c r="D1615" s="278" t="s">
        <v>263</v>
      </c>
      <c r="E1615" s="390">
        <v>101.4935</v>
      </c>
      <c r="F1615" s="408">
        <f>IFERROR(E1615*'01 Prod Physique Boites'!H1601,"-")</f>
        <v>1154488.5625</v>
      </c>
      <c r="G1615" s="409">
        <f>IFERROR(E1615*'01 Prod Physique Boites'!L1601,"-")</f>
        <v>10848538.7215</v>
      </c>
      <c r="H1615" s="391">
        <v>160.44999999999999</v>
      </c>
      <c r="I1615" s="427">
        <f t="shared" si="1066"/>
        <v>1825118.7499999998</v>
      </c>
      <c r="J1615" s="428">
        <f t="shared" si="1067"/>
        <v>17150340.049999997</v>
      </c>
    </row>
    <row r="1616" spans="1:10" ht="23.4" x14ac:dyDescent="0.3">
      <c r="A1616" s="277" t="s">
        <v>111</v>
      </c>
      <c r="B1616" s="923"/>
      <c r="C1616" s="278" t="s">
        <v>261</v>
      </c>
      <c r="D1616" s="278" t="s">
        <v>263</v>
      </c>
      <c r="E1616" s="390">
        <v>101.4935</v>
      </c>
      <c r="F1616" s="408">
        <f>IFERROR(E1616*'01 Prod Physique Boites'!H1602,"-")</f>
        <v>0</v>
      </c>
      <c r="G1616" s="409">
        <f>IFERROR(E1616*'01 Prod Physique Boites'!L1602,"-")</f>
        <v>1106380.6435</v>
      </c>
      <c r="H1616" s="391">
        <v>160.44999999999999</v>
      </c>
      <c r="I1616" s="427">
        <f t="shared" si="1066"/>
        <v>0</v>
      </c>
      <c r="J1616" s="428">
        <f t="shared" si="1067"/>
        <v>1749065.45</v>
      </c>
    </row>
    <row r="1617" spans="1:10" ht="23.4" x14ac:dyDescent="0.3">
      <c r="A1617" s="277" t="s">
        <v>111</v>
      </c>
      <c r="B1617" s="923"/>
      <c r="C1617" s="278" t="s">
        <v>262</v>
      </c>
      <c r="D1617" s="278" t="s">
        <v>263</v>
      </c>
      <c r="E1617" s="390">
        <v>101.4935</v>
      </c>
      <c r="F1617" s="408">
        <f>IFERROR(E1617*'01 Prod Physique Boites'!H1603,"-")</f>
        <v>0</v>
      </c>
      <c r="G1617" s="409">
        <f>IFERROR(E1617*'01 Prod Physique Boites'!L1603,"-")</f>
        <v>772568.522</v>
      </c>
      <c r="H1617" s="391">
        <v>160.44999999999999</v>
      </c>
      <c r="I1617" s="427">
        <f t="shared" si="1066"/>
        <v>0</v>
      </c>
      <c r="J1617" s="428">
        <f t="shared" si="1067"/>
        <v>1221345.3999999999</v>
      </c>
    </row>
    <row r="1618" spans="1:10" ht="23.4" x14ac:dyDescent="0.3">
      <c r="A1618" s="277" t="s">
        <v>111</v>
      </c>
      <c r="B1618" s="923"/>
      <c r="C1618" s="301" t="s">
        <v>264</v>
      </c>
      <c r="D1618" s="278" t="s">
        <v>263</v>
      </c>
      <c r="E1618" s="390">
        <v>101.4935</v>
      </c>
      <c r="F1618" s="408">
        <f>IFERROR(E1618*'01 Prod Physique Boites'!H1604,"-")</f>
        <v>0</v>
      </c>
      <c r="G1618" s="409">
        <f>IFERROR(E1618*'01 Prod Physique Boites'!L1604,"-")</f>
        <v>0</v>
      </c>
      <c r="H1618" s="391">
        <v>160.44999999999999</v>
      </c>
      <c r="I1618" s="427">
        <f t="shared" si="1066"/>
        <v>0</v>
      </c>
      <c r="J1618" s="428">
        <f t="shared" si="1067"/>
        <v>0</v>
      </c>
    </row>
    <row r="1619" spans="1:10" ht="23.4" x14ac:dyDescent="0.3">
      <c r="A1619" s="277" t="s">
        <v>111</v>
      </c>
      <c r="B1619" s="923"/>
      <c r="C1619" s="301" t="s">
        <v>265</v>
      </c>
      <c r="D1619" s="278" t="s">
        <v>263</v>
      </c>
      <c r="E1619" s="390">
        <v>101.4935</v>
      </c>
      <c r="F1619" s="408">
        <f>IFERROR(E1619*'01 Prod Physique Boites'!H1605,"-")</f>
        <v>0</v>
      </c>
      <c r="G1619" s="409">
        <f>IFERROR(E1619*'01 Prod Physique Boites'!L1605,"-")</f>
        <v>0</v>
      </c>
      <c r="H1619" s="391">
        <v>160.44999999999999</v>
      </c>
      <c r="I1619" s="427">
        <f t="shared" si="1066"/>
        <v>0</v>
      </c>
      <c r="J1619" s="428">
        <f t="shared" si="1067"/>
        <v>0</v>
      </c>
    </row>
    <row r="1620" spans="1:10" ht="23.4" x14ac:dyDescent="0.3">
      <c r="A1620" s="277" t="s">
        <v>111</v>
      </c>
      <c r="B1620" s="923"/>
      <c r="C1620" s="301" t="s">
        <v>266</v>
      </c>
      <c r="D1620" s="278" t="s">
        <v>268</v>
      </c>
      <c r="E1620" s="390">
        <v>101.4935</v>
      </c>
      <c r="F1620" s="408">
        <f>IFERROR(E1620*'01 Prod Physique Boites'!H1606,"-")</f>
        <v>0</v>
      </c>
      <c r="G1620" s="409">
        <f>IFERROR(E1620*'01 Prod Physique Boites'!L1606,"-")</f>
        <v>1057257.7895</v>
      </c>
      <c r="H1620" s="391">
        <v>160.44999999999999</v>
      </c>
      <c r="I1620" s="427">
        <f t="shared" si="1066"/>
        <v>0</v>
      </c>
      <c r="J1620" s="428">
        <f t="shared" si="1067"/>
        <v>1671407.65</v>
      </c>
    </row>
    <row r="1621" spans="1:10" ht="24" thickBot="1" x14ac:dyDescent="0.35">
      <c r="A1621" s="277" t="s">
        <v>111</v>
      </c>
      <c r="B1621" s="924"/>
      <c r="C1621" s="301" t="s">
        <v>267</v>
      </c>
      <c r="D1621" s="278" t="s">
        <v>263</v>
      </c>
      <c r="E1621" s="392">
        <v>101.4935</v>
      </c>
      <c r="F1621" s="408">
        <f>IFERROR(E1621*'01 Prod Physique Boites'!H1607,"-")</f>
        <v>0</v>
      </c>
      <c r="G1621" s="409">
        <f>IFERROR(E1621*'01 Prod Physique Boites'!L1607,"-")</f>
        <v>1420909</v>
      </c>
      <c r="H1621" s="391">
        <v>160.44999999999999</v>
      </c>
      <c r="I1621" s="429">
        <f t="shared" si="1066"/>
        <v>0</v>
      </c>
      <c r="J1621" s="430">
        <f t="shared" si="1067"/>
        <v>2246300</v>
      </c>
    </row>
    <row r="1622" spans="1:10" ht="24" thickBot="1" x14ac:dyDescent="0.35">
      <c r="A1622" s="277" t="s">
        <v>111</v>
      </c>
      <c r="B1622" s="906" t="s">
        <v>52</v>
      </c>
      <c r="C1622" s="907"/>
      <c r="D1622" s="908"/>
      <c r="E1622" s="396"/>
      <c r="F1622" s="412">
        <f t="shared" ref="F1622:G1622" si="1068">SUM(F1614:F1621)</f>
        <v>1154488.5625</v>
      </c>
      <c r="G1622" s="413">
        <f t="shared" si="1068"/>
        <v>15205654.6765</v>
      </c>
      <c r="H1622" s="397"/>
      <c r="I1622" s="412">
        <f t="shared" ref="I1622:J1622" si="1069">SUM(I1614:I1621)</f>
        <v>1825118.7499999998</v>
      </c>
      <c r="J1622" s="431">
        <f t="shared" si="1069"/>
        <v>24038458.549999993</v>
      </c>
    </row>
    <row r="1623" spans="1:10" ht="24" thickBot="1" x14ac:dyDescent="0.35">
      <c r="A1623" s="277" t="s">
        <v>111</v>
      </c>
      <c r="B1623" s="926" t="s">
        <v>25</v>
      </c>
      <c r="C1623" s="927"/>
      <c r="D1623" s="928"/>
      <c r="E1623" s="399"/>
      <c r="F1623" s="416">
        <f t="shared" ref="F1623" si="1070">+F1613+F1622</f>
        <v>2735956.1425000001</v>
      </c>
      <c r="G1623" s="417">
        <f>+G1613+G1622</f>
        <v>19046361.656500001</v>
      </c>
      <c r="H1623" s="400"/>
      <c r="I1623" s="416">
        <f t="shared" ref="I1623:J1623" si="1071">+I1613+I1622</f>
        <v>3488318.75</v>
      </c>
      <c r="J1623" s="434">
        <f t="shared" si="1071"/>
        <v>28077658.549999993</v>
      </c>
    </row>
    <row r="1624" spans="1:10" ht="24" thickBot="1" x14ac:dyDescent="0.35">
      <c r="A1624" s="277" t="s">
        <v>111</v>
      </c>
      <c r="B1624" s="900" t="s">
        <v>181</v>
      </c>
      <c r="C1624" s="901"/>
      <c r="D1624" s="902"/>
      <c r="E1624" s="401"/>
      <c r="F1624" s="418">
        <f t="shared" ref="F1624:G1624" si="1072">+F1608+F1623</f>
        <v>5951631.9121000003</v>
      </c>
      <c r="G1624" s="419">
        <f t="shared" si="1072"/>
        <v>49293441.106399998</v>
      </c>
      <c r="H1624" s="402"/>
      <c r="I1624" s="418">
        <f t="shared" ref="I1624:J1624" si="1073">+I1608+I1623</f>
        <v>7372805.1500000004</v>
      </c>
      <c r="J1624" s="435">
        <f t="shared" si="1073"/>
        <v>74758875.122799993</v>
      </c>
    </row>
    <row r="1625" spans="1:10" ht="23.4" x14ac:dyDescent="0.3">
      <c r="A1625" s="271" t="s">
        <v>109</v>
      </c>
      <c r="B1625" s="929" t="s">
        <v>26</v>
      </c>
      <c r="C1625" s="303" t="s">
        <v>334</v>
      </c>
      <c r="D1625" s="305" t="s">
        <v>192</v>
      </c>
      <c r="E1625" s="515">
        <v>13.1272</v>
      </c>
      <c r="F1625" s="408">
        <f>IFERROR(E1625*'01 Prod Physique Boites'!H1611,"-")</f>
        <v>0</v>
      </c>
      <c r="G1625" s="409">
        <f>IFERROR(E1625*'01 Prod Physique Boites'!L1611,"-")</f>
        <v>4229820.1295999996</v>
      </c>
      <c r="H1625" s="387">
        <v>20.76</v>
      </c>
      <c r="I1625" s="425">
        <f t="shared" ref="I1625:I1633" si="1074">IFERROR(H1625*(F1625/E1625),"-")</f>
        <v>0</v>
      </c>
      <c r="J1625" s="662">
        <f t="shared" ref="J1625:J1633" si="1075">IFERROR(H1625*(G1625/E1625),"-")</f>
        <v>6689245.6799999997</v>
      </c>
    </row>
    <row r="1626" spans="1:10" ht="23.4" x14ac:dyDescent="0.3">
      <c r="A1626" s="277" t="s">
        <v>109</v>
      </c>
      <c r="B1626" s="929"/>
      <c r="C1626" s="304" t="s">
        <v>199</v>
      </c>
      <c r="D1626" s="304" t="s">
        <v>115</v>
      </c>
      <c r="E1626" s="516">
        <v>14.608000000000001</v>
      </c>
      <c r="F1626" s="408">
        <f>IFERROR(E1626*'01 Prod Physique Boites'!H1612,"-")</f>
        <v>0</v>
      </c>
      <c r="G1626" s="409">
        <f>IFERROR(E1626*'01 Prod Physique Boites'!L1612,"-")</f>
        <v>0</v>
      </c>
      <c r="H1626" s="391">
        <v>24.93</v>
      </c>
      <c r="I1626" s="427">
        <f t="shared" si="1074"/>
        <v>0</v>
      </c>
      <c r="J1626" s="663">
        <f t="shared" si="1075"/>
        <v>0</v>
      </c>
    </row>
    <row r="1627" spans="1:10" ht="23.4" x14ac:dyDescent="0.3">
      <c r="A1627" s="277" t="s">
        <v>109</v>
      </c>
      <c r="B1627" s="929"/>
      <c r="C1627" s="305" t="s">
        <v>27</v>
      </c>
      <c r="D1627" s="305" t="s">
        <v>394</v>
      </c>
      <c r="E1627" s="512">
        <v>17.8202</v>
      </c>
      <c r="F1627" s="408">
        <f>IFERROR(E1627*'01 Prod Physique Boites'!H1613,"-")</f>
        <v>283555.02240000002</v>
      </c>
      <c r="G1627" s="409">
        <f>IFERROR(E1627*'01 Prod Physique Boites'!L1613,"-")</f>
        <v>283555.02240000002</v>
      </c>
      <c r="H1627" s="391">
        <v>21.22</v>
      </c>
      <c r="I1627" s="427">
        <f t="shared" si="1074"/>
        <v>337652.64</v>
      </c>
      <c r="J1627" s="663">
        <f t="shared" si="1075"/>
        <v>337652.64</v>
      </c>
    </row>
    <row r="1628" spans="1:10" ht="23.4" x14ac:dyDescent="0.3">
      <c r="A1628" s="277" t="s">
        <v>109</v>
      </c>
      <c r="B1628" s="929"/>
      <c r="C1628" s="305" t="s">
        <v>27</v>
      </c>
      <c r="D1628" s="305" t="s">
        <v>311</v>
      </c>
      <c r="E1628" s="512">
        <v>17.8202</v>
      </c>
      <c r="F1628" s="408">
        <f>IFERROR(E1628*'01 Prod Physique Boites'!H1614,"-")</f>
        <v>0</v>
      </c>
      <c r="G1628" s="409">
        <f>IFERROR(E1628*'01 Prod Physique Boites'!L1614,"-")</f>
        <v>0</v>
      </c>
      <c r="H1628" s="391">
        <v>24.93</v>
      </c>
      <c r="I1628" s="427">
        <f t="shared" si="1074"/>
        <v>0</v>
      </c>
      <c r="J1628" s="663">
        <f t="shared" si="1075"/>
        <v>0</v>
      </c>
    </row>
    <row r="1629" spans="1:10" ht="23.4" x14ac:dyDescent="0.3">
      <c r="A1629" s="277" t="s">
        <v>109</v>
      </c>
      <c r="B1629" s="929"/>
      <c r="C1629" s="305" t="s">
        <v>325</v>
      </c>
      <c r="D1629" s="305" t="s">
        <v>324</v>
      </c>
      <c r="E1629" s="512">
        <v>14.608000000000001</v>
      </c>
      <c r="F1629" s="408">
        <f>IFERROR(E1629*'01 Prod Physique Boites'!H1615,"-")</f>
        <v>0</v>
      </c>
      <c r="G1629" s="409">
        <f>IFERROR(E1629*'01 Prod Physique Boites'!L1615,"-")</f>
        <v>0</v>
      </c>
      <c r="H1629" s="391">
        <v>24.93</v>
      </c>
      <c r="I1629" s="427">
        <f t="shared" si="1074"/>
        <v>0</v>
      </c>
      <c r="J1629" s="663">
        <f t="shared" si="1075"/>
        <v>0</v>
      </c>
    </row>
    <row r="1630" spans="1:10" ht="23.4" x14ac:dyDescent="0.3">
      <c r="A1630" s="277"/>
      <c r="B1630" s="929"/>
      <c r="C1630" s="305" t="s">
        <v>393</v>
      </c>
      <c r="D1630" s="305" t="s">
        <v>192</v>
      </c>
      <c r="E1630" s="512">
        <v>17.8202</v>
      </c>
      <c r="F1630" s="408">
        <f>IFERROR(E1630*'01 Prod Physique Boites'!H1616,"-")</f>
        <v>0</v>
      </c>
      <c r="G1630" s="409">
        <f>IFERROR(E1630*'01 Prod Physique Boites'!L1616,"-")</f>
        <v>0</v>
      </c>
      <c r="H1630" s="393">
        <v>21.22</v>
      </c>
      <c r="I1630" s="427">
        <f t="shared" si="1074"/>
        <v>0</v>
      </c>
      <c r="J1630" s="664">
        <f t="shared" si="1075"/>
        <v>0</v>
      </c>
    </row>
    <row r="1631" spans="1:10" ht="23.4" x14ac:dyDescent="0.3">
      <c r="A1631" s="277"/>
      <c r="B1631" s="929"/>
      <c r="C1631" s="305" t="s">
        <v>325</v>
      </c>
      <c r="D1631" s="305" t="s">
        <v>101</v>
      </c>
      <c r="E1631" s="512">
        <v>14.608000000000001</v>
      </c>
      <c r="F1631" s="408">
        <f>IFERROR(E1631*'01 Prod Physique Boites'!H1617,"-")</f>
        <v>0</v>
      </c>
      <c r="G1631" s="409">
        <f>IFERROR(E1631*'01 Prod Physique Boites'!L1617,"-")</f>
        <v>58110.624000000003</v>
      </c>
      <c r="H1631" s="393">
        <v>24.93</v>
      </c>
      <c r="I1631" s="429">
        <f t="shared" si="1074"/>
        <v>0</v>
      </c>
      <c r="J1631" s="664">
        <f t="shared" si="1075"/>
        <v>99171.54</v>
      </c>
    </row>
    <row r="1632" spans="1:10" ht="23.4" x14ac:dyDescent="0.3">
      <c r="A1632" s="277"/>
      <c r="B1632" s="929"/>
      <c r="C1632" s="305" t="s">
        <v>325</v>
      </c>
      <c r="D1632" s="305" t="s">
        <v>394</v>
      </c>
      <c r="E1632" s="512">
        <v>14.608000000000001</v>
      </c>
      <c r="F1632" s="408">
        <f>IFERROR(E1632*'01 Prod Physique Boites'!H1618,"-")</f>
        <v>116221.24800000001</v>
      </c>
      <c r="G1632" s="409">
        <f>IFERROR(E1632*'01 Prod Physique Boites'!L1618,"-")</f>
        <v>10401801.696</v>
      </c>
      <c r="H1632" s="393">
        <v>21.22</v>
      </c>
      <c r="I1632" s="429">
        <f t="shared" si="1074"/>
        <v>168826.31999999998</v>
      </c>
      <c r="J1632" s="664">
        <f t="shared" si="1075"/>
        <v>15109955.639999999</v>
      </c>
    </row>
    <row r="1633" spans="1:10" ht="24" thickBot="1" x14ac:dyDescent="0.35">
      <c r="A1633" s="277" t="s">
        <v>109</v>
      </c>
      <c r="B1633" s="929"/>
      <c r="C1633" s="306" t="s">
        <v>326</v>
      </c>
      <c r="D1633" s="305" t="s">
        <v>324</v>
      </c>
      <c r="E1633" s="512">
        <v>12.6997</v>
      </c>
      <c r="F1633" s="408">
        <f>IFERROR(E1633*'01 Prod Physique Boites'!H1619,"-")</f>
        <v>0</v>
      </c>
      <c r="G1633" s="409">
        <f>IFERROR(E1633*'01 Prod Physique Boites'!L1619,"-")</f>
        <v>101038.8132</v>
      </c>
      <c r="H1633" s="393">
        <v>13.25</v>
      </c>
      <c r="I1633" s="429">
        <f t="shared" si="1074"/>
        <v>0</v>
      </c>
      <c r="J1633" s="664">
        <f t="shared" si="1075"/>
        <v>105417</v>
      </c>
    </row>
    <row r="1634" spans="1:10" ht="24" thickBot="1" x14ac:dyDescent="0.35">
      <c r="A1634" s="277" t="s">
        <v>109</v>
      </c>
      <c r="B1634" s="930"/>
      <c r="C1634" s="307"/>
      <c r="D1634" s="308" t="s">
        <v>55</v>
      </c>
      <c r="E1634" s="396"/>
      <c r="F1634" s="412">
        <f>SUM(F1625:F1633)</f>
        <v>399776.27040000004</v>
      </c>
      <c r="G1634" s="413">
        <f t="shared" ref="G1634" si="1076">SUM(G1625:G1633)</f>
        <v>15074326.2852</v>
      </c>
      <c r="H1634" s="397"/>
      <c r="I1634" s="412">
        <f t="shared" ref="I1634" si="1077">SUM(I1625:I1633)</f>
        <v>506478.95999999996</v>
      </c>
      <c r="J1634" s="431">
        <f>SUM(J1625:J1633)</f>
        <v>22341442.5</v>
      </c>
    </row>
    <row r="1635" spans="1:10" ht="23.4" x14ac:dyDescent="0.3">
      <c r="A1635" s="277" t="s">
        <v>109</v>
      </c>
      <c r="B1635" s="931" t="s">
        <v>28</v>
      </c>
      <c r="C1635" s="303" t="s">
        <v>27</v>
      </c>
      <c r="D1635" s="303" t="s">
        <v>193</v>
      </c>
      <c r="E1635" s="515">
        <v>12.6997</v>
      </c>
      <c r="F1635" s="408">
        <f>IFERROR(E1635*'01 Prod Physique Boites'!H1621,"-")</f>
        <v>0</v>
      </c>
      <c r="G1635" s="409">
        <f>IFERROR(E1635*'01 Prod Physique Boites'!L1621,"-")</f>
        <v>0</v>
      </c>
      <c r="H1635" s="387">
        <v>13.25</v>
      </c>
      <c r="I1635" s="425">
        <f>IFERROR(H1635*(F1635/E1635),"-")</f>
        <v>0</v>
      </c>
      <c r="J1635" s="662">
        <f t="shared" ref="J1635:J1637" si="1078">IFERROR(H1635*(G1635/E1635),"-")</f>
        <v>0</v>
      </c>
    </row>
    <row r="1636" spans="1:10" ht="23.4" x14ac:dyDescent="0.3">
      <c r="A1636" s="277" t="s">
        <v>109</v>
      </c>
      <c r="B1636" s="929"/>
      <c r="C1636" s="305" t="s">
        <v>27</v>
      </c>
      <c r="D1636" s="305" t="s">
        <v>394</v>
      </c>
      <c r="E1636" s="512">
        <v>17.8202</v>
      </c>
      <c r="F1636" s="408">
        <f>IFERROR(E1636*'01 Prod Physique Boites'!H1622,"-")</f>
        <v>1205108.8452000001</v>
      </c>
      <c r="G1636" s="409">
        <f>IFERROR(E1636*'01 Prod Physique Boites'!L1622,"-")</f>
        <v>5458434.1811999995</v>
      </c>
      <c r="H1636" s="391">
        <v>21.22</v>
      </c>
      <c r="I1636" s="427">
        <f>IFERROR(H1636*(F1636/E1636),"-")</f>
        <v>1435023.72</v>
      </c>
      <c r="J1636" s="663">
        <f t="shared" si="1078"/>
        <v>6499813.3199999994</v>
      </c>
    </row>
    <row r="1637" spans="1:10" ht="24" thickBot="1" x14ac:dyDescent="0.35">
      <c r="A1637" s="277" t="s">
        <v>109</v>
      </c>
      <c r="B1637" s="929"/>
      <c r="C1637" s="305" t="s">
        <v>27</v>
      </c>
      <c r="D1637" s="306" t="s">
        <v>259</v>
      </c>
      <c r="E1637" s="512">
        <v>17.8202</v>
      </c>
      <c r="F1637" s="408">
        <f>IFERROR(E1637*'01 Prod Physique Boites'!H1623,"-")</f>
        <v>850665.06720000005</v>
      </c>
      <c r="G1637" s="409">
        <f>IFERROR(E1637*'01 Prod Physique Boites'!L1623,"-")</f>
        <v>4749546.6251999997</v>
      </c>
      <c r="H1637" s="391">
        <v>24.93</v>
      </c>
      <c r="I1637" s="429">
        <f>IFERROR(H1637*(F1637/E1637),"-")</f>
        <v>1190058.48</v>
      </c>
      <c r="J1637" s="664">
        <f t="shared" si="1078"/>
        <v>6644493.1799999997</v>
      </c>
    </row>
    <row r="1638" spans="1:10" ht="24" thickBot="1" x14ac:dyDescent="0.35">
      <c r="A1638" s="277" t="s">
        <v>109</v>
      </c>
      <c r="B1638" s="929"/>
      <c r="C1638" s="310"/>
      <c r="D1638" s="311" t="s">
        <v>55</v>
      </c>
      <c r="E1638" s="403"/>
      <c r="F1638" s="420">
        <f t="shared" ref="F1638:G1638" si="1079">SUM(F1635:F1637)</f>
        <v>2055773.9124000003</v>
      </c>
      <c r="G1638" s="421">
        <f t="shared" si="1079"/>
        <v>10207980.806399999</v>
      </c>
      <c r="H1638" s="404"/>
      <c r="I1638" s="420">
        <f t="shared" ref="I1638:J1638" si="1080">SUM(I1635:I1637)</f>
        <v>2625082.2000000002</v>
      </c>
      <c r="J1638" s="436">
        <f t="shared" si="1080"/>
        <v>13144306.5</v>
      </c>
    </row>
    <row r="1639" spans="1:10" ht="24" thickBot="1" x14ac:dyDescent="0.35">
      <c r="A1639" s="837" t="s">
        <v>109</v>
      </c>
      <c r="B1639" s="932" t="s">
        <v>171</v>
      </c>
      <c r="C1639" s="933"/>
      <c r="D1639" s="934"/>
      <c r="E1639" s="405"/>
      <c r="F1639" s="422">
        <f t="shared" ref="F1639:G1639" si="1081">+F1634+F1638</f>
        <v>2455550.1828000005</v>
      </c>
      <c r="G1639" s="423">
        <f t="shared" si="1081"/>
        <v>25282307.091600001</v>
      </c>
      <c r="H1639" s="406"/>
      <c r="I1639" s="422">
        <f t="shared" ref="I1639:J1639" si="1082">+I1634+I1638</f>
        <v>3131561.16</v>
      </c>
      <c r="J1639" s="437">
        <f t="shared" si="1082"/>
        <v>35485749</v>
      </c>
    </row>
    <row r="1640" spans="1:10" ht="23.4" x14ac:dyDescent="0.3">
      <c r="A1640" s="277" t="s">
        <v>109</v>
      </c>
      <c r="B1640" s="929" t="s">
        <v>30</v>
      </c>
      <c r="C1640" s="309" t="s">
        <v>375</v>
      </c>
      <c r="D1640" s="303" t="s">
        <v>193</v>
      </c>
      <c r="E1640" s="515">
        <v>15.2788</v>
      </c>
      <c r="F1640" s="408">
        <f>IFERROR(E1640*'01 Prod Physique Boites'!H1626,"-")</f>
        <v>0</v>
      </c>
      <c r="G1640" s="409">
        <f>IFERROR(E1640*'01 Prod Physique Boites'!L1626,"-")</f>
        <v>0</v>
      </c>
      <c r="H1640" s="387">
        <v>23.65</v>
      </c>
      <c r="I1640" s="425">
        <f>IFERROR(H1640*(F1640/E1640),"-")</f>
        <v>0</v>
      </c>
      <c r="J1640" s="426">
        <f t="shared" ref="J1640:J1642" si="1083">IFERROR(H1640*(G1640/E1640),"-")</f>
        <v>0</v>
      </c>
    </row>
    <row r="1641" spans="1:10" ht="23.4" x14ac:dyDescent="0.3">
      <c r="A1641" s="277" t="s">
        <v>109</v>
      </c>
      <c r="B1641" s="929"/>
      <c r="C1641" s="309" t="s">
        <v>368</v>
      </c>
      <c r="D1641" s="309" t="s">
        <v>324</v>
      </c>
      <c r="E1641" s="516">
        <v>22.6356</v>
      </c>
      <c r="F1641" s="408">
        <f>IFERROR(E1641*'01 Prod Physique Boites'!H1627,"-")</f>
        <v>0</v>
      </c>
      <c r="G1641" s="409">
        <f>IFERROR(E1641*'01 Prod Physique Boites'!L1627,"-")</f>
        <v>0</v>
      </c>
      <c r="H1641" s="391">
        <v>34.26</v>
      </c>
      <c r="I1641" s="427">
        <f>IFERROR(H1641*(F1641/E1641),"-")</f>
        <v>0</v>
      </c>
      <c r="J1641" s="428">
        <f t="shared" si="1083"/>
        <v>0</v>
      </c>
    </row>
    <row r="1642" spans="1:10" ht="24" thickBot="1" x14ac:dyDescent="0.35">
      <c r="A1642" s="277" t="s">
        <v>109</v>
      </c>
      <c r="B1642" s="929"/>
      <c r="C1642" s="306" t="s">
        <v>327</v>
      </c>
      <c r="D1642" s="306"/>
      <c r="E1642" s="512">
        <v>25.751300000000001</v>
      </c>
      <c r="F1642" s="408">
        <f>IFERROR(E1642*'01 Prod Physique Boites'!H1628,"-")</f>
        <v>96412.867200000008</v>
      </c>
      <c r="G1642" s="409">
        <f>IFERROR(E1642*'01 Prod Physique Boites'!L1628,"-")</f>
        <v>1349780.1407999999</v>
      </c>
      <c r="H1642" s="393">
        <v>37.89</v>
      </c>
      <c r="I1642" s="429">
        <f>IFERROR(H1642*(F1642/E1642),"-")</f>
        <v>141860.16000000003</v>
      </c>
      <c r="J1642" s="430">
        <f t="shared" si="1083"/>
        <v>1986042.24</v>
      </c>
    </row>
    <row r="1643" spans="1:10" ht="24" thickBot="1" x14ac:dyDescent="0.35">
      <c r="A1643" s="277" t="s">
        <v>109</v>
      </c>
      <c r="B1643" s="929"/>
      <c r="C1643" s="307"/>
      <c r="D1643" s="308" t="s">
        <v>53</v>
      </c>
      <c r="E1643" s="396"/>
      <c r="F1643" s="412">
        <f t="shared" ref="F1643:G1643" si="1084">SUM(F1640:F1642)</f>
        <v>96412.867200000008</v>
      </c>
      <c r="G1643" s="413">
        <f t="shared" si="1084"/>
        <v>1349780.1407999999</v>
      </c>
      <c r="H1643" s="397"/>
      <c r="I1643" s="412">
        <f t="shared" ref="I1643" si="1085">SUM(I1640:I1642)</f>
        <v>141860.16000000003</v>
      </c>
      <c r="J1643" s="431">
        <f>SUM(J1640:J1642)</f>
        <v>1986042.24</v>
      </c>
    </row>
    <row r="1644" spans="1:10" ht="23.4" x14ac:dyDescent="0.3">
      <c r="A1644" s="277" t="s">
        <v>109</v>
      </c>
      <c r="B1644" s="929"/>
      <c r="C1644" s="303" t="s">
        <v>352</v>
      </c>
      <c r="D1644" s="303"/>
      <c r="E1644" s="515">
        <v>22.094999999999999</v>
      </c>
      <c r="F1644" s="408">
        <f>IFERROR(E1644*'01 Prod Physique Boites'!H1630,"-")</f>
        <v>0</v>
      </c>
      <c r="G1644" s="409">
        <f>IFERROR(E1644*'01 Prod Physique Boites'!L1630,"-")</f>
        <v>0</v>
      </c>
      <c r="H1644" s="387">
        <v>37.11</v>
      </c>
      <c r="I1644" s="425">
        <f>IFERROR(H1644*(F1644/E1644),"-")</f>
        <v>0</v>
      </c>
      <c r="J1644" s="426">
        <f t="shared" ref="J1644:J1646" si="1086">IFERROR(H1644*(G1644/E1644),"-")</f>
        <v>0</v>
      </c>
    </row>
    <row r="1645" spans="1:10" ht="23.4" x14ac:dyDescent="0.3">
      <c r="A1645" s="277" t="s">
        <v>109</v>
      </c>
      <c r="B1645" s="929"/>
      <c r="C1645" s="309" t="s">
        <v>397</v>
      </c>
      <c r="D1645" s="309" t="s">
        <v>259</v>
      </c>
      <c r="E1645" s="516">
        <v>27.917000000000002</v>
      </c>
      <c r="F1645" s="408">
        <f>IFERROR(E1645*'01 Prod Physique Boites'!H1631,"-")</f>
        <v>0</v>
      </c>
      <c r="G1645" s="409">
        <f>IFERROR(E1645*'01 Prod Physique Boites'!L1631,"-")</f>
        <v>13430980.368000001</v>
      </c>
      <c r="H1645" s="391">
        <v>39</v>
      </c>
      <c r="I1645" s="427">
        <f>IFERROR(H1645*(F1645/E1645),"-")</f>
        <v>0</v>
      </c>
      <c r="J1645" s="428">
        <f t="shared" si="1086"/>
        <v>18763056</v>
      </c>
    </row>
    <row r="1646" spans="1:10" ht="24" thickBot="1" x14ac:dyDescent="0.35">
      <c r="A1646" s="277" t="s">
        <v>109</v>
      </c>
      <c r="B1646" s="929"/>
      <c r="C1646" s="306" t="s">
        <v>146</v>
      </c>
      <c r="D1646" s="306"/>
      <c r="E1646" s="512">
        <v>25.4041</v>
      </c>
      <c r="F1646" s="408">
        <f>IFERROR(E1646*'01 Prod Physique Boites'!H1632,"-")</f>
        <v>0</v>
      </c>
      <c r="G1646" s="409">
        <f>IFERROR(E1646*'01 Prod Physique Boites'!L1632,"-")</f>
        <v>0</v>
      </c>
      <c r="H1646" s="393">
        <v>28.21</v>
      </c>
      <c r="I1646" s="429">
        <f>IFERROR(H1646*(F1646/E1646),"-")</f>
        <v>0</v>
      </c>
      <c r="J1646" s="430">
        <f t="shared" si="1086"/>
        <v>0</v>
      </c>
    </row>
    <row r="1647" spans="1:10" ht="24" thickBot="1" x14ac:dyDescent="0.35">
      <c r="A1647" s="277" t="s">
        <v>109</v>
      </c>
      <c r="B1647" s="929"/>
      <c r="C1647" s="310"/>
      <c r="D1647" s="311" t="s">
        <v>54</v>
      </c>
      <c r="E1647" s="403"/>
      <c r="F1647" s="420">
        <f t="shared" ref="F1647:G1647" si="1087">SUM(F1644:F1646)</f>
        <v>0</v>
      </c>
      <c r="G1647" s="421">
        <f t="shared" si="1087"/>
        <v>13430980.368000001</v>
      </c>
      <c r="H1647" s="404"/>
      <c r="I1647" s="420">
        <f t="shared" ref="I1647" si="1088">SUM(I1644:I1646)</f>
        <v>0</v>
      </c>
      <c r="J1647" s="436">
        <f>SUM(J1644:J1646)</f>
        <v>18763056</v>
      </c>
    </row>
    <row r="1648" spans="1:10" ht="24" thickBot="1" x14ac:dyDescent="0.35">
      <c r="A1648" s="277" t="s">
        <v>109</v>
      </c>
      <c r="B1648" s="932" t="s">
        <v>172</v>
      </c>
      <c r="C1648" s="933"/>
      <c r="D1648" s="934"/>
      <c r="E1648" s="405"/>
      <c r="F1648" s="422">
        <f t="shared" ref="F1648:G1648" si="1089">+F1643+F1647</f>
        <v>96412.867200000008</v>
      </c>
      <c r="G1648" s="423">
        <f t="shared" si="1089"/>
        <v>14780760.5088</v>
      </c>
      <c r="H1648" s="406"/>
      <c r="I1648" s="422">
        <f t="shared" ref="I1648:J1648" si="1090">+I1643+I1647</f>
        <v>141860.16000000003</v>
      </c>
      <c r="J1648" s="437">
        <f t="shared" si="1090"/>
        <v>20749098.239999998</v>
      </c>
    </row>
    <row r="1649" spans="1:10" ht="24" thickBot="1" x14ac:dyDescent="0.35">
      <c r="A1649" s="277" t="s">
        <v>109</v>
      </c>
      <c r="B1649" s="617" t="s">
        <v>32</v>
      </c>
      <c r="C1649" s="833"/>
      <c r="D1649" s="316"/>
      <c r="E1649" s="517">
        <v>12.2659</v>
      </c>
      <c r="F1649" s="414">
        <f>IFERROR(E1649*'01 Prod Physique Boites'!H1635,"-")</f>
        <v>0</v>
      </c>
      <c r="G1649" s="415">
        <f>IFERROR(E1649*'01 Prod Physique Boites'!L1635,"-")</f>
        <v>0</v>
      </c>
      <c r="H1649" s="398"/>
      <c r="I1649" s="432">
        <f>IFERROR(H1649*(F1649/E1649),"-")</f>
        <v>0</v>
      </c>
      <c r="J1649" s="433">
        <f>IFERROR(H1649*(G1649/E1649),"-")</f>
        <v>0</v>
      </c>
    </row>
    <row r="1650" spans="1:10" ht="24" thickBot="1" x14ac:dyDescent="0.35">
      <c r="A1650" s="277" t="s">
        <v>109</v>
      </c>
      <c r="B1650" s="926" t="s">
        <v>21</v>
      </c>
      <c r="C1650" s="927"/>
      <c r="D1650" s="928"/>
      <c r="E1650" s="399"/>
      <c r="F1650" s="416">
        <f t="shared" ref="F1650" si="1091">+F1639+F1648+F1649</f>
        <v>2551963.0500000007</v>
      </c>
      <c r="G1650" s="417">
        <f>+G1639+G1648+G1649</f>
        <v>40063067.600400001</v>
      </c>
      <c r="H1650" s="400"/>
      <c r="I1650" s="416">
        <f t="shared" ref="I1650:J1650" si="1092">+I1639+I1648+I1649</f>
        <v>3273421.3200000003</v>
      </c>
      <c r="J1650" s="434">
        <f t="shared" si="1092"/>
        <v>56234847.239999995</v>
      </c>
    </row>
    <row r="1651" spans="1:10" ht="24" thickBot="1" x14ac:dyDescent="0.35">
      <c r="A1651" s="277" t="s">
        <v>109</v>
      </c>
      <c r="B1651" s="900" t="s">
        <v>180</v>
      </c>
      <c r="C1651" s="901"/>
      <c r="D1651" s="902"/>
      <c r="E1651" s="401"/>
      <c r="F1651" s="418">
        <f t="shared" ref="F1651:G1651" si="1093">+F1650</f>
        <v>2551963.0500000007</v>
      </c>
      <c r="G1651" s="419">
        <f t="shared" si="1093"/>
        <v>40063067.600400001</v>
      </c>
      <c r="H1651" s="402"/>
      <c r="I1651" s="418">
        <f t="shared" ref="I1651:J1651" si="1094">+I1650</f>
        <v>3273421.3200000003</v>
      </c>
      <c r="J1651" s="435">
        <f t="shared" si="1094"/>
        <v>56234847.239999995</v>
      </c>
    </row>
    <row r="1652" spans="1:10" ht="23.4" x14ac:dyDescent="0.3">
      <c r="A1652" s="271" t="s">
        <v>110</v>
      </c>
      <c r="B1652" s="903" t="s">
        <v>33</v>
      </c>
      <c r="C1652" s="317" t="s">
        <v>121</v>
      </c>
      <c r="D1652" s="317"/>
      <c r="E1652" s="513">
        <v>254.89750000000001</v>
      </c>
      <c r="F1652" s="408">
        <f>IFERROR(E1652*'01 Prod Physique Boites'!H1638,"-")</f>
        <v>0</v>
      </c>
      <c r="G1652" s="409">
        <f>IFERROR(E1652*'01 Prod Physique Boites'!L1638,"-")</f>
        <v>0</v>
      </c>
      <c r="H1652" s="387">
        <v>445.38</v>
      </c>
      <c r="I1652" s="425">
        <f>IFERROR(H1652*(F1652/E1652),"-")</f>
        <v>0</v>
      </c>
      <c r="J1652" s="426">
        <f t="shared" ref="J1652:J1654" si="1095">IFERROR(H1652*(G1652/E1652),"-")</f>
        <v>0</v>
      </c>
    </row>
    <row r="1653" spans="1:10" ht="23.4" x14ac:dyDescent="0.3">
      <c r="A1653" s="277" t="s">
        <v>110</v>
      </c>
      <c r="B1653" s="904"/>
      <c r="C1653" s="318" t="s">
        <v>274</v>
      </c>
      <c r="D1653" s="318"/>
      <c r="E1653" s="514">
        <v>246.51390000000001</v>
      </c>
      <c r="F1653" s="408">
        <f>IFERROR(E1653*'01 Prod Physique Boites'!H1639,"-")</f>
        <v>0</v>
      </c>
      <c r="G1653" s="409">
        <f>IFERROR(E1653*'01 Prod Physique Boites'!L1639,"-")</f>
        <v>2287648.9920000001</v>
      </c>
      <c r="H1653" s="391">
        <v>430.02</v>
      </c>
      <c r="I1653" s="427">
        <f>IFERROR(H1653*(F1653/E1653),"-")</f>
        <v>0</v>
      </c>
      <c r="J1653" s="428">
        <f t="shared" si="1095"/>
        <v>3990585.5999999996</v>
      </c>
    </row>
    <row r="1654" spans="1:10" ht="24" thickBot="1" x14ac:dyDescent="0.35">
      <c r="A1654" s="277" t="s">
        <v>110</v>
      </c>
      <c r="B1654" s="905"/>
      <c r="C1654" s="319" t="s">
        <v>34</v>
      </c>
      <c r="D1654" s="319"/>
      <c r="E1654" s="511">
        <v>225.7713</v>
      </c>
      <c r="F1654" s="408">
        <f>IFERROR(E1654*'01 Prod Physique Boites'!H1640,"-")</f>
        <v>0</v>
      </c>
      <c r="G1654" s="409">
        <f>IFERROR(E1654*'01 Prod Physique Boites'!L1640,"-")</f>
        <v>0</v>
      </c>
      <c r="H1654" s="393"/>
      <c r="I1654" s="429">
        <f>IFERROR(H1654*(F1654/E1654),"-")</f>
        <v>0</v>
      </c>
      <c r="J1654" s="430">
        <f t="shared" si="1095"/>
        <v>0</v>
      </c>
    </row>
    <row r="1655" spans="1:10" ht="24" thickBot="1" x14ac:dyDescent="0.35">
      <c r="A1655" s="277" t="s">
        <v>110</v>
      </c>
      <c r="B1655" s="906" t="s">
        <v>35</v>
      </c>
      <c r="C1655" s="907"/>
      <c r="D1655" s="908"/>
      <c r="E1655" s="396"/>
      <c r="F1655" s="412">
        <f t="shared" ref="F1655:G1655" si="1096">SUM(F1652:F1654)</f>
        <v>0</v>
      </c>
      <c r="G1655" s="413">
        <f t="shared" si="1096"/>
        <v>2287648.9920000001</v>
      </c>
      <c r="H1655" s="397"/>
      <c r="I1655" s="412">
        <f t="shared" ref="I1655:J1655" si="1097">SUM(I1652:I1654)</f>
        <v>0</v>
      </c>
      <c r="J1655" s="431">
        <f t="shared" si="1097"/>
        <v>3990585.5999999996</v>
      </c>
    </row>
    <row r="1656" spans="1:10" ht="23.4" x14ac:dyDescent="0.3">
      <c r="A1656" s="277" t="s">
        <v>110</v>
      </c>
      <c r="B1656" s="903" t="s">
        <v>36</v>
      </c>
      <c r="C1656" s="317" t="s">
        <v>121</v>
      </c>
      <c r="D1656" s="317"/>
      <c r="E1656" s="513">
        <v>254.89750000000001</v>
      </c>
      <c r="F1656" s="408">
        <f>IFERROR(E1656*'01 Prod Physique Boites'!H1642,"-")</f>
        <v>0</v>
      </c>
      <c r="G1656" s="409">
        <f>IFERROR(E1656*'01 Prod Physique Boites'!L1642,"-")</f>
        <v>0</v>
      </c>
      <c r="H1656" s="387">
        <v>445.38</v>
      </c>
      <c r="I1656" s="425">
        <f>IFERROR(H1656*(F1656/E1656),"-")</f>
        <v>0</v>
      </c>
      <c r="J1656" s="426">
        <f t="shared" ref="J1656:J1659" si="1098">IFERROR(H1656*(G1656/E1656),"-")</f>
        <v>0</v>
      </c>
    </row>
    <row r="1657" spans="1:10" ht="23.4" x14ac:dyDescent="0.3">
      <c r="A1657" s="277" t="s">
        <v>110</v>
      </c>
      <c r="B1657" s="904"/>
      <c r="C1657" s="318" t="s">
        <v>274</v>
      </c>
      <c r="D1657" s="318"/>
      <c r="E1657" s="514">
        <v>246.51390000000001</v>
      </c>
      <c r="F1657" s="408">
        <f>IFERROR(E1657*'01 Prod Physique Boites'!H1643,"-")</f>
        <v>1341035.6159999999</v>
      </c>
      <c r="G1657" s="409">
        <f>IFERROR(E1657*'01 Prod Physique Boites'!L1643,"-")</f>
        <v>15627009.148800001</v>
      </c>
      <c r="H1657" s="391">
        <v>430.02</v>
      </c>
      <c r="I1657" s="427">
        <f>IFERROR(H1657*(F1657/E1657),"-")</f>
        <v>2339308.7999999993</v>
      </c>
      <c r="J1657" s="428">
        <f t="shared" si="1098"/>
        <v>27259827.84</v>
      </c>
    </row>
    <row r="1658" spans="1:10" ht="23.4" x14ac:dyDescent="0.3">
      <c r="A1658" s="277" t="s">
        <v>110</v>
      </c>
      <c r="B1658" s="904"/>
      <c r="C1658" s="318" t="s">
        <v>201</v>
      </c>
      <c r="D1658" s="318" t="s">
        <v>200</v>
      </c>
      <c r="E1658" s="514">
        <v>254.89750000000001</v>
      </c>
      <c r="F1658" s="408">
        <f>IFERROR(E1658*'01 Prod Physique Boites'!H1644,"-")</f>
        <v>0</v>
      </c>
      <c r="G1658" s="409">
        <f>IFERROR(E1658*'01 Prod Physique Boites'!L1644,"-")</f>
        <v>0</v>
      </c>
      <c r="H1658" s="391"/>
      <c r="I1658" s="427">
        <f>IFERROR(H1658*(F1658/E1658),"-")</f>
        <v>0</v>
      </c>
      <c r="J1658" s="428">
        <f t="shared" si="1098"/>
        <v>0</v>
      </c>
    </row>
    <row r="1659" spans="1:10" ht="24" thickBot="1" x14ac:dyDescent="0.35">
      <c r="A1659" s="277" t="s">
        <v>110</v>
      </c>
      <c r="B1659" s="905"/>
      <c r="C1659" s="319" t="s">
        <v>37</v>
      </c>
      <c r="D1659" s="319"/>
      <c r="E1659" s="511">
        <v>229.99359999999999</v>
      </c>
      <c r="F1659" s="408">
        <f>IFERROR(E1659*'01 Prod Physique Boites'!H1645,"-")</f>
        <v>0</v>
      </c>
      <c r="G1659" s="409">
        <f>IFERROR(E1659*'01 Prod Physique Boites'!L1645,"-")</f>
        <v>0</v>
      </c>
      <c r="H1659" s="393"/>
      <c r="I1659" s="429">
        <f>IFERROR(H1659*(F1659/E1659),"-")</f>
        <v>0</v>
      </c>
      <c r="J1659" s="430">
        <f t="shared" si="1098"/>
        <v>0</v>
      </c>
    </row>
    <row r="1660" spans="1:10" ht="24" thickBot="1" x14ac:dyDescent="0.35">
      <c r="A1660" s="277" t="s">
        <v>110</v>
      </c>
      <c r="B1660" s="906" t="s">
        <v>38</v>
      </c>
      <c r="C1660" s="907"/>
      <c r="D1660" s="908"/>
      <c r="E1660" s="396"/>
      <c r="F1660" s="412">
        <f t="shared" ref="F1660:G1660" si="1099">SUM(F1656:F1659)</f>
        <v>1341035.6159999999</v>
      </c>
      <c r="G1660" s="413">
        <f t="shared" si="1099"/>
        <v>15627009.148800001</v>
      </c>
      <c r="H1660" s="397"/>
      <c r="I1660" s="412">
        <f>SUM(I1656:I1659)</f>
        <v>2339308.7999999993</v>
      </c>
      <c r="J1660" s="431">
        <f>SUM(J1656:J1659)</f>
        <v>27259827.84</v>
      </c>
    </row>
    <row r="1661" spans="1:10" ht="23.4" x14ac:dyDescent="0.3">
      <c r="A1661" s="277" t="s">
        <v>110</v>
      </c>
      <c r="B1661" s="903" t="s">
        <v>39</v>
      </c>
      <c r="C1661" s="320" t="s">
        <v>124</v>
      </c>
      <c r="D1661" s="320"/>
      <c r="E1661" s="513">
        <v>195.2808</v>
      </c>
      <c r="F1661" s="408">
        <f>IFERROR(E1661*'01 Prod Physique Boites'!H1647,"-")</f>
        <v>0</v>
      </c>
      <c r="G1661" s="409">
        <f>IFERROR(E1661*'01 Prod Physique Boites'!L1647,"-")</f>
        <v>0</v>
      </c>
      <c r="H1661" s="387"/>
      <c r="I1661" s="425">
        <f>IFERROR(H1661*(F1661/E1661),"-")</f>
        <v>0</v>
      </c>
      <c r="J1661" s="426">
        <f t="shared" ref="J1661:J1662" si="1100">IFERROR(H1661*(G1661/E1661),"-")</f>
        <v>0</v>
      </c>
    </row>
    <row r="1662" spans="1:10" ht="24" thickBot="1" x14ac:dyDescent="0.35">
      <c r="A1662" s="277" t="s">
        <v>110</v>
      </c>
      <c r="B1662" s="905"/>
      <c r="C1662" s="290" t="s">
        <v>140</v>
      </c>
      <c r="D1662" s="290"/>
      <c r="E1662" s="511">
        <v>189.91890000000001</v>
      </c>
      <c r="F1662" s="408">
        <f>IFERROR(E1662*'01 Prod Physique Boites'!H1648,"-")</f>
        <v>75967.56</v>
      </c>
      <c r="G1662" s="409">
        <f>IFERROR(E1662*'01 Prod Physique Boites'!L1648,"-")</f>
        <v>379837.8</v>
      </c>
      <c r="H1662" s="393">
        <v>320.35000000000002</v>
      </c>
      <c r="I1662" s="429">
        <f>IFERROR(H1662*(F1662/E1662),"-")</f>
        <v>128139.99999999999</v>
      </c>
      <c r="J1662" s="430">
        <f t="shared" si="1100"/>
        <v>640700</v>
      </c>
    </row>
    <row r="1663" spans="1:10" ht="24" thickBot="1" x14ac:dyDescent="0.35">
      <c r="A1663" s="837" t="s">
        <v>110</v>
      </c>
      <c r="B1663" s="906" t="s">
        <v>40</v>
      </c>
      <c r="C1663" s="907"/>
      <c r="D1663" s="908"/>
      <c r="E1663" s="396"/>
      <c r="F1663" s="412">
        <f>SUM(F1661:F1662)</f>
        <v>75967.56</v>
      </c>
      <c r="G1663" s="413">
        <f t="shared" ref="G1663" si="1101">SUM(G1661:G1662)</f>
        <v>379837.8</v>
      </c>
      <c r="H1663" s="397"/>
      <c r="I1663" s="412">
        <f t="shared" ref="I1663:J1663" si="1102">SUM(I1661:I1662)</f>
        <v>128139.99999999999</v>
      </c>
      <c r="J1663" s="431">
        <f t="shared" si="1102"/>
        <v>640700</v>
      </c>
    </row>
    <row r="1664" spans="1:10" ht="23.4" x14ac:dyDescent="0.3">
      <c r="A1664" s="277" t="s">
        <v>110</v>
      </c>
      <c r="B1664" s="903" t="s">
        <v>41</v>
      </c>
      <c r="C1664" s="272" t="s">
        <v>346</v>
      </c>
      <c r="D1664" s="272" t="s">
        <v>263</v>
      </c>
      <c r="E1664" s="515">
        <v>37.248699999999999</v>
      </c>
      <c r="F1664" s="408">
        <f>IFERROR(E1664*'01 Prod Physique Boites'!H1650,"-")</f>
        <v>935091.36479999998</v>
      </c>
      <c r="G1664" s="409">
        <f>IFERROR(E1664*'01 Prod Physique Boites'!L1650,"-")</f>
        <v>11593881.3672</v>
      </c>
      <c r="H1664" s="387">
        <v>71.44</v>
      </c>
      <c r="I1664" s="425">
        <f>IFERROR(H1664*(F1664/E1664),"-")</f>
        <v>1793429.76</v>
      </c>
      <c r="J1664" s="426">
        <f>IFERROR(H1664*(G1664/E1664),"-")</f>
        <v>22236128.640000001</v>
      </c>
    </row>
    <row r="1665" spans="1:10" ht="23.4" x14ac:dyDescent="0.3">
      <c r="A1665" s="277" t="s">
        <v>110</v>
      </c>
      <c r="B1665" s="904"/>
      <c r="C1665" s="272" t="s">
        <v>165</v>
      </c>
      <c r="D1665" s="278"/>
      <c r="E1665" s="515">
        <v>37.248699999999999</v>
      </c>
      <c r="F1665" s="408">
        <f>IFERROR(E1665*'01 Prod Physique Boites'!H1651,"-")</f>
        <v>0</v>
      </c>
      <c r="G1665" s="409">
        <f>IFERROR(E1665*'01 Prod Physique Boites'!L1651,"-")</f>
        <v>0</v>
      </c>
      <c r="H1665" s="391"/>
      <c r="I1665" s="427">
        <f>IFERROR(H1665*(F1665/E1665),"-")</f>
        <v>0</v>
      </c>
      <c r="J1665" s="428">
        <f t="shared" ref="J1665:J1668" si="1103">IFERROR(H1665*(G1665/E1665),"-")</f>
        <v>0</v>
      </c>
    </row>
    <row r="1666" spans="1:10" ht="23.4" x14ac:dyDescent="0.3">
      <c r="A1666" s="277" t="s">
        <v>110</v>
      </c>
      <c r="B1666" s="904"/>
      <c r="C1666" s="278" t="s">
        <v>423</v>
      </c>
      <c r="D1666" s="272" t="s">
        <v>263</v>
      </c>
      <c r="E1666" s="516">
        <v>38.466099999999997</v>
      </c>
      <c r="F1666" s="408">
        <f>IFERROR(E1666*'01 Prod Physique Boites'!H1652,"-")</f>
        <v>0</v>
      </c>
      <c r="G1666" s="409">
        <f>IFERROR(E1666*'01 Prod Physique Boites'!L1652,"-")</f>
        <v>1306308.7559999998</v>
      </c>
      <c r="H1666" s="391">
        <v>71.44</v>
      </c>
      <c r="I1666" s="427">
        <f>IFERROR(H1666*(F1666/E1666),"-")</f>
        <v>0</v>
      </c>
      <c r="J1666" s="428">
        <f t="shared" si="1103"/>
        <v>2426102.4</v>
      </c>
    </row>
    <row r="1667" spans="1:10" ht="23.4" x14ac:dyDescent="0.3">
      <c r="A1667" s="277" t="s">
        <v>110</v>
      </c>
      <c r="B1667" s="904"/>
      <c r="C1667" s="278" t="s">
        <v>166</v>
      </c>
      <c r="D1667" s="278"/>
      <c r="E1667" s="516">
        <v>37.248699999999999</v>
      </c>
      <c r="F1667" s="408">
        <f>IFERROR(E1667*'01 Prod Physique Boites'!H1653,"-")</f>
        <v>0</v>
      </c>
      <c r="G1667" s="409">
        <f>IFERROR(E1667*'01 Prod Physique Boites'!L1653,"-")</f>
        <v>0</v>
      </c>
      <c r="H1667" s="391"/>
      <c r="I1667" s="427">
        <f>IFERROR(H1667*(F1667/E1667),"-")</f>
        <v>0</v>
      </c>
      <c r="J1667" s="428">
        <f t="shared" si="1103"/>
        <v>0</v>
      </c>
    </row>
    <row r="1668" spans="1:10" ht="24" thickBot="1" x14ac:dyDescent="0.35">
      <c r="A1668" s="277" t="s">
        <v>110</v>
      </c>
      <c r="B1668" s="905"/>
      <c r="C1668" s="282" t="s">
        <v>167</v>
      </c>
      <c r="D1668" s="282"/>
      <c r="E1668" s="512">
        <v>33.711399999999998</v>
      </c>
      <c r="F1668" s="408">
        <f>IFERROR(E1668*'01 Prod Physique Boites'!H1654,"-")</f>
        <v>0</v>
      </c>
      <c r="G1668" s="409">
        <f>IFERROR(E1668*'01 Prod Physique Boites'!L1654,"-")</f>
        <v>0</v>
      </c>
      <c r="H1668" s="393"/>
      <c r="I1668" s="429">
        <f>IFERROR(H1668*(F1668/E1668),"-")</f>
        <v>0</v>
      </c>
      <c r="J1668" s="430">
        <f t="shared" si="1103"/>
        <v>0</v>
      </c>
    </row>
    <row r="1669" spans="1:10" ht="24" thickBot="1" x14ac:dyDescent="0.35">
      <c r="A1669" s="277" t="s">
        <v>110</v>
      </c>
      <c r="B1669" s="906" t="s">
        <v>42</v>
      </c>
      <c r="C1669" s="907"/>
      <c r="D1669" s="908"/>
      <c r="E1669" s="396"/>
      <c r="F1669" s="412">
        <f>SUM(F1664:F1668)</f>
        <v>935091.36479999998</v>
      </c>
      <c r="G1669" s="413">
        <f>SUM(G1664:G1668)</f>
        <v>12900190.123199999</v>
      </c>
      <c r="H1669" s="397"/>
      <c r="I1669" s="412">
        <f>SUM(I1664:I1668)</f>
        <v>1793429.76</v>
      </c>
      <c r="J1669" s="412">
        <f>SUM(J1664:J1668)</f>
        <v>24662231.039999999</v>
      </c>
    </row>
    <row r="1670" spans="1:10" ht="23.4" x14ac:dyDescent="0.3">
      <c r="A1670" s="277" t="s">
        <v>110</v>
      </c>
      <c r="B1670" s="903" t="s">
        <v>43</v>
      </c>
      <c r="C1670" s="272" t="s">
        <v>204</v>
      </c>
      <c r="D1670" s="272" t="s">
        <v>200</v>
      </c>
      <c r="E1670" s="515">
        <v>30.7499</v>
      </c>
      <c r="F1670" s="408">
        <f>IFERROR(E1670*'01 Prod Physique Boites'!H1656,"-")</f>
        <v>0</v>
      </c>
      <c r="G1670" s="409">
        <f>IFERROR(E1670*'01 Prod Physique Boites'!L1656,"-")</f>
        <v>0</v>
      </c>
      <c r="H1670" s="387"/>
      <c r="I1670" s="425">
        <f>IFERROR(H1670*(F1670/E1670),"-")</f>
        <v>0</v>
      </c>
      <c r="J1670" s="426">
        <f>IFERROR(H1670*(G1670/E1670),"-")</f>
        <v>0</v>
      </c>
    </row>
    <row r="1671" spans="1:10" ht="23.4" x14ac:dyDescent="0.3">
      <c r="A1671" s="277" t="s">
        <v>110</v>
      </c>
      <c r="B1671" s="904"/>
      <c r="C1671" s="278" t="s">
        <v>168</v>
      </c>
      <c r="D1671" s="278"/>
      <c r="E1671" s="516">
        <v>28.7</v>
      </c>
      <c r="F1671" s="408">
        <f>IFERROR(E1671*'01 Prod Physique Boites'!H1657,"-")</f>
        <v>0</v>
      </c>
      <c r="G1671" s="409">
        <f>IFERROR(E1671*'01 Prod Physique Boites'!L1657,"-")</f>
        <v>0</v>
      </c>
      <c r="H1671" s="391"/>
      <c r="I1671" s="427">
        <f>IFERROR(H1671*(F1671/E1671),"-")</f>
        <v>0</v>
      </c>
      <c r="J1671" s="428">
        <f t="shared" ref="J1671:J1672" si="1104">IFERROR(H1671*(G1671/E1671),"-")</f>
        <v>0</v>
      </c>
    </row>
    <row r="1672" spans="1:10" ht="24" thickBot="1" x14ac:dyDescent="0.35">
      <c r="A1672" s="277" t="s">
        <v>110</v>
      </c>
      <c r="B1672" s="905"/>
      <c r="C1672" s="282" t="s">
        <v>204</v>
      </c>
      <c r="D1672" s="282" t="s">
        <v>203</v>
      </c>
      <c r="E1672" s="512">
        <v>30.073599999999999</v>
      </c>
      <c r="F1672" s="408">
        <f>IFERROR(E1672*'01 Prod Physique Boites'!H1658,"-")</f>
        <v>0</v>
      </c>
      <c r="G1672" s="409">
        <f>IFERROR(E1672*'01 Prod Physique Boites'!L1658,"-")</f>
        <v>0</v>
      </c>
      <c r="H1672" s="393"/>
      <c r="I1672" s="429">
        <f>IFERROR(H1672*(F1672/E1672),"-")</f>
        <v>0</v>
      </c>
      <c r="J1672" s="430">
        <f t="shared" si="1104"/>
        <v>0</v>
      </c>
    </row>
    <row r="1673" spans="1:10" ht="24" thickBot="1" x14ac:dyDescent="0.35">
      <c r="A1673" s="277" t="s">
        <v>110</v>
      </c>
      <c r="B1673" s="909" t="s">
        <v>44</v>
      </c>
      <c r="C1673" s="910"/>
      <c r="D1673" s="911"/>
      <c r="E1673" s="396"/>
      <c r="F1673" s="412">
        <f t="shared" ref="F1673:G1673" si="1105">SUM(F1670:F1672)</f>
        <v>0</v>
      </c>
      <c r="G1673" s="413">
        <f t="shared" si="1105"/>
        <v>0</v>
      </c>
      <c r="H1673" s="397"/>
      <c r="I1673" s="412">
        <f t="shared" ref="I1673:J1673" si="1106">SUM(I1670:I1672)</f>
        <v>0</v>
      </c>
      <c r="J1673" s="431">
        <f t="shared" si="1106"/>
        <v>0</v>
      </c>
    </row>
    <row r="1674" spans="1:10" ht="23.4" x14ac:dyDescent="0.3">
      <c r="A1674" s="277" t="s">
        <v>110</v>
      </c>
      <c r="B1674" s="903" t="s">
        <v>45</v>
      </c>
      <c r="C1674" s="272" t="s">
        <v>169</v>
      </c>
      <c r="D1674" s="272"/>
      <c r="E1674" s="515">
        <v>36.684899999999999</v>
      </c>
      <c r="F1674" s="408">
        <f>IFERROR(E1674*'01 Prod Physique Boites'!H1660,"-")</f>
        <v>0</v>
      </c>
      <c r="G1674" s="409">
        <f>IFERROR(E1674*'01 Prod Physique Boites'!L1660,"-")</f>
        <v>0</v>
      </c>
      <c r="H1674" s="387"/>
      <c r="I1674" s="388" t="s">
        <v>209</v>
      </c>
      <c r="J1674" s="389" t="s">
        <v>209</v>
      </c>
    </row>
    <row r="1675" spans="1:10" ht="24" thickBot="1" x14ac:dyDescent="0.35">
      <c r="A1675" s="277" t="s">
        <v>110</v>
      </c>
      <c r="B1675" s="905"/>
      <c r="C1675" s="282" t="s">
        <v>170</v>
      </c>
      <c r="D1675" s="282"/>
      <c r="E1675" s="512">
        <v>37.002800000000001</v>
      </c>
      <c r="F1675" s="408">
        <f>IFERROR(E1675*'01 Prod Physique Boites'!H1661,"-")</f>
        <v>0</v>
      </c>
      <c r="G1675" s="409">
        <f>IFERROR(E1675*'01 Prod Physique Boites'!L1661,"-")</f>
        <v>0</v>
      </c>
      <c r="H1675" s="393"/>
      <c r="I1675" s="394" t="s">
        <v>209</v>
      </c>
      <c r="J1675" s="395" t="s">
        <v>209</v>
      </c>
    </row>
    <row r="1676" spans="1:10" ht="24" thickBot="1" x14ac:dyDescent="0.35">
      <c r="A1676" s="277" t="s">
        <v>110</v>
      </c>
      <c r="B1676" s="909" t="s">
        <v>46</v>
      </c>
      <c r="C1676" s="910"/>
      <c r="D1676" s="911"/>
      <c r="E1676" s="396"/>
      <c r="F1676" s="412">
        <f t="shared" ref="F1676:G1676" si="1107">SUM(F1674:F1675)</f>
        <v>0</v>
      </c>
      <c r="G1676" s="413">
        <f t="shared" si="1107"/>
        <v>0</v>
      </c>
      <c r="H1676" s="397"/>
      <c r="I1676" s="412">
        <f t="shared" ref="I1676:J1676" si="1108">SUM(I1674:I1675)</f>
        <v>0</v>
      </c>
      <c r="J1676" s="431">
        <f t="shared" si="1108"/>
        <v>0</v>
      </c>
    </row>
    <row r="1677" spans="1:10" ht="24" thickBot="1" x14ac:dyDescent="0.35">
      <c r="A1677" s="277" t="s">
        <v>110</v>
      </c>
      <c r="B1677" s="912" t="s">
        <v>25</v>
      </c>
      <c r="C1677" s="913"/>
      <c r="D1677" s="914"/>
      <c r="E1677" s="399"/>
      <c r="F1677" s="416">
        <f t="shared" ref="F1677:G1677" si="1109">+F1655+F1660+F1663+F1669+F1673+F1676</f>
        <v>2352094.5408000001</v>
      </c>
      <c r="G1677" s="417">
        <f t="shared" si="1109"/>
        <v>31194686.063999999</v>
      </c>
      <c r="H1677" s="400"/>
      <c r="I1677" s="416">
        <f>+I1655+I1660+I1663+I1669+I1673+I1676</f>
        <v>4260878.5599999996</v>
      </c>
      <c r="J1677" s="434">
        <f>+J1655+J1660+J1663+J1669+J1673+J1676</f>
        <v>56553344.479999997</v>
      </c>
    </row>
    <row r="1678" spans="1:10" ht="24" thickBot="1" x14ac:dyDescent="0.35">
      <c r="A1678" s="324" t="s">
        <v>110</v>
      </c>
      <c r="B1678" s="901" t="s">
        <v>182</v>
      </c>
      <c r="C1678" s="901"/>
      <c r="D1678" s="902"/>
      <c r="E1678" s="401"/>
      <c r="F1678" s="418">
        <f t="shared" ref="F1678:G1678" si="1110">+F1677</f>
        <v>2352094.5408000001</v>
      </c>
      <c r="G1678" s="419">
        <f t="shared" si="1110"/>
        <v>31194686.063999999</v>
      </c>
      <c r="H1678" s="402"/>
      <c r="I1678" s="418">
        <f t="shared" ref="I1678" si="1111">+I1677</f>
        <v>4260878.5599999996</v>
      </c>
      <c r="J1678" s="435">
        <f>+J1677</f>
        <v>56553344.479999997</v>
      </c>
    </row>
    <row r="1679" spans="1:10" ht="24.6" thickBot="1" x14ac:dyDescent="0.35">
      <c r="A1679" s="325"/>
      <c r="B1679" s="915" t="s">
        <v>183</v>
      </c>
      <c r="C1679" s="916"/>
      <c r="D1679" s="917"/>
      <c r="E1679" s="407"/>
      <c r="F1679" s="424">
        <f t="shared" ref="F1679:G1679" si="1112">+F1624+F1651+F1678</f>
        <v>10855689.502900001</v>
      </c>
      <c r="G1679" s="424">
        <f t="shared" si="1112"/>
        <v>120551194.77079999</v>
      </c>
      <c r="H1679" s="407"/>
      <c r="I1679" s="424">
        <f t="shared" ref="I1679:J1679" si="1113">+I1624+I1651+I1678</f>
        <v>14907105.030000001</v>
      </c>
      <c r="J1679" s="438">
        <f t="shared" si="1113"/>
        <v>187547066.84279999</v>
      </c>
    </row>
    <row r="1680" spans="1:10" ht="23.4" x14ac:dyDescent="0.3">
      <c r="A1680" s="935" t="s">
        <v>1</v>
      </c>
      <c r="B1680" s="938" t="s">
        <v>2</v>
      </c>
      <c r="C1680" s="941" t="s">
        <v>3</v>
      </c>
      <c r="D1680" s="941" t="s">
        <v>93</v>
      </c>
      <c r="E1680" s="965" t="s">
        <v>176</v>
      </c>
      <c r="F1680" s="966"/>
      <c r="G1680" s="966"/>
      <c r="H1680" s="451"/>
      <c r="I1680" s="451"/>
      <c r="J1680" s="452"/>
    </row>
    <row r="1681" spans="1:10" ht="23.4" x14ac:dyDescent="0.3">
      <c r="A1681" s="936"/>
      <c r="B1681" s="939"/>
      <c r="C1681" s="942"/>
      <c r="D1681" s="942"/>
      <c r="E1681" s="967" t="s">
        <v>178</v>
      </c>
      <c r="F1681" s="968"/>
      <c r="G1681" s="969"/>
      <c r="H1681" s="967" t="s">
        <v>177</v>
      </c>
      <c r="I1681" s="968"/>
      <c r="J1681" s="969"/>
    </row>
    <row r="1682" spans="1:10" ht="46.8" x14ac:dyDescent="0.3">
      <c r="A1682" s="937"/>
      <c r="B1682" s="963"/>
      <c r="C1682" s="964"/>
      <c r="D1682" s="964"/>
      <c r="E1682" s="385" t="s">
        <v>179</v>
      </c>
      <c r="F1682" s="843" t="s">
        <v>11</v>
      </c>
      <c r="G1682" s="844" t="s">
        <v>12</v>
      </c>
      <c r="H1682" s="970" t="s">
        <v>179</v>
      </c>
      <c r="I1682" s="972" t="s">
        <v>145</v>
      </c>
      <c r="J1682" s="974" t="s">
        <v>12</v>
      </c>
    </row>
    <row r="1683" spans="1:10" ht="24" thickBot="1" x14ac:dyDescent="0.35">
      <c r="A1683" s="937"/>
      <c r="B1683" s="940"/>
      <c r="C1683" s="943"/>
      <c r="D1683" s="943"/>
      <c r="E1683" s="976">
        <v>44523</v>
      </c>
      <c r="F1683" s="977"/>
      <c r="G1683" s="978"/>
      <c r="H1683" s="971"/>
      <c r="I1683" s="973"/>
      <c r="J1683" s="975"/>
    </row>
    <row r="1684" spans="1:10" ht="23.4" x14ac:dyDescent="0.3">
      <c r="A1684" s="271" t="s">
        <v>111</v>
      </c>
      <c r="B1684" s="922" t="s">
        <v>16</v>
      </c>
      <c r="C1684" s="272" t="s">
        <v>186</v>
      </c>
      <c r="D1684" s="272" t="s">
        <v>184</v>
      </c>
      <c r="E1684" s="515">
        <v>81.360699999999994</v>
      </c>
      <c r="F1684" s="408">
        <f>IFERROR(E1684*'01 Prod Physique Boites'!H1669,"-")</f>
        <v>0</v>
      </c>
      <c r="G1684" s="408">
        <f>IFERROR(E1684*'01 Prod Physique Boites'!L1669,"-")</f>
        <v>0</v>
      </c>
      <c r="H1684" s="387">
        <v>0</v>
      </c>
      <c r="I1684" s="425">
        <f>IFERROR(H1684*(F1684/E1684),"-")</f>
        <v>0</v>
      </c>
      <c r="J1684" s="426">
        <f t="shared" ref="J1684:J1686" si="1114">IFERROR(H1684*(G1684/E1684),"-")</f>
        <v>0</v>
      </c>
    </row>
    <row r="1685" spans="1:10" ht="23.4" x14ac:dyDescent="0.3">
      <c r="A1685" s="277" t="s">
        <v>111</v>
      </c>
      <c r="B1685" s="923"/>
      <c r="C1685" s="278" t="s">
        <v>190</v>
      </c>
      <c r="D1685" s="278" t="s">
        <v>101</v>
      </c>
      <c r="E1685" s="516">
        <v>81.360699999999994</v>
      </c>
      <c r="F1685" s="408">
        <f>IFERROR(E1685*'01 Prod Physique Boites'!H1670,"-")</f>
        <v>0</v>
      </c>
      <c r="G1685" s="408">
        <f>IFERROR(E1685*'01 Prod Physique Boites'!L1670,"-")</f>
        <v>0</v>
      </c>
      <c r="H1685" s="391">
        <v>0</v>
      </c>
      <c r="I1685" s="425">
        <f>IFERROR(H1685*(F1685/E1685),"-")</f>
        <v>0</v>
      </c>
      <c r="J1685" s="426">
        <f t="shared" si="1114"/>
        <v>0</v>
      </c>
    </row>
    <row r="1686" spans="1:10" ht="23.4" x14ac:dyDescent="0.3">
      <c r="A1686" s="277" t="s">
        <v>111</v>
      </c>
      <c r="B1686" s="923"/>
      <c r="C1686" s="278" t="s">
        <v>187</v>
      </c>
      <c r="D1686" s="278" t="s">
        <v>185</v>
      </c>
      <c r="E1686" s="516">
        <v>55.476900000000001</v>
      </c>
      <c r="F1686" s="408">
        <f>IFERROR(E1686*'01 Prod Physique Boites'!H1671,"-")</f>
        <v>0</v>
      </c>
      <c r="G1686" s="408">
        <f>IFERROR(E1686*'01 Prod Physique Boites'!L1671,"-")</f>
        <v>0</v>
      </c>
      <c r="H1686" s="391">
        <v>0</v>
      </c>
      <c r="I1686" s="425">
        <f>IFERROR(H1686*(F1686/E1686),"-")</f>
        <v>0</v>
      </c>
      <c r="J1686" s="426">
        <f t="shared" si="1114"/>
        <v>0</v>
      </c>
    </row>
    <row r="1687" spans="1:10" ht="24" thickBot="1" x14ac:dyDescent="0.35">
      <c r="A1687" s="277" t="s">
        <v>111</v>
      </c>
      <c r="B1687" s="924"/>
      <c r="C1687" s="282" t="s">
        <v>289</v>
      </c>
      <c r="D1687" s="282" t="s">
        <v>256</v>
      </c>
      <c r="E1687" s="512">
        <v>60.703499999999998</v>
      </c>
      <c r="F1687" s="408">
        <f>IFERROR(E1687*'01 Prod Physique Boites'!H1672,"-")</f>
        <v>0</v>
      </c>
      <c r="G1687" s="408">
        <f>IFERROR(E1687*'01 Prod Physique Boites'!L1672,"-")</f>
        <v>6314135.2560000001</v>
      </c>
      <c r="H1687" s="393">
        <v>111.0883</v>
      </c>
      <c r="I1687" s="425">
        <f>IFERROR(H1687*(F1687/E1687),"-")</f>
        <v>0</v>
      </c>
      <c r="J1687" s="426">
        <f>IFERROR(H1687*(G1687/E1687),"-")</f>
        <v>11554960.6128</v>
      </c>
    </row>
    <row r="1688" spans="1:10" ht="24" thickBot="1" x14ac:dyDescent="0.35">
      <c r="A1688" s="277" t="s">
        <v>111</v>
      </c>
      <c r="B1688" s="906" t="s">
        <v>47</v>
      </c>
      <c r="C1688" s="907"/>
      <c r="D1688" s="908"/>
      <c r="E1688" s="396"/>
      <c r="F1688" s="412">
        <f t="shared" ref="F1688" si="1115">SUM(F1684:F1687)</f>
        <v>0</v>
      </c>
      <c r="G1688" s="413">
        <f>SUM(G1684:G1687)</f>
        <v>6314135.2560000001</v>
      </c>
      <c r="H1688" s="397"/>
      <c r="I1688" s="412">
        <f t="shared" ref="I1688:J1688" si="1116">SUM(I1684:I1687)</f>
        <v>0</v>
      </c>
      <c r="J1688" s="431">
        <f t="shared" si="1116"/>
        <v>11554960.6128</v>
      </c>
    </row>
    <row r="1689" spans="1:10" ht="23.4" x14ac:dyDescent="0.3">
      <c r="A1689" s="277" t="s">
        <v>111</v>
      </c>
      <c r="B1689" s="922" t="s">
        <v>17</v>
      </c>
      <c r="C1689" s="272" t="s">
        <v>331</v>
      </c>
      <c r="D1689" s="272"/>
      <c r="E1689" s="515">
        <v>12.5275</v>
      </c>
      <c r="F1689" s="408">
        <f>IFERROR(E1689*'01 Prod Physique Boites'!H1674,"-")</f>
        <v>0</v>
      </c>
      <c r="G1689" s="408">
        <f>IFERROR(E1689*'01 Prod Physique Boites'!L1674,"-")</f>
        <v>0</v>
      </c>
      <c r="H1689" s="387">
        <v>18.836400000000001</v>
      </c>
      <c r="I1689" s="425">
        <f t="shared" ref="I1689:I1695" si="1117">IFERROR(H1689*(F1689/E1689),"-")</f>
        <v>0</v>
      </c>
      <c r="J1689" s="426">
        <f t="shared" ref="J1689:J1694" si="1118">IFERROR(H1689*(G1689/E1689),"-")</f>
        <v>0</v>
      </c>
    </row>
    <row r="1690" spans="1:10" ht="23.4" x14ac:dyDescent="0.3">
      <c r="A1690" s="277" t="s">
        <v>111</v>
      </c>
      <c r="B1690" s="923"/>
      <c r="C1690" s="278" t="s">
        <v>421</v>
      </c>
      <c r="D1690" s="278" t="s">
        <v>257</v>
      </c>
      <c r="E1690" s="516">
        <v>13.002700000000001</v>
      </c>
      <c r="F1690" s="408">
        <f>IFERROR(E1690*'01 Prod Physique Boites'!H1675,"-")</f>
        <v>2387295.7200000002</v>
      </c>
      <c r="G1690" s="408">
        <f>IFERROR(E1690*'01 Prod Physique Boites'!L1675,"-")</f>
        <v>11011505.530100001</v>
      </c>
      <c r="H1690" s="811">
        <v>21.18</v>
      </c>
      <c r="I1690" s="427">
        <f t="shared" si="1117"/>
        <v>3888648</v>
      </c>
      <c r="J1690" s="428">
        <f t="shared" si="1118"/>
        <v>17936558.34</v>
      </c>
    </row>
    <row r="1691" spans="1:10" ht="23.4" x14ac:dyDescent="0.3">
      <c r="A1691" s="277" t="s">
        <v>111</v>
      </c>
      <c r="B1691" s="923"/>
      <c r="C1691" s="278" t="s">
        <v>441</v>
      </c>
      <c r="D1691" s="278" t="s">
        <v>205</v>
      </c>
      <c r="E1691" s="516">
        <v>12.9049</v>
      </c>
      <c r="F1691" s="408">
        <f>IFERROR(E1691*'01 Prod Physique Boites'!H1676,"-")</f>
        <v>0</v>
      </c>
      <c r="G1691" s="408">
        <f>IFERROR(E1691*'01 Prod Physique Boites'!L1676,"-")</f>
        <v>0</v>
      </c>
      <c r="H1691" s="391">
        <v>20.6602</v>
      </c>
      <c r="I1691" s="427">
        <f t="shared" si="1117"/>
        <v>0</v>
      </c>
      <c r="J1691" s="428">
        <f t="shared" si="1118"/>
        <v>0</v>
      </c>
    </row>
    <row r="1692" spans="1:10" ht="23.4" x14ac:dyDescent="0.3">
      <c r="A1692" s="277" t="s">
        <v>111</v>
      </c>
      <c r="B1692" s="923"/>
      <c r="C1692" s="278" t="s">
        <v>330</v>
      </c>
      <c r="D1692" s="278" t="s">
        <v>206</v>
      </c>
      <c r="E1692" s="516">
        <v>13.078200000000001</v>
      </c>
      <c r="F1692" s="408">
        <f>IFERROR(E1692*'01 Prod Physique Boites'!H1677,"-")</f>
        <v>0</v>
      </c>
      <c r="G1692" s="408">
        <f>IFERROR(E1692*'01 Prod Physique Boites'!L1677,"-")</f>
        <v>24011.575200000003</v>
      </c>
      <c r="H1692" s="811">
        <v>20.66</v>
      </c>
      <c r="I1692" s="427">
        <f t="shared" si="1117"/>
        <v>0</v>
      </c>
      <c r="J1692" s="428">
        <f t="shared" si="1118"/>
        <v>37931.760000000002</v>
      </c>
    </row>
    <row r="1693" spans="1:10" ht="23.4" x14ac:dyDescent="0.3">
      <c r="A1693" s="277" t="s">
        <v>111</v>
      </c>
      <c r="B1693" s="923"/>
      <c r="C1693" s="278" t="s">
        <v>377</v>
      </c>
      <c r="D1693" s="278" t="s">
        <v>371</v>
      </c>
      <c r="E1693" s="516">
        <v>13.1958</v>
      </c>
      <c r="F1693" s="408">
        <f>IFERROR(E1693*'01 Prod Physique Boites'!H1678,"-")</f>
        <v>0</v>
      </c>
      <c r="G1693" s="408">
        <f>IFERROR(E1693*'01 Prod Physique Boites'!L1678,"-")</f>
        <v>140007.43799999999</v>
      </c>
      <c r="H1693" s="811">
        <v>21.28</v>
      </c>
      <c r="I1693" s="427">
        <f t="shared" si="1117"/>
        <v>0</v>
      </c>
      <c r="J1693" s="428">
        <f t="shared" si="1118"/>
        <v>225780.80000000002</v>
      </c>
    </row>
    <row r="1694" spans="1:10" ht="23.4" x14ac:dyDescent="0.3">
      <c r="A1694" s="277" t="s">
        <v>111</v>
      </c>
      <c r="B1694" s="923"/>
      <c r="C1694" s="278" t="s">
        <v>443</v>
      </c>
      <c r="D1694" s="278" t="s">
        <v>207</v>
      </c>
      <c r="E1694" s="516">
        <v>12.9049</v>
      </c>
      <c r="F1694" s="408">
        <f>IFERROR(E1694*'01 Prod Physique Boites'!H1679,"-")</f>
        <v>473867.92799999996</v>
      </c>
      <c r="G1694" s="408">
        <f>IFERROR(E1694*'01 Prod Physique Boites'!L1679,"-")</f>
        <v>6239261.0520000001</v>
      </c>
      <c r="H1694" s="812">
        <v>20.5</v>
      </c>
      <c r="I1694" s="427">
        <f t="shared" si="1117"/>
        <v>752760</v>
      </c>
      <c r="J1694" s="428">
        <f t="shared" si="1118"/>
        <v>9911340</v>
      </c>
    </row>
    <row r="1695" spans="1:10" ht="24" thickBot="1" x14ac:dyDescent="0.35">
      <c r="A1695" s="277" t="s">
        <v>111</v>
      </c>
      <c r="B1695" s="924"/>
      <c r="C1695" s="282" t="s">
        <v>416</v>
      </c>
      <c r="D1695" s="282" t="s">
        <v>189</v>
      </c>
      <c r="E1695" s="512">
        <v>13.6509</v>
      </c>
      <c r="F1695" s="408">
        <f>IFERROR(E1695*'01 Prod Physique Boites'!H1680,"-")</f>
        <v>0</v>
      </c>
      <c r="G1695" s="408">
        <f>IFERROR(E1695*'01 Prod Physique Boites'!L1680,"-")</f>
        <v>1002522.096</v>
      </c>
      <c r="H1695" s="813">
        <v>21.18</v>
      </c>
      <c r="I1695" s="429">
        <f t="shared" si="1117"/>
        <v>0</v>
      </c>
      <c r="J1695" s="430">
        <f>IFERROR(H1695*(G1695/E1695),"-")</f>
        <v>1555459.2</v>
      </c>
    </row>
    <row r="1696" spans="1:10" ht="24" thickBot="1" x14ac:dyDescent="0.35">
      <c r="A1696" s="277" t="s">
        <v>111</v>
      </c>
      <c r="B1696" s="906" t="s">
        <v>48</v>
      </c>
      <c r="C1696" s="907"/>
      <c r="D1696" s="908"/>
      <c r="E1696" s="396"/>
      <c r="F1696" s="412">
        <f t="shared" ref="F1696" si="1119">SUM(F1689:F1695)</f>
        <v>2861163.648</v>
      </c>
      <c r="G1696" s="413">
        <f>SUM(G1689:G1695)</f>
        <v>18417307.691300001</v>
      </c>
      <c r="H1696" s="397"/>
      <c r="I1696" s="412">
        <f t="shared" ref="I1696" si="1120">SUM(I1689:I1695)</f>
        <v>4641408</v>
      </c>
      <c r="J1696" s="431">
        <f>SUM(J1689:J1695)</f>
        <v>29667070.100000001</v>
      </c>
    </row>
    <row r="1697" spans="1:10" ht="23.4" x14ac:dyDescent="0.3">
      <c r="A1697" s="277" t="s">
        <v>111</v>
      </c>
      <c r="B1697" s="922" t="s">
        <v>18</v>
      </c>
      <c r="C1697" s="272" t="s">
        <v>359</v>
      </c>
      <c r="D1697" s="272" t="s">
        <v>99</v>
      </c>
      <c r="E1697" s="515">
        <v>17.8202</v>
      </c>
      <c r="F1697" s="408">
        <f>IFERROR(E1697*'01 Prod Physique Boites'!H1682,"-")</f>
        <v>0</v>
      </c>
      <c r="G1697" s="409">
        <f>IFERROR(E1697*'01 Prod Physique Boites'!L1682,"-")</f>
        <v>0</v>
      </c>
      <c r="H1697" s="387">
        <v>24.93</v>
      </c>
      <c r="I1697" s="425">
        <f t="shared" ref="I1697:I1703" si="1121">IFERROR(H1697*(F1697/E1697),"-")</f>
        <v>0</v>
      </c>
      <c r="J1697" s="426">
        <f t="shared" ref="J1697:J1699" si="1122">IFERROR(H1697*(G1697/E1697),"-")</f>
        <v>0</v>
      </c>
    </row>
    <row r="1698" spans="1:10" ht="23.4" x14ac:dyDescent="0.3">
      <c r="A1698" s="277" t="s">
        <v>111</v>
      </c>
      <c r="B1698" s="923"/>
      <c r="C1698" s="278" t="s">
        <v>138</v>
      </c>
      <c r="D1698" s="278"/>
      <c r="E1698" s="516">
        <v>17.8202</v>
      </c>
      <c r="F1698" s="408">
        <f>IFERROR(E1698*'01 Prod Physique Boites'!H1683,"-")</f>
        <v>0</v>
      </c>
      <c r="G1698" s="409">
        <f>IFERROR(E1698*'01 Prod Physique Boites'!L1683,"-")</f>
        <v>0</v>
      </c>
      <c r="H1698" s="391">
        <v>0</v>
      </c>
      <c r="I1698" s="427">
        <f t="shared" si="1121"/>
        <v>0</v>
      </c>
      <c r="J1698" s="428">
        <f t="shared" si="1122"/>
        <v>0</v>
      </c>
    </row>
    <row r="1699" spans="1:10" ht="23.4" x14ac:dyDescent="0.3">
      <c r="A1699" s="277" t="s">
        <v>111</v>
      </c>
      <c r="B1699" s="923"/>
      <c r="C1699" s="278" t="s">
        <v>123</v>
      </c>
      <c r="D1699" s="278"/>
      <c r="E1699" s="516">
        <v>16.4071</v>
      </c>
      <c r="F1699" s="408">
        <f>IFERROR(E1699*'01 Prod Physique Boites'!H1684,"-")</f>
        <v>0</v>
      </c>
      <c r="G1699" s="409">
        <f>IFERROR(E1699*'01 Prod Physique Boites'!L1684,"-")</f>
        <v>0</v>
      </c>
      <c r="H1699" s="391">
        <v>0</v>
      </c>
      <c r="I1699" s="427">
        <f t="shared" si="1121"/>
        <v>0</v>
      </c>
      <c r="J1699" s="428">
        <f t="shared" si="1122"/>
        <v>0</v>
      </c>
    </row>
    <row r="1700" spans="1:10" ht="23.4" x14ac:dyDescent="0.3">
      <c r="A1700" s="277" t="s">
        <v>111</v>
      </c>
      <c r="B1700" s="923"/>
      <c r="C1700" s="278" t="s">
        <v>130</v>
      </c>
      <c r="D1700" s="278"/>
      <c r="E1700" s="516">
        <v>17.8202</v>
      </c>
      <c r="F1700" s="408">
        <f>IFERROR(E1700*'01 Prod Physique Boites'!H1685,"-")</f>
        <v>0</v>
      </c>
      <c r="G1700" s="409">
        <f>IFERROR(E1700*'01 Prod Physique Boites'!L1685,"-")</f>
        <v>0</v>
      </c>
      <c r="H1700" s="391">
        <v>0</v>
      </c>
      <c r="I1700" s="427">
        <f t="shared" si="1121"/>
        <v>0</v>
      </c>
      <c r="J1700" s="428">
        <f>IFERROR(H1700*(G1700/E1700),"-")</f>
        <v>0</v>
      </c>
    </row>
    <row r="1701" spans="1:10" ht="23.4" x14ac:dyDescent="0.3">
      <c r="A1701" s="277" t="s">
        <v>111</v>
      </c>
      <c r="B1701" s="923"/>
      <c r="C1701" s="278" t="s">
        <v>191</v>
      </c>
      <c r="D1701" s="278" t="s">
        <v>192</v>
      </c>
      <c r="E1701" s="516">
        <v>17.8202</v>
      </c>
      <c r="F1701" s="408">
        <f>IFERROR(E1701*'01 Prod Physique Boites'!H1686,"-")</f>
        <v>0</v>
      </c>
      <c r="G1701" s="409">
        <f>IFERROR(E1701*'01 Prod Physique Boites'!L1686,"-")</f>
        <v>0</v>
      </c>
      <c r="H1701" s="391">
        <v>0</v>
      </c>
      <c r="I1701" s="427">
        <f t="shared" si="1121"/>
        <v>0</v>
      </c>
      <c r="J1701" s="428">
        <f t="shared" ref="J1701:J1703" si="1123">IFERROR(H1701*(G1701/E1701),"-")</f>
        <v>0</v>
      </c>
    </row>
    <row r="1702" spans="1:10" ht="23.4" x14ac:dyDescent="0.3">
      <c r="A1702" s="277" t="s">
        <v>111</v>
      </c>
      <c r="B1702" s="923"/>
      <c r="C1702" s="278" t="s">
        <v>194</v>
      </c>
      <c r="D1702" s="278" t="s">
        <v>193</v>
      </c>
      <c r="E1702" s="516">
        <v>16.7288</v>
      </c>
      <c r="F1702" s="408">
        <f>IFERROR(E1702*'01 Prod Physique Boites'!H1687,"-")</f>
        <v>0</v>
      </c>
      <c r="G1702" s="409">
        <f>IFERROR(E1702*'01 Prod Physique Boites'!L1687,"-")</f>
        <v>0</v>
      </c>
      <c r="H1702" s="391">
        <v>0</v>
      </c>
      <c r="I1702" s="427">
        <f t="shared" si="1121"/>
        <v>0</v>
      </c>
      <c r="J1702" s="428">
        <f t="shared" si="1123"/>
        <v>0</v>
      </c>
    </row>
    <row r="1703" spans="1:10" ht="24" thickBot="1" x14ac:dyDescent="0.35">
      <c r="A1703" s="277" t="s">
        <v>111</v>
      </c>
      <c r="B1703" s="924"/>
      <c r="C1703" s="290" t="s">
        <v>195</v>
      </c>
      <c r="D1703" s="290" t="s">
        <v>115</v>
      </c>
      <c r="E1703" s="512">
        <v>17.8202</v>
      </c>
      <c r="F1703" s="408">
        <f>IFERROR(E1703*'01 Prod Physique Boites'!H1688,"-")</f>
        <v>0</v>
      </c>
      <c r="G1703" s="409">
        <f>IFERROR(E1703*'01 Prod Physique Boites'!L1688,"-")</f>
        <v>0</v>
      </c>
      <c r="H1703" s="391">
        <v>0</v>
      </c>
      <c r="I1703" s="429">
        <f t="shared" si="1121"/>
        <v>0</v>
      </c>
      <c r="J1703" s="430">
        <f t="shared" si="1123"/>
        <v>0</v>
      </c>
    </row>
    <row r="1704" spans="1:10" ht="24" thickBot="1" x14ac:dyDescent="0.35">
      <c r="A1704" s="277" t="s">
        <v>111</v>
      </c>
      <c r="B1704" s="906" t="s">
        <v>29</v>
      </c>
      <c r="C1704" s="907"/>
      <c r="D1704" s="908"/>
      <c r="E1704" s="777"/>
      <c r="F1704" s="778">
        <f t="shared" ref="F1704:G1704" si="1124">SUM(F1697:F1703)</f>
        <v>0</v>
      </c>
      <c r="G1704" s="413">
        <f t="shared" si="1124"/>
        <v>0</v>
      </c>
      <c r="H1704" s="397"/>
      <c r="I1704" s="412">
        <f t="shared" ref="I1704:J1704" si="1125">SUM(I1697:I1703)</f>
        <v>0</v>
      </c>
      <c r="J1704" s="431">
        <f t="shared" si="1125"/>
        <v>0</v>
      </c>
    </row>
    <row r="1705" spans="1:10" ht="23.4" x14ac:dyDescent="0.3">
      <c r="A1705" s="277"/>
      <c r="B1705" s="918" t="s">
        <v>19</v>
      </c>
      <c r="C1705" s="779" t="s">
        <v>260</v>
      </c>
      <c r="D1705" s="785" t="s">
        <v>192</v>
      </c>
      <c r="E1705" s="786">
        <v>12.2659</v>
      </c>
      <c r="F1705" s="787">
        <f>IFERROR(E1705*'01 Prod Physique Boites'!H1690,"-")</f>
        <v>0</v>
      </c>
      <c r="G1705" s="788">
        <f>IFERROR(E1705*'01 Prod Physique Boites'!L1690,"-")</f>
        <v>4024662.5762</v>
      </c>
      <c r="H1705" s="782">
        <v>14.79</v>
      </c>
      <c r="I1705" s="703">
        <f t="shared" ref="I1705:I1707" si="1126">IFERROR(H1705*(F1705/E1705),"-")</f>
        <v>0</v>
      </c>
      <c r="J1705" s="703">
        <f>IFERROR(H1705*(G1705/E1705),"-")</f>
        <v>4852865.22</v>
      </c>
    </row>
    <row r="1706" spans="1:10" ht="23.4" x14ac:dyDescent="0.3">
      <c r="A1706" s="277"/>
      <c r="B1706" s="919"/>
      <c r="C1706" s="780" t="s">
        <v>458</v>
      </c>
      <c r="D1706" s="789"/>
      <c r="E1706" s="762">
        <v>12.2659</v>
      </c>
      <c r="F1706" s="763">
        <f>IFERROR(E1706*'01 Prod Physique Boites'!H1691,"-")</f>
        <v>621733.93920000002</v>
      </c>
      <c r="G1706" s="663">
        <f>IFERROR(E1706*'01 Prod Physique Boites'!L1691,"-")</f>
        <v>4973871.5136000002</v>
      </c>
      <c r="H1706" s="783">
        <v>14.79</v>
      </c>
      <c r="I1706" s="763">
        <f t="shared" si="1126"/>
        <v>749675.5199999999</v>
      </c>
      <c r="J1706" s="763">
        <f>IFERROR(H1706*(G1706/E1706),"-")</f>
        <v>5997404.1599999992</v>
      </c>
    </row>
    <row r="1707" spans="1:10" ht="24" thickBot="1" x14ac:dyDescent="0.35">
      <c r="A1707" s="845" t="s">
        <v>111</v>
      </c>
      <c r="B1707" s="920"/>
      <c r="C1707" s="781" t="s">
        <v>417</v>
      </c>
      <c r="D1707" s="790"/>
      <c r="E1707" s="791">
        <v>0</v>
      </c>
      <c r="F1707" s="792">
        <f>IFERROR(E1707*'01 Prod Physique Boites'!H1692,"-")</f>
        <v>0</v>
      </c>
      <c r="G1707" s="793">
        <f>IFERROR(E1707*'01 Prod Physique Boites'!L1692,"-")</f>
        <v>0</v>
      </c>
      <c r="H1707" s="784">
        <v>0</v>
      </c>
      <c r="I1707" s="432" t="str">
        <f t="shared" si="1126"/>
        <v>-</v>
      </c>
      <c r="J1707" s="433" t="str">
        <f t="shared" ref="J1707" si="1127">IFERROR(I1707*(G1707/F1707),"-")</f>
        <v>-</v>
      </c>
    </row>
    <row r="1708" spans="1:10" ht="24" thickBot="1" x14ac:dyDescent="0.35">
      <c r="A1708" s="277" t="s">
        <v>111</v>
      </c>
      <c r="B1708" s="906" t="s">
        <v>49</v>
      </c>
      <c r="C1708" s="907"/>
      <c r="D1708" s="908"/>
      <c r="E1708" s="396"/>
      <c r="F1708" s="412">
        <f>SUM(F1705:F1707)</f>
        <v>621733.93920000002</v>
      </c>
      <c r="G1708" s="412">
        <f>SUM(G1705:G1707)</f>
        <v>8998534.0898000002</v>
      </c>
      <c r="H1708" s="397"/>
      <c r="I1708" s="412">
        <f t="shared" ref="I1708" si="1128">SUM(I1707)</f>
        <v>0</v>
      </c>
      <c r="J1708" s="431">
        <f>SUM(J1705:J1707)</f>
        <v>10850269.379999999</v>
      </c>
    </row>
    <row r="1709" spans="1:10" ht="23.4" x14ac:dyDescent="0.3">
      <c r="A1709" s="277" t="s">
        <v>111</v>
      </c>
      <c r="B1709" s="922" t="s">
        <v>20</v>
      </c>
      <c r="C1709" s="297" t="s">
        <v>370</v>
      </c>
      <c r="D1709" s="297" t="s">
        <v>324</v>
      </c>
      <c r="E1709" s="515">
        <v>26.032900000000001</v>
      </c>
      <c r="F1709" s="408">
        <f>IFERROR(E1709*'01 Prod Physique Boites'!H1694,"-")</f>
        <v>0</v>
      </c>
      <c r="G1709" s="409">
        <f>IFERROR(E1709*'01 Prod Physique Boites'!L1694,"-")</f>
        <v>0</v>
      </c>
      <c r="H1709" s="387">
        <v>36.44</v>
      </c>
      <c r="I1709" s="425">
        <f>IFERROR(H1709*(F1709/E1709),"-")</f>
        <v>0</v>
      </c>
      <c r="J1709" s="426">
        <f t="shared" ref="J1709:J1711" si="1129">IFERROR(H1709*(G1709/E1709),"-")</f>
        <v>0</v>
      </c>
    </row>
    <row r="1710" spans="1:10" ht="23.4" x14ac:dyDescent="0.3">
      <c r="A1710" s="277" t="s">
        <v>111</v>
      </c>
      <c r="B1710" s="923"/>
      <c r="C1710" s="298" t="s">
        <v>122</v>
      </c>
      <c r="D1710" s="298"/>
      <c r="E1710" s="390">
        <v>24.2607</v>
      </c>
      <c r="F1710" s="408">
        <f>IFERROR(E1710*'01 Prod Physique Boites'!H1695,"-")</f>
        <v>0</v>
      </c>
      <c r="G1710" s="409">
        <f>IFERROR(E1710*'01 Prod Physique Boites'!L1695,"-")</f>
        <v>0</v>
      </c>
      <c r="H1710" s="391">
        <v>37.369999999999997</v>
      </c>
      <c r="I1710" s="427">
        <f>IFERROR(H1710*(F1710/E1710),"-")</f>
        <v>0</v>
      </c>
      <c r="J1710" s="428">
        <f t="shared" si="1129"/>
        <v>0</v>
      </c>
    </row>
    <row r="1711" spans="1:10" ht="24" thickBot="1" x14ac:dyDescent="0.35">
      <c r="A1711" s="277" t="s">
        <v>111</v>
      </c>
      <c r="B1711" s="924"/>
      <c r="C1711" s="299" t="s">
        <v>128</v>
      </c>
      <c r="D1711" s="299"/>
      <c r="E1711" s="392">
        <v>26.035799999999998</v>
      </c>
      <c r="F1711" s="408">
        <f>IFERROR(E1711*'01 Prod Physique Boites'!H1696,"-")</f>
        <v>0</v>
      </c>
      <c r="G1711" s="409">
        <f>IFERROR(E1711*'01 Prod Physique Boites'!L1696,"-")</f>
        <v>0</v>
      </c>
      <c r="H1711" s="393">
        <v>37.11</v>
      </c>
      <c r="I1711" s="429">
        <f>IFERROR(H1711*(F1711/E1711),"-")</f>
        <v>0</v>
      </c>
      <c r="J1711" s="430">
        <f t="shared" si="1129"/>
        <v>0</v>
      </c>
    </row>
    <row r="1712" spans="1:10" ht="24" thickBot="1" x14ac:dyDescent="0.35">
      <c r="A1712" s="277" t="s">
        <v>111</v>
      </c>
      <c r="B1712" s="907" t="s">
        <v>50</v>
      </c>
      <c r="C1712" s="907"/>
      <c r="D1712" s="925"/>
      <c r="E1712" s="396"/>
      <c r="F1712" s="412">
        <f t="shared" ref="F1712:G1712" si="1130">SUM(F1709:F1711)</f>
        <v>0</v>
      </c>
      <c r="G1712" s="413">
        <f t="shared" si="1130"/>
        <v>0</v>
      </c>
      <c r="H1712" s="397"/>
      <c r="I1712" s="412">
        <f t="shared" ref="I1712:J1712" si="1131">SUM(I1709:I1711)</f>
        <v>0</v>
      </c>
      <c r="J1712" s="431">
        <f t="shared" si="1131"/>
        <v>0</v>
      </c>
    </row>
    <row r="1713" spans="1:10" ht="24" thickBot="1" x14ac:dyDescent="0.35">
      <c r="A1713" s="277" t="s">
        <v>111</v>
      </c>
      <c r="B1713" s="926" t="s">
        <v>21</v>
      </c>
      <c r="C1713" s="927"/>
      <c r="D1713" s="928"/>
      <c r="E1713" s="399"/>
      <c r="F1713" s="416">
        <f>+F1688+F1696+F1704+F1708+F1712</f>
        <v>3482897.5872</v>
      </c>
      <c r="G1713" s="417">
        <f>+G1688+G1696+G1704+G1708+G1712</f>
        <v>33729977.037100002</v>
      </c>
      <c r="H1713" s="400"/>
      <c r="I1713" s="416">
        <f>+I1688+I1696+I1704+I1708+I1712</f>
        <v>4641408</v>
      </c>
      <c r="J1713" s="434">
        <f>+J1688+J1696+J1704+J1708+J1712</f>
        <v>52072300.092800006</v>
      </c>
    </row>
    <row r="1714" spans="1:10" ht="23.4" x14ac:dyDescent="0.3">
      <c r="A1714" s="277" t="s">
        <v>111</v>
      </c>
      <c r="B1714" s="922" t="s">
        <v>22</v>
      </c>
      <c r="C1714" s="272" t="s">
        <v>133</v>
      </c>
      <c r="D1714" s="272"/>
      <c r="E1714" s="386">
        <v>22.820599999999999</v>
      </c>
      <c r="F1714" s="408">
        <f>IFERROR(E1714*'01 Prod Physique Boites'!H1699,"-")</f>
        <v>0</v>
      </c>
      <c r="G1714" s="409">
        <f>IFERROR(E1714*'01 Prod Physique Boites'!L1699,"-")</f>
        <v>0</v>
      </c>
      <c r="H1714" s="387">
        <v>27.5</v>
      </c>
      <c r="I1714" s="425">
        <f>IFERROR(H1714*(F1714/E1714),"-")</f>
        <v>0</v>
      </c>
      <c r="J1714" s="426">
        <f t="shared" ref="J1714:J1717" si="1132">IFERROR(H1714*(G1714/E1714),"-")</f>
        <v>0</v>
      </c>
    </row>
    <row r="1715" spans="1:10" ht="23.4" x14ac:dyDescent="0.3">
      <c r="A1715" s="277" t="s">
        <v>111</v>
      </c>
      <c r="B1715" s="923"/>
      <c r="C1715" s="301" t="s">
        <v>291</v>
      </c>
      <c r="D1715" s="301" t="s">
        <v>196</v>
      </c>
      <c r="E1715" s="390">
        <v>23.570699999999999</v>
      </c>
      <c r="F1715" s="408">
        <f>IFERROR(E1715*'01 Prod Physique Boites'!H1700,"-")</f>
        <v>0</v>
      </c>
      <c r="G1715" s="409">
        <f>IFERROR(E1715*'01 Prod Physique Boites'!L1700,"-")</f>
        <v>0</v>
      </c>
      <c r="H1715" s="391">
        <v>27.5</v>
      </c>
      <c r="I1715" s="427">
        <f>IFERROR(H1715*(F1715/E1715),"-")</f>
        <v>0</v>
      </c>
      <c r="J1715" s="428">
        <f t="shared" si="1132"/>
        <v>0</v>
      </c>
    </row>
    <row r="1716" spans="1:10" ht="23.4" x14ac:dyDescent="0.3">
      <c r="A1716" s="277" t="s">
        <v>111</v>
      </c>
      <c r="B1716" s="923"/>
      <c r="C1716" s="301" t="s">
        <v>473</v>
      </c>
      <c r="D1716" s="301" t="s">
        <v>196</v>
      </c>
      <c r="E1716" s="390">
        <v>22.820599999999999</v>
      </c>
      <c r="F1716" s="408">
        <f>IFERROR(E1716*'01 Prod Physique Boites'!H1701,"-")</f>
        <v>1897761.0959999999</v>
      </c>
      <c r="G1716" s="409">
        <f>IFERROR(E1716*'01 Prod Physique Boites'!L1701,"-")</f>
        <v>5738468.0759999994</v>
      </c>
      <c r="H1716" s="391">
        <v>24</v>
      </c>
      <c r="I1716" s="427">
        <f>IFERROR(H1716*(F1716/E1716),"-")</f>
        <v>1995840</v>
      </c>
      <c r="J1716" s="428">
        <f t="shared" si="1132"/>
        <v>6035040</v>
      </c>
    </row>
    <row r="1717" spans="1:10" ht="24" thickBot="1" x14ac:dyDescent="0.35">
      <c r="A1717" s="277" t="s">
        <v>111</v>
      </c>
      <c r="B1717" s="924"/>
      <c r="C1717" s="282" t="s">
        <v>197</v>
      </c>
      <c r="D1717" s="282" t="s">
        <v>100</v>
      </c>
      <c r="E1717" s="392">
        <v>23.5685</v>
      </c>
      <c r="F1717" s="408">
        <f>IFERROR(E1717*'01 Prod Physique Boites'!H1702,"-")</f>
        <v>0</v>
      </c>
      <c r="G1717" s="409">
        <f>IFERROR(E1717*'01 Prod Physique Boites'!L1702,"-")</f>
        <v>0</v>
      </c>
      <c r="H1717" s="393">
        <v>24</v>
      </c>
      <c r="I1717" s="429">
        <f>IFERROR(H1717*(F1717/E1717),"-")</f>
        <v>0</v>
      </c>
      <c r="J1717" s="430">
        <f t="shared" si="1132"/>
        <v>0</v>
      </c>
    </row>
    <row r="1718" spans="1:10" ht="24" thickBot="1" x14ac:dyDescent="0.35">
      <c r="A1718" s="277" t="s">
        <v>111</v>
      </c>
      <c r="B1718" s="906" t="s">
        <v>51</v>
      </c>
      <c r="C1718" s="907"/>
      <c r="D1718" s="908"/>
      <c r="E1718" s="396"/>
      <c r="F1718" s="412">
        <f t="shared" ref="F1718:G1718" si="1133">SUM(F1714:F1717)</f>
        <v>1897761.0959999999</v>
      </c>
      <c r="G1718" s="413">
        <f t="shared" si="1133"/>
        <v>5738468.0759999994</v>
      </c>
      <c r="H1718" s="397"/>
      <c r="I1718" s="412">
        <f t="shared" ref="I1718:J1718" si="1134">SUM(I1714:I1717)</f>
        <v>1995840</v>
      </c>
      <c r="J1718" s="431">
        <f t="shared" si="1134"/>
        <v>6035040</v>
      </c>
    </row>
    <row r="1719" spans="1:10" ht="23.4" x14ac:dyDescent="0.3">
      <c r="A1719" s="277" t="s">
        <v>111</v>
      </c>
      <c r="B1719" s="922" t="s">
        <v>23</v>
      </c>
      <c r="C1719" s="302" t="s">
        <v>348</v>
      </c>
      <c r="D1719" s="302" t="s">
        <v>263</v>
      </c>
      <c r="E1719" s="386">
        <v>101.4935</v>
      </c>
      <c r="F1719" s="408">
        <f>IFERROR(E1719*'01 Prod Physique Boites'!H1704,"-")</f>
        <v>0</v>
      </c>
      <c r="G1719" s="409">
        <f>IFERROR(E1719*'01 Prod Physique Boites'!L1704,"-")</f>
        <v>0</v>
      </c>
      <c r="H1719" s="391">
        <v>160.44999999999999</v>
      </c>
      <c r="I1719" s="425">
        <f t="shared" ref="I1719:I1726" si="1135">IFERROR(H1719*(F1719/E1719),"-")</f>
        <v>0</v>
      </c>
      <c r="J1719" s="426">
        <f t="shared" ref="J1719:J1726" si="1136">IFERROR(H1719*(G1719/E1719),"-")</f>
        <v>0</v>
      </c>
    </row>
    <row r="1720" spans="1:10" ht="23.4" x14ac:dyDescent="0.3">
      <c r="A1720" s="277" t="s">
        <v>111</v>
      </c>
      <c r="B1720" s="923"/>
      <c r="C1720" s="278" t="s">
        <v>24</v>
      </c>
      <c r="D1720" s="278" t="s">
        <v>263</v>
      </c>
      <c r="E1720" s="390">
        <v>101.4935</v>
      </c>
      <c r="F1720" s="408">
        <f>IFERROR(E1720*'01 Prod Physique Boites'!H1705,"-")</f>
        <v>559736.65249999997</v>
      </c>
      <c r="G1720" s="409">
        <f>IFERROR(E1720*'01 Prod Physique Boites'!L1705,"-")</f>
        <v>11408275.374</v>
      </c>
      <c r="H1720" s="391">
        <v>160.44999999999999</v>
      </c>
      <c r="I1720" s="427">
        <f t="shared" si="1135"/>
        <v>884881.74999999988</v>
      </c>
      <c r="J1720" s="428">
        <f t="shared" si="1136"/>
        <v>18035221.799999997</v>
      </c>
    </row>
    <row r="1721" spans="1:10" ht="23.4" x14ac:dyDescent="0.3">
      <c r="A1721" s="277" t="s">
        <v>111</v>
      </c>
      <c r="B1721" s="923"/>
      <c r="C1721" s="278" t="s">
        <v>261</v>
      </c>
      <c r="D1721" s="278" t="s">
        <v>263</v>
      </c>
      <c r="E1721" s="390">
        <v>101.4935</v>
      </c>
      <c r="F1721" s="408">
        <f>IFERROR(E1721*'01 Prod Physique Boites'!H1706,"-")</f>
        <v>0</v>
      </c>
      <c r="G1721" s="409">
        <f>IFERROR(E1721*'01 Prod Physique Boites'!L1706,"-")</f>
        <v>1106380.6435</v>
      </c>
      <c r="H1721" s="391">
        <v>160.44999999999999</v>
      </c>
      <c r="I1721" s="427">
        <f t="shared" si="1135"/>
        <v>0</v>
      </c>
      <c r="J1721" s="428">
        <f t="shared" si="1136"/>
        <v>1749065.45</v>
      </c>
    </row>
    <row r="1722" spans="1:10" ht="23.4" x14ac:dyDescent="0.3">
      <c r="A1722" s="277" t="s">
        <v>111</v>
      </c>
      <c r="B1722" s="923"/>
      <c r="C1722" s="278" t="s">
        <v>262</v>
      </c>
      <c r="D1722" s="278" t="s">
        <v>263</v>
      </c>
      <c r="E1722" s="390">
        <v>101.4935</v>
      </c>
      <c r="F1722" s="408">
        <f>IFERROR(E1722*'01 Prod Physique Boites'!H1707,"-")</f>
        <v>0</v>
      </c>
      <c r="G1722" s="409">
        <f>IFERROR(E1722*'01 Prod Physique Boites'!L1707,"-")</f>
        <v>772568.522</v>
      </c>
      <c r="H1722" s="391">
        <v>160.44999999999999</v>
      </c>
      <c r="I1722" s="427">
        <f t="shared" si="1135"/>
        <v>0</v>
      </c>
      <c r="J1722" s="428">
        <f t="shared" si="1136"/>
        <v>1221345.3999999999</v>
      </c>
    </row>
    <row r="1723" spans="1:10" ht="23.4" x14ac:dyDescent="0.3">
      <c r="A1723" s="277" t="s">
        <v>111</v>
      </c>
      <c r="B1723" s="923"/>
      <c r="C1723" s="301" t="s">
        <v>264</v>
      </c>
      <c r="D1723" s="278" t="s">
        <v>263</v>
      </c>
      <c r="E1723" s="390">
        <v>101.4935</v>
      </c>
      <c r="F1723" s="408">
        <f>IFERROR(E1723*'01 Prod Physique Boites'!H1708,"-")</f>
        <v>0</v>
      </c>
      <c r="G1723" s="409">
        <f>IFERROR(E1723*'01 Prod Physique Boites'!L1708,"-")</f>
        <v>0</v>
      </c>
      <c r="H1723" s="391">
        <v>160.44999999999999</v>
      </c>
      <c r="I1723" s="427">
        <f t="shared" si="1135"/>
        <v>0</v>
      </c>
      <c r="J1723" s="428">
        <f t="shared" si="1136"/>
        <v>0</v>
      </c>
    </row>
    <row r="1724" spans="1:10" ht="23.4" x14ac:dyDescent="0.3">
      <c r="A1724" s="277" t="s">
        <v>111</v>
      </c>
      <c r="B1724" s="923"/>
      <c r="C1724" s="301" t="s">
        <v>265</v>
      </c>
      <c r="D1724" s="278" t="s">
        <v>263</v>
      </c>
      <c r="E1724" s="390">
        <v>101.4935</v>
      </c>
      <c r="F1724" s="408">
        <f>IFERROR(E1724*'01 Prod Physique Boites'!H1709,"-")</f>
        <v>0</v>
      </c>
      <c r="G1724" s="409">
        <f>IFERROR(E1724*'01 Prod Physique Boites'!L1709,"-")</f>
        <v>0</v>
      </c>
      <c r="H1724" s="391">
        <v>160.44999999999999</v>
      </c>
      <c r="I1724" s="427">
        <f t="shared" si="1135"/>
        <v>0</v>
      </c>
      <c r="J1724" s="428">
        <f t="shared" si="1136"/>
        <v>0</v>
      </c>
    </row>
    <row r="1725" spans="1:10" ht="23.4" x14ac:dyDescent="0.3">
      <c r="A1725" s="277" t="s">
        <v>111</v>
      </c>
      <c r="B1725" s="923"/>
      <c r="C1725" s="301" t="s">
        <v>266</v>
      </c>
      <c r="D1725" s="278" t="s">
        <v>268</v>
      </c>
      <c r="E1725" s="390">
        <v>101.4935</v>
      </c>
      <c r="F1725" s="408">
        <f>IFERROR(E1725*'01 Prod Physique Boites'!H1710,"-")</f>
        <v>0</v>
      </c>
      <c r="G1725" s="409">
        <f>IFERROR(E1725*'01 Prod Physique Boites'!L1710,"-")</f>
        <v>1057257.7895</v>
      </c>
      <c r="H1725" s="391">
        <v>160.44999999999999</v>
      </c>
      <c r="I1725" s="427">
        <f t="shared" si="1135"/>
        <v>0</v>
      </c>
      <c r="J1725" s="428">
        <f t="shared" si="1136"/>
        <v>1671407.65</v>
      </c>
    </row>
    <row r="1726" spans="1:10" ht="24" thickBot="1" x14ac:dyDescent="0.35">
      <c r="A1726" s="277" t="s">
        <v>111</v>
      </c>
      <c r="B1726" s="924"/>
      <c r="C1726" s="301" t="s">
        <v>267</v>
      </c>
      <c r="D1726" s="278" t="s">
        <v>263</v>
      </c>
      <c r="E1726" s="392">
        <v>101.4935</v>
      </c>
      <c r="F1726" s="408">
        <f>IFERROR(E1726*'01 Prod Physique Boites'!H1711,"-")</f>
        <v>0</v>
      </c>
      <c r="G1726" s="409">
        <f>IFERROR(E1726*'01 Prod Physique Boites'!L1711,"-")</f>
        <v>1420909</v>
      </c>
      <c r="H1726" s="391">
        <v>160.44999999999999</v>
      </c>
      <c r="I1726" s="429">
        <f t="shared" si="1135"/>
        <v>0</v>
      </c>
      <c r="J1726" s="430">
        <f t="shared" si="1136"/>
        <v>2246300</v>
      </c>
    </row>
    <row r="1727" spans="1:10" ht="24" thickBot="1" x14ac:dyDescent="0.35">
      <c r="A1727" s="277" t="s">
        <v>111</v>
      </c>
      <c r="B1727" s="906" t="s">
        <v>52</v>
      </c>
      <c r="C1727" s="907"/>
      <c r="D1727" s="908"/>
      <c r="E1727" s="396"/>
      <c r="F1727" s="412">
        <f t="shared" ref="F1727:G1727" si="1137">SUM(F1719:F1726)</f>
        <v>559736.65249999997</v>
      </c>
      <c r="G1727" s="413">
        <f t="shared" si="1137"/>
        <v>15765391.329</v>
      </c>
      <c r="H1727" s="397"/>
      <c r="I1727" s="412">
        <f t="shared" ref="I1727:J1727" si="1138">SUM(I1719:I1726)</f>
        <v>884881.74999999988</v>
      </c>
      <c r="J1727" s="431">
        <f t="shared" si="1138"/>
        <v>24923340.299999993</v>
      </c>
    </row>
    <row r="1728" spans="1:10" ht="24" thickBot="1" x14ac:dyDescent="0.35">
      <c r="A1728" s="277" t="s">
        <v>111</v>
      </c>
      <c r="B1728" s="926" t="s">
        <v>25</v>
      </c>
      <c r="C1728" s="927"/>
      <c r="D1728" s="928"/>
      <c r="E1728" s="399"/>
      <c r="F1728" s="416">
        <f t="shared" ref="F1728" si="1139">+F1718+F1727</f>
        <v>2457497.7484999998</v>
      </c>
      <c r="G1728" s="417">
        <f>+G1718+G1727</f>
        <v>21503859.405000001</v>
      </c>
      <c r="H1728" s="400"/>
      <c r="I1728" s="416">
        <f t="shared" ref="I1728:J1728" si="1140">+I1718+I1727</f>
        <v>2880721.75</v>
      </c>
      <c r="J1728" s="434">
        <f t="shared" si="1140"/>
        <v>30958380.299999993</v>
      </c>
    </row>
    <row r="1729" spans="1:10" ht="24" thickBot="1" x14ac:dyDescent="0.35">
      <c r="A1729" s="277" t="s">
        <v>111</v>
      </c>
      <c r="B1729" s="900" t="s">
        <v>181</v>
      </c>
      <c r="C1729" s="901"/>
      <c r="D1729" s="902"/>
      <c r="E1729" s="401"/>
      <c r="F1729" s="418">
        <f t="shared" ref="F1729:G1729" si="1141">+F1713+F1728</f>
        <v>5940395.3356999997</v>
      </c>
      <c r="G1729" s="419">
        <f t="shared" si="1141"/>
        <v>55233836.442100003</v>
      </c>
      <c r="H1729" s="402"/>
      <c r="I1729" s="418">
        <f t="shared" ref="I1729:J1729" si="1142">+I1713+I1728</f>
        <v>7522129.75</v>
      </c>
      <c r="J1729" s="435">
        <f t="shared" si="1142"/>
        <v>83030680.392800003</v>
      </c>
    </row>
    <row r="1730" spans="1:10" ht="23.4" x14ac:dyDescent="0.3">
      <c r="A1730" s="271" t="s">
        <v>109</v>
      </c>
      <c r="B1730" s="929" t="s">
        <v>26</v>
      </c>
      <c r="C1730" s="303" t="s">
        <v>334</v>
      </c>
      <c r="D1730" s="305" t="s">
        <v>192</v>
      </c>
      <c r="E1730" s="515">
        <v>13.1272</v>
      </c>
      <c r="F1730" s="408">
        <f>IFERROR(E1730*'01 Prod Physique Boites'!H1715,"-")</f>
        <v>0</v>
      </c>
      <c r="G1730" s="409">
        <f>IFERROR(E1730*'01 Prod Physique Boites'!L1715,"-")</f>
        <v>4229820.1295999996</v>
      </c>
      <c r="H1730" s="387">
        <v>20.76</v>
      </c>
      <c r="I1730" s="425">
        <f t="shared" ref="I1730:I1738" si="1143">IFERROR(H1730*(F1730/E1730),"-")</f>
        <v>0</v>
      </c>
      <c r="J1730" s="662">
        <f t="shared" ref="J1730:J1738" si="1144">IFERROR(H1730*(G1730/E1730),"-")</f>
        <v>6689245.6799999997</v>
      </c>
    </row>
    <row r="1731" spans="1:10" ht="23.4" x14ac:dyDescent="0.3">
      <c r="A1731" s="277" t="s">
        <v>109</v>
      </c>
      <c r="B1731" s="929"/>
      <c r="C1731" s="304" t="s">
        <v>199</v>
      </c>
      <c r="D1731" s="304" t="s">
        <v>115</v>
      </c>
      <c r="E1731" s="516">
        <v>14.608000000000001</v>
      </c>
      <c r="F1731" s="408">
        <f>IFERROR(E1731*'01 Prod Physique Boites'!H1716,"-")</f>
        <v>0</v>
      </c>
      <c r="G1731" s="409">
        <f>IFERROR(E1731*'01 Prod Physique Boites'!L1716,"-")</f>
        <v>0</v>
      </c>
      <c r="H1731" s="391">
        <v>24.93</v>
      </c>
      <c r="I1731" s="427">
        <f t="shared" si="1143"/>
        <v>0</v>
      </c>
      <c r="J1731" s="663">
        <f t="shared" si="1144"/>
        <v>0</v>
      </c>
    </row>
    <row r="1732" spans="1:10" ht="23.4" x14ac:dyDescent="0.3">
      <c r="A1732" s="277" t="s">
        <v>109</v>
      </c>
      <c r="B1732" s="929"/>
      <c r="C1732" s="305" t="s">
        <v>27</v>
      </c>
      <c r="D1732" s="305" t="s">
        <v>394</v>
      </c>
      <c r="E1732" s="512">
        <v>17.8202</v>
      </c>
      <c r="F1732" s="408">
        <f>IFERROR(E1732*'01 Prod Physique Boites'!H1717,"-")</f>
        <v>0</v>
      </c>
      <c r="G1732" s="409">
        <f>IFERROR(E1732*'01 Prod Physique Boites'!L1717,"-")</f>
        <v>283555.02240000002</v>
      </c>
      <c r="H1732" s="391">
        <v>21.22</v>
      </c>
      <c r="I1732" s="427">
        <f t="shared" si="1143"/>
        <v>0</v>
      </c>
      <c r="J1732" s="663">
        <f t="shared" si="1144"/>
        <v>337652.64</v>
      </c>
    </row>
    <row r="1733" spans="1:10" ht="23.4" x14ac:dyDescent="0.3">
      <c r="A1733" s="277" t="s">
        <v>109</v>
      </c>
      <c r="B1733" s="929"/>
      <c r="C1733" s="305" t="s">
        <v>27</v>
      </c>
      <c r="D1733" s="305" t="s">
        <v>259</v>
      </c>
      <c r="E1733" s="512">
        <v>17.8202</v>
      </c>
      <c r="F1733" s="408">
        <f>IFERROR(E1733*'01 Prod Physique Boites'!H1718,"-")</f>
        <v>496221.2892</v>
      </c>
      <c r="G1733" s="409">
        <f>IFERROR(E1733*'01 Prod Physique Boites'!L1718,"-")</f>
        <v>496221.2892</v>
      </c>
      <c r="H1733" s="391">
        <v>24.93</v>
      </c>
      <c r="I1733" s="427">
        <f t="shared" si="1143"/>
        <v>694200.78</v>
      </c>
      <c r="J1733" s="663">
        <f t="shared" si="1144"/>
        <v>694200.78</v>
      </c>
    </row>
    <row r="1734" spans="1:10" ht="23.4" x14ac:dyDescent="0.3">
      <c r="A1734" s="277" t="s">
        <v>109</v>
      </c>
      <c r="B1734" s="929"/>
      <c r="C1734" s="305" t="s">
        <v>325</v>
      </c>
      <c r="D1734" s="305" t="s">
        <v>324</v>
      </c>
      <c r="E1734" s="512">
        <v>14.608000000000001</v>
      </c>
      <c r="F1734" s="408">
        <f>IFERROR(E1734*'01 Prod Physique Boites'!H1719,"-")</f>
        <v>0</v>
      </c>
      <c r="G1734" s="409">
        <f>IFERROR(E1734*'01 Prod Physique Boites'!L1719,"-")</f>
        <v>0</v>
      </c>
      <c r="H1734" s="391">
        <v>24.93</v>
      </c>
      <c r="I1734" s="427">
        <f t="shared" si="1143"/>
        <v>0</v>
      </c>
      <c r="J1734" s="663">
        <f t="shared" si="1144"/>
        <v>0</v>
      </c>
    </row>
    <row r="1735" spans="1:10" ht="23.4" x14ac:dyDescent="0.3">
      <c r="A1735" s="277"/>
      <c r="B1735" s="929"/>
      <c r="C1735" s="305" t="s">
        <v>393</v>
      </c>
      <c r="D1735" s="305" t="s">
        <v>192</v>
      </c>
      <c r="E1735" s="512">
        <v>17.8202</v>
      </c>
      <c r="F1735" s="408">
        <f>IFERROR(E1735*'01 Prod Physique Boites'!H1720,"-")</f>
        <v>0</v>
      </c>
      <c r="G1735" s="409">
        <f>IFERROR(E1735*'01 Prod Physique Boites'!L1720,"-")</f>
        <v>0</v>
      </c>
      <c r="H1735" s="393">
        <v>21.22</v>
      </c>
      <c r="I1735" s="427">
        <f t="shared" si="1143"/>
        <v>0</v>
      </c>
      <c r="J1735" s="664">
        <f t="shared" si="1144"/>
        <v>0</v>
      </c>
    </row>
    <row r="1736" spans="1:10" ht="23.4" x14ac:dyDescent="0.3">
      <c r="A1736" s="277"/>
      <c r="B1736" s="929"/>
      <c r="C1736" s="305" t="s">
        <v>325</v>
      </c>
      <c r="D1736" s="305" t="s">
        <v>101</v>
      </c>
      <c r="E1736" s="512">
        <v>14.608000000000001</v>
      </c>
      <c r="F1736" s="408">
        <f>IFERROR(E1736*'01 Prod Physique Boites'!H1721,"-")</f>
        <v>0</v>
      </c>
      <c r="G1736" s="409">
        <f>IFERROR(E1736*'01 Prod Physique Boites'!L1721,"-")</f>
        <v>58110.624000000003</v>
      </c>
      <c r="H1736" s="393">
        <v>24.93</v>
      </c>
      <c r="I1736" s="429">
        <f t="shared" si="1143"/>
        <v>0</v>
      </c>
      <c r="J1736" s="664">
        <f t="shared" si="1144"/>
        <v>99171.54</v>
      </c>
    </row>
    <row r="1737" spans="1:10" ht="23.4" x14ac:dyDescent="0.3">
      <c r="A1737" s="277"/>
      <c r="B1737" s="929"/>
      <c r="C1737" s="305" t="s">
        <v>325</v>
      </c>
      <c r="D1737" s="305" t="s">
        <v>394</v>
      </c>
      <c r="E1737" s="512">
        <v>14.608000000000001</v>
      </c>
      <c r="F1737" s="408">
        <f>IFERROR(E1737*'01 Prod Physique Boites'!H1722,"-")</f>
        <v>0</v>
      </c>
      <c r="G1737" s="409">
        <f>IFERROR(E1737*'01 Prod Physique Boites'!L1722,"-")</f>
        <v>10401801.696</v>
      </c>
      <c r="H1737" s="393">
        <v>21.22</v>
      </c>
      <c r="I1737" s="429">
        <f t="shared" si="1143"/>
        <v>0</v>
      </c>
      <c r="J1737" s="664">
        <f t="shared" si="1144"/>
        <v>15109955.639999999</v>
      </c>
    </row>
    <row r="1738" spans="1:10" ht="24" thickBot="1" x14ac:dyDescent="0.35">
      <c r="A1738" s="277" t="s">
        <v>109</v>
      </c>
      <c r="B1738" s="929"/>
      <c r="C1738" s="306" t="s">
        <v>326</v>
      </c>
      <c r="D1738" s="305" t="s">
        <v>324</v>
      </c>
      <c r="E1738" s="512">
        <v>12.6997</v>
      </c>
      <c r="F1738" s="408">
        <f>IFERROR(E1738*'01 Prod Physique Boites'!H1723,"-")</f>
        <v>0</v>
      </c>
      <c r="G1738" s="409">
        <f>IFERROR(E1738*'01 Prod Physique Boites'!L1723,"-")</f>
        <v>101038.8132</v>
      </c>
      <c r="H1738" s="393">
        <v>13.25</v>
      </c>
      <c r="I1738" s="429">
        <f t="shared" si="1143"/>
        <v>0</v>
      </c>
      <c r="J1738" s="664">
        <f t="shared" si="1144"/>
        <v>105417</v>
      </c>
    </row>
    <row r="1739" spans="1:10" ht="24" thickBot="1" x14ac:dyDescent="0.35">
      <c r="A1739" s="277" t="s">
        <v>109</v>
      </c>
      <c r="B1739" s="930"/>
      <c r="C1739" s="307"/>
      <c r="D1739" s="308" t="s">
        <v>55</v>
      </c>
      <c r="E1739" s="396"/>
      <c r="F1739" s="412">
        <f>SUM(F1730:F1738)</f>
        <v>496221.2892</v>
      </c>
      <c r="G1739" s="413">
        <f t="shared" ref="G1739" si="1145">SUM(G1730:G1738)</f>
        <v>15570547.5744</v>
      </c>
      <c r="H1739" s="397"/>
      <c r="I1739" s="412">
        <f t="shared" ref="I1739" si="1146">SUM(I1730:I1738)</f>
        <v>694200.78</v>
      </c>
      <c r="J1739" s="431">
        <f>SUM(J1730:J1738)</f>
        <v>23035643.279999997</v>
      </c>
    </row>
    <row r="1740" spans="1:10" ht="23.4" x14ac:dyDescent="0.3">
      <c r="A1740" s="277" t="s">
        <v>109</v>
      </c>
      <c r="B1740" s="931" t="s">
        <v>28</v>
      </c>
      <c r="C1740" s="303" t="s">
        <v>27</v>
      </c>
      <c r="D1740" s="303" t="s">
        <v>193</v>
      </c>
      <c r="E1740" s="515">
        <v>12.6997</v>
      </c>
      <c r="F1740" s="408">
        <f>IFERROR(E1740*'01 Prod Physique Boites'!H1725,"-")</f>
        <v>0</v>
      </c>
      <c r="G1740" s="409">
        <f>IFERROR(E1740*'01 Prod Physique Boites'!L1725,"-")</f>
        <v>0</v>
      </c>
      <c r="H1740" s="387">
        <v>13.25</v>
      </c>
      <c r="I1740" s="425">
        <f>IFERROR(H1740*(F1740/E1740),"-")</f>
        <v>0</v>
      </c>
      <c r="J1740" s="662">
        <f t="shared" ref="J1740:J1742" si="1147">IFERROR(H1740*(G1740/E1740),"-")</f>
        <v>0</v>
      </c>
    </row>
    <row r="1741" spans="1:10" ht="23.4" x14ac:dyDescent="0.3">
      <c r="A1741" s="277" t="s">
        <v>109</v>
      </c>
      <c r="B1741" s="929"/>
      <c r="C1741" s="305" t="s">
        <v>27</v>
      </c>
      <c r="D1741" s="305" t="s">
        <v>394</v>
      </c>
      <c r="E1741" s="512">
        <v>17.8202</v>
      </c>
      <c r="F1741" s="408">
        <f>IFERROR(E1741*'01 Prod Physique Boites'!H1726,"-")</f>
        <v>0</v>
      </c>
      <c r="G1741" s="409">
        <f>IFERROR(E1741*'01 Prod Physique Boites'!L1726,"-")</f>
        <v>5458434.1811999995</v>
      </c>
      <c r="H1741" s="391">
        <v>21.22</v>
      </c>
      <c r="I1741" s="427">
        <f>IFERROR(H1741*(F1741/E1741),"-")</f>
        <v>0</v>
      </c>
      <c r="J1741" s="663">
        <f t="shared" si="1147"/>
        <v>6499813.3199999994</v>
      </c>
    </row>
    <row r="1742" spans="1:10" ht="24" thickBot="1" x14ac:dyDescent="0.35">
      <c r="A1742" s="277" t="s">
        <v>109</v>
      </c>
      <c r="B1742" s="929"/>
      <c r="C1742" s="305" t="s">
        <v>27</v>
      </c>
      <c r="D1742" s="306" t="s">
        <v>259</v>
      </c>
      <c r="E1742" s="512">
        <v>17.8202</v>
      </c>
      <c r="F1742" s="408">
        <f>IFERROR(E1742*'01 Prod Physique Boites'!H1727,"-")</f>
        <v>1346886.3563999999</v>
      </c>
      <c r="G1742" s="409">
        <f>IFERROR(E1742*'01 Prod Physique Boites'!L1727,"-")</f>
        <v>6096432.9815999996</v>
      </c>
      <c r="H1742" s="391">
        <v>24.93</v>
      </c>
      <c r="I1742" s="429">
        <f>IFERROR(H1742*(F1742/E1742),"-")</f>
        <v>1884259.26</v>
      </c>
      <c r="J1742" s="664">
        <f t="shared" si="1147"/>
        <v>8528752.4399999995</v>
      </c>
    </row>
    <row r="1743" spans="1:10" ht="24" thickBot="1" x14ac:dyDescent="0.35">
      <c r="A1743" s="277" t="s">
        <v>109</v>
      </c>
      <c r="B1743" s="929"/>
      <c r="C1743" s="310"/>
      <c r="D1743" s="311" t="s">
        <v>55</v>
      </c>
      <c r="E1743" s="403"/>
      <c r="F1743" s="420">
        <f t="shared" ref="F1743:G1743" si="1148">SUM(F1740:F1742)</f>
        <v>1346886.3563999999</v>
      </c>
      <c r="G1743" s="421">
        <f t="shared" si="1148"/>
        <v>11554867.162799999</v>
      </c>
      <c r="H1743" s="404"/>
      <c r="I1743" s="420">
        <f t="shared" ref="I1743:J1743" si="1149">SUM(I1740:I1742)</f>
        <v>1884259.26</v>
      </c>
      <c r="J1743" s="436">
        <f t="shared" si="1149"/>
        <v>15028565.759999998</v>
      </c>
    </row>
    <row r="1744" spans="1:10" ht="24" thickBot="1" x14ac:dyDescent="0.35">
      <c r="A1744" s="845" t="s">
        <v>109</v>
      </c>
      <c r="B1744" s="932" t="s">
        <v>171</v>
      </c>
      <c r="C1744" s="933"/>
      <c r="D1744" s="934"/>
      <c r="E1744" s="405"/>
      <c r="F1744" s="422">
        <f t="shared" ref="F1744:G1744" si="1150">+F1739+F1743</f>
        <v>1843107.6455999999</v>
      </c>
      <c r="G1744" s="423">
        <f t="shared" si="1150"/>
        <v>27125414.737199999</v>
      </c>
      <c r="H1744" s="406"/>
      <c r="I1744" s="422">
        <f t="shared" ref="I1744:J1744" si="1151">+I1739+I1743</f>
        <v>2578460.04</v>
      </c>
      <c r="J1744" s="437">
        <f t="shared" si="1151"/>
        <v>38064209.039999992</v>
      </c>
    </row>
    <row r="1745" spans="1:10" ht="23.4" x14ac:dyDescent="0.3">
      <c r="A1745" s="277" t="s">
        <v>109</v>
      </c>
      <c r="B1745" s="929" t="s">
        <v>30</v>
      </c>
      <c r="C1745" s="309" t="s">
        <v>375</v>
      </c>
      <c r="D1745" s="303" t="s">
        <v>193</v>
      </c>
      <c r="E1745" s="515">
        <v>15.2788</v>
      </c>
      <c r="F1745" s="408">
        <f>IFERROR(E1745*'01 Prod Physique Boites'!H1730,"-")</f>
        <v>0</v>
      </c>
      <c r="G1745" s="409">
        <f>IFERROR(E1745*'01 Prod Physique Boites'!L1730,"-")</f>
        <v>0</v>
      </c>
      <c r="H1745" s="387">
        <v>23.65</v>
      </c>
      <c r="I1745" s="425">
        <f>IFERROR(H1745*(F1745/E1745),"-")</f>
        <v>0</v>
      </c>
      <c r="J1745" s="426">
        <f t="shared" ref="J1745:J1747" si="1152">IFERROR(H1745*(G1745/E1745),"-")</f>
        <v>0</v>
      </c>
    </row>
    <row r="1746" spans="1:10" ht="23.4" x14ac:dyDescent="0.3">
      <c r="A1746" s="277" t="s">
        <v>109</v>
      </c>
      <c r="B1746" s="929"/>
      <c r="C1746" s="309" t="s">
        <v>368</v>
      </c>
      <c r="D1746" s="309" t="s">
        <v>324</v>
      </c>
      <c r="E1746" s="516">
        <v>22.6356</v>
      </c>
      <c r="F1746" s="408">
        <f>IFERROR(E1746*'01 Prod Physique Boites'!H1731,"-")</f>
        <v>0</v>
      </c>
      <c r="G1746" s="409">
        <f>IFERROR(E1746*'01 Prod Physique Boites'!L1731,"-")</f>
        <v>0</v>
      </c>
      <c r="H1746" s="391">
        <v>34.26</v>
      </c>
      <c r="I1746" s="427">
        <f>IFERROR(H1746*(F1746/E1746),"-")</f>
        <v>0</v>
      </c>
      <c r="J1746" s="428">
        <f t="shared" si="1152"/>
        <v>0</v>
      </c>
    </row>
    <row r="1747" spans="1:10" ht="24" thickBot="1" x14ac:dyDescent="0.35">
      <c r="A1747" s="277" t="s">
        <v>109</v>
      </c>
      <c r="B1747" s="929"/>
      <c r="C1747" s="306" t="s">
        <v>327</v>
      </c>
      <c r="D1747" s="306"/>
      <c r="E1747" s="512">
        <v>25.751300000000001</v>
      </c>
      <c r="F1747" s="408">
        <f>IFERROR(E1747*'01 Prod Physique Boites'!H1732,"-")</f>
        <v>0</v>
      </c>
      <c r="G1747" s="409">
        <f>IFERROR(E1747*'01 Prod Physique Boites'!L1732,"-")</f>
        <v>1349780.1407999999</v>
      </c>
      <c r="H1747" s="393">
        <v>37.89</v>
      </c>
      <c r="I1747" s="429">
        <f>IFERROR(H1747*(F1747/E1747),"-")</f>
        <v>0</v>
      </c>
      <c r="J1747" s="430">
        <f t="shared" si="1152"/>
        <v>1986042.24</v>
      </c>
    </row>
    <row r="1748" spans="1:10" ht="24" thickBot="1" x14ac:dyDescent="0.35">
      <c r="A1748" s="277" t="s">
        <v>109</v>
      </c>
      <c r="B1748" s="929"/>
      <c r="C1748" s="307"/>
      <c r="D1748" s="308" t="s">
        <v>53</v>
      </c>
      <c r="E1748" s="396"/>
      <c r="F1748" s="412">
        <f t="shared" ref="F1748:G1748" si="1153">SUM(F1745:F1747)</f>
        <v>0</v>
      </c>
      <c r="G1748" s="413">
        <f t="shared" si="1153"/>
        <v>1349780.1407999999</v>
      </c>
      <c r="H1748" s="397"/>
      <c r="I1748" s="412">
        <f t="shared" ref="I1748" si="1154">SUM(I1745:I1747)</f>
        <v>0</v>
      </c>
      <c r="J1748" s="431">
        <f>SUM(J1745:J1747)</f>
        <v>1986042.24</v>
      </c>
    </row>
    <row r="1749" spans="1:10" ht="23.4" x14ac:dyDescent="0.3">
      <c r="A1749" s="277" t="s">
        <v>109</v>
      </c>
      <c r="B1749" s="929"/>
      <c r="C1749" s="303" t="s">
        <v>352</v>
      </c>
      <c r="D1749" s="303"/>
      <c r="E1749" s="515">
        <v>22.094999999999999</v>
      </c>
      <c r="F1749" s="408">
        <f>IFERROR(E1749*'01 Prod Physique Boites'!H1734,"-")</f>
        <v>0</v>
      </c>
      <c r="G1749" s="409">
        <f>IFERROR(E1749*'01 Prod Physique Boites'!L1734,"-")</f>
        <v>0</v>
      </c>
      <c r="H1749" s="387">
        <v>37.11</v>
      </c>
      <c r="I1749" s="425">
        <f>IFERROR(H1749*(F1749/E1749),"-")</f>
        <v>0</v>
      </c>
      <c r="J1749" s="426">
        <f t="shared" ref="J1749:J1751" si="1155">IFERROR(H1749*(G1749/E1749),"-")</f>
        <v>0</v>
      </c>
    </row>
    <row r="1750" spans="1:10" ht="23.4" x14ac:dyDescent="0.3">
      <c r="A1750" s="277" t="s">
        <v>109</v>
      </c>
      <c r="B1750" s="929"/>
      <c r="C1750" s="309" t="s">
        <v>397</v>
      </c>
      <c r="D1750" s="309" t="s">
        <v>259</v>
      </c>
      <c r="E1750" s="516">
        <v>27.917000000000002</v>
      </c>
      <c r="F1750" s="408">
        <f>IFERROR(E1750*'01 Prod Physique Boites'!H1735,"-")</f>
        <v>0</v>
      </c>
      <c r="G1750" s="409">
        <f>IFERROR(E1750*'01 Prod Physique Boites'!L1735,"-")</f>
        <v>13430980.368000001</v>
      </c>
      <c r="H1750" s="391">
        <v>39</v>
      </c>
      <c r="I1750" s="427">
        <f>IFERROR(H1750*(F1750/E1750),"-")</f>
        <v>0</v>
      </c>
      <c r="J1750" s="428">
        <f t="shared" si="1155"/>
        <v>18763056</v>
      </c>
    </row>
    <row r="1751" spans="1:10" ht="24" thickBot="1" x14ac:dyDescent="0.35">
      <c r="A1751" s="277" t="s">
        <v>109</v>
      </c>
      <c r="B1751" s="929"/>
      <c r="C1751" s="306" t="s">
        <v>146</v>
      </c>
      <c r="D1751" s="306"/>
      <c r="E1751" s="512">
        <v>25.4041</v>
      </c>
      <c r="F1751" s="408">
        <f>IFERROR(E1751*'01 Prod Physique Boites'!H1736,"-")</f>
        <v>0</v>
      </c>
      <c r="G1751" s="409">
        <f>IFERROR(E1751*'01 Prod Physique Boites'!L1736,"-")</f>
        <v>0</v>
      </c>
      <c r="H1751" s="393">
        <v>28.21</v>
      </c>
      <c r="I1751" s="429">
        <f>IFERROR(H1751*(F1751/E1751),"-")</f>
        <v>0</v>
      </c>
      <c r="J1751" s="430">
        <f t="shared" si="1155"/>
        <v>0</v>
      </c>
    </row>
    <row r="1752" spans="1:10" ht="24" thickBot="1" x14ac:dyDescent="0.35">
      <c r="A1752" s="277" t="s">
        <v>109</v>
      </c>
      <c r="B1752" s="929"/>
      <c r="C1752" s="310"/>
      <c r="D1752" s="311" t="s">
        <v>54</v>
      </c>
      <c r="E1752" s="403"/>
      <c r="F1752" s="420">
        <f t="shared" ref="F1752:G1752" si="1156">SUM(F1749:F1751)</f>
        <v>0</v>
      </c>
      <c r="G1752" s="421">
        <f t="shared" si="1156"/>
        <v>13430980.368000001</v>
      </c>
      <c r="H1752" s="404"/>
      <c r="I1752" s="420">
        <f t="shared" ref="I1752" si="1157">SUM(I1749:I1751)</f>
        <v>0</v>
      </c>
      <c r="J1752" s="436">
        <f>SUM(J1749:J1751)</f>
        <v>18763056</v>
      </c>
    </row>
    <row r="1753" spans="1:10" ht="24" thickBot="1" x14ac:dyDescent="0.35">
      <c r="A1753" s="277" t="s">
        <v>109</v>
      </c>
      <c r="B1753" s="932" t="s">
        <v>172</v>
      </c>
      <c r="C1753" s="933"/>
      <c r="D1753" s="934"/>
      <c r="E1753" s="405"/>
      <c r="F1753" s="422">
        <f t="shared" ref="F1753:G1753" si="1158">+F1748+F1752</f>
        <v>0</v>
      </c>
      <c r="G1753" s="423">
        <f t="shared" si="1158"/>
        <v>14780760.5088</v>
      </c>
      <c r="H1753" s="406"/>
      <c r="I1753" s="422">
        <f t="shared" ref="I1753:J1753" si="1159">+I1748+I1752</f>
        <v>0</v>
      </c>
      <c r="J1753" s="437">
        <f t="shared" si="1159"/>
        <v>20749098.239999998</v>
      </c>
    </row>
    <row r="1754" spans="1:10" ht="24" thickBot="1" x14ac:dyDescent="0.35">
      <c r="A1754" s="277" t="s">
        <v>109</v>
      </c>
      <c r="B1754" s="617" t="s">
        <v>32</v>
      </c>
      <c r="C1754" s="841"/>
      <c r="D1754" s="316"/>
      <c r="E1754" s="517">
        <v>12.2659</v>
      </c>
      <c r="F1754" s="414">
        <f>IFERROR(E1754*'01 Prod Physique Boites'!H1739,"-")</f>
        <v>0</v>
      </c>
      <c r="G1754" s="415">
        <f>IFERROR(E1754*'01 Prod Physique Boites'!L1739,"-")</f>
        <v>0</v>
      </c>
      <c r="H1754" s="398"/>
      <c r="I1754" s="432">
        <f>IFERROR(H1754*(F1754/E1754),"-")</f>
        <v>0</v>
      </c>
      <c r="J1754" s="433">
        <f>IFERROR(H1754*(G1754/E1754),"-")</f>
        <v>0</v>
      </c>
    </row>
    <row r="1755" spans="1:10" ht="24" thickBot="1" x14ac:dyDescent="0.35">
      <c r="A1755" s="277" t="s">
        <v>109</v>
      </c>
      <c r="B1755" s="926" t="s">
        <v>21</v>
      </c>
      <c r="C1755" s="927"/>
      <c r="D1755" s="928"/>
      <c r="E1755" s="399"/>
      <c r="F1755" s="416">
        <f t="shared" ref="F1755" si="1160">+F1744+F1753+F1754</f>
        <v>1843107.6455999999</v>
      </c>
      <c r="G1755" s="417">
        <f>+G1744+G1753+G1754</f>
        <v>41906175.245999999</v>
      </c>
      <c r="H1755" s="400"/>
      <c r="I1755" s="416">
        <f t="shared" ref="I1755:J1755" si="1161">+I1744+I1753+I1754</f>
        <v>2578460.04</v>
      </c>
      <c r="J1755" s="434">
        <f t="shared" si="1161"/>
        <v>58813307.279999986</v>
      </c>
    </row>
    <row r="1756" spans="1:10" ht="24" thickBot="1" x14ac:dyDescent="0.35">
      <c r="A1756" s="277" t="s">
        <v>109</v>
      </c>
      <c r="B1756" s="900" t="s">
        <v>180</v>
      </c>
      <c r="C1756" s="901"/>
      <c r="D1756" s="902"/>
      <c r="E1756" s="401"/>
      <c r="F1756" s="418">
        <f t="shared" ref="F1756:G1756" si="1162">+F1755</f>
        <v>1843107.6455999999</v>
      </c>
      <c r="G1756" s="419">
        <f t="shared" si="1162"/>
        <v>41906175.245999999</v>
      </c>
      <c r="H1756" s="402"/>
      <c r="I1756" s="418">
        <f t="shared" ref="I1756:J1756" si="1163">+I1755</f>
        <v>2578460.04</v>
      </c>
      <c r="J1756" s="435">
        <f t="shared" si="1163"/>
        <v>58813307.279999986</v>
      </c>
    </row>
    <row r="1757" spans="1:10" ht="23.4" x14ac:dyDescent="0.3">
      <c r="A1757" s="271" t="s">
        <v>110</v>
      </c>
      <c r="B1757" s="903" t="s">
        <v>33</v>
      </c>
      <c r="C1757" s="317" t="s">
        <v>121</v>
      </c>
      <c r="D1757" s="317"/>
      <c r="E1757" s="513">
        <v>254.89750000000001</v>
      </c>
      <c r="F1757" s="408">
        <f>IFERROR(E1757*'01 Prod Physique Boites'!H1742,"-")</f>
        <v>0</v>
      </c>
      <c r="G1757" s="409">
        <f>IFERROR(E1757*'01 Prod Physique Boites'!L1742,"-")</f>
        <v>0</v>
      </c>
      <c r="H1757" s="387">
        <v>445.38</v>
      </c>
      <c r="I1757" s="425">
        <f>IFERROR(H1757*(F1757/E1757),"-")</f>
        <v>0</v>
      </c>
      <c r="J1757" s="426">
        <f t="shared" ref="J1757:J1759" si="1164">IFERROR(H1757*(G1757/E1757),"-")</f>
        <v>0</v>
      </c>
    </row>
    <row r="1758" spans="1:10" ht="23.4" x14ac:dyDescent="0.3">
      <c r="A1758" s="277" t="s">
        <v>110</v>
      </c>
      <c r="B1758" s="904"/>
      <c r="C1758" s="318" t="s">
        <v>274</v>
      </c>
      <c r="D1758" s="318"/>
      <c r="E1758" s="514">
        <v>246.51390000000001</v>
      </c>
      <c r="F1758" s="408">
        <f>IFERROR(E1758*'01 Prod Physique Boites'!H1743,"-")</f>
        <v>0</v>
      </c>
      <c r="G1758" s="409">
        <f>IFERROR(E1758*'01 Prod Physique Boites'!L1743,"-")</f>
        <v>2287648.9920000001</v>
      </c>
      <c r="H1758" s="391">
        <v>430.02</v>
      </c>
      <c r="I1758" s="427">
        <f>IFERROR(H1758*(F1758/E1758),"-")</f>
        <v>0</v>
      </c>
      <c r="J1758" s="428">
        <f t="shared" si="1164"/>
        <v>3990585.5999999996</v>
      </c>
    </row>
    <row r="1759" spans="1:10" ht="24" thickBot="1" x14ac:dyDescent="0.35">
      <c r="A1759" s="277" t="s">
        <v>110</v>
      </c>
      <c r="B1759" s="905"/>
      <c r="C1759" s="319" t="s">
        <v>34</v>
      </c>
      <c r="D1759" s="319"/>
      <c r="E1759" s="511">
        <v>225.7713</v>
      </c>
      <c r="F1759" s="408">
        <f>IFERROR(E1759*'01 Prod Physique Boites'!H1744,"-")</f>
        <v>0</v>
      </c>
      <c r="G1759" s="409">
        <f>IFERROR(E1759*'01 Prod Physique Boites'!L1744,"-")</f>
        <v>0</v>
      </c>
      <c r="H1759" s="393"/>
      <c r="I1759" s="429">
        <f>IFERROR(H1759*(F1759/E1759),"-")</f>
        <v>0</v>
      </c>
      <c r="J1759" s="430">
        <f t="shared" si="1164"/>
        <v>0</v>
      </c>
    </row>
    <row r="1760" spans="1:10" ht="24" thickBot="1" x14ac:dyDescent="0.35">
      <c r="A1760" s="277" t="s">
        <v>110</v>
      </c>
      <c r="B1760" s="906" t="s">
        <v>35</v>
      </c>
      <c r="C1760" s="907"/>
      <c r="D1760" s="908"/>
      <c r="E1760" s="396"/>
      <c r="F1760" s="412">
        <f t="shared" ref="F1760:G1760" si="1165">SUM(F1757:F1759)</f>
        <v>0</v>
      </c>
      <c r="G1760" s="413">
        <f t="shared" si="1165"/>
        <v>2287648.9920000001</v>
      </c>
      <c r="H1760" s="397"/>
      <c r="I1760" s="412">
        <f t="shared" ref="I1760:J1760" si="1166">SUM(I1757:I1759)</f>
        <v>0</v>
      </c>
      <c r="J1760" s="431">
        <f t="shared" si="1166"/>
        <v>3990585.5999999996</v>
      </c>
    </row>
    <row r="1761" spans="1:10" ht="23.4" x14ac:dyDescent="0.3">
      <c r="A1761" s="277" t="s">
        <v>110</v>
      </c>
      <c r="B1761" s="903" t="s">
        <v>36</v>
      </c>
      <c r="C1761" s="317" t="s">
        <v>121</v>
      </c>
      <c r="D1761" s="317"/>
      <c r="E1761" s="513">
        <v>254.89750000000001</v>
      </c>
      <c r="F1761" s="408">
        <f>IFERROR(E1761*'01 Prod Physique Boites'!H1746,"-")</f>
        <v>0</v>
      </c>
      <c r="G1761" s="409">
        <f>IFERROR(E1761*'01 Prod Physique Boites'!L1746,"-")</f>
        <v>0</v>
      </c>
      <c r="H1761" s="387">
        <v>445.38</v>
      </c>
      <c r="I1761" s="425">
        <f>IFERROR(H1761*(F1761/E1761),"-")</f>
        <v>0</v>
      </c>
      <c r="J1761" s="426">
        <f t="shared" ref="J1761:J1764" si="1167">IFERROR(H1761*(G1761/E1761),"-")</f>
        <v>0</v>
      </c>
    </row>
    <row r="1762" spans="1:10" ht="23.4" x14ac:dyDescent="0.3">
      <c r="A1762" s="277" t="s">
        <v>110</v>
      </c>
      <c r="B1762" s="904"/>
      <c r="C1762" s="318" t="s">
        <v>274</v>
      </c>
      <c r="D1762" s="318"/>
      <c r="E1762" s="514">
        <v>246.51390000000001</v>
      </c>
      <c r="F1762" s="408">
        <f>IFERROR(E1762*'01 Prod Physique Boites'!H1747,"-")</f>
        <v>756797.67300000007</v>
      </c>
      <c r="G1762" s="409">
        <f>IFERROR(E1762*'01 Prod Physique Boites'!L1747,"-")</f>
        <v>16383806.821800001</v>
      </c>
      <c r="H1762" s="391">
        <v>430.02</v>
      </c>
      <c r="I1762" s="427">
        <f>IFERROR(H1762*(F1762/E1762),"-")</f>
        <v>1320161.3999999999</v>
      </c>
      <c r="J1762" s="428">
        <f t="shared" si="1167"/>
        <v>28579989.239999998</v>
      </c>
    </row>
    <row r="1763" spans="1:10" ht="23.4" x14ac:dyDescent="0.3">
      <c r="A1763" s="277" t="s">
        <v>110</v>
      </c>
      <c r="B1763" s="904"/>
      <c r="C1763" s="318" t="s">
        <v>201</v>
      </c>
      <c r="D1763" s="318" t="s">
        <v>200</v>
      </c>
      <c r="E1763" s="514">
        <v>254.89750000000001</v>
      </c>
      <c r="F1763" s="408">
        <f>IFERROR(E1763*'01 Prod Physique Boites'!H1748,"-")</f>
        <v>0</v>
      </c>
      <c r="G1763" s="409">
        <f>IFERROR(E1763*'01 Prod Physique Boites'!L1748,"-")</f>
        <v>0</v>
      </c>
      <c r="H1763" s="391"/>
      <c r="I1763" s="427">
        <f>IFERROR(H1763*(F1763/E1763),"-")</f>
        <v>0</v>
      </c>
      <c r="J1763" s="428">
        <f t="shared" si="1167"/>
        <v>0</v>
      </c>
    </row>
    <row r="1764" spans="1:10" ht="24" thickBot="1" x14ac:dyDescent="0.35">
      <c r="A1764" s="277" t="s">
        <v>110</v>
      </c>
      <c r="B1764" s="905"/>
      <c r="C1764" s="319" t="s">
        <v>37</v>
      </c>
      <c r="D1764" s="319"/>
      <c r="E1764" s="511">
        <v>229.99359999999999</v>
      </c>
      <c r="F1764" s="408">
        <f>IFERROR(E1764*'01 Prod Physique Boites'!H1749,"-")</f>
        <v>0</v>
      </c>
      <c r="G1764" s="409">
        <f>IFERROR(E1764*'01 Prod Physique Boites'!L1749,"-")</f>
        <v>0</v>
      </c>
      <c r="H1764" s="393"/>
      <c r="I1764" s="429">
        <f>IFERROR(H1764*(F1764/E1764),"-")</f>
        <v>0</v>
      </c>
      <c r="J1764" s="430">
        <f t="shared" si="1167"/>
        <v>0</v>
      </c>
    </row>
    <row r="1765" spans="1:10" ht="24" thickBot="1" x14ac:dyDescent="0.35">
      <c r="A1765" s="277" t="s">
        <v>110</v>
      </c>
      <c r="B1765" s="906" t="s">
        <v>38</v>
      </c>
      <c r="C1765" s="907"/>
      <c r="D1765" s="908"/>
      <c r="E1765" s="396"/>
      <c r="F1765" s="412">
        <f t="shared" ref="F1765:G1765" si="1168">SUM(F1761:F1764)</f>
        <v>756797.67300000007</v>
      </c>
      <c r="G1765" s="413">
        <f t="shared" si="1168"/>
        <v>16383806.821800001</v>
      </c>
      <c r="H1765" s="397"/>
      <c r="I1765" s="412">
        <f>SUM(I1761:I1764)</f>
        <v>1320161.3999999999</v>
      </c>
      <c r="J1765" s="431">
        <f>SUM(J1761:J1764)</f>
        <v>28579989.239999998</v>
      </c>
    </row>
    <row r="1766" spans="1:10" ht="23.4" x14ac:dyDescent="0.3">
      <c r="A1766" s="277" t="s">
        <v>110</v>
      </c>
      <c r="B1766" s="903" t="s">
        <v>39</v>
      </c>
      <c r="C1766" s="320" t="s">
        <v>124</v>
      </c>
      <c r="D1766" s="320"/>
      <c r="E1766" s="513">
        <v>195.2808</v>
      </c>
      <c r="F1766" s="408">
        <f>IFERROR(E1766*'01 Prod Physique Boites'!H1751,"-")</f>
        <v>0</v>
      </c>
      <c r="G1766" s="409">
        <f>IFERROR(E1766*'01 Prod Physique Boites'!L1751,"-")</f>
        <v>0</v>
      </c>
      <c r="H1766" s="387"/>
      <c r="I1766" s="425">
        <f>IFERROR(H1766*(F1766/E1766),"-")</f>
        <v>0</v>
      </c>
      <c r="J1766" s="426">
        <f t="shared" ref="J1766:J1767" si="1169">IFERROR(H1766*(G1766/E1766),"-")</f>
        <v>0</v>
      </c>
    </row>
    <row r="1767" spans="1:10" ht="24" thickBot="1" x14ac:dyDescent="0.35">
      <c r="A1767" s="277" t="s">
        <v>110</v>
      </c>
      <c r="B1767" s="905"/>
      <c r="C1767" s="290" t="s">
        <v>140</v>
      </c>
      <c r="D1767" s="290"/>
      <c r="E1767" s="511">
        <v>189.91890000000001</v>
      </c>
      <c r="F1767" s="408">
        <f>IFERROR(E1767*'01 Prod Physique Boites'!H1752,"-")</f>
        <v>303870.24</v>
      </c>
      <c r="G1767" s="409">
        <f>IFERROR(E1767*'01 Prod Physique Boites'!L1752,"-")</f>
        <v>683708.04</v>
      </c>
      <c r="H1767" s="393">
        <v>320.35000000000002</v>
      </c>
      <c r="I1767" s="429">
        <f>IFERROR(H1767*(F1767/E1767),"-")</f>
        <v>512559.99999999994</v>
      </c>
      <c r="J1767" s="430">
        <f t="shared" si="1169"/>
        <v>1153260</v>
      </c>
    </row>
    <row r="1768" spans="1:10" ht="24" thickBot="1" x14ac:dyDescent="0.35">
      <c r="A1768" s="845" t="s">
        <v>110</v>
      </c>
      <c r="B1768" s="906" t="s">
        <v>40</v>
      </c>
      <c r="C1768" s="907"/>
      <c r="D1768" s="908"/>
      <c r="E1768" s="396"/>
      <c r="F1768" s="412">
        <f>SUM(F1766:F1767)</f>
        <v>303870.24</v>
      </c>
      <c r="G1768" s="413">
        <f t="shared" ref="G1768" si="1170">SUM(G1766:G1767)</f>
        <v>683708.04</v>
      </c>
      <c r="H1768" s="397"/>
      <c r="I1768" s="412">
        <f t="shared" ref="I1768:J1768" si="1171">SUM(I1766:I1767)</f>
        <v>512559.99999999994</v>
      </c>
      <c r="J1768" s="431">
        <f t="shared" si="1171"/>
        <v>1153260</v>
      </c>
    </row>
    <row r="1769" spans="1:10" ht="23.4" x14ac:dyDescent="0.3">
      <c r="A1769" s="277" t="s">
        <v>110</v>
      </c>
      <c r="B1769" s="903" t="s">
        <v>41</v>
      </c>
      <c r="C1769" s="272" t="s">
        <v>346</v>
      </c>
      <c r="D1769" s="272" t="s">
        <v>263</v>
      </c>
      <c r="E1769" s="515">
        <v>37.248699999999999</v>
      </c>
      <c r="F1769" s="408">
        <f>IFERROR(E1769*'01 Prod Physique Boites'!H1754,"-")</f>
        <v>744229.02599999995</v>
      </c>
      <c r="G1769" s="409">
        <f>IFERROR(E1769*'01 Prod Physique Boites'!L1754,"-")</f>
        <v>12338110.393200001</v>
      </c>
      <c r="H1769" s="387">
        <v>71.44</v>
      </c>
      <c r="I1769" s="425">
        <f>IFERROR(H1769*(F1769/E1769),"-")</f>
        <v>1427371.2</v>
      </c>
      <c r="J1769" s="426">
        <f>IFERROR(H1769*(G1769/E1769),"-")</f>
        <v>23663499.84</v>
      </c>
    </row>
    <row r="1770" spans="1:10" ht="23.4" x14ac:dyDescent="0.3">
      <c r="A1770" s="277" t="s">
        <v>110</v>
      </c>
      <c r="B1770" s="904"/>
      <c r="C1770" s="272" t="s">
        <v>165</v>
      </c>
      <c r="D1770" s="278"/>
      <c r="E1770" s="515">
        <v>37.248699999999999</v>
      </c>
      <c r="F1770" s="408">
        <f>IFERROR(E1770*'01 Prod Physique Boites'!H1755,"-")</f>
        <v>0</v>
      </c>
      <c r="G1770" s="409">
        <f>IFERROR(E1770*'01 Prod Physique Boites'!L1755,"-")</f>
        <v>0</v>
      </c>
      <c r="H1770" s="391"/>
      <c r="I1770" s="427">
        <f>IFERROR(H1770*(F1770/E1770),"-")</f>
        <v>0</v>
      </c>
      <c r="J1770" s="428">
        <f t="shared" ref="J1770:J1773" si="1172">IFERROR(H1770*(G1770/E1770),"-")</f>
        <v>0</v>
      </c>
    </row>
    <row r="1771" spans="1:10" ht="23.4" x14ac:dyDescent="0.3">
      <c r="A1771" s="277" t="s">
        <v>110</v>
      </c>
      <c r="B1771" s="904"/>
      <c r="C1771" s="278" t="s">
        <v>423</v>
      </c>
      <c r="D1771" s="272" t="s">
        <v>263</v>
      </c>
      <c r="E1771" s="516">
        <v>38.466099999999997</v>
      </c>
      <c r="F1771" s="408">
        <f>IFERROR(E1771*'01 Prod Physique Boites'!H1756,"-")</f>
        <v>0</v>
      </c>
      <c r="G1771" s="409">
        <f>IFERROR(E1771*'01 Prod Physique Boites'!L1756,"-")</f>
        <v>1306308.7559999998</v>
      </c>
      <c r="H1771" s="391">
        <v>71.44</v>
      </c>
      <c r="I1771" s="427">
        <f>IFERROR(H1771*(F1771/E1771),"-")</f>
        <v>0</v>
      </c>
      <c r="J1771" s="428">
        <f t="shared" si="1172"/>
        <v>2426102.4</v>
      </c>
    </row>
    <row r="1772" spans="1:10" ht="23.4" x14ac:dyDescent="0.3">
      <c r="A1772" s="277" t="s">
        <v>110</v>
      </c>
      <c r="B1772" s="904"/>
      <c r="C1772" s="278" t="s">
        <v>166</v>
      </c>
      <c r="D1772" s="278"/>
      <c r="E1772" s="516">
        <v>37.248699999999999</v>
      </c>
      <c r="F1772" s="408">
        <f>IFERROR(E1772*'01 Prod Physique Boites'!H1757,"-")</f>
        <v>0</v>
      </c>
      <c r="G1772" s="409">
        <f>IFERROR(E1772*'01 Prod Physique Boites'!L1757,"-")</f>
        <v>0</v>
      </c>
      <c r="H1772" s="391"/>
      <c r="I1772" s="427">
        <f>IFERROR(H1772*(F1772/E1772),"-")</f>
        <v>0</v>
      </c>
      <c r="J1772" s="428">
        <f t="shared" si="1172"/>
        <v>0</v>
      </c>
    </row>
    <row r="1773" spans="1:10" ht="24" thickBot="1" x14ac:dyDescent="0.35">
      <c r="A1773" s="277" t="s">
        <v>110</v>
      </c>
      <c r="B1773" s="905"/>
      <c r="C1773" s="282" t="s">
        <v>167</v>
      </c>
      <c r="D1773" s="282"/>
      <c r="E1773" s="512">
        <v>33.711399999999998</v>
      </c>
      <c r="F1773" s="408">
        <f>IFERROR(E1773*'01 Prod Physique Boites'!H1758,"-")</f>
        <v>0</v>
      </c>
      <c r="G1773" s="409">
        <f>IFERROR(E1773*'01 Prod Physique Boites'!L1758,"-")</f>
        <v>0</v>
      </c>
      <c r="H1773" s="393"/>
      <c r="I1773" s="429">
        <f>IFERROR(H1773*(F1773/E1773),"-")</f>
        <v>0</v>
      </c>
      <c r="J1773" s="430">
        <f t="shared" si="1172"/>
        <v>0</v>
      </c>
    </row>
    <row r="1774" spans="1:10" ht="24" thickBot="1" x14ac:dyDescent="0.35">
      <c r="A1774" s="277" t="s">
        <v>110</v>
      </c>
      <c r="B1774" s="906" t="s">
        <v>42</v>
      </c>
      <c r="C1774" s="907"/>
      <c r="D1774" s="908"/>
      <c r="E1774" s="396"/>
      <c r="F1774" s="412">
        <f>SUM(F1769:F1773)</f>
        <v>744229.02599999995</v>
      </c>
      <c r="G1774" s="413">
        <f>SUM(G1769:G1773)</f>
        <v>13644419.1492</v>
      </c>
      <c r="H1774" s="397"/>
      <c r="I1774" s="412">
        <f>SUM(I1769:I1773)</f>
        <v>1427371.2</v>
      </c>
      <c r="J1774" s="412">
        <f>SUM(J1769:J1773)</f>
        <v>26089602.239999998</v>
      </c>
    </row>
    <row r="1775" spans="1:10" ht="23.4" x14ac:dyDescent="0.3">
      <c r="A1775" s="277" t="s">
        <v>110</v>
      </c>
      <c r="B1775" s="903" t="s">
        <v>43</v>
      </c>
      <c r="C1775" s="272" t="s">
        <v>204</v>
      </c>
      <c r="D1775" s="272" t="s">
        <v>200</v>
      </c>
      <c r="E1775" s="515">
        <v>30.7499</v>
      </c>
      <c r="F1775" s="408">
        <f>IFERROR(E1775*'01 Prod Physique Boites'!H1760,"-")</f>
        <v>0</v>
      </c>
      <c r="G1775" s="409">
        <f>IFERROR(E1775*'01 Prod Physique Boites'!L1760,"-")</f>
        <v>0</v>
      </c>
      <c r="H1775" s="387"/>
      <c r="I1775" s="425">
        <f>IFERROR(H1775*(F1775/E1775),"-")</f>
        <v>0</v>
      </c>
      <c r="J1775" s="426">
        <f>IFERROR(H1775*(G1775/E1775),"-")</f>
        <v>0</v>
      </c>
    </row>
    <row r="1776" spans="1:10" ht="23.4" x14ac:dyDescent="0.3">
      <c r="A1776" s="277" t="s">
        <v>110</v>
      </c>
      <c r="B1776" s="904"/>
      <c r="C1776" s="278" t="s">
        <v>168</v>
      </c>
      <c r="D1776" s="278"/>
      <c r="E1776" s="516">
        <v>28.7</v>
      </c>
      <c r="F1776" s="408">
        <f>IFERROR(E1776*'01 Prod Physique Boites'!H1761,"-")</f>
        <v>0</v>
      </c>
      <c r="G1776" s="409">
        <f>IFERROR(E1776*'01 Prod Physique Boites'!L1761,"-")</f>
        <v>0</v>
      </c>
      <c r="H1776" s="391"/>
      <c r="I1776" s="427">
        <f>IFERROR(H1776*(F1776/E1776),"-")</f>
        <v>0</v>
      </c>
      <c r="J1776" s="428">
        <f t="shared" ref="J1776:J1777" si="1173">IFERROR(H1776*(G1776/E1776),"-")</f>
        <v>0</v>
      </c>
    </row>
    <row r="1777" spans="1:10" ht="24" thickBot="1" x14ac:dyDescent="0.35">
      <c r="A1777" s="277" t="s">
        <v>110</v>
      </c>
      <c r="B1777" s="905"/>
      <c r="C1777" s="282" t="s">
        <v>204</v>
      </c>
      <c r="D1777" s="282" t="s">
        <v>203</v>
      </c>
      <c r="E1777" s="512">
        <v>30.073599999999999</v>
      </c>
      <c r="F1777" s="408">
        <f>IFERROR(E1777*'01 Prod Physique Boites'!H1762,"-")</f>
        <v>0</v>
      </c>
      <c r="G1777" s="409">
        <f>IFERROR(E1777*'01 Prod Physique Boites'!L1762,"-")</f>
        <v>0</v>
      </c>
      <c r="H1777" s="393"/>
      <c r="I1777" s="429">
        <f>IFERROR(H1777*(F1777/E1777),"-")</f>
        <v>0</v>
      </c>
      <c r="J1777" s="430">
        <f t="shared" si="1173"/>
        <v>0</v>
      </c>
    </row>
    <row r="1778" spans="1:10" ht="24" thickBot="1" x14ac:dyDescent="0.35">
      <c r="A1778" s="277" t="s">
        <v>110</v>
      </c>
      <c r="B1778" s="909" t="s">
        <v>44</v>
      </c>
      <c r="C1778" s="910"/>
      <c r="D1778" s="911"/>
      <c r="E1778" s="396"/>
      <c r="F1778" s="412">
        <f t="shared" ref="F1778:G1778" si="1174">SUM(F1775:F1777)</f>
        <v>0</v>
      </c>
      <c r="G1778" s="413">
        <f t="shared" si="1174"/>
        <v>0</v>
      </c>
      <c r="H1778" s="397"/>
      <c r="I1778" s="412">
        <f t="shared" ref="I1778:J1778" si="1175">SUM(I1775:I1777)</f>
        <v>0</v>
      </c>
      <c r="J1778" s="431">
        <f t="shared" si="1175"/>
        <v>0</v>
      </c>
    </row>
    <row r="1779" spans="1:10" ht="23.4" x14ac:dyDescent="0.3">
      <c r="A1779" s="277" t="s">
        <v>110</v>
      </c>
      <c r="B1779" s="903" t="s">
        <v>45</v>
      </c>
      <c r="C1779" s="272" t="s">
        <v>169</v>
      </c>
      <c r="D1779" s="272"/>
      <c r="E1779" s="515">
        <v>36.684899999999999</v>
      </c>
      <c r="F1779" s="408">
        <f>IFERROR(E1779*'01 Prod Physique Boites'!H1764,"-")</f>
        <v>0</v>
      </c>
      <c r="G1779" s="409">
        <f>IFERROR(E1779*'01 Prod Physique Boites'!L1764,"-")</f>
        <v>0</v>
      </c>
      <c r="H1779" s="387"/>
      <c r="I1779" s="388" t="s">
        <v>209</v>
      </c>
      <c r="J1779" s="389" t="s">
        <v>209</v>
      </c>
    </row>
    <row r="1780" spans="1:10" ht="24" thickBot="1" x14ac:dyDescent="0.35">
      <c r="A1780" s="277" t="s">
        <v>110</v>
      </c>
      <c r="B1780" s="905"/>
      <c r="C1780" s="282" t="s">
        <v>170</v>
      </c>
      <c r="D1780" s="282"/>
      <c r="E1780" s="512">
        <v>37.002800000000001</v>
      </c>
      <c r="F1780" s="408">
        <f>IFERROR(E1780*'01 Prod Physique Boites'!H1765,"-")</f>
        <v>0</v>
      </c>
      <c r="G1780" s="409">
        <f>IFERROR(E1780*'01 Prod Physique Boites'!L1765,"-")</f>
        <v>0</v>
      </c>
      <c r="H1780" s="393"/>
      <c r="I1780" s="394" t="s">
        <v>209</v>
      </c>
      <c r="J1780" s="395" t="s">
        <v>209</v>
      </c>
    </row>
    <row r="1781" spans="1:10" ht="24" thickBot="1" x14ac:dyDescent="0.35">
      <c r="A1781" s="277" t="s">
        <v>110</v>
      </c>
      <c r="B1781" s="909" t="s">
        <v>46</v>
      </c>
      <c r="C1781" s="910"/>
      <c r="D1781" s="911"/>
      <c r="E1781" s="396"/>
      <c r="F1781" s="412">
        <f t="shared" ref="F1781:G1781" si="1176">SUM(F1779:F1780)</f>
        <v>0</v>
      </c>
      <c r="G1781" s="413">
        <f t="shared" si="1176"/>
        <v>0</v>
      </c>
      <c r="H1781" s="397"/>
      <c r="I1781" s="412">
        <f t="shared" ref="I1781:J1781" si="1177">SUM(I1779:I1780)</f>
        <v>0</v>
      </c>
      <c r="J1781" s="431">
        <f t="shared" si="1177"/>
        <v>0</v>
      </c>
    </row>
    <row r="1782" spans="1:10" ht="24" thickBot="1" x14ac:dyDescent="0.35">
      <c r="A1782" s="277" t="s">
        <v>110</v>
      </c>
      <c r="B1782" s="912" t="s">
        <v>25</v>
      </c>
      <c r="C1782" s="913"/>
      <c r="D1782" s="914"/>
      <c r="E1782" s="399"/>
      <c r="F1782" s="416">
        <f t="shared" ref="F1782:G1782" si="1178">+F1760+F1765+F1768+F1774+F1778+F1781</f>
        <v>1804896.9390000002</v>
      </c>
      <c r="G1782" s="417">
        <f t="shared" si="1178"/>
        <v>32999583.002999999</v>
      </c>
      <c r="H1782" s="400"/>
      <c r="I1782" s="416">
        <f>+I1760+I1765+I1768+I1774+I1778+I1781</f>
        <v>3260092.5999999996</v>
      </c>
      <c r="J1782" s="434">
        <f>+J1760+J1765+J1768+J1774+J1778+J1781</f>
        <v>59813437.079999998</v>
      </c>
    </row>
    <row r="1783" spans="1:10" ht="24" thickBot="1" x14ac:dyDescent="0.35">
      <c r="A1783" s="324" t="s">
        <v>110</v>
      </c>
      <c r="B1783" s="901" t="s">
        <v>182</v>
      </c>
      <c r="C1783" s="901"/>
      <c r="D1783" s="902"/>
      <c r="E1783" s="401"/>
      <c r="F1783" s="418">
        <f t="shared" ref="F1783:G1783" si="1179">+F1782</f>
        <v>1804896.9390000002</v>
      </c>
      <c r="G1783" s="419">
        <f t="shared" si="1179"/>
        <v>32999583.002999999</v>
      </c>
      <c r="H1783" s="402"/>
      <c r="I1783" s="418">
        <f t="shared" ref="I1783" si="1180">+I1782</f>
        <v>3260092.5999999996</v>
      </c>
      <c r="J1783" s="435">
        <f>+J1782</f>
        <v>59813437.079999998</v>
      </c>
    </row>
    <row r="1784" spans="1:10" ht="24.6" thickBot="1" x14ac:dyDescent="0.35">
      <c r="A1784" s="325"/>
      <c r="B1784" s="915" t="s">
        <v>183</v>
      </c>
      <c r="C1784" s="916"/>
      <c r="D1784" s="917"/>
      <c r="E1784" s="407"/>
      <c r="F1784" s="424">
        <f t="shared" ref="F1784:G1784" si="1181">+F1729+F1756+F1783</f>
        <v>9588399.9202999994</v>
      </c>
      <c r="G1784" s="424">
        <f t="shared" si="1181"/>
        <v>130139594.6911</v>
      </c>
      <c r="H1784" s="407"/>
      <c r="I1784" s="424">
        <f t="shared" ref="I1784:J1784" si="1182">+I1729+I1756+I1783</f>
        <v>13360682.389999999</v>
      </c>
      <c r="J1784" s="438">
        <f t="shared" si="1182"/>
        <v>201657424.75279999</v>
      </c>
    </row>
    <row r="1785" spans="1:10" ht="23.4" x14ac:dyDescent="0.3">
      <c r="A1785" s="935" t="s">
        <v>1</v>
      </c>
      <c r="B1785" s="938" t="s">
        <v>2</v>
      </c>
      <c r="C1785" s="941" t="s">
        <v>3</v>
      </c>
      <c r="D1785" s="941" t="s">
        <v>93</v>
      </c>
      <c r="E1785" s="965" t="s">
        <v>176</v>
      </c>
      <c r="F1785" s="966"/>
      <c r="G1785" s="966"/>
      <c r="H1785" s="451"/>
      <c r="I1785" s="451"/>
      <c r="J1785" s="452"/>
    </row>
    <row r="1786" spans="1:10" ht="23.4" x14ac:dyDescent="0.3">
      <c r="A1786" s="936"/>
      <c r="B1786" s="939"/>
      <c r="C1786" s="942"/>
      <c r="D1786" s="942"/>
      <c r="E1786" s="967" t="s">
        <v>178</v>
      </c>
      <c r="F1786" s="968"/>
      <c r="G1786" s="969"/>
      <c r="H1786" s="967" t="s">
        <v>177</v>
      </c>
      <c r="I1786" s="968"/>
      <c r="J1786" s="969"/>
    </row>
    <row r="1787" spans="1:10" ht="46.8" x14ac:dyDescent="0.3">
      <c r="A1787" s="937"/>
      <c r="B1787" s="963"/>
      <c r="C1787" s="964"/>
      <c r="D1787" s="964"/>
      <c r="E1787" s="385" t="s">
        <v>179</v>
      </c>
      <c r="F1787" s="851" t="s">
        <v>11</v>
      </c>
      <c r="G1787" s="852" t="s">
        <v>12</v>
      </c>
      <c r="H1787" s="970" t="s">
        <v>179</v>
      </c>
      <c r="I1787" s="972" t="s">
        <v>145</v>
      </c>
      <c r="J1787" s="974" t="s">
        <v>12</v>
      </c>
    </row>
    <row r="1788" spans="1:10" ht="24" thickBot="1" x14ac:dyDescent="0.35">
      <c r="A1788" s="937"/>
      <c r="B1788" s="940"/>
      <c r="C1788" s="943"/>
      <c r="D1788" s="943"/>
      <c r="E1788" s="976">
        <v>44524</v>
      </c>
      <c r="F1788" s="977"/>
      <c r="G1788" s="978"/>
      <c r="H1788" s="971"/>
      <c r="I1788" s="973"/>
      <c r="J1788" s="975"/>
    </row>
    <row r="1789" spans="1:10" ht="23.4" x14ac:dyDescent="0.3">
      <c r="A1789" s="271" t="s">
        <v>111</v>
      </c>
      <c r="B1789" s="922" t="s">
        <v>16</v>
      </c>
      <c r="C1789" s="272" t="s">
        <v>186</v>
      </c>
      <c r="D1789" s="272" t="s">
        <v>184</v>
      </c>
      <c r="E1789" s="515">
        <v>81.360699999999994</v>
      </c>
      <c r="F1789" s="408">
        <f>IFERROR(E1789*'01 Prod Physique Boites'!H1773,"-")</f>
        <v>0</v>
      </c>
      <c r="G1789" s="408">
        <f>IFERROR(E1789*'01 Prod Physique Boites'!L1773,"-")</f>
        <v>0</v>
      </c>
      <c r="H1789" s="387">
        <v>0</v>
      </c>
      <c r="I1789" s="425">
        <f>IFERROR(H1789*(F1789/E1789),"-")</f>
        <v>0</v>
      </c>
      <c r="J1789" s="426">
        <f t="shared" ref="J1789:J1791" si="1183">IFERROR(H1789*(G1789/E1789),"-")</f>
        <v>0</v>
      </c>
    </row>
    <row r="1790" spans="1:10" ht="23.4" x14ac:dyDescent="0.3">
      <c r="A1790" s="277" t="s">
        <v>111</v>
      </c>
      <c r="B1790" s="923"/>
      <c r="C1790" s="278" t="s">
        <v>190</v>
      </c>
      <c r="D1790" s="278" t="s">
        <v>101</v>
      </c>
      <c r="E1790" s="516">
        <v>81.360699999999994</v>
      </c>
      <c r="F1790" s="408">
        <f>IFERROR(E1790*'01 Prod Physique Boites'!H1774,"-")</f>
        <v>0</v>
      </c>
      <c r="G1790" s="408">
        <f>IFERROR(E1790*'01 Prod Physique Boites'!L1774,"-")</f>
        <v>0</v>
      </c>
      <c r="H1790" s="391">
        <v>0</v>
      </c>
      <c r="I1790" s="425">
        <f>IFERROR(H1790*(F1790/E1790),"-")</f>
        <v>0</v>
      </c>
      <c r="J1790" s="426">
        <f t="shared" si="1183"/>
        <v>0</v>
      </c>
    </row>
    <row r="1791" spans="1:10" ht="23.4" x14ac:dyDescent="0.3">
      <c r="A1791" s="277" t="s">
        <v>111</v>
      </c>
      <c r="B1791" s="923"/>
      <c r="C1791" s="278" t="s">
        <v>187</v>
      </c>
      <c r="D1791" s="278" t="s">
        <v>185</v>
      </c>
      <c r="E1791" s="516">
        <v>55.476900000000001</v>
      </c>
      <c r="F1791" s="408">
        <f>IFERROR(E1791*'01 Prod Physique Boites'!H1775,"-")</f>
        <v>0</v>
      </c>
      <c r="G1791" s="408">
        <f>IFERROR(E1791*'01 Prod Physique Boites'!L1775,"-")</f>
        <v>0</v>
      </c>
      <c r="H1791" s="391">
        <v>0</v>
      </c>
      <c r="I1791" s="425">
        <f>IFERROR(H1791*(F1791/E1791),"-")</f>
        <v>0</v>
      </c>
      <c r="J1791" s="426">
        <f t="shared" si="1183"/>
        <v>0</v>
      </c>
    </row>
    <row r="1792" spans="1:10" ht="24" thickBot="1" x14ac:dyDescent="0.35">
      <c r="A1792" s="277" t="s">
        <v>111</v>
      </c>
      <c r="B1792" s="924"/>
      <c r="C1792" s="282" t="s">
        <v>289</v>
      </c>
      <c r="D1792" s="282" t="s">
        <v>256</v>
      </c>
      <c r="E1792" s="512">
        <v>60.703499999999998</v>
      </c>
      <c r="F1792" s="408">
        <f>IFERROR(E1792*'01 Prod Physique Boites'!H1776,"-")</f>
        <v>0</v>
      </c>
      <c r="G1792" s="408">
        <f>IFERROR(E1792*'01 Prod Physique Boites'!L1776,"-")</f>
        <v>6314135.2560000001</v>
      </c>
      <c r="H1792" s="393">
        <v>111.09</v>
      </c>
      <c r="I1792" s="425">
        <f>IFERROR(H1792*(F1792/E1792),"-")</f>
        <v>0</v>
      </c>
      <c r="J1792" s="426">
        <f>IFERROR(H1792*(G1792/E1792),"-")</f>
        <v>11555137.439999999</v>
      </c>
    </row>
    <row r="1793" spans="1:10" ht="24" thickBot="1" x14ac:dyDescent="0.35">
      <c r="A1793" s="277" t="s">
        <v>111</v>
      </c>
      <c r="B1793" s="906" t="s">
        <v>47</v>
      </c>
      <c r="C1793" s="907"/>
      <c r="D1793" s="908"/>
      <c r="E1793" s="396"/>
      <c r="F1793" s="412">
        <f t="shared" ref="F1793" si="1184">SUM(F1789:F1792)</f>
        <v>0</v>
      </c>
      <c r="G1793" s="413">
        <f>SUM(G1789:G1792)</f>
        <v>6314135.2560000001</v>
      </c>
      <c r="H1793" s="397"/>
      <c r="I1793" s="412">
        <f t="shared" ref="I1793:J1793" si="1185">SUM(I1789:I1792)</f>
        <v>0</v>
      </c>
      <c r="J1793" s="431">
        <f t="shared" si="1185"/>
        <v>11555137.439999999</v>
      </c>
    </row>
    <row r="1794" spans="1:10" ht="23.4" x14ac:dyDescent="0.3">
      <c r="A1794" s="277" t="s">
        <v>111</v>
      </c>
      <c r="B1794" s="922" t="s">
        <v>17</v>
      </c>
      <c r="C1794" s="272" t="s">
        <v>331</v>
      </c>
      <c r="D1794" s="272"/>
      <c r="E1794" s="515">
        <v>12.5275</v>
      </c>
      <c r="F1794" s="408">
        <f>IFERROR(E1794*'01 Prod Physique Boites'!H1778,"-")</f>
        <v>0</v>
      </c>
      <c r="G1794" s="408">
        <f>IFERROR(E1794*'01 Prod Physique Boites'!L1778,"-")</f>
        <v>0</v>
      </c>
      <c r="H1794" s="387">
        <v>18.836400000000001</v>
      </c>
      <c r="I1794" s="425">
        <f t="shared" ref="I1794:I1800" si="1186">IFERROR(H1794*(F1794/E1794),"-")</f>
        <v>0</v>
      </c>
      <c r="J1794" s="426">
        <f t="shared" ref="J1794:J1799" si="1187">IFERROR(H1794*(G1794/E1794),"-")</f>
        <v>0</v>
      </c>
    </row>
    <row r="1795" spans="1:10" ht="23.4" x14ac:dyDescent="0.3">
      <c r="A1795" s="277" t="s">
        <v>111</v>
      </c>
      <c r="B1795" s="923"/>
      <c r="C1795" s="278" t="s">
        <v>421</v>
      </c>
      <c r="D1795" s="278" t="s">
        <v>257</v>
      </c>
      <c r="E1795" s="516">
        <v>13.002700000000001</v>
      </c>
      <c r="F1795" s="408">
        <f>IFERROR(E1795*'01 Prod Physique Boites'!H1779,"-")</f>
        <v>2705601.8160000001</v>
      </c>
      <c r="G1795" s="408">
        <f>IFERROR(E1795*'01 Prod Physique Boites'!L1779,"-")</f>
        <v>13717107.346100001</v>
      </c>
      <c r="H1795" s="391">
        <v>21.18</v>
      </c>
      <c r="I1795" s="427">
        <f t="shared" si="1186"/>
        <v>4407134.4000000004</v>
      </c>
      <c r="J1795" s="428">
        <f t="shared" si="1187"/>
        <v>22343692.739999998</v>
      </c>
    </row>
    <row r="1796" spans="1:10" ht="23.4" x14ac:dyDescent="0.3">
      <c r="A1796" s="277" t="s">
        <v>111</v>
      </c>
      <c r="B1796" s="923"/>
      <c r="C1796" s="278" t="s">
        <v>441</v>
      </c>
      <c r="D1796" s="278" t="s">
        <v>205</v>
      </c>
      <c r="E1796" s="516">
        <v>12.9049</v>
      </c>
      <c r="F1796" s="408">
        <f>IFERROR(E1796*'01 Prod Physique Boites'!H1780,"-")</f>
        <v>0</v>
      </c>
      <c r="G1796" s="408">
        <f>IFERROR(E1796*'01 Prod Physique Boites'!L1780,"-")</f>
        <v>0</v>
      </c>
      <c r="H1796" s="391">
        <v>20.6602</v>
      </c>
      <c r="I1796" s="427">
        <f t="shared" si="1186"/>
        <v>0</v>
      </c>
      <c r="J1796" s="428">
        <f t="shared" si="1187"/>
        <v>0</v>
      </c>
    </row>
    <row r="1797" spans="1:10" ht="23.4" x14ac:dyDescent="0.3">
      <c r="A1797" s="277" t="s">
        <v>111</v>
      </c>
      <c r="B1797" s="923"/>
      <c r="C1797" s="278" t="s">
        <v>330</v>
      </c>
      <c r="D1797" s="278" t="s">
        <v>206</v>
      </c>
      <c r="E1797" s="516">
        <v>13.078200000000001</v>
      </c>
      <c r="F1797" s="408">
        <f>IFERROR(E1797*'01 Prod Physique Boites'!H1781,"-")</f>
        <v>0</v>
      </c>
      <c r="G1797" s="408">
        <f>IFERROR(E1797*'01 Prod Physique Boites'!L1781,"-")</f>
        <v>24011.575200000003</v>
      </c>
      <c r="H1797" s="391">
        <v>20.6</v>
      </c>
      <c r="I1797" s="427">
        <f t="shared" si="1186"/>
        <v>0</v>
      </c>
      <c r="J1797" s="428">
        <f t="shared" si="1187"/>
        <v>37821.600000000006</v>
      </c>
    </row>
    <row r="1798" spans="1:10" ht="23.4" x14ac:dyDescent="0.3">
      <c r="A1798" s="277" t="s">
        <v>111</v>
      </c>
      <c r="B1798" s="923"/>
      <c r="C1798" s="278" t="s">
        <v>377</v>
      </c>
      <c r="D1798" s="278" t="s">
        <v>371</v>
      </c>
      <c r="E1798" s="516">
        <v>13.1958</v>
      </c>
      <c r="F1798" s="408">
        <f>IFERROR(E1798*'01 Prod Physique Boites'!H1782,"-")</f>
        <v>0</v>
      </c>
      <c r="G1798" s="408">
        <f>IFERROR(E1798*'01 Prod Physique Boites'!L1782,"-")</f>
        <v>140007.43799999999</v>
      </c>
      <c r="H1798" s="391">
        <v>21.28</v>
      </c>
      <c r="I1798" s="427">
        <f t="shared" si="1186"/>
        <v>0</v>
      </c>
      <c r="J1798" s="428">
        <f t="shared" si="1187"/>
        <v>225780.80000000002</v>
      </c>
    </row>
    <row r="1799" spans="1:10" ht="23.4" x14ac:dyDescent="0.3">
      <c r="A1799" s="277" t="s">
        <v>111</v>
      </c>
      <c r="B1799" s="923"/>
      <c r="C1799" s="278" t="s">
        <v>443</v>
      </c>
      <c r="D1799" s="278" t="s">
        <v>207</v>
      </c>
      <c r="E1799" s="516">
        <v>12.9049</v>
      </c>
      <c r="F1799" s="408">
        <f>IFERROR(E1799*'01 Prod Physique Boites'!H1783,"-")</f>
        <v>157955.976</v>
      </c>
      <c r="G1799" s="408">
        <f>IFERROR(E1799*'01 Prod Physique Boites'!L1783,"-")</f>
        <v>6397217.0279999999</v>
      </c>
      <c r="H1799" s="812">
        <v>20.5</v>
      </c>
      <c r="I1799" s="427">
        <f t="shared" si="1186"/>
        <v>250920</v>
      </c>
      <c r="J1799" s="428">
        <f t="shared" si="1187"/>
        <v>10162260</v>
      </c>
    </row>
    <row r="1800" spans="1:10" ht="24" thickBot="1" x14ac:dyDescent="0.35">
      <c r="A1800" s="277" t="s">
        <v>111</v>
      </c>
      <c r="B1800" s="924"/>
      <c r="C1800" s="282" t="s">
        <v>416</v>
      </c>
      <c r="D1800" s="282" t="s">
        <v>189</v>
      </c>
      <c r="E1800" s="512">
        <v>13.6509</v>
      </c>
      <c r="F1800" s="408">
        <f>IFERROR(E1800*'01 Prod Physique Boites'!H1784,"-")</f>
        <v>0</v>
      </c>
      <c r="G1800" s="408">
        <f>IFERROR(E1800*'01 Prod Physique Boites'!L1784,"-")</f>
        <v>1002522.096</v>
      </c>
      <c r="H1800" s="393">
        <v>21.18</v>
      </c>
      <c r="I1800" s="429">
        <f t="shared" si="1186"/>
        <v>0</v>
      </c>
      <c r="J1800" s="430">
        <f>IFERROR(H1800*(G1800/E1800),"-")</f>
        <v>1555459.2</v>
      </c>
    </row>
    <row r="1801" spans="1:10" ht="24" thickBot="1" x14ac:dyDescent="0.35">
      <c r="A1801" s="277" t="s">
        <v>111</v>
      </c>
      <c r="B1801" s="906" t="s">
        <v>48</v>
      </c>
      <c r="C1801" s="907"/>
      <c r="D1801" s="908"/>
      <c r="E1801" s="396"/>
      <c r="F1801" s="412">
        <f t="shared" ref="F1801" si="1188">SUM(F1794:F1800)</f>
        <v>2863557.7919999999</v>
      </c>
      <c r="G1801" s="413">
        <f>SUM(G1794:G1800)</f>
        <v>21280865.4833</v>
      </c>
      <c r="H1801" s="397"/>
      <c r="I1801" s="412">
        <f t="shared" ref="I1801" si="1189">SUM(I1794:I1800)</f>
        <v>4658054.4000000004</v>
      </c>
      <c r="J1801" s="431">
        <f>SUM(J1794:J1800)</f>
        <v>34325014.340000004</v>
      </c>
    </row>
    <row r="1802" spans="1:10" ht="23.4" x14ac:dyDescent="0.3">
      <c r="A1802" s="277" t="s">
        <v>111</v>
      </c>
      <c r="B1802" s="922" t="s">
        <v>18</v>
      </c>
      <c r="C1802" s="272" t="s">
        <v>359</v>
      </c>
      <c r="D1802" s="272" t="s">
        <v>99</v>
      </c>
      <c r="E1802" s="515">
        <v>17.8202</v>
      </c>
      <c r="F1802" s="408">
        <f>IFERROR(E1802*'01 Prod Physique Boites'!H1786,"-")</f>
        <v>0</v>
      </c>
      <c r="G1802" s="409">
        <f>IFERROR(E1802*'01 Prod Physique Boites'!L1786,"-")</f>
        <v>0</v>
      </c>
      <c r="H1802" s="387">
        <v>24.93</v>
      </c>
      <c r="I1802" s="425">
        <f t="shared" ref="I1802:I1808" si="1190">IFERROR(H1802*(F1802/E1802),"-")</f>
        <v>0</v>
      </c>
      <c r="J1802" s="426">
        <f t="shared" ref="J1802:J1804" si="1191">IFERROR(H1802*(G1802/E1802),"-")</f>
        <v>0</v>
      </c>
    </row>
    <row r="1803" spans="1:10" ht="23.4" x14ac:dyDescent="0.3">
      <c r="A1803" s="277" t="s">
        <v>111</v>
      </c>
      <c r="B1803" s="923"/>
      <c r="C1803" s="278" t="s">
        <v>138</v>
      </c>
      <c r="D1803" s="278"/>
      <c r="E1803" s="516">
        <v>17.8202</v>
      </c>
      <c r="F1803" s="408">
        <f>IFERROR(E1803*'01 Prod Physique Boites'!H1787,"-")</f>
        <v>0</v>
      </c>
      <c r="G1803" s="409">
        <f>IFERROR(E1803*'01 Prod Physique Boites'!L1787,"-")</f>
        <v>0</v>
      </c>
      <c r="H1803" s="391">
        <v>0</v>
      </c>
      <c r="I1803" s="427">
        <f t="shared" si="1190"/>
        <v>0</v>
      </c>
      <c r="J1803" s="428">
        <f t="shared" si="1191"/>
        <v>0</v>
      </c>
    </row>
    <row r="1804" spans="1:10" ht="23.4" x14ac:dyDescent="0.3">
      <c r="A1804" s="277" t="s">
        <v>111</v>
      </c>
      <c r="B1804" s="923"/>
      <c r="C1804" s="278" t="s">
        <v>123</v>
      </c>
      <c r="D1804" s="278"/>
      <c r="E1804" s="516">
        <v>16.4071</v>
      </c>
      <c r="F1804" s="408">
        <f>IFERROR(E1804*'01 Prod Physique Boites'!H1788,"-")</f>
        <v>0</v>
      </c>
      <c r="G1804" s="409">
        <f>IFERROR(E1804*'01 Prod Physique Boites'!L1788,"-")</f>
        <v>0</v>
      </c>
      <c r="H1804" s="391">
        <v>0</v>
      </c>
      <c r="I1804" s="427">
        <f t="shared" si="1190"/>
        <v>0</v>
      </c>
      <c r="J1804" s="428">
        <f t="shared" si="1191"/>
        <v>0</v>
      </c>
    </row>
    <row r="1805" spans="1:10" ht="23.4" x14ac:dyDescent="0.3">
      <c r="A1805" s="277" t="s">
        <v>111</v>
      </c>
      <c r="B1805" s="923"/>
      <c r="C1805" s="278" t="s">
        <v>130</v>
      </c>
      <c r="D1805" s="278"/>
      <c r="E1805" s="516">
        <v>17.8202</v>
      </c>
      <c r="F1805" s="408">
        <f>IFERROR(E1805*'01 Prod Physique Boites'!H1789,"-")</f>
        <v>0</v>
      </c>
      <c r="G1805" s="409">
        <f>IFERROR(E1805*'01 Prod Physique Boites'!L1789,"-")</f>
        <v>0</v>
      </c>
      <c r="H1805" s="391">
        <v>0</v>
      </c>
      <c r="I1805" s="427">
        <f t="shared" si="1190"/>
        <v>0</v>
      </c>
      <c r="J1805" s="428">
        <f>IFERROR(H1805*(G1805/E1805),"-")</f>
        <v>0</v>
      </c>
    </row>
    <row r="1806" spans="1:10" ht="23.4" x14ac:dyDescent="0.3">
      <c r="A1806" s="277" t="s">
        <v>111</v>
      </c>
      <c r="B1806" s="923"/>
      <c r="C1806" s="278" t="s">
        <v>191</v>
      </c>
      <c r="D1806" s="278" t="s">
        <v>192</v>
      </c>
      <c r="E1806" s="516">
        <v>17.8202</v>
      </c>
      <c r="F1806" s="408">
        <f>IFERROR(E1806*'01 Prod Physique Boites'!H1790,"-")</f>
        <v>0</v>
      </c>
      <c r="G1806" s="409">
        <f>IFERROR(E1806*'01 Prod Physique Boites'!L1790,"-")</f>
        <v>0</v>
      </c>
      <c r="H1806" s="391">
        <v>0</v>
      </c>
      <c r="I1806" s="427">
        <f t="shared" si="1190"/>
        <v>0</v>
      </c>
      <c r="J1806" s="428">
        <f t="shared" ref="J1806:J1808" si="1192">IFERROR(H1806*(G1806/E1806),"-")</f>
        <v>0</v>
      </c>
    </row>
    <row r="1807" spans="1:10" ht="23.4" x14ac:dyDescent="0.3">
      <c r="A1807" s="277" t="s">
        <v>111</v>
      </c>
      <c r="B1807" s="923"/>
      <c r="C1807" s="278" t="s">
        <v>194</v>
      </c>
      <c r="D1807" s="278" t="s">
        <v>193</v>
      </c>
      <c r="E1807" s="516">
        <v>16.7288</v>
      </c>
      <c r="F1807" s="408">
        <f>IFERROR(E1807*'01 Prod Physique Boites'!H1791,"-")</f>
        <v>0</v>
      </c>
      <c r="G1807" s="409">
        <f>IFERROR(E1807*'01 Prod Physique Boites'!L1791,"-")</f>
        <v>0</v>
      </c>
      <c r="H1807" s="391">
        <v>0</v>
      </c>
      <c r="I1807" s="427">
        <f t="shared" si="1190"/>
        <v>0</v>
      </c>
      <c r="J1807" s="428">
        <f t="shared" si="1192"/>
        <v>0</v>
      </c>
    </row>
    <row r="1808" spans="1:10" ht="24" thickBot="1" x14ac:dyDescent="0.35">
      <c r="A1808" s="277" t="s">
        <v>111</v>
      </c>
      <c r="B1808" s="924"/>
      <c r="C1808" s="290" t="s">
        <v>195</v>
      </c>
      <c r="D1808" s="290" t="s">
        <v>115</v>
      </c>
      <c r="E1808" s="512">
        <v>17.8202</v>
      </c>
      <c r="F1808" s="408">
        <f>IFERROR(E1808*'01 Prod Physique Boites'!H1792,"-")</f>
        <v>0</v>
      </c>
      <c r="G1808" s="409">
        <f>IFERROR(E1808*'01 Prod Physique Boites'!L1792,"-")</f>
        <v>0</v>
      </c>
      <c r="H1808" s="391">
        <v>0</v>
      </c>
      <c r="I1808" s="429">
        <f t="shared" si="1190"/>
        <v>0</v>
      </c>
      <c r="J1808" s="430">
        <f t="shared" si="1192"/>
        <v>0</v>
      </c>
    </row>
    <row r="1809" spans="1:10" ht="24" thickBot="1" x14ac:dyDescent="0.35">
      <c r="A1809" s="277" t="s">
        <v>111</v>
      </c>
      <c r="B1809" s="906" t="s">
        <v>29</v>
      </c>
      <c r="C1809" s="907"/>
      <c r="D1809" s="908"/>
      <c r="E1809" s="777"/>
      <c r="F1809" s="778">
        <f t="shared" ref="F1809:G1809" si="1193">SUM(F1802:F1808)</f>
        <v>0</v>
      </c>
      <c r="G1809" s="413">
        <f t="shared" si="1193"/>
        <v>0</v>
      </c>
      <c r="H1809" s="397"/>
      <c r="I1809" s="412">
        <f t="shared" ref="I1809:J1809" si="1194">SUM(I1802:I1808)</f>
        <v>0</v>
      </c>
      <c r="J1809" s="431">
        <f t="shared" si="1194"/>
        <v>0</v>
      </c>
    </row>
    <row r="1810" spans="1:10" ht="23.4" x14ac:dyDescent="0.3">
      <c r="A1810" s="277"/>
      <c r="B1810" s="918" t="s">
        <v>19</v>
      </c>
      <c r="C1810" s="779" t="s">
        <v>260</v>
      </c>
      <c r="D1810" s="785" t="s">
        <v>192</v>
      </c>
      <c r="E1810" s="786">
        <v>12.2659</v>
      </c>
      <c r="F1810" s="787">
        <f>IFERROR(E1810*'01 Prod Physique Boites'!H1794,"-")</f>
        <v>0</v>
      </c>
      <c r="G1810" s="788">
        <f>IFERROR(E1810*'01 Prod Physique Boites'!L1794,"-")</f>
        <v>4024662.5762</v>
      </c>
      <c r="H1810" s="782">
        <v>14.79</v>
      </c>
      <c r="I1810" s="703">
        <f t="shared" ref="I1810:I1812" si="1195">IFERROR(H1810*(F1810/E1810),"-")</f>
        <v>0</v>
      </c>
      <c r="J1810" s="703">
        <f>IFERROR(H1810*(G1810/E1810),"-")</f>
        <v>4852865.22</v>
      </c>
    </row>
    <row r="1811" spans="1:10" ht="23.4" x14ac:dyDescent="0.3">
      <c r="A1811" s="277"/>
      <c r="B1811" s="919"/>
      <c r="C1811" s="780" t="s">
        <v>458</v>
      </c>
      <c r="D1811" s="789"/>
      <c r="E1811" s="762">
        <v>12.2659</v>
      </c>
      <c r="F1811" s="763">
        <f>IFERROR(E1811*'01 Prod Physique Boites'!H1795,"-")</f>
        <v>828978.58559999999</v>
      </c>
      <c r="G1811" s="663">
        <f>IFERROR(E1811*'01 Prod Physique Boites'!L1795,"-")</f>
        <v>5802850.0992000001</v>
      </c>
      <c r="H1811" s="783">
        <v>14.55</v>
      </c>
      <c r="I1811" s="763">
        <f t="shared" si="1195"/>
        <v>983347.20000000007</v>
      </c>
      <c r="J1811" s="763">
        <f>IFERROR(H1811*(G1811/E1811),"-")</f>
        <v>6883430.4000000004</v>
      </c>
    </row>
    <row r="1812" spans="1:10" ht="24" thickBot="1" x14ac:dyDescent="0.35">
      <c r="A1812" s="853" t="s">
        <v>111</v>
      </c>
      <c r="B1812" s="920"/>
      <c r="C1812" s="781" t="s">
        <v>417</v>
      </c>
      <c r="D1812" s="790"/>
      <c r="E1812" s="791">
        <v>0</v>
      </c>
      <c r="F1812" s="792">
        <f>IFERROR(E1812*'01 Prod Physique Boites'!H1796,"-")</f>
        <v>0</v>
      </c>
      <c r="G1812" s="793">
        <f>IFERROR(E1812*'01 Prod Physique Boites'!L1796,"-")</f>
        <v>0</v>
      </c>
      <c r="H1812" s="784">
        <v>0</v>
      </c>
      <c r="I1812" s="432" t="str">
        <f t="shared" si="1195"/>
        <v>-</v>
      </c>
      <c r="J1812" s="433" t="str">
        <f t="shared" ref="J1812" si="1196">IFERROR(I1812*(G1812/F1812),"-")</f>
        <v>-</v>
      </c>
    </row>
    <row r="1813" spans="1:10" ht="24" thickBot="1" x14ac:dyDescent="0.35">
      <c r="A1813" s="277" t="s">
        <v>111</v>
      </c>
      <c r="B1813" s="906" t="s">
        <v>49</v>
      </c>
      <c r="C1813" s="907"/>
      <c r="D1813" s="908"/>
      <c r="E1813" s="396"/>
      <c r="F1813" s="412">
        <f>SUM(F1810:F1812)</f>
        <v>828978.58559999999</v>
      </c>
      <c r="G1813" s="412">
        <f>SUM(G1810:G1812)</f>
        <v>9827512.6754000001</v>
      </c>
      <c r="H1813" s="397"/>
      <c r="I1813" s="412">
        <f t="shared" ref="I1813" si="1197">SUM(I1812)</f>
        <v>0</v>
      </c>
      <c r="J1813" s="431">
        <f>SUM(J1810:J1812)</f>
        <v>11736295.620000001</v>
      </c>
    </row>
    <row r="1814" spans="1:10" ht="23.4" x14ac:dyDescent="0.3">
      <c r="A1814" s="277" t="s">
        <v>111</v>
      </c>
      <c r="B1814" s="922" t="s">
        <v>20</v>
      </c>
      <c r="C1814" s="297" t="s">
        <v>370</v>
      </c>
      <c r="D1814" s="297" t="s">
        <v>324</v>
      </c>
      <c r="E1814" s="515">
        <v>26.032900000000001</v>
      </c>
      <c r="F1814" s="408">
        <f>IFERROR(E1814*'01 Prod Physique Boites'!H1798,"-")</f>
        <v>0</v>
      </c>
      <c r="G1814" s="409">
        <f>IFERROR(E1814*'01 Prod Physique Boites'!L1798,"-")</f>
        <v>0</v>
      </c>
      <c r="H1814" s="387">
        <v>36.44</v>
      </c>
      <c r="I1814" s="425">
        <f>IFERROR(H1814*(F1814/E1814),"-")</f>
        <v>0</v>
      </c>
      <c r="J1814" s="426">
        <f t="shared" ref="J1814:J1816" si="1198">IFERROR(H1814*(G1814/E1814),"-")</f>
        <v>0</v>
      </c>
    </row>
    <row r="1815" spans="1:10" ht="23.4" x14ac:dyDescent="0.3">
      <c r="A1815" s="277" t="s">
        <v>111</v>
      </c>
      <c r="B1815" s="923"/>
      <c r="C1815" s="298" t="s">
        <v>122</v>
      </c>
      <c r="D1815" s="298"/>
      <c r="E1815" s="390">
        <v>24.2607</v>
      </c>
      <c r="F1815" s="408">
        <f>IFERROR(E1815*'01 Prod Physique Boites'!H1799,"-")</f>
        <v>0</v>
      </c>
      <c r="G1815" s="409">
        <f>IFERROR(E1815*'01 Prod Physique Boites'!L1799,"-")</f>
        <v>0</v>
      </c>
      <c r="H1815" s="391">
        <v>37.369999999999997</v>
      </c>
      <c r="I1815" s="427">
        <f>IFERROR(H1815*(F1815/E1815),"-")</f>
        <v>0</v>
      </c>
      <c r="J1815" s="428">
        <f t="shared" si="1198"/>
        <v>0</v>
      </c>
    </row>
    <row r="1816" spans="1:10" ht="24" thickBot="1" x14ac:dyDescent="0.35">
      <c r="A1816" s="277" t="s">
        <v>111</v>
      </c>
      <c r="B1816" s="924"/>
      <c r="C1816" s="299" t="s">
        <v>128</v>
      </c>
      <c r="D1816" s="299"/>
      <c r="E1816" s="392">
        <v>26.035799999999998</v>
      </c>
      <c r="F1816" s="408">
        <f>IFERROR(E1816*'01 Prod Physique Boites'!H1800,"-")</f>
        <v>0</v>
      </c>
      <c r="G1816" s="409">
        <f>IFERROR(E1816*'01 Prod Physique Boites'!L1800,"-")</f>
        <v>0</v>
      </c>
      <c r="H1816" s="393">
        <v>37.11</v>
      </c>
      <c r="I1816" s="429">
        <f>IFERROR(H1816*(F1816/E1816),"-")</f>
        <v>0</v>
      </c>
      <c r="J1816" s="430">
        <f t="shared" si="1198"/>
        <v>0</v>
      </c>
    </row>
    <row r="1817" spans="1:10" ht="24" thickBot="1" x14ac:dyDescent="0.35">
      <c r="A1817" s="277" t="s">
        <v>111</v>
      </c>
      <c r="B1817" s="907" t="s">
        <v>50</v>
      </c>
      <c r="C1817" s="907"/>
      <c r="D1817" s="925"/>
      <c r="E1817" s="396"/>
      <c r="F1817" s="412">
        <f t="shared" ref="F1817:G1817" si="1199">SUM(F1814:F1816)</f>
        <v>0</v>
      </c>
      <c r="G1817" s="413">
        <f t="shared" si="1199"/>
        <v>0</v>
      </c>
      <c r="H1817" s="397"/>
      <c r="I1817" s="412">
        <f t="shared" ref="I1817:J1817" si="1200">SUM(I1814:I1816)</f>
        <v>0</v>
      </c>
      <c r="J1817" s="431">
        <f t="shared" si="1200"/>
        <v>0</v>
      </c>
    </row>
    <row r="1818" spans="1:10" ht="24" thickBot="1" x14ac:dyDescent="0.35">
      <c r="A1818" s="277" t="s">
        <v>111</v>
      </c>
      <c r="B1818" s="926" t="s">
        <v>21</v>
      </c>
      <c r="C1818" s="927"/>
      <c r="D1818" s="928"/>
      <c r="E1818" s="399"/>
      <c r="F1818" s="416">
        <f>+F1793+F1801+F1809+F1813+F1817</f>
        <v>3692536.3775999998</v>
      </c>
      <c r="G1818" s="417">
        <f>+G1793+G1801+G1809+G1813+G1817</f>
        <v>37422513.414700001</v>
      </c>
      <c r="H1818" s="400"/>
      <c r="I1818" s="416">
        <f>+I1793+I1801+I1809+I1813+I1817</f>
        <v>4658054.4000000004</v>
      </c>
      <c r="J1818" s="434">
        <f>+J1793+J1801+J1809+J1813+J1817</f>
        <v>57616447.400000006</v>
      </c>
    </row>
    <row r="1819" spans="1:10" ht="23.4" x14ac:dyDescent="0.3">
      <c r="A1819" s="277" t="s">
        <v>111</v>
      </c>
      <c r="B1819" s="922" t="s">
        <v>22</v>
      </c>
      <c r="C1819" s="272" t="s">
        <v>133</v>
      </c>
      <c r="D1819" s="272"/>
      <c r="E1819" s="386">
        <v>22.820599999999999</v>
      </c>
      <c r="F1819" s="408">
        <f>IFERROR(E1819*'01 Prod Physique Boites'!H1803,"-")</f>
        <v>0</v>
      </c>
      <c r="G1819" s="409">
        <f>IFERROR(E1819*'01 Prod Physique Boites'!L1803,"-")</f>
        <v>0</v>
      </c>
      <c r="H1819" s="387">
        <v>27.5</v>
      </c>
      <c r="I1819" s="425">
        <f>IFERROR(H1819*(F1819/E1819),"-")</f>
        <v>0</v>
      </c>
      <c r="J1819" s="426">
        <f t="shared" ref="J1819:J1822" si="1201">IFERROR(H1819*(G1819/E1819),"-")</f>
        <v>0</v>
      </c>
    </row>
    <row r="1820" spans="1:10" ht="23.4" x14ac:dyDescent="0.3">
      <c r="A1820" s="277" t="s">
        <v>111</v>
      </c>
      <c r="B1820" s="923"/>
      <c r="C1820" s="301" t="s">
        <v>291</v>
      </c>
      <c r="D1820" s="301" t="s">
        <v>196</v>
      </c>
      <c r="E1820" s="390">
        <v>23.570699999999999</v>
      </c>
      <c r="F1820" s="408">
        <f>IFERROR(E1820*'01 Prod Physique Boites'!H1804,"-")</f>
        <v>0</v>
      </c>
      <c r="G1820" s="409">
        <f>IFERROR(E1820*'01 Prod Physique Boites'!L1804,"-")</f>
        <v>0</v>
      </c>
      <c r="H1820" s="391">
        <v>27.5</v>
      </c>
      <c r="I1820" s="427">
        <f>IFERROR(H1820*(F1820/E1820),"-")</f>
        <v>0</v>
      </c>
      <c r="J1820" s="428">
        <f t="shared" si="1201"/>
        <v>0</v>
      </c>
    </row>
    <row r="1821" spans="1:10" ht="23.4" x14ac:dyDescent="0.3">
      <c r="A1821" s="277" t="s">
        <v>111</v>
      </c>
      <c r="B1821" s="923"/>
      <c r="C1821" s="301" t="s">
        <v>473</v>
      </c>
      <c r="D1821" s="301" t="s">
        <v>196</v>
      </c>
      <c r="E1821" s="390">
        <v>22.820599999999999</v>
      </c>
      <c r="F1821" s="408">
        <f>IFERROR(E1821*'01 Prod Physique Boites'!H1805,"-")</f>
        <v>1174804.4879999999</v>
      </c>
      <c r="G1821" s="409">
        <f>IFERROR(E1821*'01 Prod Physique Boites'!L1805,"-")</f>
        <v>6913272.5639999993</v>
      </c>
      <c r="H1821" s="391">
        <v>27.5</v>
      </c>
      <c r="I1821" s="427">
        <f>IFERROR(H1821*(F1821/E1821),"-")</f>
        <v>1415700</v>
      </c>
      <c r="J1821" s="428">
        <f t="shared" si="1201"/>
        <v>8330850</v>
      </c>
    </row>
    <row r="1822" spans="1:10" ht="24" thickBot="1" x14ac:dyDescent="0.35">
      <c r="A1822" s="277" t="s">
        <v>111</v>
      </c>
      <c r="B1822" s="924"/>
      <c r="C1822" s="282" t="s">
        <v>197</v>
      </c>
      <c r="D1822" s="282" t="s">
        <v>100</v>
      </c>
      <c r="E1822" s="392">
        <v>23.5685</v>
      </c>
      <c r="F1822" s="408">
        <f>IFERROR(E1822*'01 Prod Physique Boites'!H1806,"-")</f>
        <v>0</v>
      </c>
      <c r="G1822" s="409">
        <f>IFERROR(E1822*'01 Prod Physique Boites'!L1806,"-")</f>
        <v>0</v>
      </c>
      <c r="H1822" s="393">
        <v>24</v>
      </c>
      <c r="I1822" s="429">
        <f>IFERROR(H1822*(F1822/E1822),"-")</f>
        <v>0</v>
      </c>
      <c r="J1822" s="430">
        <f t="shared" si="1201"/>
        <v>0</v>
      </c>
    </row>
    <row r="1823" spans="1:10" ht="24" thickBot="1" x14ac:dyDescent="0.35">
      <c r="A1823" s="277" t="s">
        <v>111</v>
      </c>
      <c r="B1823" s="906" t="s">
        <v>51</v>
      </c>
      <c r="C1823" s="907"/>
      <c r="D1823" s="908"/>
      <c r="E1823" s="396"/>
      <c r="F1823" s="412">
        <f t="shared" ref="F1823:G1823" si="1202">SUM(F1819:F1822)</f>
        <v>1174804.4879999999</v>
      </c>
      <c r="G1823" s="413">
        <f t="shared" si="1202"/>
        <v>6913272.5639999993</v>
      </c>
      <c r="H1823" s="397"/>
      <c r="I1823" s="412">
        <f t="shared" ref="I1823:J1823" si="1203">SUM(I1819:I1822)</f>
        <v>1415700</v>
      </c>
      <c r="J1823" s="431">
        <f t="shared" si="1203"/>
        <v>8330850</v>
      </c>
    </row>
    <row r="1824" spans="1:10" ht="23.4" x14ac:dyDescent="0.3">
      <c r="A1824" s="277" t="s">
        <v>111</v>
      </c>
      <c r="B1824" s="922" t="s">
        <v>23</v>
      </c>
      <c r="C1824" s="302" t="s">
        <v>348</v>
      </c>
      <c r="D1824" s="302" t="s">
        <v>263</v>
      </c>
      <c r="E1824" s="386">
        <v>101.4935</v>
      </c>
      <c r="F1824" s="408">
        <f>IFERROR(E1824*'01 Prod Physique Boites'!H1808,"-")</f>
        <v>0</v>
      </c>
      <c r="G1824" s="409">
        <f>IFERROR(E1824*'01 Prod Physique Boites'!L1808,"-")</f>
        <v>0</v>
      </c>
      <c r="H1824" s="391">
        <v>160.44999999999999</v>
      </c>
      <c r="I1824" s="425">
        <f t="shared" ref="I1824:I1831" si="1204">IFERROR(H1824*(F1824/E1824),"-")</f>
        <v>0</v>
      </c>
      <c r="J1824" s="426">
        <f t="shared" ref="J1824:J1831" si="1205">IFERROR(H1824*(G1824/E1824),"-")</f>
        <v>0</v>
      </c>
    </row>
    <row r="1825" spans="1:10" ht="23.4" x14ac:dyDescent="0.3">
      <c r="A1825" s="277" t="s">
        <v>111</v>
      </c>
      <c r="B1825" s="923"/>
      <c r="C1825" s="278" t="s">
        <v>24</v>
      </c>
      <c r="D1825" s="278" t="s">
        <v>263</v>
      </c>
      <c r="E1825" s="390">
        <v>101.4935</v>
      </c>
      <c r="F1825" s="408">
        <f>IFERROR(E1825*'01 Prod Physique Boites'!H1809,"-")</f>
        <v>0</v>
      </c>
      <c r="G1825" s="409">
        <f>IFERROR(E1825*'01 Prod Physique Boites'!L1809,"-")</f>
        <v>11408275.374</v>
      </c>
      <c r="H1825" s="391">
        <v>160.44999999999999</v>
      </c>
      <c r="I1825" s="427">
        <f t="shared" si="1204"/>
        <v>0</v>
      </c>
      <c r="J1825" s="428">
        <f t="shared" si="1205"/>
        <v>18035221.799999997</v>
      </c>
    </row>
    <row r="1826" spans="1:10" ht="23.4" x14ac:dyDescent="0.3">
      <c r="A1826" s="277" t="s">
        <v>111</v>
      </c>
      <c r="B1826" s="923"/>
      <c r="C1826" s="278" t="s">
        <v>261</v>
      </c>
      <c r="D1826" s="278" t="s">
        <v>263</v>
      </c>
      <c r="E1826" s="390">
        <v>101.4935</v>
      </c>
      <c r="F1826" s="408">
        <f>IFERROR(E1826*'01 Prod Physique Boites'!H1810,"-")</f>
        <v>0</v>
      </c>
      <c r="G1826" s="409">
        <f>IFERROR(E1826*'01 Prod Physique Boites'!L1810,"-")</f>
        <v>1106380.6435</v>
      </c>
      <c r="H1826" s="391">
        <v>160.44999999999999</v>
      </c>
      <c r="I1826" s="427">
        <f t="shared" si="1204"/>
        <v>0</v>
      </c>
      <c r="J1826" s="428">
        <f t="shared" si="1205"/>
        <v>1749065.45</v>
      </c>
    </row>
    <row r="1827" spans="1:10" ht="23.4" x14ac:dyDescent="0.3">
      <c r="A1827" s="277" t="s">
        <v>111</v>
      </c>
      <c r="B1827" s="923"/>
      <c r="C1827" s="278" t="s">
        <v>262</v>
      </c>
      <c r="D1827" s="278" t="s">
        <v>263</v>
      </c>
      <c r="E1827" s="390">
        <v>101.4935</v>
      </c>
      <c r="F1827" s="408">
        <f>IFERROR(E1827*'01 Prod Physique Boites'!H1811,"-")</f>
        <v>0</v>
      </c>
      <c r="G1827" s="409">
        <f>IFERROR(E1827*'01 Prod Physique Boites'!L1811,"-")</f>
        <v>772568.522</v>
      </c>
      <c r="H1827" s="391">
        <v>160.44999999999999</v>
      </c>
      <c r="I1827" s="427">
        <f t="shared" si="1204"/>
        <v>0</v>
      </c>
      <c r="J1827" s="428">
        <f t="shared" si="1205"/>
        <v>1221345.3999999999</v>
      </c>
    </row>
    <row r="1828" spans="1:10" ht="23.4" x14ac:dyDescent="0.3">
      <c r="A1828" s="277" t="s">
        <v>111</v>
      </c>
      <c r="B1828" s="923"/>
      <c r="C1828" s="301" t="s">
        <v>264</v>
      </c>
      <c r="D1828" s="278" t="s">
        <v>263</v>
      </c>
      <c r="E1828" s="390">
        <v>101.4935</v>
      </c>
      <c r="F1828" s="408">
        <f>IFERROR(E1828*'01 Prod Physique Boites'!H1812,"-")</f>
        <v>0</v>
      </c>
      <c r="G1828" s="409">
        <f>IFERROR(E1828*'01 Prod Physique Boites'!L1812,"-")</f>
        <v>0</v>
      </c>
      <c r="H1828" s="391">
        <v>160.44999999999999</v>
      </c>
      <c r="I1828" s="427">
        <f t="shared" si="1204"/>
        <v>0</v>
      </c>
      <c r="J1828" s="428">
        <f t="shared" si="1205"/>
        <v>0</v>
      </c>
    </row>
    <row r="1829" spans="1:10" ht="23.4" x14ac:dyDescent="0.3">
      <c r="A1829" s="277" t="s">
        <v>111</v>
      </c>
      <c r="B1829" s="923"/>
      <c r="C1829" s="301" t="s">
        <v>265</v>
      </c>
      <c r="D1829" s="278" t="s">
        <v>263</v>
      </c>
      <c r="E1829" s="390">
        <v>101.4935</v>
      </c>
      <c r="F1829" s="408">
        <f>IFERROR(E1829*'01 Prod Physique Boites'!H1813,"-")</f>
        <v>0</v>
      </c>
      <c r="G1829" s="409">
        <f>IFERROR(E1829*'01 Prod Physique Boites'!L1813,"-")</f>
        <v>0</v>
      </c>
      <c r="H1829" s="391">
        <v>160.44999999999999</v>
      </c>
      <c r="I1829" s="427">
        <f t="shared" si="1204"/>
        <v>0</v>
      </c>
      <c r="J1829" s="428">
        <f t="shared" si="1205"/>
        <v>0</v>
      </c>
    </row>
    <row r="1830" spans="1:10" ht="23.4" x14ac:dyDescent="0.3">
      <c r="A1830" s="277" t="s">
        <v>111</v>
      </c>
      <c r="B1830" s="923"/>
      <c r="C1830" s="301" t="s">
        <v>266</v>
      </c>
      <c r="D1830" s="278" t="s">
        <v>268</v>
      </c>
      <c r="E1830" s="390">
        <v>101.4935</v>
      </c>
      <c r="F1830" s="408">
        <f>IFERROR(E1830*'01 Prod Physique Boites'!H1814,"-")</f>
        <v>0</v>
      </c>
      <c r="G1830" s="409">
        <f>IFERROR(E1830*'01 Prod Physique Boites'!L1814,"-")</f>
        <v>1057257.7895</v>
      </c>
      <c r="H1830" s="391">
        <v>160.44999999999999</v>
      </c>
      <c r="I1830" s="427">
        <f t="shared" si="1204"/>
        <v>0</v>
      </c>
      <c r="J1830" s="428">
        <f t="shared" si="1205"/>
        <v>1671407.65</v>
      </c>
    </row>
    <row r="1831" spans="1:10" ht="24" thickBot="1" x14ac:dyDescent="0.35">
      <c r="A1831" s="277" t="s">
        <v>111</v>
      </c>
      <c r="B1831" s="924"/>
      <c r="C1831" s="301" t="s">
        <v>267</v>
      </c>
      <c r="D1831" s="278" t="s">
        <v>263</v>
      </c>
      <c r="E1831" s="392">
        <v>101.4935</v>
      </c>
      <c r="F1831" s="408">
        <f>IFERROR(E1831*'01 Prod Physique Boites'!H1815,"-")</f>
        <v>0</v>
      </c>
      <c r="G1831" s="409">
        <f>IFERROR(E1831*'01 Prod Physique Boites'!L1815,"-")</f>
        <v>1420909</v>
      </c>
      <c r="H1831" s="391">
        <v>160.44999999999999</v>
      </c>
      <c r="I1831" s="429">
        <f t="shared" si="1204"/>
        <v>0</v>
      </c>
      <c r="J1831" s="430">
        <f t="shared" si="1205"/>
        <v>2246300</v>
      </c>
    </row>
    <row r="1832" spans="1:10" ht="24" thickBot="1" x14ac:dyDescent="0.35">
      <c r="A1832" s="277" t="s">
        <v>111</v>
      </c>
      <c r="B1832" s="906" t="s">
        <v>52</v>
      </c>
      <c r="C1832" s="907"/>
      <c r="D1832" s="908"/>
      <c r="E1832" s="396"/>
      <c r="F1832" s="412">
        <f t="shared" ref="F1832" si="1206">SUM(F1824:F1831)</f>
        <v>0</v>
      </c>
      <c r="G1832" s="413">
        <f>SUM(G1824:G1831)</f>
        <v>15765391.329</v>
      </c>
      <c r="H1832" s="397"/>
      <c r="I1832" s="412">
        <f t="shared" ref="I1832" si="1207">SUM(I1824:I1831)</f>
        <v>0</v>
      </c>
      <c r="J1832" s="431">
        <f>SUM(J1824:J1831)</f>
        <v>24923340.299999993</v>
      </c>
    </row>
    <row r="1833" spans="1:10" ht="24" thickBot="1" x14ac:dyDescent="0.35">
      <c r="A1833" s="277" t="s">
        <v>111</v>
      </c>
      <c r="B1833" s="926" t="s">
        <v>25</v>
      </c>
      <c r="C1833" s="927"/>
      <c r="D1833" s="928"/>
      <c r="E1833" s="399"/>
      <c r="F1833" s="416">
        <f t="shared" ref="F1833" si="1208">+F1823+F1832</f>
        <v>1174804.4879999999</v>
      </c>
      <c r="G1833" s="417">
        <f>+G1823+G1832</f>
        <v>22678663.892999999</v>
      </c>
      <c r="H1833" s="400"/>
      <c r="I1833" s="416">
        <f t="shared" ref="I1833:J1833" si="1209">+I1823+I1832</f>
        <v>1415700</v>
      </c>
      <c r="J1833" s="434">
        <f t="shared" si="1209"/>
        <v>33254190.299999993</v>
      </c>
    </row>
    <row r="1834" spans="1:10" ht="24" thickBot="1" x14ac:dyDescent="0.35">
      <c r="A1834" s="277" t="s">
        <v>111</v>
      </c>
      <c r="B1834" s="900" t="s">
        <v>181</v>
      </c>
      <c r="C1834" s="901"/>
      <c r="D1834" s="902"/>
      <c r="E1834" s="401"/>
      <c r="F1834" s="418">
        <f t="shared" ref="F1834" si="1210">+F1818+F1833</f>
        <v>4867340.8655999992</v>
      </c>
      <c r="G1834" s="419">
        <f>+G1818+G1833</f>
        <v>60101177.307700001</v>
      </c>
      <c r="H1834" s="402"/>
      <c r="I1834" s="418">
        <f t="shared" ref="I1834:J1834" si="1211">+I1818+I1833</f>
        <v>6073754.4000000004</v>
      </c>
      <c r="J1834" s="435">
        <f t="shared" si="1211"/>
        <v>90870637.700000003</v>
      </c>
    </row>
    <row r="1835" spans="1:10" ht="23.4" x14ac:dyDescent="0.3">
      <c r="A1835" s="271" t="s">
        <v>109</v>
      </c>
      <c r="B1835" s="929" t="s">
        <v>26</v>
      </c>
      <c r="C1835" s="303" t="s">
        <v>334</v>
      </c>
      <c r="D1835" s="305" t="s">
        <v>192</v>
      </c>
      <c r="E1835" s="515">
        <v>13.1272</v>
      </c>
      <c r="F1835" s="408">
        <f>IFERROR(E1835*'01 Prod Physique Boites'!H1819,"-")</f>
        <v>0</v>
      </c>
      <c r="G1835" s="409">
        <f>IFERROR(E1835*'01 Prod Physique Boites'!L1819,"-")</f>
        <v>4229820.1295999996</v>
      </c>
      <c r="H1835" s="387">
        <v>20.76</v>
      </c>
      <c r="I1835" s="425">
        <f t="shared" ref="I1835:I1843" si="1212">IFERROR(H1835*(F1835/E1835),"-")</f>
        <v>0</v>
      </c>
      <c r="J1835" s="662">
        <f t="shared" ref="J1835:J1843" si="1213">IFERROR(H1835*(G1835/E1835),"-")</f>
        <v>6689245.6799999997</v>
      </c>
    </row>
    <row r="1836" spans="1:10" ht="23.4" x14ac:dyDescent="0.3">
      <c r="A1836" s="277" t="s">
        <v>109</v>
      </c>
      <c r="B1836" s="929"/>
      <c r="C1836" s="304" t="s">
        <v>199</v>
      </c>
      <c r="D1836" s="304" t="s">
        <v>115</v>
      </c>
      <c r="E1836" s="516">
        <v>14.608000000000001</v>
      </c>
      <c r="F1836" s="408">
        <f>IFERROR(E1836*'01 Prod Physique Boites'!H1820,"-")</f>
        <v>0</v>
      </c>
      <c r="G1836" s="409">
        <f>IFERROR(E1836*'01 Prod Physique Boites'!L1820,"-")</f>
        <v>0</v>
      </c>
      <c r="H1836" s="391">
        <v>24.93</v>
      </c>
      <c r="I1836" s="427">
        <f t="shared" si="1212"/>
        <v>0</v>
      </c>
      <c r="J1836" s="663">
        <f t="shared" si="1213"/>
        <v>0</v>
      </c>
    </row>
    <row r="1837" spans="1:10" ht="23.4" x14ac:dyDescent="0.3">
      <c r="A1837" s="277" t="s">
        <v>109</v>
      </c>
      <c r="B1837" s="929"/>
      <c r="C1837" s="305" t="s">
        <v>27</v>
      </c>
      <c r="D1837" s="305" t="s">
        <v>394</v>
      </c>
      <c r="E1837" s="512">
        <v>17.8202</v>
      </c>
      <c r="F1837" s="408">
        <f>IFERROR(E1837*'01 Prod Physique Boites'!H1821,"-")</f>
        <v>70888.755600000004</v>
      </c>
      <c r="G1837" s="409">
        <f>IFERROR(E1837*'01 Prod Physique Boites'!L1821,"-")</f>
        <v>354443.77799999999</v>
      </c>
      <c r="H1837" s="391">
        <v>21.22</v>
      </c>
      <c r="I1837" s="427">
        <f t="shared" si="1212"/>
        <v>84413.16</v>
      </c>
      <c r="J1837" s="663">
        <f t="shared" si="1213"/>
        <v>422065.8</v>
      </c>
    </row>
    <row r="1838" spans="1:10" ht="23.4" x14ac:dyDescent="0.3">
      <c r="A1838" s="277" t="s">
        <v>109</v>
      </c>
      <c r="B1838" s="929"/>
      <c r="C1838" s="305" t="s">
        <v>27</v>
      </c>
      <c r="D1838" s="305" t="s">
        <v>259</v>
      </c>
      <c r="E1838" s="512">
        <v>17.8202</v>
      </c>
      <c r="F1838" s="408">
        <f>IFERROR(E1838*'01 Prod Physique Boites'!H1822,"-")</f>
        <v>354443.77799999999</v>
      </c>
      <c r="G1838" s="409">
        <f>IFERROR(E1838*'01 Prod Physique Boites'!L1822,"-")</f>
        <v>850665.06720000005</v>
      </c>
      <c r="H1838" s="391">
        <v>24.93</v>
      </c>
      <c r="I1838" s="427">
        <f t="shared" si="1212"/>
        <v>495857.7</v>
      </c>
      <c r="J1838" s="663">
        <f t="shared" si="1213"/>
        <v>1190058.48</v>
      </c>
    </row>
    <row r="1839" spans="1:10" ht="23.4" x14ac:dyDescent="0.3">
      <c r="A1839" s="277" t="s">
        <v>109</v>
      </c>
      <c r="B1839" s="929"/>
      <c r="C1839" s="305" t="s">
        <v>27</v>
      </c>
      <c r="D1839" s="305" t="s">
        <v>310</v>
      </c>
      <c r="E1839" s="512">
        <v>17.8202</v>
      </c>
      <c r="F1839" s="408">
        <f>IFERROR(E1839*'01 Prod Physique Boites'!H1823,"-")</f>
        <v>141777.51120000001</v>
      </c>
      <c r="G1839" s="409">
        <f>IFERROR(E1839*'01 Prod Physique Boites'!L1823,"-")</f>
        <v>141777.51120000001</v>
      </c>
      <c r="H1839" s="391">
        <v>24.93</v>
      </c>
      <c r="I1839" s="427">
        <f t="shared" si="1212"/>
        <v>198343.08000000002</v>
      </c>
      <c r="J1839" s="663">
        <f t="shared" si="1213"/>
        <v>198343.08000000002</v>
      </c>
    </row>
    <row r="1840" spans="1:10" ht="23.4" x14ac:dyDescent="0.3">
      <c r="A1840" s="277"/>
      <c r="B1840" s="929"/>
      <c r="C1840" s="305" t="s">
        <v>393</v>
      </c>
      <c r="D1840" s="305" t="s">
        <v>192</v>
      </c>
      <c r="E1840" s="512">
        <v>17.8202</v>
      </c>
      <c r="F1840" s="408">
        <f>IFERROR(E1840*'01 Prod Physique Boites'!H1824,"-")</f>
        <v>0</v>
      </c>
      <c r="G1840" s="409">
        <f>IFERROR(E1840*'01 Prod Physique Boites'!L1824,"-")</f>
        <v>0</v>
      </c>
      <c r="H1840" s="393">
        <v>21.22</v>
      </c>
      <c r="I1840" s="427">
        <f t="shared" si="1212"/>
        <v>0</v>
      </c>
      <c r="J1840" s="664">
        <f t="shared" si="1213"/>
        <v>0</v>
      </c>
    </row>
    <row r="1841" spans="1:10" ht="23.4" x14ac:dyDescent="0.3">
      <c r="A1841" s="277"/>
      <c r="B1841" s="929"/>
      <c r="C1841" s="305" t="s">
        <v>325</v>
      </c>
      <c r="D1841" s="305" t="s">
        <v>101</v>
      </c>
      <c r="E1841" s="512">
        <v>14.608000000000001</v>
      </c>
      <c r="F1841" s="408">
        <f>IFERROR(E1841*'01 Prod Physique Boites'!H1825,"-")</f>
        <v>58110.624000000003</v>
      </c>
      <c r="G1841" s="409">
        <f>IFERROR(E1841*'01 Prod Physique Boites'!L1825,"-")</f>
        <v>116221.24800000001</v>
      </c>
      <c r="H1841" s="393">
        <v>24.93</v>
      </c>
      <c r="I1841" s="429">
        <f t="shared" si="1212"/>
        <v>99171.54</v>
      </c>
      <c r="J1841" s="664">
        <f t="shared" si="1213"/>
        <v>198343.08</v>
      </c>
    </row>
    <row r="1842" spans="1:10" ht="23.4" x14ac:dyDescent="0.3">
      <c r="A1842" s="277"/>
      <c r="B1842" s="929"/>
      <c r="C1842" s="305" t="s">
        <v>325</v>
      </c>
      <c r="D1842" s="305" t="s">
        <v>394</v>
      </c>
      <c r="E1842" s="512">
        <v>14.608000000000001</v>
      </c>
      <c r="F1842" s="408">
        <f>IFERROR(E1842*'01 Prod Physique Boites'!H1826,"-")</f>
        <v>0</v>
      </c>
      <c r="G1842" s="409">
        <f>IFERROR(E1842*'01 Prod Physique Boites'!L1826,"-")</f>
        <v>10401801.696</v>
      </c>
      <c r="H1842" s="393">
        <v>21.22</v>
      </c>
      <c r="I1842" s="429">
        <f t="shared" si="1212"/>
        <v>0</v>
      </c>
      <c r="J1842" s="664">
        <f t="shared" si="1213"/>
        <v>15109955.639999999</v>
      </c>
    </row>
    <row r="1843" spans="1:10" ht="24" thickBot="1" x14ac:dyDescent="0.35">
      <c r="A1843" s="277" t="s">
        <v>109</v>
      </c>
      <c r="B1843" s="929"/>
      <c r="C1843" s="306" t="s">
        <v>326</v>
      </c>
      <c r="D1843" s="305" t="s">
        <v>324</v>
      </c>
      <c r="E1843" s="512">
        <v>12.6997</v>
      </c>
      <c r="F1843" s="408">
        <f>IFERROR(E1843*'01 Prod Physique Boites'!H1827,"-")</f>
        <v>0</v>
      </c>
      <c r="G1843" s="409">
        <f>IFERROR(E1843*'01 Prod Physique Boites'!L1827,"-")</f>
        <v>101038.8132</v>
      </c>
      <c r="H1843" s="393">
        <v>13.25</v>
      </c>
      <c r="I1843" s="429">
        <f t="shared" si="1212"/>
        <v>0</v>
      </c>
      <c r="J1843" s="664">
        <f t="shared" si="1213"/>
        <v>105417</v>
      </c>
    </row>
    <row r="1844" spans="1:10" ht="24" thickBot="1" x14ac:dyDescent="0.35">
      <c r="A1844" s="277" t="s">
        <v>109</v>
      </c>
      <c r="B1844" s="930"/>
      <c r="C1844" s="307"/>
      <c r="D1844" s="308" t="s">
        <v>55</v>
      </c>
      <c r="E1844" s="396"/>
      <c r="F1844" s="412">
        <f>SUM(F1835:F1843)</f>
        <v>625220.66879999998</v>
      </c>
      <c r="G1844" s="413">
        <f t="shared" ref="G1844" si="1214">SUM(G1835:G1843)</f>
        <v>16195768.2432</v>
      </c>
      <c r="H1844" s="397"/>
      <c r="I1844" s="412">
        <f t="shared" ref="I1844" si="1215">SUM(I1835:I1843)</f>
        <v>877785.48</v>
      </c>
      <c r="J1844" s="431">
        <f>SUM(J1835:J1843)</f>
        <v>23913428.759999998</v>
      </c>
    </row>
    <row r="1845" spans="1:10" ht="23.4" x14ac:dyDescent="0.3">
      <c r="A1845" s="277" t="s">
        <v>109</v>
      </c>
      <c r="B1845" s="931" t="s">
        <v>28</v>
      </c>
      <c r="C1845" s="305" t="s">
        <v>27</v>
      </c>
      <c r="D1845" s="303" t="s">
        <v>310</v>
      </c>
      <c r="E1845" s="515">
        <v>17.8202</v>
      </c>
      <c r="F1845" s="408">
        <f>IFERROR(E1845*'01 Prod Physique Boites'!H1829,"-")</f>
        <v>1913996.4012</v>
      </c>
      <c r="G1845" s="409">
        <f>IFERROR(E1845*'01 Prod Physique Boites'!L1829,"-")</f>
        <v>1913996.4012</v>
      </c>
      <c r="H1845" s="387">
        <v>24.93</v>
      </c>
      <c r="I1845" s="425">
        <f>IFERROR(H1845*(F1845/E1845),"-")</f>
        <v>2677631.58</v>
      </c>
      <c r="J1845" s="662">
        <f t="shared" ref="J1845:J1847" si="1216">IFERROR(H1845*(G1845/E1845),"-")</f>
        <v>2677631.58</v>
      </c>
    </row>
    <row r="1846" spans="1:10" ht="23.4" x14ac:dyDescent="0.3">
      <c r="A1846" s="277" t="s">
        <v>109</v>
      </c>
      <c r="B1846" s="929"/>
      <c r="C1846" s="305" t="s">
        <v>27</v>
      </c>
      <c r="D1846" s="305" t="s">
        <v>394</v>
      </c>
      <c r="E1846" s="512">
        <v>17.8202</v>
      </c>
      <c r="F1846" s="408">
        <f>IFERROR(E1846*'01 Prod Physique Boites'!H1830,"-")</f>
        <v>0</v>
      </c>
      <c r="G1846" s="409">
        <f>IFERROR(E1846*'01 Prod Physique Boites'!L1830,"-")</f>
        <v>5458434.1811999995</v>
      </c>
      <c r="H1846" s="391">
        <v>21.22</v>
      </c>
      <c r="I1846" s="427">
        <f>IFERROR(H1846*(F1846/E1846),"-")</f>
        <v>0</v>
      </c>
      <c r="J1846" s="663">
        <f t="shared" si="1216"/>
        <v>6499813.3199999994</v>
      </c>
    </row>
    <row r="1847" spans="1:10" ht="24" thickBot="1" x14ac:dyDescent="0.35">
      <c r="A1847" s="277" t="s">
        <v>109</v>
      </c>
      <c r="B1847" s="929"/>
      <c r="C1847" s="305" t="s">
        <v>27</v>
      </c>
      <c r="D1847" s="306" t="s">
        <v>259</v>
      </c>
      <c r="E1847" s="512">
        <v>17.8202</v>
      </c>
      <c r="F1847" s="408">
        <f>IFERROR(E1847*'01 Prod Physique Boites'!H1831,"-")</f>
        <v>283555.02240000002</v>
      </c>
      <c r="G1847" s="409">
        <f>IFERROR(E1847*'01 Prod Physique Boites'!L1831,"-")</f>
        <v>6379988.0039999997</v>
      </c>
      <c r="H1847" s="391">
        <v>24.93</v>
      </c>
      <c r="I1847" s="429">
        <f>IFERROR(H1847*(F1847/E1847),"-")</f>
        <v>396686.16000000003</v>
      </c>
      <c r="J1847" s="664">
        <f t="shared" si="1216"/>
        <v>8925438.5999999996</v>
      </c>
    </row>
    <row r="1848" spans="1:10" ht="24" thickBot="1" x14ac:dyDescent="0.35">
      <c r="A1848" s="277" t="s">
        <v>109</v>
      </c>
      <c r="B1848" s="929"/>
      <c r="C1848" s="310"/>
      <c r="D1848" s="311" t="s">
        <v>55</v>
      </c>
      <c r="E1848" s="403"/>
      <c r="F1848" s="420">
        <f t="shared" ref="F1848:G1848" si="1217">SUM(F1845:F1847)</f>
        <v>2197551.4235999999</v>
      </c>
      <c r="G1848" s="421">
        <f t="shared" si="1217"/>
        <v>13752418.586399999</v>
      </c>
      <c r="H1848" s="404"/>
      <c r="I1848" s="420">
        <f t="shared" ref="I1848:J1848" si="1218">SUM(I1845:I1847)</f>
        <v>3074317.74</v>
      </c>
      <c r="J1848" s="436">
        <f t="shared" si="1218"/>
        <v>18102883.5</v>
      </c>
    </row>
    <row r="1849" spans="1:10" ht="24" thickBot="1" x14ac:dyDescent="0.35">
      <c r="A1849" s="853" t="s">
        <v>109</v>
      </c>
      <c r="B1849" s="932" t="s">
        <v>171</v>
      </c>
      <c r="C1849" s="933"/>
      <c r="D1849" s="934"/>
      <c r="E1849" s="405"/>
      <c r="F1849" s="422">
        <f t="shared" ref="F1849:G1849" si="1219">+F1844+F1848</f>
        <v>2822772.0924</v>
      </c>
      <c r="G1849" s="423">
        <f t="shared" si="1219"/>
        <v>29948186.829599999</v>
      </c>
      <c r="H1849" s="406"/>
      <c r="I1849" s="422">
        <f t="shared" ref="I1849:J1849" si="1220">+I1844+I1848</f>
        <v>3952103.22</v>
      </c>
      <c r="J1849" s="437">
        <f t="shared" si="1220"/>
        <v>42016312.259999998</v>
      </c>
    </row>
    <row r="1850" spans="1:10" ht="23.4" x14ac:dyDescent="0.3">
      <c r="A1850" s="277" t="s">
        <v>109</v>
      </c>
      <c r="B1850" s="929" t="s">
        <v>30</v>
      </c>
      <c r="C1850" s="309" t="s">
        <v>375</v>
      </c>
      <c r="D1850" s="303" t="s">
        <v>193</v>
      </c>
      <c r="E1850" s="515">
        <v>15.2788</v>
      </c>
      <c r="F1850" s="408">
        <f>IFERROR(E1850*'01 Prod Physique Boites'!H1834,"-")</f>
        <v>0</v>
      </c>
      <c r="G1850" s="409">
        <f>IFERROR(E1850*'01 Prod Physique Boites'!L1834,"-")</f>
        <v>0</v>
      </c>
      <c r="H1850" s="387">
        <v>23.65</v>
      </c>
      <c r="I1850" s="425">
        <f>IFERROR(H1850*(F1850/E1850),"-")</f>
        <v>0</v>
      </c>
      <c r="J1850" s="426">
        <f t="shared" ref="J1850:J1852" si="1221">IFERROR(H1850*(G1850/E1850),"-")</f>
        <v>0</v>
      </c>
    </row>
    <row r="1851" spans="1:10" ht="23.4" x14ac:dyDescent="0.3">
      <c r="A1851" s="277" t="s">
        <v>109</v>
      </c>
      <c r="B1851" s="929"/>
      <c r="C1851" s="309" t="s">
        <v>368</v>
      </c>
      <c r="D1851" s="309" t="s">
        <v>324</v>
      </c>
      <c r="E1851" s="516">
        <v>22.6356</v>
      </c>
      <c r="F1851" s="408">
        <f>IFERROR(E1851*'01 Prod Physique Boites'!H1835,"-")</f>
        <v>0</v>
      </c>
      <c r="G1851" s="409">
        <f>IFERROR(E1851*'01 Prod Physique Boites'!L1835,"-")</f>
        <v>0</v>
      </c>
      <c r="H1851" s="391">
        <v>34.26</v>
      </c>
      <c r="I1851" s="427">
        <f>IFERROR(H1851*(F1851/E1851),"-")</f>
        <v>0</v>
      </c>
      <c r="J1851" s="428">
        <f t="shared" si="1221"/>
        <v>0</v>
      </c>
    </row>
    <row r="1852" spans="1:10" ht="24" thickBot="1" x14ac:dyDescent="0.35">
      <c r="A1852" s="277" t="s">
        <v>109</v>
      </c>
      <c r="B1852" s="929"/>
      <c r="C1852" s="306" t="s">
        <v>327</v>
      </c>
      <c r="D1852" s="306"/>
      <c r="E1852" s="512">
        <v>25.751300000000001</v>
      </c>
      <c r="F1852" s="408">
        <f>IFERROR(E1852*'01 Prod Physique Boites'!H1836,"-")</f>
        <v>0</v>
      </c>
      <c r="G1852" s="409">
        <f>IFERROR(E1852*'01 Prod Physique Boites'!L1836,"-")</f>
        <v>1349780.1407999999</v>
      </c>
      <c r="H1852" s="393">
        <v>37.89</v>
      </c>
      <c r="I1852" s="429">
        <f>IFERROR(H1852*(F1852/E1852),"-")</f>
        <v>0</v>
      </c>
      <c r="J1852" s="430">
        <f t="shared" si="1221"/>
        <v>1986042.24</v>
      </c>
    </row>
    <row r="1853" spans="1:10" ht="24" thickBot="1" x14ac:dyDescent="0.35">
      <c r="A1853" s="277" t="s">
        <v>109</v>
      </c>
      <c r="B1853" s="929"/>
      <c r="C1853" s="307"/>
      <c r="D1853" s="308" t="s">
        <v>53</v>
      </c>
      <c r="E1853" s="396"/>
      <c r="F1853" s="412">
        <f t="shared" ref="F1853:G1853" si="1222">SUM(F1850:F1852)</f>
        <v>0</v>
      </c>
      <c r="G1853" s="413">
        <f t="shared" si="1222"/>
        <v>1349780.1407999999</v>
      </c>
      <c r="H1853" s="397"/>
      <c r="I1853" s="412">
        <f t="shared" ref="I1853" si="1223">SUM(I1850:I1852)</f>
        <v>0</v>
      </c>
      <c r="J1853" s="431">
        <f>SUM(J1850:J1852)</f>
        <v>1986042.24</v>
      </c>
    </row>
    <row r="1854" spans="1:10" ht="23.4" x14ac:dyDescent="0.3">
      <c r="A1854" s="277" t="s">
        <v>109</v>
      </c>
      <c r="B1854" s="929"/>
      <c r="C1854" s="303" t="s">
        <v>352</v>
      </c>
      <c r="D1854" s="303"/>
      <c r="E1854" s="515">
        <v>22.094999999999999</v>
      </c>
      <c r="F1854" s="408">
        <f>IFERROR(E1854*'01 Prod Physique Boites'!H1838,"-")</f>
        <v>0</v>
      </c>
      <c r="G1854" s="409">
        <f>IFERROR(E1854*'01 Prod Physique Boites'!L1838,"-")</f>
        <v>0</v>
      </c>
      <c r="H1854" s="387">
        <v>37.11</v>
      </c>
      <c r="I1854" s="425">
        <f>IFERROR(H1854*(F1854/E1854),"-")</f>
        <v>0</v>
      </c>
      <c r="J1854" s="426">
        <f t="shared" ref="J1854:J1856" si="1224">IFERROR(H1854*(G1854/E1854),"-")</f>
        <v>0</v>
      </c>
    </row>
    <row r="1855" spans="1:10" ht="23.4" x14ac:dyDescent="0.3">
      <c r="A1855" s="277" t="s">
        <v>109</v>
      </c>
      <c r="B1855" s="929"/>
      <c r="C1855" s="309" t="s">
        <v>397</v>
      </c>
      <c r="D1855" s="309" t="s">
        <v>259</v>
      </c>
      <c r="E1855" s="516">
        <v>27.917000000000002</v>
      </c>
      <c r="F1855" s="408">
        <f>IFERROR(E1855*'01 Prod Physique Boites'!H1839,"-")</f>
        <v>0</v>
      </c>
      <c r="G1855" s="409">
        <f>IFERROR(E1855*'01 Prod Physique Boites'!L1839,"-")</f>
        <v>13430980.368000001</v>
      </c>
      <c r="H1855" s="391">
        <v>39</v>
      </c>
      <c r="I1855" s="427">
        <f>IFERROR(H1855*(F1855/E1855),"-")</f>
        <v>0</v>
      </c>
      <c r="J1855" s="428">
        <f t="shared" si="1224"/>
        <v>18763056</v>
      </c>
    </row>
    <row r="1856" spans="1:10" ht="24" thickBot="1" x14ac:dyDescent="0.35">
      <c r="A1856" s="277" t="s">
        <v>109</v>
      </c>
      <c r="B1856" s="929"/>
      <c r="C1856" s="306" t="s">
        <v>146</v>
      </c>
      <c r="D1856" s="306"/>
      <c r="E1856" s="512">
        <v>25.4041</v>
      </c>
      <c r="F1856" s="408">
        <f>IFERROR(E1856*'01 Prod Physique Boites'!H1840,"-")</f>
        <v>0</v>
      </c>
      <c r="G1856" s="409">
        <f>IFERROR(E1856*'01 Prod Physique Boites'!L1840,"-")</f>
        <v>0</v>
      </c>
      <c r="H1856" s="393">
        <v>28.21</v>
      </c>
      <c r="I1856" s="429">
        <f>IFERROR(H1856*(F1856/E1856),"-")</f>
        <v>0</v>
      </c>
      <c r="J1856" s="430">
        <f t="shared" si="1224"/>
        <v>0</v>
      </c>
    </row>
    <row r="1857" spans="1:10" ht="24" thickBot="1" x14ac:dyDescent="0.35">
      <c r="A1857" s="277" t="s">
        <v>109</v>
      </c>
      <c r="B1857" s="929"/>
      <c r="C1857" s="310"/>
      <c r="D1857" s="311" t="s">
        <v>54</v>
      </c>
      <c r="E1857" s="403"/>
      <c r="F1857" s="420">
        <f t="shared" ref="F1857:G1857" si="1225">SUM(F1854:F1856)</f>
        <v>0</v>
      </c>
      <c r="G1857" s="421">
        <f t="shared" si="1225"/>
        <v>13430980.368000001</v>
      </c>
      <c r="H1857" s="404"/>
      <c r="I1857" s="420">
        <f t="shared" ref="I1857" si="1226">SUM(I1854:I1856)</f>
        <v>0</v>
      </c>
      <c r="J1857" s="436">
        <f>SUM(J1854:J1856)</f>
        <v>18763056</v>
      </c>
    </row>
    <row r="1858" spans="1:10" ht="24" thickBot="1" x14ac:dyDescent="0.35">
      <c r="A1858" s="277" t="s">
        <v>109</v>
      </c>
      <c r="B1858" s="932" t="s">
        <v>172</v>
      </c>
      <c r="C1858" s="933"/>
      <c r="D1858" s="934"/>
      <c r="E1858" s="405"/>
      <c r="F1858" s="422">
        <f t="shared" ref="F1858:G1858" si="1227">+F1853+F1857</f>
        <v>0</v>
      </c>
      <c r="G1858" s="423">
        <f t="shared" si="1227"/>
        <v>14780760.5088</v>
      </c>
      <c r="H1858" s="406"/>
      <c r="I1858" s="422">
        <f t="shared" ref="I1858:J1858" si="1228">+I1853+I1857</f>
        <v>0</v>
      </c>
      <c r="J1858" s="437">
        <f t="shared" si="1228"/>
        <v>20749098.239999998</v>
      </c>
    </row>
    <row r="1859" spans="1:10" ht="24" thickBot="1" x14ac:dyDescent="0.35">
      <c r="A1859" s="277" t="s">
        <v>109</v>
      </c>
      <c r="B1859" s="617" t="s">
        <v>32</v>
      </c>
      <c r="C1859" s="849"/>
      <c r="D1859" s="316"/>
      <c r="E1859" s="517">
        <v>12.2659</v>
      </c>
      <c r="F1859" s="414">
        <f>IFERROR(E1859*'01 Prod Physique Boites'!H1843,"-")</f>
        <v>0</v>
      </c>
      <c r="G1859" s="415">
        <f>IFERROR(E1859*'01 Prod Physique Boites'!L1843,"-")</f>
        <v>0</v>
      </c>
      <c r="H1859" s="398"/>
      <c r="I1859" s="432">
        <f>IFERROR(H1859*(F1859/E1859),"-")</f>
        <v>0</v>
      </c>
      <c r="J1859" s="433">
        <f>IFERROR(H1859*(G1859/E1859),"-")</f>
        <v>0</v>
      </c>
    </row>
    <row r="1860" spans="1:10" ht="24" thickBot="1" x14ac:dyDescent="0.35">
      <c r="A1860" s="277" t="s">
        <v>109</v>
      </c>
      <c r="B1860" s="926" t="s">
        <v>21</v>
      </c>
      <c r="C1860" s="927"/>
      <c r="D1860" s="928"/>
      <c r="E1860" s="399"/>
      <c r="F1860" s="416">
        <f t="shared" ref="F1860" si="1229">+F1849+F1858+F1859</f>
        <v>2822772.0924</v>
      </c>
      <c r="G1860" s="417">
        <f>+G1849+G1858+G1859</f>
        <v>44728947.338399999</v>
      </c>
      <c r="H1860" s="400"/>
      <c r="I1860" s="416">
        <f t="shared" ref="I1860:J1860" si="1230">+I1849+I1858+I1859</f>
        <v>3952103.22</v>
      </c>
      <c r="J1860" s="434">
        <f t="shared" si="1230"/>
        <v>62765410.5</v>
      </c>
    </row>
    <row r="1861" spans="1:10" ht="24" thickBot="1" x14ac:dyDescent="0.35">
      <c r="A1861" s="277" t="s">
        <v>109</v>
      </c>
      <c r="B1861" s="900" t="s">
        <v>180</v>
      </c>
      <c r="C1861" s="901"/>
      <c r="D1861" s="902"/>
      <c r="E1861" s="401"/>
      <c r="F1861" s="418">
        <f t="shared" ref="F1861:G1861" si="1231">+F1860</f>
        <v>2822772.0924</v>
      </c>
      <c r="G1861" s="419">
        <f t="shared" si="1231"/>
        <v>44728947.338399999</v>
      </c>
      <c r="H1861" s="402"/>
      <c r="I1861" s="418">
        <f t="shared" ref="I1861:J1861" si="1232">+I1860</f>
        <v>3952103.22</v>
      </c>
      <c r="J1861" s="435">
        <f t="shared" si="1232"/>
        <v>62765410.5</v>
      </c>
    </row>
    <row r="1862" spans="1:10" ht="23.4" x14ac:dyDescent="0.3">
      <c r="A1862" s="271" t="s">
        <v>110</v>
      </c>
      <c r="B1862" s="903" t="s">
        <v>33</v>
      </c>
      <c r="C1862" s="317" t="s">
        <v>121</v>
      </c>
      <c r="D1862" s="317"/>
      <c r="E1862" s="513">
        <v>254.89750000000001</v>
      </c>
      <c r="F1862" s="408">
        <f>IFERROR(E1862*'01 Prod Physique Boites'!H1846,"-")</f>
        <v>0</v>
      </c>
      <c r="G1862" s="409">
        <f>IFERROR(E1862*'01 Prod Physique Boites'!L1846,"-")</f>
        <v>0</v>
      </c>
      <c r="H1862" s="387">
        <v>445.38</v>
      </c>
      <c r="I1862" s="425">
        <f>IFERROR(H1862*(F1862/E1862),"-")</f>
        <v>0</v>
      </c>
      <c r="J1862" s="426">
        <f t="shared" ref="J1862:J1864" si="1233">IFERROR(H1862*(G1862/E1862),"-")</f>
        <v>0</v>
      </c>
    </row>
    <row r="1863" spans="1:10" ht="23.4" x14ac:dyDescent="0.3">
      <c r="A1863" s="277" t="s">
        <v>110</v>
      </c>
      <c r="B1863" s="904"/>
      <c r="C1863" s="318" t="s">
        <v>274</v>
      </c>
      <c r="D1863" s="318"/>
      <c r="E1863" s="514">
        <v>246.51390000000001</v>
      </c>
      <c r="F1863" s="408">
        <f>IFERROR(E1863*'01 Prod Physique Boites'!H1847,"-")</f>
        <v>0</v>
      </c>
      <c r="G1863" s="409">
        <f>IFERROR(E1863*'01 Prod Physique Boites'!L1847,"-")</f>
        <v>2287648.9920000001</v>
      </c>
      <c r="H1863" s="391">
        <v>430.02</v>
      </c>
      <c r="I1863" s="427">
        <f>IFERROR(H1863*(F1863/E1863),"-")</f>
        <v>0</v>
      </c>
      <c r="J1863" s="428">
        <f t="shared" si="1233"/>
        <v>3990585.5999999996</v>
      </c>
    </row>
    <row r="1864" spans="1:10" ht="24" thickBot="1" x14ac:dyDescent="0.35">
      <c r="A1864" s="277" t="s">
        <v>110</v>
      </c>
      <c r="B1864" s="905"/>
      <c r="C1864" s="319" t="s">
        <v>34</v>
      </c>
      <c r="D1864" s="319"/>
      <c r="E1864" s="511">
        <v>225.7713</v>
      </c>
      <c r="F1864" s="408">
        <f>IFERROR(E1864*'01 Prod Physique Boites'!H1848,"-")</f>
        <v>0</v>
      </c>
      <c r="G1864" s="409">
        <f>IFERROR(E1864*'01 Prod Physique Boites'!L1848,"-")</f>
        <v>0</v>
      </c>
      <c r="H1864" s="393"/>
      <c r="I1864" s="429">
        <f>IFERROR(H1864*(F1864/E1864),"-")</f>
        <v>0</v>
      </c>
      <c r="J1864" s="430">
        <f t="shared" si="1233"/>
        <v>0</v>
      </c>
    </row>
    <row r="1865" spans="1:10" ht="24" thickBot="1" x14ac:dyDescent="0.35">
      <c r="A1865" s="277" t="s">
        <v>110</v>
      </c>
      <c r="B1865" s="906" t="s">
        <v>35</v>
      </c>
      <c r="C1865" s="907"/>
      <c r="D1865" s="908"/>
      <c r="E1865" s="396"/>
      <c r="F1865" s="412">
        <f t="shared" ref="F1865:G1865" si="1234">SUM(F1862:F1864)</f>
        <v>0</v>
      </c>
      <c r="G1865" s="413">
        <f t="shared" si="1234"/>
        <v>2287648.9920000001</v>
      </c>
      <c r="H1865" s="397"/>
      <c r="I1865" s="412">
        <f t="shared" ref="I1865:J1865" si="1235">SUM(I1862:I1864)</f>
        <v>0</v>
      </c>
      <c r="J1865" s="431">
        <f t="shared" si="1235"/>
        <v>3990585.5999999996</v>
      </c>
    </row>
    <row r="1866" spans="1:10" ht="23.4" x14ac:dyDescent="0.3">
      <c r="A1866" s="277" t="s">
        <v>110</v>
      </c>
      <c r="B1866" s="903" t="s">
        <v>36</v>
      </c>
      <c r="C1866" s="317" t="s">
        <v>121</v>
      </c>
      <c r="D1866" s="317"/>
      <c r="E1866" s="513">
        <v>254.89750000000001</v>
      </c>
      <c r="F1866" s="408">
        <f>IFERROR(E1866*'01 Prod Physique Boites'!H1850,"-")</f>
        <v>0</v>
      </c>
      <c r="G1866" s="409">
        <f>IFERROR(E1866*'01 Prod Physique Boites'!L1850,"-")</f>
        <v>0</v>
      </c>
      <c r="H1866" s="387">
        <v>445.38</v>
      </c>
      <c r="I1866" s="425">
        <f>IFERROR(H1866*(F1866/E1866),"-")</f>
        <v>0</v>
      </c>
      <c r="J1866" s="426">
        <f t="shared" ref="J1866:J1869" si="1236">IFERROR(H1866*(G1866/E1866),"-")</f>
        <v>0</v>
      </c>
    </row>
    <row r="1867" spans="1:10" ht="23.4" x14ac:dyDescent="0.3">
      <c r="A1867" s="277" t="s">
        <v>110</v>
      </c>
      <c r="B1867" s="904"/>
      <c r="C1867" s="318" t="s">
        <v>274</v>
      </c>
      <c r="D1867" s="318"/>
      <c r="E1867" s="514">
        <v>246.51390000000001</v>
      </c>
      <c r="F1867" s="408">
        <f>IFERROR(E1867*'01 Prod Physique Boites'!H1851,"-")</f>
        <v>0</v>
      </c>
      <c r="G1867" s="409">
        <f>IFERROR(E1867*'01 Prod Physique Boites'!L1851,"-")</f>
        <v>16383806.821800001</v>
      </c>
      <c r="H1867" s="391">
        <v>430.02</v>
      </c>
      <c r="I1867" s="427">
        <f>IFERROR(H1867*(F1867/E1867),"-")</f>
        <v>0</v>
      </c>
      <c r="J1867" s="428">
        <f t="shared" si="1236"/>
        <v>28579989.239999998</v>
      </c>
    </row>
    <row r="1868" spans="1:10" ht="23.4" x14ac:dyDescent="0.3">
      <c r="A1868" s="277" t="s">
        <v>110</v>
      </c>
      <c r="B1868" s="904"/>
      <c r="C1868" s="318" t="s">
        <v>201</v>
      </c>
      <c r="D1868" s="318" t="s">
        <v>200</v>
      </c>
      <c r="E1868" s="514">
        <v>254.89750000000001</v>
      </c>
      <c r="F1868" s="408">
        <f>IFERROR(E1868*'01 Prod Physique Boites'!H1852,"-")</f>
        <v>0</v>
      </c>
      <c r="G1868" s="409">
        <f>IFERROR(E1868*'01 Prod Physique Boites'!L1852,"-")</f>
        <v>0</v>
      </c>
      <c r="H1868" s="391"/>
      <c r="I1868" s="427">
        <f>IFERROR(H1868*(F1868/E1868),"-")</f>
        <v>0</v>
      </c>
      <c r="J1868" s="428">
        <f t="shared" si="1236"/>
        <v>0</v>
      </c>
    </row>
    <row r="1869" spans="1:10" ht="24" thickBot="1" x14ac:dyDescent="0.35">
      <c r="A1869" s="277" t="s">
        <v>110</v>
      </c>
      <c r="B1869" s="905"/>
      <c r="C1869" s="319" t="s">
        <v>37</v>
      </c>
      <c r="D1869" s="319"/>
      <c r="E1869" s="511">
        <v>229.99359999999999</v>
      </c>
      <c r="F1869" s="408">
        <f>IFERROR(E1869*'01 Prod Physique Boites'!H1853,"-")</f>
        <v>0</v>
      </c>
      <c r="G1869" s="409">
        <f>IFERROR(E1869*'01 Prod Physique Boites'!L1853,"-")</f>
        <v>0</v>
      </c>
      <c r="H1869" s="393"/>
      <c r="I1869" s="429">
        <f>IFERROR(H1869*(F1869/E1869),"-")</f>
        <v>0</v>
      </c>
      <c r="J1869" s="430">
        <f t="shared" si="1236"/>
        <v>0</v>
      </c>
    </row>
    <row r="1870" spans="1:10" ht="24" thickBot="1" x14ac:dyDescent="0.35">
      <c r="A1870" s="277" t="s">
        <v>110</v>
      </c>
      <c r="B1870" s="906" t="s">
        <v>38</v>
      </c>
      <c r="C1870" s="907"/>
      <c r="D1870" s="908"/>
      <c r="E1870" s="396"/>
      <c r="F1870" s="412">
        <f t="shared" ref="F1870:G1870" si="1237">SUM(F1866:F1869)</f>
        <v>0</v>
      </c>
      <c r="G1870" s="413">
        <f t="shared" si="1237"/>
        <v>16383806.821800001</v>
      </c>
      <c r="H1870" s="397"/>
      <c r="I1870" s="412">
        <f>SUM(I1866:I1869)</f>
        <v>0</v>
      </c>
      <c r="J1870" s="431">
        <f>SUM(J1866:J1869)</f>
        <v>28579989.239999998</v>
      </c>
    </row>
    <row r="1871" spans="1:10" ht="23.4" x14ac:dyDescent="0.3">
      <c r="A1871" s="277" t="s">
        <v>110</v>
      </c>
      <c r="B1871" s="903" t="s">
        <v>39</v>
      </c>
      <c r="C1871" s="320" t="s">
        <v>124</v>
      </c>
      <c r="D1871" s="320"/>
      <c r="E1871" s="513">
        <v>195.2808</v>
      </c>
      <c r="F1871" s="408">
        <f>IFERROR(E1871*'01 Prod Physique Boites'!H1855,"-")</f>
        <v>0</v>
      </c>
      <c r="G1871" s="409">
        <f>IFERROR(E1871*'01 Prod Physique Boites'!L1855,"-")</f>
        <v>0</v>
      </c>
      <c r="H1871" s="387"/>
      <c r="I1871" s="425">
        <f>IFERROR(H1871*(F1871/E1871),"-")</f>
        <v>0</v>
      </c>
      <c r="J1871" s="426">
        <f t="shared" ref="J1871:J1872" si="1238">IFERROR(H1871*(G1871/E1871),"-")</f>
        <v>0</v>
      </c>
    </row>
    <row r="1872" spans="1:10" ht="24" thickBot="1" x14ac:dyDescent="0.35">
      <c r="A1872" s="277" t="s">
        <v>110</v>
      </c>
      <c r="B1872" s="905"/>
      <c r="C1872" s="290" t="s">
        <v>140</v>
      </c>
      <c r="D1872" s="290"/>
      <c r="E1872" s="511">
        <v>189.91890000000001</v>
      </c>
      <c r="F1872" s="408">
        <f>IFERROR(E1872*'01 Prod Physique Boites'!H1856,"-")</f>
        <v>629391.23460000008</v>
      </c>
      <c r="G1872" s="409">
        <f>IFERROR(E1872*'01 Prod Physique Boites'!L1856,"-")</f>
        <v>1313099.2746000001</v>
      </c>
      <c r="H1872" s="393">
        <v>320.35000000000002</v>
      </c>
      <c r="I1872" s="429">
        <f>IFERROR(H1872*(F1872/E1872),"-")</f>
        <v>1061639.9000000001</v>
      </c>
      <c r="J1872" s="430">
        <f t="shared" si="1238"/>
        <v>2214899.9000000004</v>
      </c>
    </row>
    <row r="1873" spans="1:10" ht="24" thickBot="1" x14ac:dyDescent="0.35">
      <c r="A1873" s="853" t="s">
        <v>110</v>
      </c>
      <c r="B1873" s="906" t="s">
        <v>40</v>
      </c>
      <c r="C1873" s="907"/>
      <c r="D1873" s="908"/>
      <c r="E1873" s="396"/>
      <c r="F1873" s="412">
        <f>SUM(F1871:F1872)</f>
        <v>629391.23460000008</v>
      </c>
      <c r="G1873" s="413">
        <f t="shared" ref="G1873" si="1239">SUM(G1871:G1872)</f>
        <v>1313099.2746000001</v>
      </c>
      <c r="H1873" s="397"/>
      <c r="I1873" s="412">
        <f t="shared" ref="I1873:J1873" si="1240">SUM(I1871:I1872)</f>
        <v>1061639.9000000001</v>
      </c>
      <c r="J1873" s="431">
        <f t="shared" si="1240"/>
        <v>2214899.9000000004</v>
      </c>
    </row>
    <row r="1874" spans="1:10" ht="23.4" x14ac:dyDescent="0.3">
      <c r="A1874" s="277" t="s">
        <v>110</v>
      </c>
      <c r="B1874" s="903" t="s">
        <v>41</v>
      </c>
      <c r="C1874" s="272" t="s">
        <v>346</v>
      </c>
      <c r="D1874" s="272" t="s">
        <v>263</v>
      </c>
      <c r="E1874" s="515">
        <v>37.248699999999999</v>
      </c>
      <c r="F1874" s="408">
        <f>IFERROR(E1874*'01 Prod Physique Boites'!H1858,"-")</f>
        <v>938667.24</v>
      </c>
      <c r="G1874" s="409">
        <f>IFERROR(E1874*'01 Prod Physique Boites'!L1858,"-")</f>
        <v>13276777.633199999</v>
      </c>
      <c r="H1874" s="387">
        <v>71.44</v>
      </c>
      <c r="I1874" s="425">
        <f>IFERROR(H1874*(F1874/E1874),"-")</f>
        <v>1800288</v>
      </c>
      <c r="J1874" s="426">
        <f>IFERROR(H1874*(G1874/E1874),"-")</f>
        <v>25463787.84</v>
      </c>
    </row>
    <row r="1875" spans="1:10" ht="23.4" x14ac:dyDescent="0.3">
      <c r="A1875" s="277" t="s">
        <v>110</v>
      </c>
      <c r="B1875" s="904"/>
      <c r="C1875" s="272" t="s">
        <v>165</v>
      </c>
      <c r="D1875" s="278"/>
      <c r="E1875" s="515">
        <v>37.248699999999999</v>
      </c>
      <c r="F1875" s="408">
        <f>IFERROR(E1875*'01 Prod Physique Boites'!H1859,"-")</f>
        <v>0</v>
      </c>
      <c r="G1875" s="409">
        <f>IFERROR(E1875*'01 Prod Physique Boites'!L1859,"-")</f>
        <v>0</v>
      </c>
      <c r="H1875" s="391"/>
      <c r="I1875" s="427">
        <f>IFERROR(H1875*(F1875/E1875),"-")</f>
        <v>0</v>
      </c>
      <c r="J1875" s="428">
        <f t="shared" ref="J1875:J1878" si="1241">IFERROR(H1875*(G1875/E1875),"-")</f>
        <v>0</v>
      </c>
    </row>
    <row r="1876" spans="1:10" ht="23.4" x14ac:dyDescent="0.3">
      <c r="A1876" s="277" t="s">
        <v>110</v>
      </c>
      <c r="B1876" s="904"/>
      <c r="C1876" s="278" t="s">
        <v>423</v>
      </c>
      <c r="D1876" s="272" t="s">
        <v>263</v>
      </c>
      <c r="E1876" s="516">
        <v>38.466099999999997</v>
      </c>
      <c r="F1876" s="408">
        <f>IFERROR(E1876*'01 Prod Physique Boites'!H1860,"-")</f>
        <v>0</v>
      </c>
      <c r="G1876" s="409">
        <f>IFERROR(E1876*'01 Prod Physique Boites'!L1860,"-")</f>
        <v>1306308.7559999998</v>
      </c>
      <c r="H1876" s="391">
        <v>71.44</v>
      </c>
      <c r="I1876" s="427">
        <f>IFERROR(H1876*(F1876/E1876),"-")</f>
        <v>0</v>
      </c>
      <c r="J1876" s="428">
        <f t="shared" si="1241"/>
        <v>2426102.4</v>
      </c>
    </row>
    <row r="1877" spans="1:10" ht="23.4" x14ac:dyDescent="0.3">
      <c r="A1877" s="277" t="s">
        <v>110</v>
      </c>
      <c r="B1877" s="904"/>
      <c r="C1877" s="278" t="s">
        <v>166</v>
      </c>
      <c r="D1877" s="278"/>
      <c r="E1877" s="516">
        <v>37.248699999999999</v>
      </c>
      <c r="F1877" s="408">
        <f>IFERROR(E1877*'01 Prod Physique Boites'!H1861,"-")</f>
        <v>0</v>
      </c>
      <c r="G1877" s="409">
        <f>IFERROR(E1877*'01 Prod Physique Boites'!L1861,"-")</f>
        <v>0</v>
      </c>
      <c r="H1877" s="391"/>
      <c r="I1877" s="427">
        <f>IFERROR(H1877*(F1877/E1877),"-")</f>
        <v>0</v>
      </c>
      <c r="J1877" s="428">
        <f t="shared" si="1241"/>
        <v>0</v>
      </c>
    </row>
    <row r="1878" spans="1:10" ht="24" thickBot="1" x14ac:dyDescent="0.35">
      <c r="A1878" s="277" t="s">
        <v>110</v>
      </c>
      <c r="B1878" s="905"/>
      <c r="C1878" s="282" t="s">
        <v>167</v>
      </c>
      <c r="D1878" s="282"/>
      <c r="E1878" s="512">
        <v>33.711399999999998</v>
      </c>
      <c r="F1878" s="408">
        <f>IFERROR(E1878*'01 Prod Physique Boites'!H1862,"-")</f>
        <v>0</v>
      </c>
      <c r="G1878" s="409">
        <f>IFERROR(E1878*'01 Prod Physique Boites'!L1862,"-")</f>
        <v>0</v>
      </c>
      <c r="H1878" s="393"/>
      <c r="I1878" s="429">
        <f>IFERROR(H1878*(F1878/E1878),"-")</f>
        <v>0</v>
      </c>
      <c r="J1878" s="430">
        <f t="shared" si="1241"/>
        <v>0</v>
      </c>
    </row>
    <row r="1879" spans="1:10" ht="24" thickBot="1" x14ac:dyDescent="0.35">
      <c r="A1879" s="277" t="s">
        <v>110</v>
      </c>
      <c r="B1879" s="906" t="s">
        <v>42</v>
      </c>
      <c r="C1879" s="907"/>
      <c r="D1879" s="908"/>
      <c r="E1879" s="396"/>
      <c r="F1879" s="412">
        <f>SUM(F1874:F1878)</f>
        <v>938667.24</v>
      </c>
      <c r="G1879" s="413">
        <f>SUM(G1874:G1878)</f>
        <v>14583086.389199998</v>
      </c>
      <c r="H1879" s="397"/>
      <c r="I1879" s="412">
        <f>SUM(I1874:I1878)</f>
        <v>1800288</v>
      </c>
      <c r="J1879" s="412">
        <f>SUM(J1874:J1878)</f>
        <v>27889890.239999998</v>
      </c>
    </row>
    <row r="1880" spans="1:10" ht="23.4" x14ac:dyDescent="0.3">
      <c r="A1880" s="277" t="s">
        <v>110</v>
      </c>
      <c r="B1880" s="903" t="s">
        <v>43</v>
      </c>
      <c r="C1880" s="272" t="s">
        <v>204</v>
      </c>
      <c r="D1880" s="272" t="s">
        <v>200</v>
      </c>
      <c r="E1880" s="515">
        <v>30.7499</v>
      </c>
      <c r="F1880" s="408">
        <f>IFERROR(E1880*'01 Prod Physique Boites'!H1864,"-")</f>
        <v>0</v>
      </c>
      <c r="G1880" s="409">
        <f>IFERROR(E1880*'01 Prod Physique Boites'!L1864,"-")</f>
        <v>0</v>
      </c>
      <c r="H1880" s="387"/>
      <c r="I1880" s="425">
        <f>IFERROR(H1880*(F1880/E1880),"-")</f>
        <v>0</v>
      </c>
      <c r="J1880" s="426">
        <f>IFERROR(H1880*(G1880/E1880),"-")</f>
        <v>0</v>
      </c>
    </row>
    <row r="1881" spans="1:10" ht="23.4" x14ac:dyDescent="0.3">
      <c r="A1881" s="277" t="s">
        <v>110</v>
      </c>
      <c r="B1881" s="904"/>
      <c r="C1881" s="278" t="s">
        <v>168</v>
      </c>
      <c r="D1881" s="278"/>
      <c r="E1881" s="516">
        <v>28.7</v>
      </c>
      <c r="F1881" s="408">
        <f>IFERROR(E1881*'01 Prod Physique Boites'!H1865,"-")</f>
        <v>0</v>
      </c>
      <c r="G1881" s="409">
        <f>IFERROR(E1881*'01 Prod Physique Boites'!L1865,"-")</f>
        <v>0</v>
      </c>
      <c r="H1881" s="391"/>
      <c r="I1881" s="427">
        <f>IFERROR(H1881*(F1881/E1881),"-")</f>
        <v>0</v>
      </c>
      <c r="J1881" s="428">
        <f t="shared" ref="J1881:J1882" si="1242">IFERROR(H1881*(G1881/E1881),"-")</f>
        <v>0</v>
      </c>
    </row>
    <row r="1882" spans="1:10" ht="24" thickBot="1" x14ac:dyDescent="0.35">
      <c r="A1882" s="277" t="s">
        <v>110</v>
      </c>
      <c r="B1882" s="905"/>
      <c r="C1882" s="282" t="s">
        <v>204</v>
      </c>
      <c r="D1882" s="282" t="s">
        <v>203</v>
      </c>
      <c r="E1882" s="512">
        <v>30.073599999999999</v>
      </c>
      <c r="F1882" s="408">
        <f>IFERROR(E1882*'01 Prod Physique Boites'!H1866,"-")</f>
        <v>0</v>
      </c>
      <c r="G1882" s="409">
        <f>IFERROR(E1882*'01 Prod Physique Boites'!L1866,"-")</f>
        <v>0</v>
      </c>
      <c r="H1882" s="393"/>
      <c r="I1882" s="429">
        <f>IFERROR(H1882*(F1882/E1882),"-")</f>
        <v>0</v>
      </c>
      <c r="J1882" s="430">
        <f t="shared" si="1242"/>
        <v>0</v>
      </c>
    </row>
    <row r="1883" spans="1:10" ht="24" thickBot="1" x14ac:dyDescent="0.35">
      <c r="A1883" s="277" t="s">
        <v>110</v>
      </c>
      <c r="B1883" s="909" t="s">
        <v>44</v>
      </c>
      <c r="C1883" s="910"/>
      <c r="D1883" s="911"/>
      <c r="E1883" s="396"/>
      <c r="F1883" s="412">
        <f t="shared" ref="F1883:G1883" si="1243">SUM(F1880:F1882)</f>
        <v>0</v>
      </c>
      <c r="G1883" s="413">
        <f t="shared" si="1243"/>
        <v>0</v>
      </c>
      <c r="H1883" s="397"/>
      <c r="I1883" s="412">
        <f t="shared" ref="I1883:J1883" si="1244">SUM(I1880:I1882)</f>
        <v>0</v>
      </c>
      <c r="J1883" s="431">
        <f t="shared" si="1244"/>
        <v>0</v>
      </c>
    </row>
    <row r="1884" spans="1:10" ht="23.4" x14ac:dyDescent="0.3">
      <c r="A1884" s="277" t="s">
        <v>110</v>
      </c>
      <c r="B1884" s="903" t="s">
        <v>45</v>
      </c>
      <c r="C1884" s="272" t="s">
        <v>169</v>
      </c>
      <c r="D1884" s="272"/>
      <c r="E1884" s="515">
        <v>36.684899999999999</v>
      </c>
      <c r="F1884" s="408">
        <f>IFERROR(E1884*'01 Prod Physique Boites'!H1868,"-")</f>
        <v>0</v>
      </c>
      <c r="G1884" s="409">
        <f>IFERROR(E1884*'01 Prod Physique Boites'!L1868,"-")</f>
        <v>0</v>
      </c>
      <c r="H1884" s="387"/>
      <c r="I1884" s="388" t="s">
        <v>209</v>
      </c>
      <c r="J1884" s="389" t="s">
        <v>209</v>
      </c>
    </row>
    <row r="1885" spans="1:10" ht="24" thickBot="1" x14ac:dyDescent="0.35">
      <c r="A1885" s="277" t="s">
        <v>110</v>
      </c>
      <c r="B1885" s="905"/>
      <c r="C1885" s="282" t="s">
        <v>170</v>
      </c>
      <c r="D1885" s="282"/>
      <c r="E1885" s="512">
        <v>37.002800000000001</v>
      </c>
      <c r="F1885" s="408">
        <f>IFERROR(E1885*'01 Prod Physique Boites'!H1869,"-")</f>
        <v>0</v>
      </c>
      <c r="G1885" s="409">
        <f>IFERROR(E1885*'01 Prod Physique Boites'!L1869,"-")</f>
        <v>0</v>
      </c>
      <c r="H1885" s="393"/>
      <c r="I1885" s="394" t="s">
        <v>209</v>
      </c>
      <c r="J1885" s="395" t="s">
        <v>209</v>
      </c>
    </row>
    <row r="1886" spans="1:10" ht="24" thickBot="1" x14ac:dyDescent="0.35">
      <c r="A1886" s="277" t="s">
        <v>110</v>
      </c>
      <c r="B1886" s="909" t="s">
        <v>46</v>
      </c>
      <c r="C1886" s="910"/>
      <c r="D1886" s="911"/>
      <c r="E1886" s="396"/>
      <c r="F1886" s="412">
        <f t="shared" ref="F1886:G1886" si="1245">SUM(F1884:F1885)</f>
        <v>0</v>
      </c>
      <c r="G1886" s="413">
        <f t="shared" si="1245"/>
        <v>0</v>
      </c>
      <c r="H1886" s="397"/>
      <c r="I1886" s="412">
        <f t="shared" ref="I1886:J1886" si="1246">SUM(I1884:I1885)</f>
        <v>0</v>
      </c>
      <c r="J1886" s="431">
        <f t="shared" si="1246"/>
        <v>0</v>
      </c>
    </row>
    <row r="1887" spans="1:10" ht="24" thickBot="1" x14ac:dyDescent="0.35">
      <c r="A1887" s="277" t="s">
        <v>110</v>
      </c>
      <c r="B1887" s="912" t="s">
        <v>25</v>
      </c>
      <c r="C1887" s="913"/>
      <c r="D1887" s="914"/>
      <c r="E1887" s="399"/>
      <c r="F1887" s="416">
        <f t="shared" ref="F1887:G1887" si="1247">+F1865+F1870+F1873+F1879+F1883+F1886</f>
        <v>1568058.4746000001</v>
      </c>
      <c r="G1887" s="417">
        <f t="shared" si="1247"/>
        <v>34567641.477599993</v>
      </c>
      <c r="H1887" s="400"/>
      <c r="I1887" s="416">
        <f>+I1865+I1870+I1873+I1879+I1883+I1886</f>
        <v>2861927.9000000004</v>
      </c>
      <c r="J1887" s="434">
        <f>+J1865+J1870+J1873+J1879+J1883+J1886</f>
        <v>62675364.979999989</v>
      </c>
    </row>
    <row r="1888" spans="1:10" ht="24" thickBot="1" x14ac:dyDescent="0.35">
      <c r="A1888" s="324" t="s">
        <v>110</v>
      </c>
      <c r="B1888" s="901" t="s">
        <v>182</v>
      </c>
      <c r="C1888" s="901"/>
      <c r="D1888" s="902"/>
      <c r="E1888" s="401"/>
      <c r="F1888" s="418">
        <f t="shared" ref="F1888:G1888" si="1248">+F1887</f>
        <v>1568058.4746000001</v>
      </c>
      <c r="G1888" s="419">
        <f t="shared" si="1248"/>
        <v>34567641.477599993</v>
      </c>
      <c r="H1888" s="402"/>
      <c r="I1888" s="418">
        <f t="shared" ref="I1888" si="1249">+I1887</f>
        <v>2861927.9000000004</v>
      </c>
      <c r="J1888" s="435">
        <f>+J1887</f>
        <v>62675364.979999989</v>
      </c>
    </row>
    <row r="1889" spans="1:10" ht="24.6" thickBot="1" x14ac:dyDescent="0.35">
      <c r="A1889" s="325"/>
      <c r="B1889" s="915" t="s">
        <v>183</v>
      </c>
      <c r="C1889" s="916"/>
      <c r="D1889" s="917"/>
      <c r="E1889" s="407"/>
      <c r="F1889" s="424">
        <f t="shared" ref="F1889:G1889" si="1250">+F1834+F1861+F1888</f>
        <v>9258171.432599999</v>
      </c>
      <c r="G1889" s="424">
        <f t="shared" si="1250"/>
        <v>139397766.12369999</v>
      </c>
      <c r="H1889" s="407"/>
      <c r="I1889" s="424">
        <f t="shared" ref="I1889:J1889" si="1251">+I1834+I1861+I1888</f>
        <v>12887785.520000001</v>
      </c>
      <c r="J1889" s="438">
        <f t="shared" si="1251"/>
        <v>216311413.17999998</v>
      </c>
    </row>
    <row r="1890" spans="1:10" ht="23.4" x14ac:dyDescent="0.3">
      <c r="A1890" s="935" t="s">
        <v>1</v>
      </c>
      <c r="B1890" s="938" t="s">
        <v>2</v>
      </c>
      <c r="C1890" s="941" t="s">
        <v>3</v>
      </c>
      <c r="D1890" s="941" t="s">
        <v>93</v>
      </c>
      <c r="E1890" s="965" t="s">
        <v>176</v>
      </c>
      <c r="F1890" s="966"/>
      <c r="G1890" s="966"/>
      <c r="H1890" s="451"/>
      <c r="I1890" s="451"/>
      <c r="J1890" s="452"/>
    </row>
    <row r="1891" spans="1:10" ht="23.4" x14ac:dyDescent="0.3">
      <c r="A1891" s="936"/>
      <c r="B1891" s="939"/>
      <c r="C1891" s="942"/>
      <c r="D1891" s="942"/>
      <c r="E1891" s="967" t="s">
        <v>178</v>
      </c>
      <c r="F1891" s="968"/>
      <c r="G1891" s="969"/>
      <c r="H1891" s="967" t="s">
        <v>177</v>
      </c>
      <c r="I1891" s="968"/>
      <c r="J1891" s="969"/>
    </row>
    <row r="1892" spans="1:10" ht="46.8" x14ac:dyDescent="0.3">
      <c r="A1892" s="937"/>
      <c r="B1892" s="963"/>
      <c r="C1892" s="964"/>
      <c r="D1892" s="964"/>
      <c r="E1892" s="385" t="s">
        <v>179</v>
      </c>
      <c r="F1892" s="859" t="s">
        <v>11</v>
      </c>
      <c r="G1892" s="860" t="s">
        <v>12</v>
      </c>
      <c r="H1892" s="970" t="s">
        <v>179</v>
      </c>
      <c r="I1892" s="972" t="s">
        <v>145</v>
      </c>
      <c r="J1892" s="974" t="s">
        <v>12</v>
      </c>
    </row>
    <row r="1893" spans="1:10" ht="24" thickBot="1" x14ac:dyDescent="0.35">
      <c r="A1893" s="937"/>
      <c r="B1893" s="940"/>
      <c r="C1893" s="943"/>
      <c r="D1893" s="943"/>
      <c r="E1893" s="976">
        <v>44525</v>
      </c>
      <c r="F1893" s="977"/>
      <c r="G1893" s="978"/>
      <c r="H1893" s="971"/>
      <c r="I1893" s="973"/>
      <c r="J1893" s="975"/>
    </row>
    <row r="1894" spans="1:10" ht="23.4" x14ac:dyDescent="0.3">
      <c r="A1894" s="271" t="s">
        <v>111</v>
      </c>
      <c r="B1894" s="922" t="s">
        <v>16</v>
      </c>
      <c r="C1894" s="272" t="s">
        <v>186</v>
      </c>
      <c r="D1894" s="272" t="s">
        <v>184</v>
      </c>
      <c r="E1894" s="515">
        <v>81.360699999999994</v>
      </c>
      <c r="F1894" s="408">
        <f>IFERROR(E1894*'01 Prod Physique Boites'!H1877,"-")</f>
        <v>0</v>
      </c>
      <c r="G1894" s="408">
        <f>IFERROR(E1894*'01 Prod Physique Boites'!L1877,"-")</f>
        <v>0</v>
      </c>
      <c r="H1894" s="387">
        <v>0</v>
      </c>
      <c r="I1894" s="425">
        <f>IFERROR(H1894*(F1894/E1894),"-")</f>
        <v>0</v>
      </c>
      <c r="J1894" s="426">
        <f t="shared" ref="J1894:J1896" si="1252">IFERROR(H1894*(G1894/E1894),"-")</f>
        <v>0</v>
      </c>
    </row>
    <row r="1895" spans="1:10" ht="23.4" x14ac:dyDescent="0.3">
      <c r="A1895" s="277" t="s">
        <v>111</v>
      </c>
      <c r="B1895" s="923"/>
      <c r="C1895" s="278" t="s">
        <v>190</v>
      </c>
      <c r="D1895" s="278" t="s">
        <v>101</v>
      </c>
      <c r="E1895" s="516">
        <v>81.360699999999994</v>
      </c>
      <c r="F1895" s="408">
        <f>IFERROR(E1895*'01 Prod Physique Boites'!H1878,"-")</f>
        <v>0</v>
      </c>
      <c r="G1895" s="408">
        <f>IFERROR(E1895*'01 Prod Physique Boites'!L1878,"-")</f>
        <v>0</v>
      </c>
      <c r="H1895" s="391">
        <v>0</v>
      </c>
      <c r="I1895" s="425">
        <f>IFERROR(H1895*(F1895/E1895),"-")</f>
        <v>0</v>
      </c>
      <c r="J1895" s="426">
        <f t="shared" si="1252"/>
        <v>0</v>
      </c>
    </row>
    <row r="1896" spans="1:10" ht="23.4" x14ac:dyDescent="0.3">
      <c r="A1896" s="277" t="s">
        <v>111</v>
      </c>
      <c r="B1896" s="923"/>
      <c r="C1896" s="278" t="s">
        <v>187</v>
      </c>
      <c r="D1896" s="278" t="s">
        <v>185</v>
      </c>
      <c r="E1896" s="516">
        <v>55.476900000000001</v>
      </c>
      <c r="F1896" s="408">
        <f>IFERROR(E1896*'01 Prod Physique Boites'!H1879,"-")</f>
        <v>0</v>
      </c>
      <c r="G1896" s="408">
        <f>IFERROR(E1896*'01 Prod Physique Boites'!L1879,"-")</f>
        <v>0</v>
      </c>
      <c r="H1896" s="391">
        <v>0</v>
      </c>
      <c r="I1896" s="425">
        <f>IFERROR(H1896*(F1896/E1896),"-")</f>
        <v>0</v>
      </c>
      <c r="J1896" s="426">
        <f t="shared" si="1252"/>
        <v>0</v>
      </c>
    </row>
    <row r="1897" spans="1:10" ht="24" thickBot="1" x14ac:dyDescent="0.35">
      <c r="A1897" s="277" t="s">
        <v>111</v>
      </c>
      <c r="B1897" s="924"/>
      <c r="C1897" s="282" t="s">
        <v>289</v>
      </c>
      <c r="D1897" s="282" t="s">
        <v>256</v>
      </c>
      <c r="E1897" s="512">
        <v>60.703499999999998</v>
      </c>
      <c r="F1897" s="408">
        <f>IFERROR(E1897*'01 Prod Physique Boites'!H1880,"-")</f>
        <v>0</v>
      </c>
      <c r="G1897" s="408">
        <f>IFERROR(E1897*'01 Prod Physique Boites'!L1880,"-")</f>
        <v>6314135.2560000001</v>
      </c>
      <c r="H1897" s="393">
        <v>111.09</v>
      </c>
      <c r="I1897" s="425">
        <f>IFERROR(H1897*(F1897/E1897),"-")</f>
        <v>0</v>
      </c>
      <c r="J1897" s="426">
        <f>IFERROR(H1897*(G1897/E1897),"-")</f>
        <v>11555137.439999999</v>
      </c>
    </row>
    <row r="1898" spans="1:10" ht="24" thickBot="1" x14ac:dyDescent="0.35">
      <c r="A1898" s="277" t="s">
        <v>111</v>
      </c>
      <c r="B1898" s="906" t="s">
        <v>47</v>
      </c>
      <c r="C1898" s="907"/>
      <c r="D1898" s="908"/>
      <c r="E1898" s="396"/>
      <c r="F1898" s="412">
        <f t="shared" ref="F1898" si="1253">SUM(F1894:F1897)</f>
        <v>0</v>
      </c>
      <c r="G1898" s="413">
        <f>SUM(G1894:G1897)</f>
        <v>6314135.2560000001</v>
      </c>
      <c r="H1898" s="397"/>
      <c r="I1898" s="412">
        <f t="shared" ref="I1898:J1898" si="1254">SUM(I1894:I1897)</f>
        <v>0</v>
      </c>
      <c r="J1898" s="431">
        <f t="shared" si="1254"/>
        <v>11555137.439999999</v>
      </c>
    </row>
    <row r="1899" spans="1:10" ht="23.4" x14ac:dyDescent="0.3">
      <c r="A1899" s="277" t="s">
        <v>111</v>
      </c>
      <c r="B1899" s="922" t="s">
        <v>17</v>
      </c>
      <c r="C1899" s="272" t="s">
        <v>331</v>
      </c>
      <c r="D1899" s="272"/>
      <c r="E1899" s="515">
        <v>12.5275</v>
      </c>
      <c r="F1899" s="408">
        <f>IFERROR(E1899*'01 Prod Physique Boites'!H1882,"-")</f>
        <v>0</v>
      </c>
      <c r="G1899" s="408">
        <f>IFERROR(E1899*'01 Prod Physique Boites'!L1882,"-")</f>
        <v>0</v>
      </c>
      <c r="H1899" s="387">
        <v>18.836400000000001</v>
      </c>
      <c r="I1899" s="425">
        <f t="shared" ref="I1899:I1905" si="1255">IFERROR(H1899*(F1899/E1899),"-")</f>
        <v>0</v>
      </c>
      <c r="J1899" s="426">
        <f t="shared" ref="J1899:J1904" si="1256">IFERROR(H1899*(G1899/E1899),"-")</f>
        <v>0</v>
      </c>
    </row>
    <row r="1900" spans="1:10" ht="23.4" x14ac:dyDescent="0.3">
      <c r="A1900" s="277" t="s">
        <v>111</v>
      </c>
      <c r="B1900" s="923"/>
      <c r="C1900" s="278" t="s">
        <v>421</v>
      </c>
      <c r="D1900" s="278" t="s">
        <v>257</v>
      </c>
      <c r="E1900" s="516">
        <v>13.002700000000001</v>
      </c>
      <c r="F1900" s="408">
        <f>IFERROR(E1900*'01 Prod Physique Boites'!H1883,"-")</f>
        <v>2068989.6240000001</v>
      </c>
      <c r="G1900" s="408">
        <f>IFERROR(E1900*'01 Prod Physique Boites'!L1883,"-")</f>
        <v>15786096.970100001</v>
      </c>
      <c r="H1900" s="391">
        <v>21.18</v>
      </c>
      <c r="I1900" s="427">
        <f t="shared" si="1255"/>
        <v>3370161.6</v>
      </c>
      <c r="J1900" s="428">
        <f t="shared" si="1256"/>
        <v>25713854.34</v>
      </c>
    </row>
    <row r="1901" spans="1:10" ht="23.4" x14ac:dyDescent="0.3">
      <c r="A1901" s="277" t="s">
        <v>111</v>
      </c>
      <c r="B1901" s="923"/>
      <c r="C1901" s="278" t="s">
        <v>441</v>
      </c>
      <c r="D1901" s="278" t="s">
        <v>205</v>
      </c>
      <c r="E1901" s="516">
        <v>12.9049</v>
      </c>
      <c r="F1901" s="408">
        <f>IFERROR(E1901*'01 Prod Physique Boites'!H1884,"-")</f>
        <v>0</v>
      </c>
      <c r="G1901" s="408">
        <f>IFERROR(E1901*'01 Prod Physique Boites'!L1884,"-")</f>
        <v>0</v>
      </c>
      <c r="H1901" s="391">
        <v>20.6602</v>
      </c>
      <c r="I1901" s="427">
        <f t="shared" si="1255"/>
        <v>0</v>
      </c>
      <c r="J1901" s="428">
        <f t="shared" si="1256"/>
        <v>0</v>
      </c>
    </row>
    <row r="1902" spans="1:10" ht="23.4" x14ac:dyDescent="0.3">
      <c r="A1902" s="277" t="s">
        <v>111</v>
      </c>
      <c r="B1902" s="923"/>
      <c r="C1902" s="278" t="s">
        <v>330</v>
      </c>
      <c r="D1902" s="278" t="s">
        <v>206</v>
      </c>
      <c r="E1902" s="516">
        <v>13.078200000000001</v>
      </c>
      <c r="F1902" s="408">
        <f>IFERROR(E1902*'01 Prod Physique Boites'!H1885,"-")</f>
        <v>0</v>
      </c>
      <c r="G1902" s="408">
        <f>IFERROR(E1902*'01 Prod Physique Boites'!L1885,"-")</f>
        <v>24011.575200000003</v>
      </c>
      <c r="H1902" s="391">
        <v>20.6</v>
      </c>
      <c r="I1902" s="427">
        <f t="shared" si="1255"/>
        <v>0</v>
      </c>
      <c r="J1902" s="428">
        <f t="shared" si="1256"/>
        <v>37821.600000000006</v>
      </c>
    </row>
    <row r="1903" spans="1:10" ht="23.4" x14ac:dyDescent="0.3">
      <c r="A1903" s="277" t="s">
        <v>111</v>
      </c>
      <c r="B1903" s="923"/>
      <c r="C1903" s="278" t="s">
        <v>377</v>
      </c>
      <c r="D1903" s="278" t="s">
        <v>371</v>
      </c>
      <c r="E1903" s="516">
        <v>13.1958</v>
      </c>
      <c r="F1903" s="408">
        <f>IFERROR(E1903*'01 Prod Physique Boites'!H1886,"-")</f>
        <v>0</v>
      </c>
      <c r="G1903" s="408">
        <f>IFERROR(E1903*'01 Prod Physique Boites'!L1886,"-")</f>
        <v>140007.43799999999</v>
      </c>
      <c r="H1903" s="391">
        <v>21.28</v>
      </c>
      <c r="I1903" s="427">
        <f t="shared" si="1255"/>
        <v>0</v>
      </c>
      <c r="J1903" s="428">
        <f t="shared" si="1256"/>
        <v>225780.80000000002</v>
      </c>
    </row>
    <row r="1904" spans="1:10" ht="23.4" x14ac:dyDescent="0.3">
      <c r="A1904" s="277" t="s">
        <v>111</v>
      </c>
      <c r="B1904" s="923"/>
      <c r="C1904" s="278" t="s">
        <v>443</v>
      </c>
      <c r="D1904" s="278" t="s">
        <v>207</v>
      </c>
      <c r="E1904" s="516">
        <v>12.9049</v>
      </c>
      <c r="F1904" s="408">
        <f>IFERROR(E1904*'01 Prod Physique Boites'!H1887,"-")</f>
        <v>0</v>
      </c>
      <c r="G1904" s="408">
        <f>IFERROR(E1904*'01 Prod Physique Boites'!L1887,"-")</f>
        <v>6397217.0279999999</v>
      </c>
      <c r="H1904" s="812">
        <v>20.5</v>
      </c>
      <c r="I1904" s="427">
        <f t="shared" si="1255"/>
        <v>0</v>
      </c>
      <c r="J1904" s="428">
        <f t="shared" si="1256"/>
        <v>10162260</v>
      </c>
    </row>
    <row r="1905" spans="1:10" ht="24" thickBot="1" x14ac:dyDescent="0.35">
      <c r="A1905" s="277" t="s">
        <v>111</v>
      </c>
      <c r="B1905" s="924"/>
      <c r="C1905" s="282" t="s">
        <v>416</v>
      </c>
      <c r="D1905" s="282" t="s">
        <v>189</v>
      </c>
      <c r="E1905" s="512">
        <v>13.6509</v>
      </c>
      <c r="F1905" s="408">
        <f>IFERROR(E1905*'01 Prod Physique Boites'!H1888,"-")</f>
        <v>0</v>
      </c>
      <c r="G1905" s="408">
        <f>IFERROR(E1905*'01 Prod Physique Boites'!L1888,"-")</f>
        <v>1002522.096</v>
      </c>
      <c r="H1905" s="393">
        <v>21.18</v>
      </c>
      <c r="I1905" s="429">
        <f t="shared" si="1255"/>
        <v>0</v>
      </c>
      <c r="J1905" s="430">
        <f>IFERROR(H1905*(G1905/E1905),"-")</f>
        <v>1555459.2</v>
      </c>
    </row>
    <row r="1906" spans="1:10" ht="24" thickBot="1" x14ac:dyDescent="0.35">
      <c r="A1906" s="277" t="s">
        <v>111</v>
      </c>
      <c r="B1906" s="906" t="s">
        <v>48</v>
      </c>
      <c r="C1906" s="907"/>
      <c r="D1906" s="908"/>
      <c r="E1906" s="396"/>
      <c r="F1906" s="412">
        <f t="shared" ref="F1906" si="1257">SUM(F1899:F1905)</f>
        <v>2068989.6240000001</v>
      </c>
      <c r="G1906" s="413">
        <f>SUM(G1899:G1905)</f>
        <v>23349855.107300002</v>
      </c>
      <c r="H1906" s="397"/>
      <c r="I1906" s="412">
        <f t="shared" ref="I1906" si="1258">SUM(I1899:I1905)</f>
        <v>3370161.6</v>
      </c>
      <c r="J1906" s="431">
        <f>SUM(J1899:J1905)</f>
        <v>37695175.940000005</v>
      </c>
    </row>
    <row r="1907" spans="1:10" ht="23.4" x14ac:dyDescent="0.3">
      <c r="A1907" s="277" t="s">
        <v>111</v>
      </c>
      <c r="B1907" s="922" t="s">
        <v>18</v>
      </c>
      <c r="C1907" s="272" t="s">
        <v>359</v>
      </c>
      <c r="D1907" s="272" t="s">
        <v>99</v>
      </c>
      <c r="E1907" s="515">
        <v>17.8202</v>
      </c>
      <c r="F1907" s="408">
        <f>IFERROR(E1907*'01 Prod Physique Boites'!H1890,"-")</f>
        <v>0</v>
      </c>
      <c r="G1907" s="409">
        <f>IFERROR(E1907*'01 Prod Physique Boites'!L1890,"-")</f>
        <v>0</v>
      </c>
      <c r="H1907" s="387">
        <v>24.93</v>
      </c>
      <c r="I1907" s="425">
        <f t="shared" ref="I1907:I1913" si="1259">IFERROR(H1907*(F1907/E1907),"-")</f>
        <v>0</v>
      </c>
      <c r="J1907" s="426">
        <f t="shared" ref="J1907:J1909" si="1260">IFERROR(H1907*(G1907/E1907),"-")</f>
        <v>0</v>
      </c>
    </row>
    <row r="1908" spans="1:10" ht="23.4" x14ac:dyDescent="0.3">
      <c r="A1908" s="277" t="s">
        <v>111</v>
      </c>
      <c r="B1908" s="923"/>
      <c r="C1908" s="278" t="s">
        <v>138</v>
      </c>
      <c r="D1908" s="278"/>
      <c r="E1908" s="516">
        <v>17.8202</v>
      </c>
      <c r="F1908" s="408">
        <f>IFERROR(E1908*'01 Prod Physique Boites'!H1891,"-")</f>
        <v>0</v>
      </c>
      <c r="G1908" s="409">
        <f>IFERROR(E1908*'01 Prod Physique Boites'!L1891,"-")</f>
        <v>0</v>
      </c>
      <c r="H1908" s="391">
        <v>0</v>
      </c>
      <c r="I1908" s="427">
        <f t="shared" si="1259"/>
        <v>0</v>
      </c>
      <c r="J1908" s="428">
        <f t="shared" si="1260"/>
        <v>0</v>
      </c>
    </row>
    <row r="1909" spans="1:10" ht="23.4" x14ac:dyDescent="0.3">
      <c r="A1909" s="277" t="s">
        <v>111</v>
      </c>
      <c r="B1909" s="923"/>
      <c r="C1909" s="278" t="s">
        <v>123</v>
      </c>
      <c r="D1909" s="278"/>
      <c r="E1909" s="516">
        <v>16.4071</v>
      </c>
      <c r="F1909" s="408">
        <f>IFERROR(E1909*'01 Prod Physique Boites'!H1892,"-")</f>
        <v>0</v>
      </c>
      <c r="G1909" s="409">
        <f>IFERROR(E1909*'01 Prod Physique Boites'!L1892,"-")</f>
        <v>0</v>
      </c>
      <c r="H1909" s="391">
        <v>0</v>
      </c>
      <c r="I1909" s="427">
        <f t="shared" si="1259"/>
        <v>0</v>
      </c>
      <c r="J1909" s="428">
        <f t="shared" si="1260"/>
        <v>0</v>
      </c>
    </row>
    <row r="1910" spans="1:10" ht="23.4" x14ac:dyDescent="0.3">
      <c r="A1910" s="277" t="s">
        <v>111</v>
      </c>
      <c r="B1910" s="923"/>
      <c r="C1910" s="278" t="s">
        <v>130</v>
      </c>
      <c r="D1910" s="278"/>
      <c r="E1910" s="516">
        <v>17.8202</v>
      </c>
      <c r="F1910" s="408">
        <f>IFERROR(E1910*'01 Prod Physique Boites'!H1893,"-")</f>
        <v>0</v>
      </c>
      <c r="G1910" s="409">
        <f>IFERROR(E1910*'01 Prod Physique Boites'!L1893,"-")</f>
        <v>0</v>
      </c>
      <c r="H1910" s="391">
        <v>0</v>
      </c>
      <c r="I1910" s="427">
        <f t="shared" si="1259"/>
        <v>0</v>
      </c>
      <c r="J1910" s="428">
        <f>IFERROR(H1910*(G1910/E1910),"-")</f>
        <v>0</v>
      </c>
    </row>
    <row r="1911" spans="1:10" ht="23.4" x14ac:dyDescent="0.3">
      <c r="A1911" s="277" t="s">
        <v>111</v>
      </c>
      <c r="B1911" s="923"/>
      <c r="C1911" s="278" t="s">
        <v>191</v>
      </c>
      <c r="D1911" s="278" t="s">
        <v>192</v>
      </c>
      <c r="E1911" s="516">
        <v>17.8202</v>
      </c>
      <c r="F1911" s="408">
        <f>IFERROR(E1911*'01 Prod Physique Boites'!H1894,"-")</f>
        <v>0</v>
      </c>
      <c r="G1911" s="409">
        <f>IFERROR(E1911*'01 Prod Physique Boites'!L1894,"-")</f>
        <v>0</v>
      </c>
      <c r="H1911" s="391">
        <v>0</v>
      </c>
      <c r="I1911" s="427">
        <f t="shared" si="1259"/>
        <v>0</v>
      </c>
      <c r="J1911" s="428">
        <f t="shared" ref="J1911:J1913" si="1261">IFERROR(H1911*(G1911/E1911),"-")</f>
        <v>0</v>
      </c>
    </row>
    <row r="1912" spans="1:10" ht="23.4" x14ac:dyDescent="0.3">
      <c r="A1912" s="277" t="s">
        <v>111</v>
      </c>
      <c r="B1912" s="923"/>
      <c r="C1912" s="278" t="s">
        <v>194</v>
      </c>
      <c r="D1912" s="278" t="s">
        <v>193</v>
      </c>
      <c r="E1912" s="516">
        <v>16.7288</v>
      </c>
      <c r="F1912" s="408">
        <f>IFERROR(E1912*'01 Prod Physique Boites'!H1895,"-")</f>
        <v>0</v>
      </c>
      <c r="G1912" s="409">
        <f>IFERROR(E1912*'01 Prod Physique Boites'!L1895,"-")</f>
        <v>0</v>
      </c>
      <c r="H1912" s="391">
        <v>0</v>
      </c>
      <c r="I1912" s="427">
        <f t="shared" si="1259"/>
        <v>0</v>
      </c>
      <c r="J1912" s="428">
        <f t="shared" si="1261"/>
        <v>0</v>
      </c>
    </row>
    <row r="1913" spans="1:10" ht="24" thickBot="1" x14ac:dyDescent="0.35">
      <c r="A1913" s="277" t="s">
        <v>111</v>
      </c>
      <c r="B1913" s="924"/>
      <c r="C1913" s="290" t="s">
        <v>195</v>
      </c>
      <c r="D1913" s="290" t="s">
        <v>115</v>
      </c>
      <c r="E1913" s="512">
        <v>17.8202</v>
      </c>
      <c r="F1913" s="408">
        <f>IFERROR(E1913*'01 Prod Physique Boites'!H1896,"-")</f>
        <v>0</v>
      </c>
      <c r="G1913" s="409">
        <f>IFERROR(E1913*'01 Prod Physique Boites'!L1896,"-")</f>
        <v>0</v>
      </c>
      <c r="H1913" s="391">
        <v>0</v>
      </c>
      <c r="I1913" s="429">
        <f t="shared" si="1259"/>
        <v>0</v>
      </c>
      <c r="J1913" s="430">
        <f t="shared" si="1261"/>
        <v>0</v>
      </c>
    </row>
    <row r="1914" spans="1:10" ht="24" thickBot="1" x14ac:dyDescent="0.35">
      <c r="A1914" s="277" t="s">
        <v>111</v>
      </c>
      <c r="B1914" s="906" t="s">
        <v>29</v>
      </c>
      <c r="C1914" s="907"/>
      <c r="D1914" s="908"/>
      <c r="E1914" s="777"/>
      <c r="F1914" s="778">
        <f t="shared" ref="F1914:G1914" si="1262">SUM(F1907:F1913)</f>
        <v>0</v>
      </c>
      <c r="G1914" s="413">
        <f t="shared" si="1262"/>
        <v>0</v>
      </c>
      <c r="H1914" s="397"/>
      <c r="I1914" s="412">
        <f t="shared" ref="I1914:J1914" si="1263">SUM(I1907:I1913)</f>
        <v>0</v>
      </c>
      <c r="J1914" s="431">
        <f t="shared" si="1263"/>
        <v>0</v>
      </c>
    </row>
    <row r="1915" spans="1:10" ht="23.4" x14ac:dyDescent="0.3">
      <c r="A1915" s="277"/>
      <c r="B1915" s="918" t="s">
        <v>19</v>
      </c>
      <c r="C1915" s="779" t="s">
        <v>260</v>
      </c>
      <c r="D1915" s="785" t="s">
        <v>192</v>
      </c>
      <c r="E1915" s="786">
        <v>12.2659</v>
      </c>
      <c r="F1915" s="787">
        <f>IFERROR(E1915*'01 Prod Physique Boites'!H1898,"-")</f>
        <v>0</v>
      </c>
      <c r="G1915" s="788">
        <f>IFERROR(E1915*'01 Prod Physique Boites'!L1898,"-")</f>
        <v>4024662.5762</v>
      </c>
      <c r="H1915" s="782">
        <v>14.79</v>
      </c>
      <c r="I1915" s="703">
        <f t="shared" ref="I1915:I1917" si="1264">IFERROR(H1915*(F1915/E1915),"-")</f>
        <v>0</v>
      </c>
      <c r="J1915" s="703">
        <f>IFERROR(H1915*(G1915/E1915),"-")</f>
        <v>4852865.22</v>
      </c>
    </row>
    <row r="1916" spans="1:10" ht="23.4" x14ac:dyDescent="0.3">
      <c r="A1916" s="277"/>
      <c r="B1916" s="919"/>
      <c r="C1916" s="780" t="s">
        <v>458</v>
      </c>
      <c r="D1916" s="789"/>
      <c r="E1916" s="762">
        <v>12.2659</v>
      </c>
      <c r="F1916" s="763">
        <f>IFERROR(E1916*'01 Prod Physique Boites'!H1899,"-")</f>
        <v>621733.93920000002</v>
      </c>
      <c r="G1916" s="663">
        <f>IFERROR(E1916*'01 Prod Physique Boites'!L1899,"-")</f>
        <v>6424584.0384</v>
      </c>
      <c r="H1916" s="783">
        <v>14.55</v>
      </c>
      <c r="I1916" s="763">
        <f t="shared" si="1264"/>
        <v>737510.40000000002</v>
      </c>
      <c r="J1916" s="763">
        <f>IFERROR(H1916*(G1916/E1916),"-")</f>
        <v>7620940.8000000007</v>
      </c>
    </row>
    <row r="1917" spans="1:10" ht="24" thickBot="1" x14ac:dyDescent="0.35">
      <c r="A1917" s="861" t="s">
        <v>111</v>
      </c>
      <c r="B1917" s="920"/>
      <c r="C1917" s="781" t="s">
        <v>417</v>
      </c>
      <c r="D1917" s="790"/>
      <c r="E1917" s="791">
        <v>0</v>
      </c>
      <c r="F1917" s="792">
        <f>IFERROR(E1917*'01 Prod Physique Boites'!H1900,"-")</f>
        <v>0</v>
      </c>
      <c r="G1917" s="793">
        <f>IFERROR(E1917*'01 Prod Physique Boites'!L1900,"-")</f>
        <v>0</v>
      </c>
      <c r="H1917" s="784">
        <v>0</v>
      </c>
      <c r="I1917" s="432" t="str">
        <f t="shared" si="1264"/>
        <v>-</v>
      </c>
      <c r="J1917" s="433" t="str">
        <f t="shared" ref="J1917" si="1265">IFERROR(I1917*(G1917/F1917),"-")</f>
        <v>-</v>
      </c>
    </row>
    <row r="1918" spans="1:10" ht="24" thickBot="1" x14ac:dyDescent="0.35">
      <c r="A1918" s="277" t="s">
        <v>111</v>
      </c>
      <c r="B1918" s="906" t="s">
        <v>49</v>
      </c>
      <c r="C1918" s="907"/>
      <c r="D1918" s="908"/>
      <c r="E1918" s="396"/>
      <c r="F1918" s="412">
        <f>SUM(F1915:F1917)</f>
        <v>621733.93920000002</v>
      </c>
      <c r="G1918" s="412">
        <f>SUM(G1915:G1917)</f>
        <v>10449246.614599999</v>
      </c>
      <c r="H1918" s="397"/>
      <c r="I1918" s="412">
        <f t="shared" ref="I1918" si="1266">SUM(I1917)</f>
        <v>0</v>
      </c>
      <c r="J1918" s="431">
        <f>SUM(J1915:J1917)</f>
        <v>12473806.02</v>
      </c>
    </row>
    <row r="1919" spans="1:10" ht="23.4" x14ac:dyDescent="0.3">
      <c r="A1919" s="277" t="s">
        <v>111</v>
      </c>
      <c r="B1919" s="922" t="s">
        <v>20</v>
      </c>
      <c r="C1919" s="297" t="s">
        <v>370</v>
      </c>
      <c r="D1919" s="297" t="s">
        <v>324</v>
      </c>
      <c r="E1919" s="515">
        <v>26.032900000000001</v>
      </c>
      <c r="F1919" s="408">
        <f>IFERROR(E1919*'01 Prod Physique Boites'!H1902,"-")</f>
        <v>0</v>
      </c>
      <c r="G1919" s="409">
        <f>IFERROR(E1919*'01 Prod Physique Boites'!L1902,"-")</f>
        <v>0</v>
      </c>
      <c r="H1919" s="387">
        <v>36.44</v>
      </c>
      <c r="I1919" s="425">
        <f>IFERROR(H1919*(F1919/E1919),"-")</f>
        <v>0</v>
      </c>
      <c r="J1919" s="426">
        <f t="shared" ref="J1919:J1921" si="1267">IFERROR(H1919*(G1919/E1919),"-")</f>
        <v>0</v>
      </c>
    </row>
    <row r="1920" spans="1:10" ht="23.4" x14ac:dyDescent="0.3">
      <c r="A1920" s="277" t="s">
        <v>111</v>
      </c>
      <c r="B1920" s="923"/>
      <c r="C1920" s="298" t="s">
        <v>122</v>
      </c>
      <c r="D1920" s="298"/>
      <c r="E1920" s="390">
        <v>24.2607</v>
      </c>
      <c r="F1920" s="408">
        <f>IFERROR(E1920*'01 Prod Physique Boites'!H1903,"-")</f>
        <v>0</v>
      </c>
      <c r="G1920" s="409">
        <f>IFERROR(E1920*'01 Prod Physique Boites'!L1903,"-")</f>
        <v>0</v>
      </c>
      <c r="H1920" s="391">
        <v>37.369999999999997</v>
      </c>
      <c r="I1920" s="427">
        <f>IFERROR(H1920*(F1920/E1920),"-")</f>
        <v>0</v>
      </c>
      <c r="J1920" s="428">
        <f t="shared" si="1267"/>
        <v>0</v>
      </c>
    </row>
    <row r="1921" spans="1:10" ht="24" thickBot="1" x14ac:dyDescent="0.35">
      <c r="A1921" s="277" t="s">
        <v>111</v>
      </c>
      <c r="B1921" s="924"/>
      <c r="C1921" s="299" t="s">
        <v>128</v>
      </c>
      <c r="D1921" s="299"/>
      <c r="E1921" s="392">
        <v>26.035799999999998</v>
      </c>
      <c r="F1921" s="408">
        <f>IFERROR(E1921*'01 Prod Physique Boites'!H1904,"-")</f>
        <v>0</v>
      </c>
      <c r="G1921" s="409">
        <f>IFERROR(E1921*'01 Prod Physique Boites'!L1904,"-")</f>
        <v>0</v>
      </c>
      <c r="H1921" s="393">
        <v>37.11</v>
      </c>
      <c r="I1921" s="429">
        <f>IFERROR(H1921*(F1921/E1921),"-")</f>
        <v>0</v>
      </c>
      <c r="J1921" s="430">
        <f t="shared" si="1267"/>
        <v>0</v>
      </c>
    </row>
    <row r="1922" spans="1:10" ht="24" thickBot="1" x14ac:dyDescent="0.35">
      <c r="A1922" s="277" t="s">
        <v>111</v>
      </c>
      <c r="B1922" s="907" t="s">
        <v>50</v>
      </c>
      <c r="C1922" s="907"/>
      <c r="D1922" s="925"/>
      <c r="E1922" s="396"/>
      <c r="F1922" s="412">
        <f t="shared" ref="F1922:G1922" si="1268">SUM(F1919:F1921)</f>
        <v>0</v>
      </c>
      <c r="G1922" s="413">
        <f t="shared" si="1268"/>
        <v>0</v>
      </c>
      <c r="H1922" s="397"/>
      <c r="I1922" s="412">
        <f t="shared" ref="I1922:J1922" si="1269">SUM(I1919:I1921)</f>
        <v>0</v>
      </c>
      <c r="J1922" s="431">
        <f t="shared" si="1269"/>
        <v>0</v>
      </c>
    </row>
    <row r="1923" spans="1:10" ht="24" thickBot="1" x14ac:dyDescent="0.35">
      <c r="A1923" s="277" t="s">
        <v>111</v>
      </c>
      <c r="B1923" s="926" t="s">
        <v>21</v>
      </c>
      <c r="C1923" s="927"/>
      <c r="D1923" s="928"/>
      <c r="E1923" s="399"/>
      <c r="F1923" s="416">
        <f>+F1898+F1906+F1914+F1918+F1922</f>
        <v>2690723.5632000002</v>
      </c>
      <c r="G1923" s="417">
        <f>+G1898+G1906+G1914+G1918+G1922</f>
        <v>40113236.977899998</v>
      </c>
      <c r="H1923" s="400"/>
      <c r="I1923" s="416">
        <f>+I1898+I1906+I1914+I1918+I1922</f>
        <v>3370161.6</v>
      </c>
      <c r="J1923" s="434">
        <f>+J1898+J1906+J1914+J1918+J1922</f>
        <v>61724119.400000006</v>
      </c>
    </row>
    <row r="1924" spans="1:10" ht="23.4" x14ac:dyDescent="0.3">
      <c r="A1924" s="277" t="s">
        <v>111</v>
      </c>
      <c r="B1924" s="922" t="s">
        <v>22</v>
      </c>
      <c r="C1924" s="272" t="s">
        <v>133</v>
      </c>
      <c r="D1924" s="272"/>
      <c r="E1924" s="386">
        <v>22.820599999999999</v>
      </c>
      <c r="F1924" s="408">
        <f>IFERROR(E1924*'01 Prod Physique Boites'!H1907,"-")</f>
        <v>0</v>
      </c>
      <c r="G1924" s="409">
        <f>IFERROR(E1924*'01 Prod Physique Boites'!L1907,"-")</f>
        <v>0</v>
      </c>
      <c r="H1924" s="387">
        <v>27.5</v>
      </c>
      <c r="I1924" s="425">
        <f>IFERROR(H1924*(F1924/E1924),"-")</f>
        <v>0</v>
      </c>
      <c r="J1924" s="426">
        <f t="shared" ref="J1924:J1927" si="1270">IFERROR(H1924*(G1924/E1924),"-")</f>
        <v>0</v>
      </c>
    </row>
    <row r="1925" spans="1:10" ht="23.4" x14ac:dyDescent="0.3">
      <c r="A1925" s="277" t="s">
        <v>111</v>
      </c>
      <c r="B1925" s="923"/>
      <c r="C1925" s="301" t="s">
        <v>291</v>
      </c>
      <c r="D1925" s="301" t="s">
        <v>196</v>
      </c>
      <c r="E1925" s="390">
        <v>23.570699999999999</v>
      </c>
      <c r="F1925" s="408">
        <f>IFERROR(E1925*'01 Prod Physique Boites'!H1908,"-")</f>
        <v>0</v>
      </c>
      <c r="G1925" s="409">
        <f>IFERROR(E1925*'01 Prod Physique Boites'!L1908,"-")</f>
        <v>0</v>
      </c>
      <c r="H1925" s="391">
        <v>27.5</v>
      </c>
      <c r="I1925" s="427">
        <f>IFERROR(H1925*(F1925/E1925),"-")</f>
        <v>0</v>
      </c>
      <c r="J1925" s="428">
        <f t="shared" si="1270"/>
        <v>0</v>
      </c>
    </row>
    <row r="1926" spans="1:10" ht="23.4" x14ac:dyDescent="0.3">
      <c r="A1926" s="277" t="s">
        <v>111</v>
      </c>
      <c r="B1926" s="923"/>
      <c r="C1926" s="301" t="s">
        <v>473</v>
      </c>
      <c r="D1926" s="301" t="s">
        <v>196</v>
      </c>
      <c r="E1926" s="390">
        <v>22.820599999999999</v>
      </c>
      <c r="F1926" s="408">
        <f>IFERROR(E1926*'01 Prod Physique Boites'!H1909,"-")</f>
        <v>903695.76</v>
      </c>
      <c r="G1926" s="409">
        <f>IFERROR(E1926*'01 Prod Physique Boites'!L1909,"-")</f>
        <v>7816968.324</v>
      </c>
      <c r="H1926" s="391">
        <v>27.5</v>
      </c>
      <c r="I1926" s="427">
        <f>IFERROR(H1926*(F1926/E1926),"-")</f>
        <v>1089000</v>
      </c>
      <c r="J1926" s="428">
        <f t="shared" si="1270"/>
        <v>9419850</v>
      </c>
    </row>
    <row r="1927" spans="1:10" ht="24" thickBot="1" x14ac:dyDescent="0.35">
      <c r="A1927" s="277" t="s">
        <v>111</v>
      </c>
      <c r="B1927" s="924"/>
      <c r="C1927" s="282" t="s">
        <v>197</v>
      </c>
      <c r="D1927" s="282" t="s">
        <v>100</v>
      </c>
      <c r="E1927" s="392">
        <v>23.5685</v>
      </c>
      <c r="F1927" s="408">
        <f>IFERROR(E1927*'01 Prod Physique Boites'!H1910,"-")</f>
        <v>0</v>
      </c>
      <c r="G1927" s="409">
        <f>IFERROR(E1927*'01 Prod Physique Boites'!L1910,"-")</f>
        <v>0</v>
      </c>
      <c r="H1927" s="393">
        <v>24</v>
      </c>
      <c r="I1927" s="429">
        <f>IFERROR(H1927*(F1927/E1927),"-")</f>
        <v>0</v>
      </c>
      <c r="J1927" s="430">
        <f t="shared" si="1270"/>
        <v>0</v>
      </c>
    </row>
    <row r="1928" spans="1:10" ht="24" thickBot="1" x14ac:dyDescent="0.35">
      <c r="A1928" s="277" t="s">
        <v>111</v>
      </c>
      <c r="B1928" s="906" t="s">
        <v>51</v>
      </c>
      <c r="C1928" s="907"/>
      <c r="D1928" s="908"/>
      <c r="E1928" s="396"/>
      <c r="F1928" s="412">
        <f t="shared" ref="F1928:G1928" si="1271">SUM(F1924:F1927)</f>
        <v>903695.76</v>
      </c>
      <c r="G1928" s="413">
        <f t="shared" si="1271"/>
        <v>7816968.324</v>
      </c>
      <c r="H1928" s="397"/>
      <c r="I1928" s="412">
        <f t="shared" ref="I1928:J1928" si="1272">SUM(I1924:I1927)</f>
        <v>1089000</v>
      </c>
      <c r="J1928" s="431">
        <f t="shared" si="1272"/>
        <v>9419850</v>
      </c>
    </row>
    <row r="1929" spans="1:10" ht="23.4" x14ac:dyDescent="0.3">
      <c r="A1929" s="277" t="s">
        <v>111</v>
      </c>
      <c r="B1929" s="922" t="s">
        <v>23</v>
      </c>
      <c r="C1929" s="302" t="s">
        <v>348</v>
      </c>
      <c r="D1929" s="302" t="s">
        <v>263</v>
      </c>
      <c r="E1929" s="386">
        <v>101.4935</v>
      </c>
      <c r="F1929" s="408">
        <f>IFERROR(E1929*'01 Prod Physique Boites'!H1912,"-")</f>
        <v>0</v>
      </c>
      <c r="G1929" s="409">
        <f>IFERROR(E1929*'01 Prod Physique Boites'!L1912,"-")</f>
        <v>0</v>
      </c>
      <c r="H1929" s="391">
        <v>160.44999999999999</v>
      </c>
      <c r="I1929" s="425">
        <f t="shared" ref="I1929:I1936" si="1273">IFERROR(H1929*(F1929/E1929),"-")</f>
        <v>0</v>
      </c>
      <c r="J1929" s="426">
        <f t="shared" ref="J1929:J1936" si="1274">IFERROR(H1929*(G1929/E1929),"-")</f>
        <v>0</v>
      </c>
    </row>
    <row r="1930" spans="1:10" ht="23.4" x14ac:dyDescent="0.3">
      <c r="A1930" s="277" t="s">
        <v>111</v>
      </c>
      <c r="B1930" s="923"/>
      <c r="C1930" s="278" t="s">
        <v>24</v>
      </c>
      <c r="D1930" s="278" t="s">
        <v>263</v>
      </c>
      <c r="E1930" s="390">
        <v>101.4935</v>
      </c>
      <c r="F1930" s="408">
        <f>IFERROR(E1930*'01 Prod Physique Boites'!H1913,"-")</f>
        <v>0</v>
      </c>
      <c r="G1930" s="409">
        <f>IFERROR(E1930*'01 Prod Physique Boites'!L1913,"-")</f>
        <v>11408275.374</v>
      </c>
      <c r="H1930" s="391">
        <v>160.44999999999999</v>
      </c>
      <c r="I1930" s="427">
        <f t="shared" si="1273"/>
        <v>0</v>
      </c>
      <c r="J1930" s="428">
        <f t="shared" si="1274"/>
        <v>18035221.799999997</v>
      </c>
    </row>
    <row r="1931" spans="1:10" ht="23.4" x14ac:dyDescent="0.3">
      <c r="A1931" s="277" t="s">
        <v>111</v>
      </c>
      <c r="B1931" s="923"/>
      <c r="C1931" s="278" t="s">
        <v>261</v>
      </c>
      <c r="D1931" s="278" t="s">
        <v>263</v>
      </c>
      <c r="E1931" s="390">
        <v>101.4935</v>
      </c>
      <c r="F1931" s="408">
        <f>IFERROR(E1931*'01 Prod Physique Boites'!H1914,"-")</f>
        <v>0</v>
      </c>
      <c r="G1931" s="409">
        <f>IFERROR(E1931*'01 Prod Physique Boites'!L1914,"-")</f>
        <v>1106380.6435</v>
      </c>
      <c r="H1931" s="391">
        <v>160.44999999999999</v>
      </c>
      <c r="I1931" s="427">
        <f t="shared" si="1273"/>
        <v>0</v>
      </c>
      <c r="J1931" s="428">
        <f t="shared" si="1274"/>
        <v>1749065.45</v>
      </c>
    </row>
    <row r="1932" spans="1:10" ht="23.4" x14ac:dyDescent="0.3">
      <c r="A1932" s="277" t="s">
        <v>111</v>
      </c>
      <c r="B1932" s="923"/>
      <c r="C1932" s="278" t="s">
        <v>262</v>
      </c>
      <c r="D1932" s="278" t="s">
        <v>263</v>
      </c>
      <c r="E1932" s="390">
        <v>101.4935</v>
      </c>
      <c r="F1932" s="408">
        <f>IFERROR(E1932*'01 Prod Physique Boites'!H1915,"-")</f>
        <v>0</v>
      </c>
      <c r="G1932" s="409">
        <f>IFERROR(E1932*'01 Prod Physique Boites'!L1915,"-")</f>
        <v>772568.522</v>
      </c>
      <c r="H1932" s="391">
        <v>160.44999999999999</v>
      </c>
      <c r="I1932" s="427">
        <f t="shared" si="1273"/>
        <v>0</v>
      </c>
      <c r="J1932" s="428">
        <f t="shared" si="1274"/>
        <v>1221345.3999999999</v>
      </c>
    </row>
    <row r="1933" spans="1:10" ht="23.4" x14ac:dyDescent="0.3">
      <c r="A1933" s="277" t="s">
        <v>111</v>
      </c>
      <c r="B1933" s="923"/>
      <c r="C1933" s="301" t="s">
        <v>264</v>
      </c>
      <c r="D1933" s="278" t="s">
        <v>263</v>
      </c>
      <c r="E1933" s="390">
        <v>101.4935</v>
      </c>
      <c r="F1933" s="408">
        <f>IFERROR(E1933*'01 Prod Physique Boites'!H1916,"-")</f>
        <v>0</v>
      </c>
      <c r="G1933" s="409">
        <f>IFERROR(E1933*'01 Prod Physique Boites'!L1916,"-")</f>
        <v>0</v>
      </c>
      <c r="H1933" s="391">
        <v>160.44999999999999</v>
      </c>
      <c r="I1933" s="427">
        <f t="shared" si="1273"/>
        <v>0</v>
      </c>
      <c r="J1933" s="428">
        <f t="shared" si="1274"/>
        <v>0</v>
      </c>
    </row>
    <row r="1934" spans="1:10" ht="23.4" x14ac:dyDescent="0.3">
      <c r="A1934" s="277" t="s">
        <v>111</v>
      </c>
      <c r="B1934" s="923"/>
      <c r="C1934" s="301" t="s">
        <v>265</v>
      </c>
      <c r="D1934" s="278" t="s">
        <v>263</v>
      </c>
      <c r="E1934" s="390">
        <v>101.4935</v>
      </c>
      <c r="F1934" s="408">
        <f>IFERROR(E1934*'01 Prod Physique Boites'!H1917,"-")</f>
        <v>0</v>
      </c>
      <c r="G1934" s="409">
        <f>IFERROR(E1934*'01 Prod Physique Boites'!L1917,"-")</f>
        <v>0</v>
      </c>
      <c r="H1934" s="391">
        <v>160.44999999999999</v>
      </c>
      <c r="I1934" s="427">
        <f t="shared" si="1273"/>
        <v>0</v>
      </c>
      <c r="J1934" s="428">
        <f t="shared" si="1274"/>
        <v>0</v>
      </c>
    </row>
    <row r="1935" spans="1:10" ht="23.4" x14ac:dyDescent="0.3">
      <c r="A1935" s="277" t="s">
        <v>111</v>
      </c>
      <c r="B1935" s="923"/>
      <c r="C1935" s="301" t="s">
        <v>266</v>
      </c>
      <c r="D1935" s="278" t="s">
        <v>268</v>
      </c>
      <c r="E1935" s="390">
        <v>101.4935</v>
      </c>
      <c r="F1935" s="408">
        <f>IFERROR(E1935*'01 Prod Physique Boites'!H1918,"-")</f>
        <v>0</v>
      </c>
      <c r="G1935" s="409">
        <f>IFERROR(E1935*'01 Prod Physique Boites'!L1918,"-")</f>
        <v>1057257.7895</v>
      </c>
      <c r="H1935" s="391">
        <v>160.44999999999999</v>
      </c>
      <c r="I1935" s="427">
        <f t="shared" si="1273"/>
        <v>0</v>
      </c>
      <c r="J1935" s="428">
        <f t="shared" si="1274"/>
        <v>1671407.65</v>
      </c>
    </row>
    <row r="1936" spans="1:10" ht="24" thickBot="1" x14ac:dyDescent="0.35">
      <c r="A1936" s="277" t="s">
        <v>111</v>
      </c>
      <c r="B1936" s="924"/>
      <c r="C1936" s="301" t="s">
        <v>267</v>
      </c>
      <c r="D1936" s="278" t="s">
        <v>263</v>
      </c>
      <c r="E1936" s="392">
        <v>101.4935</v>
      </c>
      <c r="F1936" s="408">
        <f>IFERROR(E1936*'01 Prod Physique Boites'!H1919,"-")</f>
        <v>0</v>
      </c>
      <c r="G1936" s="409">
        <f>IFERROR(E1936*'01 Prod Physique Boites'!L1919,"-")</f>
        <v>1420909</v>
      </c>
      <c r="H1936" s="391">
        <v>160.44999999999999</v>
      </c>
      <c r="I1936" s="429">
        <f t="shared" si="1273"/>
        <v>0</v>
      </c>
      <c r="J1936" s="430">
        <f t="shared" si="1274"/>
        <v>2246300</v>
      </c>
    </row>
    <row r="1937" spans="1:10" ht="24" thickBot="1" x14ac:dyDescent="0.35">
      <c r="A1937" s="277" t="s">
        <v>111</v>
      </c>
      <c r="B1937" s="906" t="s">
        <v>52</v>
      </c>
      <c r="C1937" s="907"/>
      <c r="D1937" s="908"/>
      <c r="E1937" s="396"/>
      <c r="F1937" s="412">
        <f t="shared" ref="F1937" si="1275">SUM(F1929:F1936)</f>
        <v>0</v>
      </c>
      <c r="G1937" s="413">
        <f>SUM(G1929:G1936)</f>
        <v>15765391.329</v>
      </c>
      <c r="H1937" s="397"/>
      <c r="I1937" s="412">
        <f t="shared" ref="I1937" si="1276">SUM(I1929:I1936)</f>
        <v>0</v>
      </c>
      <c r="J1937" s="431">
        <f>SUM(J1929:J1936)</f>
        <v>24923340.299999993</v>
      </c>
    </row>
    <row r="1938" spans="1:10" ht="24" thickBot="1" x14ac:dyDescent="0.35">
      <c r="A1938" s="277" t="s">
        <v>111</v>
      </c>
      <c r="B1938" s="926" t="s">
        <v>25</v>
      </c>
      <c r="C1938" s="927"/>
      <c r="D1938" s="928"/>
      <c r="E1938" s="399"/>
      <c r="F1938" s="416">
        <f t="shared" ref="F1938" si="1277">+F1928+F1937</f>
        <v>903695.76</v>
      </c>
      <c r="G1938" s="417">
        <f>+G1928+G1937</f>
        <v>23582359.653000001</v>
      </c>
      <c r="H1938" s="400"/>
      <c r="I1938" s="416">
        <f t="shared" ref="I1938:J1938" si="1278">+I1928+I1937</f>
        <v>1089000</v>
      </c>
      <c r="J1938" s="434">
        <f t="shared" si="1278"/>
        <v>34343190.299999997</v>
      </c>
    </row>
    <row r="1939" spans="1:10" ht="24" thickBot="1" x14ac:dyDescent="0.35">
      <c r="A1939" s="277" t="s">
        <v>111</v>
      </c>
      <c r="B1939" s="900" t="s">
        <v>181</v>
      </c>
      <c r="C1939" s="901"/>
      <c r="D1939" s="902"/>
      <c r="E1939" s="401"/>
      <c r="F1939" s="418">
        <f t="shared" ref="F1939" si="1279">+F1923+F1938</f>
        <v>3594419.3232000005</v>
      </c>
      <c r="G1939" s="419">
        <f>+G1923+G1938</f>
        <v>63695596.630899996</v>
      </c>
      <c r="H1939" s="402"/>
      <c r="I1939" s="418">
        <f t="shared" ref="I1939:J1939" si="1280">+I1923+I1938</f>
        <v>4459161.5999999996</v>
      </c>
      <c r="J1939" s="435">
        <f t="shared" si="1280"/>
        <v>96067309.700000003</v>
      </c>
    </row>
    <row r="1940" spans="1:10" ht="23.4" x14ac:dyDescent="0.3">
      <c r="A1940" s="271" t="s">
        <v>109</v>
      </c>
      <c r="B1940" s="929" t="s">
        <v>26</v>
      </c>
      <c r="C1940" s="303" t="s">
        <v>334</v>
      </c>
      <c r="D1940" s="305" t="s">
        <v>192</v>
      </c>
      <c r="E1940" s="515">
        <v>13.1272</v>
      </c>
      <c r="F1940" s="408">
        <f>IFERROR(E1940*'01 Prod Physique Boites'!H1923,"-")</f>
        <v>0</v>
      </c>
      <c r="G1940" s="409">
        <f>IFERROR(E1940*'01 Prod Physique Boites'!L1923,"-")</f>
        <v>4229820.1295999996</v>
      </c>
      <c r="H1940" s="387">
        <v>20.76</v>
      </c>
      <c r="I1940" s="425">
        <f t="shared" ref="I1940:I1948" si="1281">IFERROR(H1940*(F1940/E1940),"-")</f>
        <v>0</v>
      </c>
      <c r="J1940" s="662">
        <f t="shared" ref="J1940:J1948" si="1282">IFERROR(H1940*(G1940/E1940),"-")</f>
        <v>6689245.6799999997</v>
      </c>
    </row>
    <row r="1941" spans="1:10" ht="23.4" x14ac:dyDescent="0.3">
      <c r="A1941" s="277" t="s">
        <v>109</v>
      </c>
      <c r="B1941" s="929"/>
      <c r="C1941" s="304" t="s">
        <v>199</v>
      </c>
      <c r="D1941" s="304" t="s">
        <v>115</v>
      </c>
      <c r="E1941" s="516">
        <v>14.608000000000001</v>
      </c>
      <c r="F1941" s="408">
        <f>IFERROR(E1941*'01 Prod Physique Boites'!H1924,"-")</f>
        <v>0</v>
      </c>
      <c r="G1941" s="409">
        <f>IFERROR(E1941*'01 Prod Physique Boites'!L1924,"-")</f>
        <v>0</v>
      </c>
      <c r="H1941" s="391">
        <v>24.93</v>
      </c>
      <c r="I1941" s="427">
        <f t="shared" si="1281"/>
        <v>0</v>
      </c>
      <c r="J1941" s="663">
        <f t="shared" si="1282"/>
        <v>0</v>
      </c>
    </row>
    <row r="1942" spans="1:10" ht="23.4" x14ac:dyDescent="0.3">
      <c r="A1942" s="277" t="s">
        <v>109</v>
      </c>
      <c r="B1942" s="929"/>
      <c r="C1942" s="305" t="s">
        <v>27</v>
      </c>
      <c r="D1942" s="305" t="s">
        <v>394</v>
      </c>
      <c r="E1942" s="512">
        <v>17.8202</v>
      </c>
      <c r="F1942" s="408">
        <f>IFERROR(E1942*'01 Prod Physique Boites'!H1925,"-")</f>
        <v>0</v>
      </c>
      <c r="G1942" s="409">
        <f>IFERROR(E1942*'01 Prod Physique Boites'!L1925,"-")</f>
        <v>354443.77799999999</v>
      </c>
      <c r="H1942" s="391">
        <v>21.22</v>
      </c>
      <c r="I1942" s="427">
        <f t="shared" si="1281"/>
        <v>0</v>
      </c>
      <c r="J1942" s="663">
        <f t="shared" si="1282"/>
        <v>422065.8</v>
      </c>
    </row>
    <row r="1943" spans="1:10" ht="23.4" x14ac:dyDescent="0.3">
      <c r="A1943" s="277" t="s">
        <v>109</v>
      </c>
      <c r="B1943" s="929"/>
      <c r="C1943" s="305" t="s">
        <v>27</v>
      </c>
      <c r="D1943" s="305" t="s">
        <v>259</v>
      </c>
      <c r="E1943" s="512">
        <v>17.8202</v>
      </c>
      <c r="F1943" s="408">
        <f>IFERROR(E1943*'01 Prod Physique Boites'!H1926,"-")</f>
        <v>496221.2892</v>
      </c>
      <c r="G1943" s="409">
        <f>IFERROR(E1943*'01 Prod Physique Boites'!L1926,"-")</f>
        <v>1346886.3563999999</v>
      </c>
      <c r="H1943" s="391">
        <v>24.93</v>
      </c>
      <c r="I1943" s="427">
        <f t="shared" si="1281"/>
        <v>694200.78</v>
      </c>
      <c r="J1943" s="663">
        <f t="shared" si="1282"/>
        <v>1884259.26</v>
      </c>
    </row>
    <row r="1944" spans="1:10" ht="23.4" x14ac:dyDescent="0.3">
      <c r="A1944" s="277" t="s">
        <v>109</v>
      </c>
      <c r="B1944" s="929"/>
      <c r="C1944" s="305" t="s">
        <v>27</v>
      </c>
      <c r="D1944" s="305" t="s">
        <v>310</v>
      </c>
      <c r="E1944" s="512">
        <v>17.8202</v>
      </c>
      <c r="F1944" s="408">
        <f>IFERROR(E1944*'01 Prod Physique Boites'!H1927,"-")</f>
        <v>0</v>
      </c>
      <c r="G1944" s="409">
        <f>IFERROR(E1944*'01 Prod Physique Boites'!L1927,"-")</f>
        <v>141777.51120000001</v>
      </c>
      <c r="H1944" s="391">
        <v>24.93</v>
      </c>
      <c r="I1944" s="427">
        <f t="shared" si="1281"/>
        <v>0</v>
      </c>
      <c r="J1944" s="663">
        <f t="shared" si="1282"/>
        <v>198343.08000000002</v>
      </c>
    </row>
    <row r="1945" spans="1:10" ht="23.4" x14ac:dyDescent="0.3">
      <c r="A1945" s="277"/>
      <c r="B1945" s="929"/>
      <c r="C1945" s="305" t="s">
        <v>393</v>
      </c>
      <c r="D1945" s="305" t="s">
        <v>192</v>
      </c>
      <c r="E1945" s="512">
        <v>17.8202</v>
      </c>
      <c r="F1945" s="408">
        <f>IFERROR(E1945*'01 Prod Physique Boites'!H1928,"-")</f>
        <v>0</v>
      </c>
      <c r="G1945" s="409">
        <f>IFERROR(E1945*'01 Prod Physique Boites'!L1928,"-")</f>
        <v>0</v>
      </c>
      <c r="H1945" s="393">
        <v>21.22</v>
      </c>
      <c r="I1945" s="427">
        <f t="shared" si="1281"/>
        <v>0</v>
      </c>
      <c r="J1945" s="664">
        <f t="shared" si="1282"/>
        <v>0</v>
      </c>
    </row>
    <row r="1946" spans="1:10" ht="23.4" x14ac:dyDescent="0.3">
      <c r="A1946" s="277"/>
      <c r="B1946" s="929"/>
      <c r="C1946" s="305" t="s">
        <v>325</v>
      </c>
      <c r="D1946" s="305" t="s">
        <v>101</v>
      </c>
      <c r="E1946" s="512">
        <v>14.608000000000001</v>
      </c>
      <c r="F1946" s="408">
        <f>IFERROR(E1946*'01 Prod Physique Boites'!H1929,"-")</f>
        <v>0</v>
      </c>
      <c r="G1946" s="409">
        <f>IFERROR(E1946*'01 Prod Physique Boites'!L1929,"-")</f>
        <v>116221.24800000001</v>
      </c>
      <c r="H1946" s="393">
        <v>24.93</v>
      </c>
      <c r="I1946" s="429">
        <f t="shared" si="1281"/>
        <v>0</v>
      </c>
      <c r="J1946" s="664">
        <f t="shared" si="1282"/>
        <v>198343.08</v>
      </c>
    </row>
    <row r="1947" spans="1:10" ht="23.4" x14ac:dyDescent="0.3">
      <c r="A1947" s="277"/>
      <c r="B1947" s="929"/>
      <c r="C1947" s="305" t="s">
        <v>325</v>
      </c>
      <c r="D1947" s="305" t="s">
        <v>394</v>
      </c>
      <c r="E1947" s="512">
        <v>14.608000000000001</v>
      </c>
      <c r="F1947" s="408">
        <f>IFERROR(E1947*'01 Prod Physique Boites'!H1930,"-")</f>
        <v>0</v>
      </c>
      <c r="G1947" s="409">
        <f>IFERROR(E1947*'01 Prod Physique Boites'!L1930,"-")</f>
        <v>10401801.696</v>
      </c>
      <c r="H1947" s="393">
        <v>21.22</v>
      </c>
      <c r="I1947" s="429">
        <f t="shared" si="1281"/>
        <v>0</v>
      </c>
      <c r="J1947" s="664">
        <f t="shared" si="1282"/>
        <v>15109955.639999999</v>
      </c>
    </row>
    <row r="1948" spans="1:10" ht="24" thickBot="1" x14ac:dyDescent="0.35">
      <c r="A1948" s="277" t="s">
        <v>109</v>
      </c>
      <c r="B1948" s="929"/>
      <c r="C1948" s="306" t="s">
        <v>326</v>
      </c>
      <c r="D1948" s="305" t="s">
        <v>324</v>
      </c>
      <c r="E1948" s="512">
        <v>12.6997</v>
      </c>
      <c r="F1948" s="408">
        <f>IFERROR(E1948*'01 Prod Physique Boites'!H1931,"-")</f>
        <v>0</v>
      </c>
      <c r="G1948" s="409">
        <f>IFERROR(E1948*'01 Prod Physique Boites'!L1931,"-")</f>
        <v>101038.8132</v>
      </c>
      <c r="H1948" s="393">
        <v>13.25</v>
      </c>
      <c r="I1948" s="429">
        <f t="shared" si="1281"/>
        <v>0</v>
      </c>
      <c r="J1948" s="664">
        <f t="shared" si="1282"/>
        <v>105417</v>
      </c>
    </row>
    <row r="1949" spans="1:10" ht="24" thickBot="1" x14ac:dyDescent="0.35">
      <c r="A1949" s="277" t="s">
        <v>109</v>
      </c>
      <c r="B1949" s="930"/>
      <c r="C1949" s="307"/>
      <c r="D1949" s="308" t="s">
        <v>55</v>
      </c>
      <c r="E1949" s="396"/>
      <c r="F1949" s="412">
        <f>SUM(F1940:F1948)</f>
        <v>496221.2892</v>
      </c>
      <c r="G1949" s="413">
        <f t="shared" ref="G1949" si="1283">SUM(G1940:G1948)</f>
        <v>16691989.532400001</v>
      </c>
      <c r="H1949" s="397"/>
      <c r="I1949" s="412">
        <f t="shared" ref="I1949" si="1284">SUM(I1940:I1948)</f>
        <v>694200.78</v>
      </c>
      <c r="J1949" s="431">
        <f>SUM(J1940:J1948)</f>
        <v>24607629.539999999</v>
      </c>
    </row>
    <row r="1950" spans="1:10" ht="23.4" x14ac:dyDescent="0.3">
      <c r="A1950" s="277" t="s">
        <v>109</v>
      </c>
      <c r="B1950" s="931" t="s">
        <v>28</v>
      </c>
      <c r="C1950" s="305" t="s">
        <v>27</v>
      </c>
      <c r="D1950" s="303" t="s">
        <v>310</v>
      </c>
      <c r="E1950" s="515">
        <v>17.8202</v>
      </c>
      <c r="F1950" s="408">
        <f>IFERROR(E1950*'01 Prod Physique Boites'!H1933,"-")</f>
        <v>637998.80039999995</v>
      </c>
      <c r="G1950" s="409">
        <f>IFERROR(E1950*'01 Prod Physique Boites'!L1933,"-")</f>
        <v>2551995.2015999998</v>
      </c>
      <c r="H1950" s="387">
        <v>24.93</v>
      </c>
      <c r="I1950" s="425">
        <f>IFERROR(H1950*(F1950/E1950),"-")</f>
        <v>892543.86</v>
      </c>
      <c r="J1950" s="662">
        <f t="shared" ref="J1950:J1952" si="1285">IFERROR(H1950*(G1950/E1950),"-")</f>
        <v>3570175.44</v>
      </c>
    </row>
    <row r="1951" spans="1:10" ht="23.4" x14ac:dyDescent="0.3">
      <c r="A1951" s="277" t="s">
        <v>109</v>
      </c>
      <c r="B1951" s="929"/>
      <c r="C1951" s="305" t="s">
        <v>27</v>
      </c>
      <c r="D1951" s="305" t="s">
        <v>394</v>
      </c>
      <c r="E1951" s="512">
        <v>17.8202</v>
      </c>
      <c r="F1951" s="408">
        <f>IFERROR(E1951*'01 Prod Physique Boites'!H1934,"-")</f>
        <v>1346886.3563999999</v>
      </c>
      <c r="G1951" s="409">
        <f>IFERROR(E1951*'01 Prod Physique Boites'!L1934,"-")</f>
        <v>6805320.5376000004</v>
      </c>
      <c r="H1951" s="391">
        <v>21.22</v>
      </c>
      <c r="I1951" s="427">
        <f>IFERROR(H1951*(F1951/E1951),"-")</f>
        <v>1603850.0399999998</v>
      </c>
      <c r="J1951" s="663">
        <f t="shared" si="1285"/>
        <v>8103663.3599999994</v>
      </c>
    </row>
    <row r="1952" spans="1:10" ht="24" thickBot="1" x14ac:dyDescent="0.35">
      <c r="A1952" s="277" t="s">
        <v>109</v>
      </c>
      <c r="B1952" s="929"/>
      <c r="C1952" s="305" t="s">
        <v>27</v>
      </c>
      <c r="D1952" s="306" t="s">
        <v>259</v>
      </c>
      <c r="E1952" s="512">
        <v>17.8202</v>
      </c>
      <c r="F1952" s="408">
        <f>IFERROR(E1952*'01 Prod Physique Boites'!H1935,"-")</f>
        <v>0</v>
      </c>
      <c r="G1952" s="409">
        <f>IFERROR(E1952*'01 Prod Physique Boites'!L1935,"-")</f>
        <v>6379988.0039999997</v>
      </c>
      <c r="H1952" s="391">
        <v>24.93</v>
      </c>
      <c r="I1952" s="429">
        <f>IFERROR(H1952*(F1952/E1952),"-")</f>
        <v>0</v>
      </c>
      <c r="J1952" s="664">
        <f t="shared" si="1285"/>
        <v>8925438.5999999996</v>
      </c>
    </row>
    <row r="1953" spans="1:10" ht="24" thickBot="1" x14ac:dyDescent="0.35">
      <c r="A1953" s="277" t="s">
        <v>109</v>
      </c>
      <c r="B1953" s="929"/>
      <c r="C1953" s="310"/>
      <c r="D1953" s="311" t="s">
        <v>55</v>
      </c>
      <c r="E1953" s="403"/>
      <c r="F1953" s="420">
        <f t="shared" ref="F1953:G1953" si="1286">SUM(F1950:F1952)</f>
        <v>1984885.1568</v>
      </c>
      <c r="G1953" s="421">
        <f t="shared" si="1286"/>
        <v>15737303.7432</v>
      </c>
      <c r="H1953" s="404"/>
      <c r="I1953" s="420">
        <f t="shared" ref="I1953:J1953" si="1287">SUM(I1950:I1952)</f>
        <v>2496393.9</v>
      </c>
      <c r="J1953" s="436">
        <f t="shared" si="1287"/>
        <v>20599277.399999999</v>
      </c>
    </row>
    <row r="1954" spans="1:10" ht="24" thickBot="1" x14ac:dyDescent="0.35">
      <c r="A1954" s="861" t="s">
        <v>109</v>
      </c>
      <c r="B1954" s="932" t="s">
        <v>171</v>
      </c>
      <c r="C1954" s="933"/>
      <c r="D1954" s="934"/>
      <c r="E1954" s="405"/>
      <c r="F1954" s="422">
        <f t="shared" ref="F1954:G1954" si="1288">+F1949+F1953</f>
        <v>2481106.446</v>
      </c>
      <c r="G1954" s="423">
        <f t="shared" si="1288"/>
        <v>32429293.275600001</v>
      </c>
      <c r="H1954" s="406"/>
      <c r="I1954" s="422">
        <f t="shared" ref="I1954:J1954" si="1289">+I1949+I1953</f>
        <v>3190594.6799999997</v>
      </c>
      <c r="J1954" s="437">
        <f t="shared" si="1289"/>
        <v>45206906.939999998</v>
      </c>
    </row>
    <row r="1955" spans="1:10" ht="23.4" x14ac:dyDescent="0.3">
      <c r="A1955" s="277" t="s">
        <v>109</v>
      </c>
      <c r="B1955" s="929" t="s">
        <v>30</v>
      </c>
      <c r="C1955" s="309" t="s">
        <v>375</v>
      </c>
      <c r="D1955" s="303" t="s">
        <v>193</v>
      </c>
      <c r="E1955" s="515">
        <v>15.2788</v>
      </c>
      <c r="F1955" s="408">
        <f>IFERROR(E1955*'01 Prod Physique Boites'!H1938,"-")</f>
        <v>0</v>
      </c>
      <c r="G1955" s="409">
        <f>IFERROR(E1955*'01 Prod Physique Boites'!L1938,"-")</f>
        <v>0</v>
      </c>
      <c r="H1955" s="387">
        <v>23.65</v>
      </c>
      <c r="I1955" s="425">
        <f>IFERROR(H1955*(F1955/E1955),"-")</f>
        <v>0</v>
      </c>
      <c r="J1955" s="426">
        <f t="shared" ref="J1955:J1957" si="1290">IFERROR(H1955*(G1955/E1955),"-")</f>
        <v>0</v>
      </c>
    </row>
    <row r="1956" spans="1:10" ht="23.4" x14ac:dyDescent="0.3">
      <c r="A1956" s="277" t="s">
        <v>109</v>
      </c>
      <c r="B1956" s="929"/>
      <c r="C1956" s="309" t="s">
        <v>368</v>
      </c>
      <c r="D1956" s="309" t="s">
        <v>324</v>
      </c>
      <c r="E1956" s="516">
        <v>22.6356</v>
      </c>
      <c r="F1956" s="408">
        <f>IFERROR(E1956*'01 Prod Physique Boites'!H1939,"-")</f>
        <v>0</v>
      </c>
      <c r="G1956" s="409">
        <f>IFERROR(E1956*'01 Prod Physique Boites'!L1939,"-")</f>
        <v>0</v>
      </c>
      <c r="H1956" s="391">
        <v>34.26</v>
      </c>
      <c r="I1956" s="427">
        <f>IFERROR(H1956*(F1956/E1956),"-")</f>
        <v>0</v>
      </c>
      <c r="J1956" s="428">
        <f t="shared" si="1290"/>
        <v>0</v>
      </c>
    </row>
    <row r="1957" spans="1:10" ht="24" thickBot="1" x14ac:dyDescent="0.35">
      <c r="A1957" s="277" t="s">
        <v>109</v>
      </c>
      <c r="B1957" s="929"/>
      <c r="C1957" s="306" t="s">
        <v>327</v>
      </c>
      <c r="D1957" s="306"/>
      <c r="E1957" s="512">
        <v>25.751300000000001</v>
      </c>
      <c r="F1957" s="408">
        <f>IFERROR(E1957*'01 Prod Physique Boites'!H1940,"-")</f>
        <v>0</v>
      </c>
      <c r="G1957" s="409">
        <f>IFERROR(E1957*'01 Prod Physique Boites'!L1940,"-")</f>
        <v>1349780.1407999999</v>
      </c>
      <c r="H1957" s="393">
        <v>37.89</v>
      </c>
      <c r="I1957" s="429">
        <f>IFERROR(H1957*(F1957/E1957),"-")</f>
        <v>0</v>
      </c>
      <c r="J1957" s="430">
        <f t="shared" si="1290"/>
        <v>1986042.24</v>
      </c>
    </row>
    <row r="1958" spans="1:10" ht="24" thickBot="1" x14ac:dyDescent="0.35">
      <c r="A1958" s="277" t="s">
        <v>109</v>
      </c>
      <c r="B1958" s="929"/>
      <c r="C1958" s="307"/>
      <c r="D1958" s="308" t="s">
        <v>53</v>
      </c>
      <c r="E1958" s="396"/>
      <c r="F1958" s="412">
        <f t="shared" ref="F1958:G1958" si="1291">SUM(F1955:F1957)</f>
        <v>0</v>
      </c>
      <c r="G1958" s="413">
        <f t="shared" si="1291"/>
        <v>1349780.1407999999</v>
      </c>
      <c r="H1958" s="397"/>
      <c r="I1958" s="412">
        <f t="shared" ref="I1958" si="1292">SUM(I1955:I1957)</f>
        <v>0</v>
      </c>
      <c r="J1958" s="431">
        <f>SUM(J1955:J1957)</f>
        <v>1986042.24</v>
      </c>
    </row>
    <row r="1959" spans="1:10" ht="23.4" x14ac:dyDescent="0.3">
      <c r="A1959" s="277" t="s">
        <v>109</v>
      </c>
      <c r="B1959" s="929"/>
      <c r="C1959" s="303" t="s">
        <v>352</v>
      </c>
      <c r="D1959" s="303"/>
      <c r="E1959" s="515">
        <v>22.094999999999999</v>
      </c>
      <c r="F1959" s="408">
        <f>IFERROR(E1959*'01 Prod Physique Boites'!H1942,"-")</f>
        <v>0</v>
      </c>
      <c r="G1959" s="409">
        <f>IFERROR(E1959*'01 Prod Physique Boites'!L1942,"-")</f>
        <v>0</v>
      </c>
      <c r="H1959" s="387">
        <v>37.11</v>
      </c>
      <c r="I1959" s="425">
        <f>IFERROR(H1959*(F1959/E1959),"-")</f>
        <v>0</v>
      </c>
      <c r="J1959" s="426">
        <f t="shared" ref="J1959:J1961" si="1293">IFERROR(H1959*(G1959/E1959),"-")</f>
        <v>0</v>
      </c>
    </row>
    <row r="1960" spans="1:10" ht="23.4" x14ac:dyDescent="0.3">
      <c r="A1960" s="277" t="s">
        <v>109</v>
      </c>
      <c r="B1960" s="929"/>
      <c r="C1960" s="309" t="s">
        <v>397</v>
      </c>
      <c r="D1960" s="309" t="s">
        <v>259</v>
      </c>
      <c r="E1960" s="516">
        <v>27.917000000000002</v>
      </c>
      <c r="F1960" s="408">
        <f>IFERROR(E1960*'01 Prod Physique Boites'!H1943,"-")</f>
        <v>0</v>
      </c>
      <c r="G1960" s="409">
        <f>IFERROR(E1960*'01 Prod Physique Boites'!L1943,"-")</f>
        <v>13430980.368000001</v>
      </c>
      <c r="H1960" s="391">
        <v>39</v>
      </c>
      <c r="I1960" s="427">
        <f>IFERROR(H1960*(F1960/E1960),"-")</f>
        <v>0</v>
      </c>
      <c r="J1960" s="428">
        <f t="shared" si="1293"/>
        <v>18763056</v>
      </c>
    </row>
    <row r="1961" spans="1:10" ht="24" thickBot="1" x14ac:dyDescent="0.35">
      <c r="A1961" s="277" t="s">
        <v>109</v>
      </c>
      <c r="B1961" s="929"/>
      <c r="C1961" s="306" t="s">
        <v>146</v>
      </c>
      <c r="D1961" s="306"/>
      <c r="E1961" s="512">
        <v>25.4041</v>
      </c>
      <c r="F1961" s="408">
        <f>IFERROR(E1961*'01 Prod Physique Boites'!H1944,"-")</f>
        <v>0</v>
      </c>
      <c r="G1961" s="409">
        <f>IFERROR(E1961*'01 Prod Physique Boites'!L1944,"-")</f>
        <v>0</v>
      </c>
      <c r="H1961" s="393">
        <v>28.21</v>
      </c>
      <c r="I1961" s="429">
        <f>IFERROR(H1961*(F1961/E1961),"-")</f>
        <v>0</v>
      </c>
      <c r="J1961" s="430">
        <f t="shared" si="1293"/>
        <v>0</v>
      </c>
    </row>
    <row r="1962" spans="1:10" ht="24" thickBot="1" x14ac:dyDescent="0.35">
      <c r="A1962" s="277" t="s">
        <v>109</v>
      </c>
      <c r="B1962" s="929"/>
      <c r="C1962" s="310"/>
      <c r="D1962" s="311" t="s">
        <v>54</v>
      </c>
      <c r="E1962" s="403"/>
      <c r="F1962" s="420">
        <f t="shared" ref="F1962:G1962" si="1294">SUM(F1959:F1961)</f>
        <v>0</v>
      </c>
      <c r="G1962" s="421">
        <f t="shared" si="1294"/>
        <v>13430980.368000001</v>
      </c>
      <c r="H1962" s="404"/>
      <c r="I1962" s="420">
        <f t="shared" ref="I1962" si="1295">SUM(I1959:I1961)</f>
        <v>0</v>
      </c>
      <c r="J1962" s="436">
        <f>SUM(J1959:J1961)</f>
        <v>18763056</v>
      </c>
    </row>
    <row r="1963" spans="1:10" ht="24" thickBot="1" x14ac:dyDescent="0.35">
      <c r="A1963" s="277" t="s">
        <v>109</v>
      </c>
      <c r="B1963" s="932" t="s">
        <v>172</v>
      </c>
      <c r="C1963" s="933"/>
      <c r="D1963" s="934"/>
      <c r="E1963" s="405"/>
      <c r="F1963" s="422">
        <f t="shared" ref="F1963:G1963" si="1296">+F1958+F1962</f>
        <v>0</v>
      </c>
      <c r="G1963" s="423">
        <f t="shared" si="1296"/>
        <v>14780760.5088</v>
      </c>
      <c r="H1963" s="406"/>
      <c r="I1963" s="422">
        <f t="shared" ref="I1963:J1963" si="1297">+I1958+I1962</f>
        <v>0</v>
      </c>
      <c r="J1963" s="437">
        <f t="shared" si="1297"/>
        <v>20749098.239999998</v>
      </c>
    </row>
    <row r="1964" spans="1:10" ht="24" thickBot="1" x14ac:dyDescent="0.35">
      <c r="A1964" s="277" t="s">
        <v>109</v>
      </c>
      <c r="B1964" s="617" t="s">
        <v>32</v>
      </c>
      <c r="C1964" s="857"/>
      <c r="D1964" s="316"/>
      <c r="E1964" s="517">
        <v>12.2659</v>
      </c>
      <c r="F1964" s="414">
        <f>IFERROR(E1964*'01 Prod Physique Boites'!H1947,"-")</f>
        <v>0</v>
      </c>
      <c r="G1964" s="415">
        <f>IFERROR(E1964*'01 Prod Physique Boites'!L1947,"-")</f>
        <v>0</v>
      </c>
      <c r="H1964" s="398"/>
      <c r="I1964" s="432">
        <f>IFERROR(H1964*(F1964/E1964),"-")</f>
        <v>0</v>
      </c>
      <c r="J1964" s="433">
        <f>IFERROR(H1964*(G1964/E1964),"-")</f>
        <v>0</v>
      </c>
    </row>
    <row r="1965" spans="1:10" ht="24" thickBot="1" x14ac:dyDescent="0.35">
      <c r="A1965" s="277" t="s">
        <v>109</v>
      </c>
      <c r="B1965" s="926" t="s">
        <v>21</v>
      </c>
      <c r="C1965" s="927"/>
      <c r="D1965" s="928"/>
      <c r="E1965" s="399"/>
      <c r="F1965" s="416">
        <f t="shared" ref="F1965" si="1298">+F1954+F1963+F1964</f>
        <v>2481106.446</v>
      </c>
      <c r="G1965" s="417">
        <f>+G1954+G1963+G1964</f>
        <v>47210053.784400001</v>
      </c>
      <c r="H1965" s="400"/>
      <c r="I1965" s="416">
        <f t="shared" ref="I1965:J1965" si="1299">+I1954+I1963+I1964</f>
        <v>3190594.6799999997</v>
      </c>
      <c r="J1965" s="434">
        <f t="shared" si="1299"/>
        <v>65956005.179999992</v>
      </c>
    </row>
    <row r="1966" spans="1:10" ht="24" thickBot="1" x14ac:dyDescent="0.35">
      <c r="A1966" s="277" t="s">
        <v>109</v>
      </c>
      <c r="B1966" s="900" t="s">
        <v>180</v>
      </c>
      <c r="C1966" s="901"/>
      <c r="D1966" s="902"/>
      <c r="E1966" s="401"/>
      <c r="F1966" s="418">
        <f t="shared" ref="F1966:G1966" si="1300">+F1965</f>
        <v>2481106.446</v>
      </c>
      <c r="G1966" s="419">
        <f t="shared" si="1300"/>
        <v>47210053.784400001</v>
      </c>
      <c r="H1966" s="402"/>
      <c r="I1966" s="418">
        <f t="shared" ref="I1966:J1966" si="1301">+I1965</f>
        <v>3190594.6799999997</v>
      </c>
      <c r="J1966" s="435">
        <f t="shared" si="1301"/>
        <v>65956005.179999992</v>
      </c>
    </row>
    <row r="1967" spans="1:10" ht="23.4" x14ac:dyDescent="0.3">
      <c r="A1967" s="271" t="s">
        <v>110</v>
      </c>
      <c r="B1967" s="903" t="s">
        <v>33</v>
      </c>
      <c r="C1967" s="317" t="s">
        <v>121</v>
      </c>
      <c r="D1967" s="317"/>
      <c r="E1967" s="513">
        <v>254.89750000000001</v>
      </c>
      <c r="F1967" s="408">
        <f>IFERROR(E1967*'01 Prod Physique Boites'!H1950,"-")</f>
        <v>0</v>
      </c>
      <c r="G1967" s="409">
        <f>IFERROR(E1967*'01 Prod Physique Boites'!L1950,"-")</f>
        <v>0</v>
      </c>
      <c r="H1967" s="387">
        <v>445.38</v>
      </c>
      <c r="I1967" s="425">
        <f>IFERROR(H1967*(F1967/E1967),"-")</f>
        <v>0</v>
      </c>
      <c r="J1967" s="426">
        <f t="shared" ref="J1967:J1969" si="1302">IFERROR(H1967*(G1967/E1967),"-")</f>
        <v>0</v>
      </c>
    </row>
    <row r="1968" spans="1:10" ht="23.4" x14ac:dyDescent="0.3">
      <c r="A1968" s="277" t="s">
        <v>110</v>
      </c>
      <c r="B1968" s="904"/>
      <c r="C1968" s="318" t="s">
        <v>274</v>
      </c>
      <c r="D1968" s="318"/>
      <c r="E1968" s="514">
        <v>246.51390000000001</v>
      </c>
      <c r="F1968" s="408">
        <f>IFERROR(E1968*'01 Prod Physique Boites'!H1951,"-")</f>
        <v>0</v>
      </c>
      <c r="G1968" s="409">
        <f>IFERROR(E1968*'01 Prod Physique Boites'!L1951,"-")</f>
        <v>2287648.9920000001</v>
      </c>
      <c r="H1968" s="391">
        <v>430.02</v>
      </c>
      <c r="I1968" s="427">
        <f>IFERROR(H1968*(F1968/E1968),"-")</f>
        <v>0</v>
      </c>
      <c r="J1968" s="428">
        <f t="shared" si="1302"/>
        <v>3990585.5999999996</v>
      </c>
    </row>
    <row r="1969" spans="1:10" ht="24" thickBot="1" x14ac:dyDescent="0.35">
      <c r="A1969" s="277" t="s">
        <v>110</v>
      </c>
      <c r="B1969" s="905"/>
      <c r="C1969" s="319" t="s">
        <v>34</v>
      </c>
      <c r="D1969" s="319"/>
      <c r="E1969" s="511">
        <v>225.7713</v>
      </c>
      <c r="F1969" s="408">
        <f>IFERROR(E1969*'01 Prod Physique Boites'!H1952,"-")</f>
        <v>0</v>
      </c>
      <c r="G1969" s="409">
        <f>IFERROR(E1969*'01 Prod Physique Boites'!L1952,"-")</f>
        <v>0</v>
      </c>
      <c r="H1969" s="393"/>
      <c r="I1969" s="429">
        <f>IFERROR(H1969*(F1969/E1969),"-")</f>
        <v>0</v>
      </c>
      <c r="J1969" s="430">
        <f t="shared" si="1302"/>
        <v>0</v>
      </c>
    </row>
    <row r="1970" spans="1:10" ht="24" thickBot="1" x14ac:dyDescent="0.35">
      <c r="A1970" s="277" t="s">
        <v>110</v>
      </c>
      <c r="B1970" s="906" t="s">
        <v>35</v>
      </c>
      <c r="C1970" s="907"/>
      <c r="D1970" s="908"/>
      <c r="E1970" s="396"/>
      <c r="F1970" s="412">
        <f t="shared" ref="F1970:G1970" si="1303">SUM(F1967:F1969)</f>
        <v>0</v>
      </c>
      <c r="G1970" s="413">
        <f t="shared" si="1303"/>
        <v>2287648.9920000001</v>
      </c>
      <c r="H1970" s="397"/>
      <c r="I1970" s="412">
        <f t="shared" ref="I1970:J1970" si="1304">SUM(I1967:I1969)</f>
        <v>0</v>
      </c>
      <c r="J1970" s="431">
        <f t="shared" si="1304"/>
        <v>3990585.5999999996</v>
      </c>
    </row>
    <row r="1971" spans="1:10" ht="23.4" x14ac:dyDescent="0.3">
      <c r="A1971" s="277" t="s">
        <v>110</v>
      </c>
      <c r="B1971" s="903" t="s">
        <v>36</v>
      </c>
      <c r="C1971" s="317" t="s">
        <v>121</v>
      </c>
      <c r="D1971" s="317"/>
      <c r="E1971" s="513">
        <v>254.89750000000001</v>
      </c>
      <c r="F1971" s="408">
        <f>IFERROR(E1971*'01 Prod Physique Boites'!H1954,"-")</f>
        <v>0</v>
      </c>
      <c r="G1971" s="409">
        <f>IFERROR(E1971*'01 Prod Physique Boites'!L1954,"-")</f>
        <v>0</v>
      </c>
      <c r="H1971" s="387">
        <v>445.38</v>
      </c>
      <c r="I1971" s="425">
        <f>IFERROR(H1971*(F1971/E1971),"-")</f>
        <v>0</v>
      </c>
      <c r="J1971" s="426">
        <f t="shared" ref="J1971:J1974" si="1305">IFERROR(H1971*(G1971/E1971),"-")</f>
        <v>0</v>
      </c>
    </row>
    <row r="1972" spans="1:10" ht="23.4" x14ac:dyDescent="0.3">
      <c r="A1972" s="277" t="s">
        <v>110</v>
      </c>
      <c r="B1972" s="904"/>
      <c r="C1972" s="318" t="s">
        <v>274</v>
      </c>
      <c r="D1972" s="318"/>
      <c r="E1972" s="514">
        <v>246.51390000000001</v>
      </c>
      <c r="F1972" s="408">
        <f>IFERROR(E1972*'01 Prod Physique Boites'!H1955,"-")</f>
        <v>0</v>
      </c>
      <c r="G1972" s="409">
        <f>IFERROR(E1972*'01 Prod Physique Boites'!L1955,"-")</f>
        <v>16383806.821800001</v>
      </c>
      <c r="H1972" s="391">
        <v>430.02</v>
      </c>
      <c r="I1972" s="427">
        <f>IFERROR(H1972*(F1972/E1972),"-")</f>
        <v>0</v>
      </c>
      <c r="J1972" s="428">
        <f t="shared" si="1305"/>
        <v>28579989.239999998</v>
      </c>
    </row>
    <row r="1973" spans="1:10" ht="23.4" x14ac:dyDescent="0.3">
      <c r="A1973" s="277" t="s">
        <v>110</v>
      </c>
      <c r="B1973" s="904"/>
      <c r="C1973" s="318" t="s">
        <v>201</v>
      </c>
      <c r="D1973" s="318" t="s">
        <v>200</v>
      </c>
      <c r="E1973" s="514">
        <v>254.89750000000001</v>
      </c>
      <c r="F1973" s="408">
        <f>IFERROR(E1973*'01 Prod Physique Boites'!H1956,"-")</f>
        <v>0</v>
      </c>
      <c r="G1973" s="409">
        <f>IFERROR(E1973*'01 Prod Physique Boites'!L1956,"-")</f>
        <v>0</v>
      </c>
      <c r="H1973" s="391"/>
      <c r="I1973" s="427">
        <f>IFERROR(H1973*(F1973/E1973),"-")</f>
        <v>0</v>
      </c>
      <c r="J1973" s="428">
        <f t="shared" si="1305"/>
        <v>0</v>
      </c>
    </row>
    <row r="1974" spans="1:10" ht="24" thickBot="1" x14ac:dyDescent="0.35">
      <c r="A1974" s="277" t="s">
        <v>110</v>
      </c>
      <c r="B1974" s="905"/>
      <c r="C1974" s="319" t="s">
        <v>37</v>
      </c>
      <c r="D1974" s="319"/>
      <c r="E1974" s="511">
        <v>229.99359999999999</v>
      </c>
      <c r="F1974" s="408">
        <f>IFERROR(E1974*'01 Prod Physique Boites'!H1957,"-")</f>
        <v>0</v>
      </c>
      <c r="G1974" s="409">
        <f>IFERROR(E1974*'01 Prod Physique Boites'!L1957,"-")</f>
        <v>0</v>
      </c>
      <c r="H1974" s="393"/>
      <c r="I1974" s="429">
        <f>IFERROR(H1974*(F1974/E1974),"-")</f>
        <v>0</v>
      </c>
      <c r="J1974" s="430">
        <f t="shared" si="1305"/>
        <v>0</v>
      </c>
    </row>
    <row r="1975" spans="1:10" ht="24" thickBot="1" x14ac:dyDescent="0.35">
      <c r="A1975" s="277" t="s">
        <v>110</v>
      </c>
      <c r="B1975" s="906" t="s">
        <v>38</v>
      </c>
      <c r="C1975" s="907"/>
      <c r="D1975" s="908"/>
      <c r="E1975" s="396"/>
      <c r="F1975" s="412">
        <f t="shared" ref="F1975:G1975" si="1306">SUM(F1971:F1974)</f>
        <v>0</v>
      </c>
      <c r="G1975" s="413">
        <f t="shared" si="1306"/>
        <v>16383806.821800001</v>
      </c>
      <c r="H1975" s="397"/>
      <c r="I1975" s="412">
        <f>SUM(I1971:I1974)</f>
        <v>0</v>
      </c>
      <c r="J1975" s="431">
        <f>SUM(J1971:J1974)</f>
        <v>28579989.239999998</v>
      </c>
    </row>
    <row r="1976" spans="1:10" ht="23.4" x14ac:dyDescent="0.3">
      <c r="A1976" s="277" t="s">
        <v>110</v>
      </c>
      <c r="B1976" s="903" t="s">
        <v>39</v>
      </c>
      <c r="C1976" s="320" t="s">
        <v>124</v>
      </c>
      <c r="D1976" s="320"/>
      <c r="E1976" s="513">
        <v>195.2808</v>
      </c>
      <c r="F1976" s="408">
        <f>IFERROR(E1976*'01 Prod Physique Boites'!H1959,"-")</f>
        <v>0</v>
      </c>
      <c r="G1976" s="409">
        <f>IFERROR(E1976*'01 Prod Physique Boites'!L1959,"-")</f>
        <v>0</v>
      </c>
      <c r="H1976" s="387"/>
      <c r="I1976" s="425">
        <f>IFERROR(H1976*(F1976/E1976),"-")</f>
        <v>0</v>
      </c>
      <c r="J1976" s="426">
        <f t="shared" ref="J1976:J1977" si="1307">IFERROR(H1976*(G1976/E1976),"-")</f>
        <v>0</v>
      </c>
    </row>
    <row r="1977" spans="1:10" ht="24" thickBot="1" x14ac:dyDescent="0.35">
      <c r="A1977" s="277" t="s">
        <v>110</v>
      </c>
      <c r="B1977" s="905"/>
      <c r="C1977" s="290" t="s">
        <v>140</v>
      </c>
      <c r="D1977" s="290"/>
      <c r="E1977" s="511">
        <v>189.91890000000001</v>
      </c>
      <c r="F1977" s="408">
        <f>IFERROR(E1977*'01 Prod Physique Boites'!H1960,"-")</f>
        <v>759675.6</v>
      </c>
      <c r="G1977" s="409">
        <f>IFERROR(E1977*'01 Prod Physique Boites'!L1960,"-")</f>
        <v>2072774.8746</v>
      </c>
      <c r="H1977" s="393">
        <v>320.35000000000002</v>
      </c>
      <c r="I1977" s="429">
        <f>IFERROR(H1977*(F1977/E1977),"-")</f>
        <v>1281400</v>
      </c>
      <c r="J1977" s="430">
        <f t="shared" si="1307"/>
        <v>3496299.9000000004</v>
      </c>
    </row>
    <row r="1978" spans="1:10" ht="24" thickBot="1" x14ac:dyDescent="0.35">
      <c r="A1978" s="861" t="s">
        <v>110</v>
      </c>
      <c r="B1978" s="906" t="s">
        <v>40</v>
      </c>
      <c r="C1978" s="907"/>
      <c r="D1978" s="908"/>
      <c r="E1978" s="396"/>
      <c r="F1978" s="412">
        <f>SUM(F1976:F1977)</f>
        <v>759675.6</v>
      </c>
      <c r="G1978" s="413">
        <f t="shared" ref="G1978" si="1308">SUM(G1976:G1977)</f>
        <v>2072774.8746</v>
      </c>
      <c r="H1978" s="397"/>
      <c r="I1978" s="412">
        <f t="shared" ref="I1978:J1978" si="1309">SUM(I1976:I1977)</f>
        <v>1281400</v>
      </c>
      <c r="J1978" s="431">
        <f t="shared" si="1309"/>
        <v>3496299.9000000004</v>
      </c>
    </row>
    <row r="1979" spans="1:10" ht="23.4" x14ac:dyDescent="0.3">
      <c r="A1979" s="277" t="s">
        <v>110</v>
      </c>
      <c r="B1979" s="903" t="s">
        <v>41</v>
      </c>
      <c r="C1979" s="272" t="s">
        <v>346</v>
      </c>
      <c r="D1979" s="272" t="s">
        <v>263</v>
      </c>
      <c r="E1979" s="515">
        <v>37.248699999999999</v>
      </c>
      <c r="F1979" s="408">
        <f>IFERROR(E1979*'01 Prod Physique Boites'!H1962,"-")</f>
        <v>912742.14480000001</v>
      </c>
      <c r="G1979" s="409">
        <f>IFERROR(E1979*'01 Prod Physique Boites'!L1962,"-")</f>
        <v>14189519.777999999</v>
      </c>
      <c r="H1979" s="387">
        <v>71.44</v>
      </c>
      <c r="I1979" s="425">
        <f>IFERROR(H1979*(F1979/E1979),"-")</f>
        <v>1750565.76</v>
      </c>
      <c r="J1979" s="426">
        <f>IFERROR(H1979*(G1979/E1979),"-")</f>
        <v>27214353.599999998</v>
      </c>
    </row>
    <row r="1980" spans="1:10" ht="23.4" x14ac:dyDescent="0.3">
      <c r="A1980" s="277" t="s">
        <v>110</v>
      </c>
      <c r="B1980" s="904"/>
      <c r="C1980" s="272" t="s">
        <v>165</v>
      </c>
      <c r="D1980" s="278"/>
      <c r="E1980" s="515">
        <v>37.248699999999999</v>
      </c>
      <c r="F1980" s="408">
        <f>IFERROR(E1980*'01 Prod Physique Boites'!H1963,"-")</f>
        <v>0</v>
      </c>
      <c r="G1980" s="409">
        <f>IFERROR(E1980*'01 Prod Physique Boites'!L1963,"-")</f>
        <v>0</v>
      </c>
      <c r="H1980" s="391"/>
      <c r="I1980" s="427">
        <f>IFERROR(H1980*(F1980/E1980),"-")</f>
        <v>0</v>
      </c>
      <c r="J1980" s="428">
        <f t="shared" ref="J1980:J1983" si="1310">IFERROR(H1980*(G1980/E1980),"-")</f>
        <v>0</v>
      </c>
    </row>
    <row r="1981" spans="1:10" ht="23.4" x14ac:dyDescent="0.3">
      <c r="A1981" s="277" t="s">
        <v>110</v>
      </c>
      <c r="B1981" s="904"/>
      <c r="C1981" s="278" t="s">
        <v>423</v>
      </c>
      <c r="D1981" s="272" t="s">
        <v>263</v>
      </c>
      <c r="E1981" s="516">
        <v>38.466099999999997</v>
      </c>
      <c r="F1981" s="408">
        <f>IFERROR(E1981*'01 Prod Physique Boites'!H1964,"-")</f>
        <v>0</v>
      </c>
      <c r="G1981" s="409">
        <f>IFERROR(E1981*'01 Prod Physique Boites'!L1964,"-")</f>
        <v>1306308.7559999998</v>
      </c>
      <c r="H1981" s="391">
        <v>71.44</v>
      </c>
      <c r="I1981" s="427">
        <f>IFERROR(H1981*(F1981/E1981),"-")</f>
        <v>0</v>
      </c>
      <c r="J1981" s="428">
        <f t="shared" si="1310"/>
        <v>2426102.4</v>
      </c>
    </row>
    <row r="1982" spans="1:10" ht="23.4" x14ac:dyDescent="0.3">
      <c r="A1982" s="277" t="s">
        <v>110</v>
      </c>
      <c r="B1982" s="904"/>
      <c r="C1982" s="278" t="s">
        <v>166</v>
      </c>
      <c r="D1982" s="278"/>
      <c r="E1982" s="516">
        <v>37.248699999999999</v>
      </c>
      <c r="F1982" s="408">
        <f>IFERROR(E1982*'01 Prod Physique Boites'!H1965,"-")</f>
        <v>0</v>
      </c>
      <c r="G1982" s="409">
        <f>IFERROR(E1982*'01 Prod Physique Boites'!L1965,"-")</f>
        <v>0</v>
      </c>
      <c r="H1982" s="391"/>
      <c r="I1982" s="427">
        <f>IFERROR(H1982*(F1982/E1982),"-")</f>
        <v>0</v>
      </c>
      <c r="J1982" s="428">
        <f t="shared" si="1310"/>
        <v>0</v>
      </c>
    </row>
    <row r="1983" spans="1:10" ht="24" thickBot="1" x14ac:dyDescent="0.35">
      <c r="A1983" s="277" t="s">
        <v>110</v>
      </c>
      <c r="B1983" s="905"/>
      <c r="C1983" s="282" t="s">
        <v>167</v>
      </c>
      <c r="D1983" s="282"/>
      <c r="E1983" s="512">
        <v>33.711399999999998</v>
      </c>
      <c r="F1983" s="408">
        <f>IFERROR(E1983*'01 Prod Physique Boites'!H1966,"-")</f>
        <v>0</v>
      </c>
      <c r="G1983" s="409">
        <f>IFERROR(E1983*'01 Prod Physique Boites'!L1966,"-")</f>
        <v>0</v>
      </c>
      <c r="H1983" s="393"/>
      <c r="I1983" s="429">
        <f>IFERROR(H1983*(F1983/E1983),"-")</f>
        <v>0</v>
      </c>
      <c r="J1983" s="430">
        <f t="shared" si="1310"/>
        <v>0</v>
      </c>
    </row>
    <row r="1984" spans="1:10" ht="24" thickBot="1" x14ac:dyDescent="0.35">
      <c r="A1984" s="277" t="s">
        <v>110</v>
      </c>
      <c r="B1984" s="906" t="s">
        <v>42</v>
      </c>
      <c r="C1984" s="907"/>
      <c r="D1984" s="908"/>
      <c r="E1984" s="396"/>
      <c r="F1984" s="412">
        <f>SUM(F1979:F1983)</f>
        <v>912742.14480000001</v>
      </c>
      <c r="G1984" s="413">
        <f>SUM(G1979:G1983)</f>
        <v>15495828.533999998</v>
      </c>
      <c r="H1984" s="397"/>
      <c r="I1984" s="412">
        <f>SUM(I1979:I1983)</f>
        <v>1750565.76</v>
      </c>
      <c r="J1984" s="412">
        <f>SUM(J1979:J1983)</f>
        <v>29640455.999999996</v>
      </c>
    </row>
    <row r="1985" spans="1:10" ht="23.4" x14ac:dyDescent="0.3">
      <c r="A1985" s="277" t="s">
        <v>110</v>
      </c>
      <c r="B1985" s="903" t="s">
        <v>43</v>
      </c>
      <c r="C1985" s="272" t="s">
        <v>204</v>
      </c>
      <c r="D1985" s="272" t="s">
        <v>200</v>
      </c>
      <c r="E1985" s="515">
        <v>30.7499</v>
      </c>
      <c r="F1985" s="408">
        <f>IFERROR(E1985*'01 Prod Physique Boites'!H1968,"-")</f>
        <v>0</v>
      </c>
      <c r="G1985" s="409">
        <f>IFERROR(E1985*'01 Prod Physique Boites'!L1968,"-")</f>
        <v>0</v>
      </c>
      <c r="H1985" s="387"/>
      <c r="I1985" s="425">
        <f>IFERROR(H1985*(F1985/E1985),"-")</f>
        <v>0</v>
      </c>
      <c r="J1985" s="426">
        <f>IFERROR(H1985*(G1985/E1985),"-")</f>
        <v>0</v>
      </c>
    </row>
    <row r="1986" spans="1:10" ht="23.4" x14ac:dyDescent="0.3">
      <c r="A1986" s="277" t="s">
        <v>110</v>
      </c>
      <c r="B1986" s="904"/>
      <c r="C1986" s="278" t="s">
        <v>168</v>
      </c>
      <c r="D1986" s="278"/>
      <c r="E1986" s="516">
        <v>28.7</v>
      </c>
      <c r="F1986" s="408">
        <f>IFERROR(E1986*'01 Prod Physique Boites'!H1969,"-")</f>
        <v>0</v>
      </c>
      <c r="G1986" s="409">
        <f>IFERROR(E1986*'01 Prod Physique Boites'!L1969,"-")</f>
        <v>0</v>
      </c>
      <c r="H1986" s="391"/>
      <c r="I1986" s="427">
        <f>IFERROR(H1986*(F1986/E1986),"-")</f>
        <v>0</v>
      </c>
      <c r="J1986" s="428">
        <f t="shared" ref="J1986:J1987" si="1311">IFERROR(H1986*(G1986/E1986),"-")</f>
        <v>0</v>
      </c>
    </row>
    <row r="1987" spans="1:10" ht="24" thickBot="1" x14ac:dyDescent="0.35">
      <c r="A1987" s="277" t="s">
        <v>110</v>
      </c>
      <c r="B1987" s="905"/>
      <c r="C1987" s="282" t="s">
        <v>204</v>
      </c>
      <c r="D1987" s="282" t="s">
        <v>203</v>
      </c>
      <c r="E1987" s="512">
        <v>30.073599999999999</v>
      </c>
      <c r="F1987" s="408">
        <f>IFERROR(E1987*'01 Prod Physique Boites'!H1970,"-")</f>
        <v>0</v>
      </c>
      <c r="G1987" s="409">
        <f>IFERROR(E1987*'01 Prod Physique Boites'!L1970,"-")</f>
        <v>0</v>
      </c>
      <c r="H1987" s="393"/>
      <c r="I1987" s="429">
        <f>IFERROR(H1987*(F1987/E1987),"-")</f>
        <v>0</v>
      </c>
      <c r="J1987" s="430">
        <f t="shared" si="1311"/>
        <v>0</v>
      </c>
    </row>
    <row r="1988" spans="1:10" ht="24" thickBot="1" x14ac:dyDescent="0.35">
      <c r="A1988" s="277" t="s">
        <v>110</v>
      </c>
      <c r="B1988" s="909" t="s">
        <v>44</v>
      </c>
      <c r="C1988" s="910"/>
      <c r="D1988" s="911"/>
      <c r="E1988" s="396"/>
      <c r="F1988" s="412">
        <f t="shared" ref="F1988:G1988" si="1312">SUM(F1985:F1987)</f>
        <v>0</v>
      </c>
      <c r="G1988" s="413">
        <f t="shared" si="1312"/>
        <v>0</v>
      </c>
      <c r="H1988" s="397"/>
      <c r="I1988" s="412">
        <f t="shared" ref="I1988:J1988" si="1313">SUM(I1985:I1987)</f>
        <v>0</v>
      </c>
      <c r="J1988" s="431">
        <f t="shared" si="1313"/>
        <v>0</v>
      </c>
    </row>
    <row r="1989" spans="1:10" ht="23.4" x14ac:dyDescent="0.3">
      <c r="A1989" s="277" t="s">
        <v>110</v>
      </c>
      <c r="B1989" s="903" t="s">
        <v>45</v>
      </c>
      <c r="C1989" s="272" t="s">
        <v>169</v>
      </c>
      <c r="D1989" s="272"/>
      <c r="E1989" s="515">
        <v>36.684899999999999</v>
      </c>
      <c r="F1989" s="408">
        <f>IFERROR(E1989*'01 Prod Physique Boites'!H1972,"-")</f>
        <v>0</v>
      </c>
      <c r="G1989" s="409">
        <f>IFERROR(E1989*'01 Prod Physique Boites'!L1972,"-")</f>
        <v>0</v>
      </c>
      <c r="H1989" s="387"/>
      <c r="I1989" s="388" t="s">
        <v>209</v>
      </c>
      <c r="J1989" s="389" t="s">
        <v>209</v>
      </c>
    </row>
    <row r="1990" spans="1:10" ht="24" thickBot="1" x14ac:dyDescent="0.35">
      <c r="A1990" s="277" t="s">
        <v>110</v>
      </c>
      <c r="B1990" s="905"/>
      <c r="C1990" s="282" t="s">
        <v>170</v>
      </c>
      <c r="D1990" s="282"/>
      <c r="E1990" s="512">
        <v>37.002800000000001</v>
      </c>
      <c r="F1990" s="408">
        <f>IFERROR(E1990*'01 Prod Physique Boites'!H1973,"-")</f>
        <v>0</v>
      </c>
      <c r="G1990" s="409">
        <f>IFERROR(E1990*'01 Prod Physique Boites'!L1973,"-")</f>
        <v>0</v>
      </c>
      <c r="H1990" s="393"/>
      <c r="I1990" s="394" t="s">
        <v>209</v>
      </c>
      <c r="J1990" s="395" t="s">
        <v>209</v>
      </c>
    </row>
    <row r="1991" spans="1:10" ht="24" thickBot="1" x14ac:dyDescent="0.35">
      <c r="A1991" s="277" t="s">
        <v>110</v>
      </c>
      <c r="B1991" s="909" t="s">
        <v>46</v>
      </c>
      <c r="C1991" s="910"/>
      <c r="D1991" s="911"/>
      <c r="E1991" s="396"/>
      <c r="F1991" s="412">
        <f t="shared" ref="F1991:G1991" si="1314">SUM(F1989:F1990)</f>
        <v>0</v>
      </c>
      <c r="G1991" s="413">
        <f t="shared" si="1314"/>
        <v>0</v>
      </c>
      <c r="H1991" s="397"/>
      <c r="I1991" s="412">
        <f t="shared" ref="I1991:J1991" si="1315">SUM(I1989:I1990)</f>
        <v>0</v>
      </c>
      <c r="J1991" s="431">
        <f t="shared" si="1315"/>
        <v>0</v>
      </c>
    </row>
    <row r="1992" spans="1:10" ht="24" thickBot="1" x14ac:dyDescent="0.35">
      <c r="A1992" s="277" t="s">
        <v>110</v>
      </c>
      <c r="B1992" s="912" t="s">
        <v>25</v>
      </c>
      <c r="C1992" s="913"/>
      <c r="D1992" s="914"/>
      <c r="E1992" s="399"/>
      <c r="F1992" s="416">
        <f t="shared" ref="F1992:G1992" si="1316">+F1970+F1975+F1978+F1984+F1988+F1991</f>
        <v>1672417.7448</v>
      </c>
      <c r="G1992" s="417">
        <f t="shared" si="1316"/>
        <v>36240059.222399995</v>
      </c>
      <c r="H1992" s="400"/>
      <c r="I1992" s="416">
        <f>+I1970+I1975+I1978+I1984+I1988+I1991</f>
        <v>3031965.76</v>
      </c>
      <c r="J1992" s="434">
        <f>+J1970+J1975+J1978+J1984+J1988+J1991</f>
        <v>65707330.739999995</v>
      </c>
    </row>
    <row r="1993" spans="1:10" ht="24" thickBot="1" x14ac:dyDescent="0.35">
      <c r="A1993" s="324" t="s">
        <v>110</v>
      </c>
      <c r="B1993" s="901" t="s">
        <v>182</v>
      </c>
      <c r="C1993" s="901"/>
      <c r="D1993" s="902"/>
      <c r="E1993" s="401"/>
      <c r="F1993" s="418">
        <f t="shared" ref="F1993:G1993" si="1317">+F1992</f>
        <v>1672417.7448</v>
      </c>
      <c r="G1993" s="419">
        <f t="shared" si="1317"/>
        <v>36240059.222399995</v>
      </c>
      <c r="H1993" s="402"/>
      <c r="I1993" s="418">
        <f t="shared" ref="I1993" si="1318">+I1992</f>
        <v>3031965.76</v>
      </c>
      <c r="J1993" s="435">
        <f>+J1992</f>
        <v>65707330.739999995</v>
      </c>
    </row>
    <row r="1994" spans="1:10" ht="24.6" thickBot="1" x14ac:dyDescent="0.35">
      <c r="A1994" s="325"/>
      <c r="B1994" s="915" t="s">
        <v>183</v>
      </c>
      <c r="C1994" s="916"/>
      <c r="D1994" s="917"/>
      <c r="E1994" s="407"/>
      <c r="F1994" s="424">
        <f t="shared" ref="F1994:G1994" si="1319">+F1939+F1966+F1993</f>
        <v>7747943.5140000004</v>
      </c>
      <c r="G1994" s="424">
        <f t="shared" si="1319"/>
        <v>147145709.63769999</v>
      </c>
      <c r="H1994" s="407"/>
      <c r="I1994" s="424">
        <f t="shared" ref="I1994:J1994" si="1320">+I1939+I1966+I1993</f>
        <v>10681722.039999999</v>
      </c>
      <c r="J1994" s="438">
        <f t="shared" si="1320"/>
        <v>227730645.62</v>
      </c>
    </row>
    <row r="1995" spans="1:10" ht="23.4" x14ac:dyDescent="0.3">
      <c r="A1995" s="935" t="s">
        <v>1</v>
      </c>
      <c r="B1995" s="938" t="s">
        <v>2</v>
      </c>
      <c r="C1995" s="941" t="s">
        <v>3</v>
      </c>
      <c r="D1995" s="941" t="s">
        <v>93</v>
      </c>
      <c r="E1995" s="965" t="s">
        <v>176</v>
      </c>
      <c r="F1995" s="966"/>
      <c r="G1995" s="966"/>
      <c r="H1995" s="451"/>
      <c r="I1995" s="451"/>
      <c r="J1995" s="452"/>
    </row>
    <row r="1996" spans="1:10" ht="23.4" x14ac:dyDescent="0.3">
      <c r="A1996" s="936"/>
      <c r="B1996" s="939"/>
      <c r="C1996" s="942"/>
      <c r="D1996" s="942"/>
      <c r="E1996" s="967" t="s">
        <v>178</v>
      </c>
      <c r="F1996" s="968"/>
      <c r="G1996" s="969"/>
      <c r="H1996" s="967" t="s">
        <v>177</v>
      </c>
      <c r="I1996" s="968"/>
      <c r="J1996" s="969"/>
    </row>
    <row r="1997" spans="1:10" ht="46.8" x14ac:dyDescent="0.3">
      <c r="A1997" s="937"/>
      <c r="B1997" s="963"/>
      <c r="C1997" s="964"/>
      <c r="D1997" s="964"/>
      <c r="E1997" s="385" t="s">
        <v>179</v>
      </c>
      <c r="F1997" s="859" t="s">
        <v>11</v>
      </c>
      <c r="G1997" s="860" t="s">
        <v>12</v>
      </c>
      <c r="H1997" s="970" t="s">
        <v>179</v>
      </c>
      <c r="I1997" s="972" t="s">
        <v>145</v>
      </c>
      <c r="J1997" s="974" t="s">
        <v>12</v>
      </c>
    </row>
    <row r="1998" spans="1:10" ht="24" thickBot="1" x14ac:dyDescent="0.35">
      <c r="A1998" s="937"/>
      <c r="B1998" s="940"/>
      <c r="C1998" s="943"/>
      <c r="D1998" s="943"/>
      <c r="E1998" s="976">
        <v>44526</v>
      </c>
      <c r="F1998" s="977"/>
      <c r="G1998" s="978"/>
      <c r="H1998" s="971"/>
      <c r="I1998" s="973"/>
      <c r="J1998" s="975"/>
    </row>
    <row r="1999" spans="1:10" ht="23.4" x14ac:dyDescent="0.3">
      <c r="A1999" s="271" t="s">
        <v>111</v>
      </c>
      <c r="B1999" s="922" t="s">
        <v>16</v>
      </c>
      <c r="C1999" s="272" t="s">
        <v>186</v>
      </c>
      <c r="D1999" s="272" t="s">
        <v>184</v>
      </c>
      <c r="E1999" s="515">
        <v>81.360699999999994</v>
      </c>
      <c r="F1999" s="408">
        <f>IFERROR(E1999*'01 Prod Physique Boites'!H1981,"-")</f>
        <v>0</v>
      </c>
      <c r="G1999" s="408">
        <f>IFERROR(E1999*'01 Prod Physique Boites'!L1981,"-")</f>
        <v>0</v>
      </c>
      <c r="H1999" s="387">
        <v>0</v>
      </c>
      <c r="I1999" s="425">
        <f>IFERROR(H1999*(F1999/E1999),"-")</f>
        <v>0</v>
      </c>
      <c r="J1999" s="426">
        <f t="shared" ref="J1999:J2001" si="1321">IFERROR(H1999*(G1999/E1999),"-")</f>
        <v>0</v>
      </c>
    </row>
    <row r="2000" spans="1:10" ht="23.4" x14ac:dyDescent="0.3">
      <c r="A2000" s="277" t="s">
        <v>111</v>
      </c>
      <c r="B2000" s="923"/>
      <c r="C2000" s="278" t="s">
        <v>190</v>
      </c>
      <c r="D2000" s="278" t="s">
        <v>101</v>
      </c>
      <c r="E2000" s="516">
        <v>81.360699999999994</v>
      </c>
      <c r="F2000" s="408">
        <f>IFERROR(E2000*'01 Prod Physique Boites'!H1982,"-")</f>
        <v>0</v>
      </c>
      <c r="G2000" s="408">
        <f>IFERROR(E2000*'01 Prod Physique Boites'!L1982,"-")</f>
        <v>0</v>
      </c>
      <c r="H2000" s="391">
        <v>0</v>
      </c>
      <c r="I2000" s="425">
        <f>IFERROR(H2000*(F2000/E2000),"-")</f>
        <v>0</v>
      </c>
      <c r="J2000" s="426">
        <f t="shared" si="1321"/>
        <v>0</v>
      </c>
    </row>
    <row r="2001" spans="1:10" ht="23.4" x14ac:dyDescent="0.3">
      <c r="A2001" s="277" t="s">
        <v>111</v>
      </c>
      <c r="B2001" s="923"/>
      <c r="C2001" s="278" t="s">
        <v>187</v>
      </c>
      <c r="D2001" s="278" t="s">
        <v>185</v>
      </c>
      <c r="E2001" s="516">
        <v>55.476900000000001</v>
      </c>
      <c r="F2001" s="408">
        <f>IFERROR(E2001*'01 Prod Physique Boites'!H1983,"-")</f>
        <v>0</v>
      </c>
      <c r="G2001" s="408">
        <f>IFERROR(E2001*'01 Prod Physique Boites'!L1983,"-")</f>
        <v>0</v>
      </c>
      <c r="H2001" s="391">
        <v>0</v>
      </c>
      <c r="I2001" s="425">
        <f>IFERROR(H2001*(F2001/E2001),"-")</f>
        <v>0</v>
      </c>
      <c r="J2001" s="426">
        <f t="shared" si="1321"/>
        <v>0</v>
      </c>
    </row>
    <row r="2002" spans="1:10" ht="24" thickBot="1" x14ac:dyDescent="0.35">
      <c r="A2002" s="277" t="s">
        <v>111</v>
      </c>
      <c r="B2002" s="924"/>
      <c r="C2002" s="282" t="s">
        <v>289</v>
      </c>
      <c r="D2002" s="282" t="s">
        <v>256</v>
      </c>
      <c r="E2002" s="512">
        <v>60.703499999999998</v>
      </c>
      <c r="F2002" s="408">
        <f>IFERROR(E2002*'01 Prod Physique Boites'!H1984,"-")</f>
        <v>0</v>
      </c>
      <c r="G2002" s="408">
        <f>IFERROR(E2002*'01 Prod Physique Boites'!L1984,"-")</f>
        <v>6314135.2560000001</v>
      </c>
      <c r="H2002" s="393">
        <v>111.09</v>
      </c>
      <c r="I2002" s="425">
        <f>IFERROR(H2002*(F2002/E2002),"-")</f>
        <v>0</v>
      </c>
      <c r="J2002" s="426">
        <f>IFERROR(H2002*(G2002/E2002),"-")</f>
        <v>11555137.439999999</v>
      </c>
    </row>
    <row r="2003" spans="1:10" ht="24" thickBot="1" x14ac:dyDescent="0.35">
      <c r="A2003" s="277" t="s">
        <v>111</v>
      </c>
      <c r="B2003" s="906" t="s">
        <v>47</v>
      </c>
      <c r="C2003" s="907"/>
      <c r="D2003" s="908"/>
      <c r="E2003" s="396"/>
      <c r="F2003" s="412">
        <f t="shared" ref="F2003" si="1322">SUM(F1999:F2002)</f>
        <v>0</v>
      </c>
      <c r="G2003" s="413">
        <f>SUM(G1999:G2002)</f>
        <v>6314135.2560000001</v>
      </c>
      <c r="H2003" s="397"/>
      <c r="I2003" s="412">
        <f t="shared" ref="I2003:J2003" si="1323">SUM(I1999:I2002)</f>
        <v>0</v>
      </c>
      <c r="J2003" s="431">
        <f t="shared" si="1323"/>
        <v>11555137.439999999</v>
      </c>
    </row>
    <row r="2004" spans="1:10" ht="23.4" x14ac:dyDescent="0.3">
      <c r="A2004" s="277" t="s">
        <v>111</v>
      </c>
      <c r="B2004" s="922" t="s">
        <v>17</v>
      </c>
      <c r="C2004" s="272" t="s">
        <v>331</v>
      </c>
      <c r="D2004" s="272"/>
      <c r="E2004" s="515">
        <v>12.5275</v>
      </c>
      <c r="F2004" s="408">
        <f>IFERROR(E2004*'01 Prod Physique Boites'!H1986,"-")</f>
        <v>0</v>
      </c>
      <c r="G2004" s="408">
        <f>IFERROR(E2004*'01 Prod Physique Boites'!L1986,"-")</f>
        <v>0</v>
      </c>
      <c r="H2004" s="387">
        <v>18.836400000000001</v>
      </c>
      <c r="I2004" s="425">
        <f t="shared" ref="I2004:I2010" si="1324">IFERROR(H2004*(F2004/E2004),"-")</f>
        <v>0</v>
      </c>
      <c r="J2004" s="426">
        <f t="shared" ref="J2004:J2009" si="1325">IFERROR(H2004*(G2004/E2004),"-")</f>
        <v>0</v>
      </c>
    </row>
    <row r="2005" spans="1:10" ht="23.4" x14ac:dyDescent="0.3">
      <c r="A2005" s="277" t="s">
        <v>111</v>
      </c>
      <c r="B2005" s="923"/>
      <c r="C2005" s="278" t="s">
        <v>421</v>
      </c>
      <c r="D2005" s="278" t="s">
        <v>257</v>
      </c>
      <c r="E2005" s="516">
        <v>13.002700000000001</v>
      </c>
      <c r="F2005" s="408">
        <f>IFERROR(E2005*'01 Prod Physique Boites'!H1987,"-")</f>
        <v>302390.79120000004</v>
      </c>
      <c r="G2005" s="408">
        <f>IFERROR(E2005*'01 Prod Physique Boites'!L1987,"-")</f>
        <v>16088487.761300001</v>
      </c>
      <c r="H2005" s="391">
        <v>21.18</v>
      </c>
      <c r="I2005" s="427">
        <f t="shared" si="1324"/>
        <v>492562.08</v>
      </c>
      <c r="J2005" s="428">
        <f t="shared" si="1325"/>
        <v>26206416.419999998</v>
      </c>
    </row>
    <row r="2006" spans="1:10" ht="23.4" x14ac:dyDescent="0.3">
      <c r="A2006" s="277" t="s">
        <v>111</v>
      </c>
      <c r="B2006" s="923"/>
      <c r="C2006" s="278" t="s">
        <v>441</v>
      </c>
      <c r="D2006" s="278" t="s">
        <v>205</v>
      </c>
      <c r="E2006" s="516">
        <v>12.9049</v>
      </c>
      <c r="F2006" s="408">
        <f>IFERROR(E2006*'01 Prod Physique Boites'!H1988,"-")</f>
        <v>0</v>
      </c>
      <c r="G2006" s="408">
        <f>IFERROR(E2006*'01 Prod Physique Boites'!L1988,"-")</f>
        <v>0</v>
      </c>
      <c r="H2006" s="391">
        <v>20.6602</v>
      </c>
      <c r="I2006" s="427">
        <f t="shared" si="1324"/>
        <v>0</v>
      </c>
      <c r="J2006" s="428">
        <f t="shared" si="1325"/>
        <v>0</v>
      </c>
    </row>
    <row r="2007" spans="1:10" ht="23.4" x14ac:dyDescent="0.3">
      <c r="A2007" s="277" t="s">
        <v>111</v>
      </c>
      <c r="B2007" s="923"/>
      <c r="C2007" s="278" t="s">
        <v>330</v>
      </c>
      <c r="D2007" s="278" t="s">
        <v>206</v>
      </c>
      <c r="E2007" s="516">
        <v>13.078200000000001</v>
      </c>
      <c r="F2007" s="408">
        <f>IFERROR(E2007*'01 Prod Physique Boites'!H1989,"-")</f>
        <v>0</v>
      </c>
      <c r="G2007" s="408">
        <f>IFERROR(E2007*'01 Prod Physique Boites'!L1989,"-")</f>
        <v>24011.575200000003</v>
      </c>
      <c r="H2007" s="391">
        <v>20.6</v>
      </c>
      <c r="I2007" s="427">
        <f t="shared" si="1324"/>
        <v>0</v>
      </c>
      <c r="J2007" s="428">
        <f t="shared" si="1325"/>
        <v>37821.600000000006</v>
      </c>
    </row>
    <row r="2008" spans="1:10" ht="23.4" x14ac:dyDescent="0.3">
      <c r="A2008" s="277" t="s">
        <v>111</v>
      </c>
      <c r="B2008" s="923"/>
      <c r="C2008" s="278" t="s">
        <v>377</v>
      </c>
      <c r="D2008" s="278" t="s">
        <v>371</v>
      </c>
      <c r="E2008" s="516">
        <v>13.1958</v>
      </c>
      <c r="F2008" s="408">
        <f>IFERROR(E2008*'01 Prod Physique Boites'!H1990,"-")</f>
        <v>0</v>
      </c>
      <c r="G2008" s="408">
        <f>IFERROR(E2008*'01 Prod Physique Boites'!L1990,"-")</f>
        <v>140007.43799999999</v>
      </c>
      <c r="H2008" s="391">
        <v>21.28</v>
      </c>
      <c r="I2008" s="427">
        <f t="shared" si="1324"/>
        <v>0</v>
      </c>
      <c r="J2008" s="428">
        <f t="shared" si="1325"/>
        <v>225780.80000000002</v>
      </c>
    </row>
    <row r="2009" spans="1:10" ht="23.4" x14ac:dyDescent="0.3">
      <c r="A2009" s="277" t="s">
        <v>111</v>
      </c>
      <c r="B2009" s="923"/>
      <c r="C2009" s="278" t="s">
        <v>443</v>
      </c>
      <c r="D2009" s="278" t="s">
        <v>207</v>
      </c>
      <c r="E2009" s="516">
        <v>12.9049</v>
      </c>
      <c r="F2009" s="408">
        <f>IFERROR(E2009*'01 Prod Physique Boites'!H1991,"-")</f>
        <v>394889.94</v>
      </c>
      <c r="G2009" s="408">
        <f>IFERROR(E2009*'01 Prod Physique Boites'!L1991,"-")</f>
        <v>6792106.9679999994</v>
      </c>
      <c r="H2009" s="812">
        <v>20.5</v>
      </c>
      <c r="I2009" s="427">
        <f t="shared" si="1324"/>
        <v>627300</v>
      </c>
      <c r="J2009" s="428">
        <f t="shared" si="1325"/>
        <v>10789560</v>
      </c>
    </row>
    <row r="2010" spans="1:10" ht="24" thickBot="1" x14ac:dyDescent="0.35">
      <c r="A2010" s="277" t="s">
        <v>111</v>
      </c>
      <c r="B2010" s="924"/>
      <c r="C2010" s="282" t="s">
        <v>416</v>
      </c>
      <c r="D2010" s="282" t="s">
        <v>189</v>
      </c>
      <c r="E2010" s="512">
        <v>13.6509</v>
      </c>
      <c r="F2010" s="408">
        <f>IFERROR(E2010*'01 Prod Physique Boites'!H1992,"-")</f>
        <v>0</v>
      </c>
      <c r="G2010" s="408">
        <f>IFERROR(E2010*'01 Prod Physique Boites'!L1992,"-")</f>
        <v>1002522.096</v>
      </c>
      <c r="H2010" s="393">
        <v>21.18</v>
      </c>
      <c r="I2010" s="429">
        <f t="shared" si="1324"/>
        <v>0</v>
      </c>
      <c r="J2010" s="430">
        <f>IFERROR(H2010*(G2010/E2010),"-")</f>
        <v>1555459.2</v>
      </c>
    </row>
    <row r="2011" spans="1:10" ht="24" thickBot="1" x14ac:dyDescent="0.35">
      <c r="A2011" s="277" t="s">
        <v>111</v>
      </c>
      <c r="B2011" s="906" t="s">
        <v>48</v>
      </c>
      <c r="C2011" s="907"/>
      <c r="D2011" s="908"/>
      <c r="E2011" s="396"/>
      <c r="F2011" s="412">
        <f t="shared" ref="F2011" si="1326">SUM(F2004:F2010)</f>
        <v>697280.73120000004</v>
      </c>
      <c r="G2011" s="413">
        <f>SUM(G2004:G2010)</f>
        <v>24047135.838500001</v>
      </c>
      <c r="H2011" s="397"/>
      <c r="I2011" s="412">
        <f t="shared" ref="I2011" si="1327">SUM(I2004:I2010)</f>
        <v>1119862.08</v>
      </c>
      <c r="J2011" s="431">
        <f>SUM(J2004:J2010)</f>
        <v>38815038.020000003</v>
      </c>
    </row>
    <row r="2012" spans="1:10" ht="23.4" x14ac:dyDescent="0.3">
      <c r="A2012" s="277" t="s">
        <v>111</v>
      </c>
      <c r="B2012" s="922" t="s">
        <v>18</v>
      </c>
      <c r="C2012" s="272" t="s">
        <v>359</v>
      </c>
      <c r="D2012" s="272" t="s">
        <v>99</v>
      </c>
      <c r="E2012" s="515">
        <v>17.8202</v>
      </c>
      <c r="F2012" s="408">
        <f>IFERROR(E2012*'01 Prod Physique Boites'!H1994,"-")</f>
        <v>0</v>
      </c>
      <c r="G2012" s="409">
        <f>IFERROR(E2012*'01 Prod Physique Boites'!L1994,"-")</f>
        <v>0</v>
      </c>
      <c r="H2012" s="387">
        <v>24.93</v>
      </c>
      <c r="I2012" s="425">
        <f t="shared" ref="I2012:I2018" si="1328">IFERROR(H2012*(F2012/E2012),"-")</f>
        <v>0</v>
      </c>
      <c r="J2012" s="426">
        <f t="shared" ref="J2012:J2014" si="1329">IFERROR(H2012*(G2012/E2012),"-")</f>
        <v>0</v>
      </c>
    </row>
    <row r="2013" spans="1:10" ht="23.4" x14ac:dyDescent="0.3">
      <c r="A2013" s="277" t="s">
        <v>111</v>
      </c>
      <c r="B2013" s="923"/>
      <c r="C2013" s="278" t="s">
        <v>138</v>
      </c>
      <c r="D2013" s="278"/>
      <c r="E2013" s="516">
        <v>17.8202</v>
      </c>
      <c r="F2013" s="408">
        <f>IFERROR(E2013*'01 Prod Physique Boites'!H1995,"-")</f>
        <v>0</v>
      </c>
      <c r="G2013" s="409">
        <f>IFERROR(E2013*'01 Prod Physique Boites'!L1995,"-")</f>
        <v>0</v>
      </c>
      <c r="H2013" s="391">
        <v>0</v>
      </c>
      <c r="I2013" s="427">
        <f t="shared" si="1328"/>
        <v>0</v>
      </c>
      <c r="J2013" s="428">
        <f t="shared" si="1329"/>
        <v>0</v>
      </c>
    </row>
    <row r="2014" spans="1:10" ht="23.4" x14ac:dyDescent="0.3">
      <c r="A2014" s="277" t="s">
        <v>111</v>
      </c>
      <c r="B2014" s="923"/>
      <c r="C2014" s="278" t="s">
        <v>123</v>
      </c>
      <c r="D2014" s="278"/>
      <c r="E2014" s="516">
        <v>16.4071</v>
      </c>
      <c r="F2014" s="408">
        <f>IFERROR(E2014*'01 Prod Physique Boites'!H1996,"-")</f>
        <v>0</v>
      </c>
      <c r="G2014" s="409">
        <f>IFERROR(E2014*'01 Prod Physique Boites'!L1996,"-")</f>
        <v>0</v>
      </c>
      <c r="H2014" s="391">
        <v>0</v>
      </c>
      <c r="I2014" s="427">
        <f t="shared" si="1328"/>
        <v>0</v>
      </c>
      <c r="J2014" s="428">
        <f t="shared" si="1329"/>
        <v>0</v>
      </c>
    </row>
    <row r="2015" spans="1:10" ht="23.4" x14ac:dyDescent="0.3">
      <c r="A2015" s="277" t="s">
        <v>111</v>
      </c>
      <c r="B2015" s="923"/>
      <c r="C2015" s="278" t="s">
        <v>130</v>
      </c>
      <c r="D2015" s="278"/>
      <c r="E2015" s="516">
        <v>17.8202</v>
      </c>
      <c r="F2015" s="408">
        <f>IFERROR(E2015*'01 Prod Physique Boites'!H1997,"-")</f>
        <v>0</v>
      </c>
      <c r="G2015" s="409">
        <f>IFERROR(E2015*'01 Prod Physique Boites'!L1997,"-")</f>
        <v>0</v>
      </c>
      <c r="H2015" s="391">
        <v>0</v>
      </c>
      <c r="I2015" s="427">
        <f t="shared" si="1328"/>
        <v>0</v>
      </c>
      <c r="J2015" s="428">
        <f>IFERROR(H2015*(G2015/E2015),"-")</f>
        <v>0</v>
      </c>
    </row>
    <row r="2016" spans="1:10" ht="23.4" x14ac:dyDescent="0.3">
      <c r="A2016" s="277" t="s">
        <v>111</v>
      </c>
      <c r="B2016" s="923"/>
      <c r="C2016" s="278" t="s">
        <v>191</v>
      </c>
      <c r="D2016" s="278" t="s">
        <v>192</v>
      </c>
      <c r="E2016" s="516">
        <v>17.8202</v>
      </c>
      <c r="F2016" s="408">
        <f>IFERROR(E2016*'01 Prod Physique Boites'!H1998,"-")</f>
        <v>0</v>
      </c>
      <c r="G2016" s="409">
        <f>IFERROR(E2016*'01 Prod Physique Boites'!L1998,"-")</f>
        <v>0</v>
      </c>
      <c r="H2016" s="391">
        <v>0</v>
      </c>
      <c r="I2016" s="427">
        <f t="shared" si="1328"/>
        <v>0</v>
      </c>
      <c r="J2016" s="428">
        <f t="shared" ref="J2016:J2018" si="1330">IFERROR(H2016*(G2016/E2016),"-")</f>
        <v>0</v>
      </c>
    </row>
    <row r="2017" spans="1:10" ht="23.4" x14ac:dyDescent="0.3">
      <c r="A2017" s="277" t="s">
        <v>111</v>
      </c>
      <c r="B2017" s="923"/>
      <c r="C2017" s="278" t="s">
        <v>194</v>
      </c>
      <c r="D2017" s="278" t="s">
        <v>193</v>
      </c>
      <c r="E2017" s="516">
        <v>16.7288</v>
      </c>
      <c r="F2017" s="408">
        <f>IFERROR(E2017*'01 Prod Physique Boites'!H1999,"-")</f>
        <v>0</v>
      </c>
      <c r="G2017" s="409">
        <f>IFERROR(E2017*'01 Prod Physique Boites'!L1999,"-")</f>
        <v>0</v>
      </c>
      <c r="H2017" s="391">
        <v>0</v>
      </c>
      <c r="I2017" s="427">
        <f t="shared" si="1328"/>
        <v>0</v>
      </c>
      <c r="J2017" s="428">
        <f t="shared" si="1330"/>
        <v>0</v>
      </c>
    </row>
    <row r="2018" spans="1:10" ht="24" thickBot="1" x14ac:dyDescent="0.35">
      <c r="A2018" s="277" t="s">
        <v>111</v>
      </c>
      <c r="B2018" s="924"/>
      <c r="C2018" s="290" t="s">
        <v>195</v>
      </c>
      <c r="D2018" s="290" t="s">
        <v>115</v>
      </c>
      <c r="E2018" s="512">
        <v>17.8202</v>
      </c>
      <c r="F2018" s="408">
        <f>IFERROR(E2018*'01 Prod Physique Boites'!H2000,"-")</f>
        <v>0</v>
      </c>
      <c r="G2018" s="409">
        <f>IFERROR(E2018*'01 Prod Physique Boites'!L2000,"-")</f>
        <v>0</v>
      </c>
      <c r="H2018" s="391">
        <v>0</v>
      </c>
      <c r="I2018" s="429">
        <f t="shared" si="1328"/>
        <v>0</v>
      </c>
      <c r="J2018" s="430">
        <f t="shared" si="1330"/>
        <v>0</v>
      </c>
    </row>
    <row r="2019" spans="1:10" ht="24" thickBot="1" x14ac:dyDescent="0.35">
      <c r="A2019" s="277" t="s">
        <v>111</v>
      </c>
      <c r="B2019" s="906" t="s">
        <v>29</v>
      </c>
      <c r="C2019" s="907"/>
      <c r="D2019" s="908"/>
      <c r="E2019" s="777"/>
      <c r="F2019" s="778">
        <f t="shared" ref="F2019:G2019" si="1331">SUM(F2012:F2018)</f>
        <v>0</v>
      </c>
      <c r="G2019" s="413">
        <f t="shared" si="1331"/>
        <v>0</v>
      </c>
      <c r="H2019" s="397"/>
      <c r="I2019" s="412">
        <f t="shared" ref="I2019:J2019" si="1332">SUM(I2012:I2018)</f>
        <v>0</v>
      </c>
      <c r="J2019" s="431">
        <f t="shared" si="1332"/>
        <v>0</v>
      </c>
    </row>
    <row r="2020" spans="1:10" ht="23.4" x14ac:dyDescent="0.3">
      <c r="A2020" s="277"/>
      <c r="B2020" s="918" t="s">
        <v>19</v>
      </c>
      <c r="C2020" s="779" t="s">
        <v>260</v>
      </c>
      <c r="D2020" s="785" t="s">
        <v>192</v>
      </c>
      <c r="E2020" s="786">
        <v>12.2659</v>
      </c>
      <c r="F2020" s="787">
        <f>IFERROR(E2020*'01 Prod Physique Boites'!H2002,"-")</f>
        <v>0</v>
      </c>
      <c r="G2020" s="788">
        <f>IFERROR(E2020*'01 Prod Physique Boites'!L2002,"-")</f>
        <v>4024662.5762</v>
      </c>
      <c r="H2020" s="782">
        <v>14.79</v>
      </c>
      <c r="I2020" s="703">
        <f t="shared" ref="I2020:I2022" si="1333">IFERROR(H2020*(F2020/E2020),"-")</f>
        <v>0</v>
      </c>
      <c r="J2020" s="703">
        <f>IFERROR(H2020*(G2020/E2020),"-")</f>
        <v>4852865.22</v>
      </c>
    </row>
    <row r="2021" spans="1:10" ht="23.4" x14ac:dyDescent="0.3">
      <c r="A2021" s="277"/>
      <c r="B2021" s="919"/>
      <c r="C2021" s="780" t="s">
        <v>458</v>
      </c>
      <c r="D2021" s="789"/>
      <c r="E2021" s="762">
        <v>12.2659</v>
      </c>
      <c r="F2021" s="763">
        <f>IFERROR(E2021*'01 Prod Physique Boites'!H2003,"-")</f>
        <v>207244.6464</v>
      </c>
      <c r="G2021" s="663">
        <f>IFERROR(E2021*'01 Prod Physique Boites'!L2003,"-")</f>
        <v>6631828.6847999999</v>
      </c>
      <c r="H2021" s="783">
        <v>14.55</v>
      </c>
      <c r="I2021" s="763">
        <f t="shared" si="1333"/>
        <v>245836.80000000002</v>
      </c>
      <c r="J2021" s="763">
        <f>IFERROR(H2021*(G2021/E2021),"-")</f>
        <v>7866777.6000000006</v>
      </c>
    </row>
    <row r="2022" spans="1:10" ht="24" thickBot="1" x14ac:dyDescent="0.35">
      <c r="A2022" s="861" t="s">
        <v>111</v>
      </c>
      <c r="B2022" s="920"/>
      <c r="C2022" s="781" t="s">
        <v>417</v>
      </c>
      <c r="D2022" s="790"/>
      <c r="E2022" s="791">
        <v>0</v>
      </c>
      <c r="F2022" s="792">
        <f>IFERROR(E2022*'01 Prod Physique Boites'!H2004,"-")</f>
        <v>0</v>
      </c>
      <c r="G2022" s="793">
        <f>IFERROR(E2022*'01 Prod Physique Boites'!L2004,"-")</f>
        <v>0</v>
      </c>
      <c r="H2022" s="784">
        <v>0</v>
      </c>
      <c r="I2022" s="432" t="str">
        <f t="shared" si="1333"/>
        <v>-</v>
      </c>
      <c r="J2022" s="433" t="str">
        <f t="shared" ref="J2022" si="1334">IFERROR(I2022*(G2022/F2022),"-")</f>
        <v>-</v>
      </c>
    </row>
    <row r="2023" spans="1:10" ht="24" thickBot="1" x14ac:dyDescent="0.35">
      <c r="A2023" s="277" t="s">
        <v>111</v>
      </c>
      <c r="B2023" s="906" t="s">
        <v>49</v>
      </c>
      <c r="C2023" s="907"/>
      <c r="D2023" s="908"/>
      <c r="E2023" s="396"/>
      <c r="F2023" s="412">
        <f>SUM(F2020:F2022)</f>
        <v>207244.6464</v>
      </c>
      <c r="G2023" s="412">
        <f>SUM(G2020:G2022)</f>
        <v>10656491.261</v>
      </c>
      <c r="H2023" s="397"/>
      <c r="I2023" s="412">
        <f t="shared" ref="I2023" si="1335">SUM(I2022)</f>
        <v>0</v>
      </c>
      <c r="J2023" s="431">
        <f>SUM(J2020:J2022)</f>
        <v>12719642.82</v>
      </c>
    </row>
    <row r="2024" spans="1:10" ht="23.4" x14ac:dyDescent="0.3">
      <c r="A2024" s="277" t="s">
        <v>111</v>
      </c>
      <c r="B2024" s="922" t="s">
        <v>20</v>
      </c>
      <c r="C2024" s="297" t="s">
        <v>370</v>
      </c>
      <c r="D2024" s="297" t="s">
        <v>324</v>
      </c>
      <c r="E2024" s="515">
        <v>26.032900000000001</v>
      </c>
      <c r="F2024" s="408">
        <f>IFERROR(E2024*'01 Prod Physique Boites'!H2006,"-")</f>
        <v>0</v>
      </c>
      <c r="G2024" s="409">
        <f>IFERROR(E2024*'01 Prod Physique Boites'!L2006,"-")</f>
        <v>0</v>
      </c>
      <c r="H2024" s="387">
        <v>36.44</v>
      </c>
      <c r="I2024" s="425">
        <f>IFERROR(H2024*(F2024/E2024),"-")</f>
        <v>0</v>
      </c>
      <c r="J2024" s="426">
        <f t="shared" ref="J2024:J2026" si="1336">IFERROR(H2024*(G2024/E2024),"-")</f>
        <v>0</v>
      </c>
    </row>
    <row r="2025" spans="1:10" ht="23.4" x14ac:dyDescent="0.3">
      <c r="A2025" s="277" t="s">
        <v>111</v>
      </c>
      <c r="B2025" s="923"/>
      <c r="C2025" s="298" t="s">
        <v>122</v>
      </c>
      <c r="D2025" s="298"/>
      <c r="E2025" s="390">
        <v>24.2607</v>
      </c>
      <c r="F2025" s="408">
        <f>IFERROR(E2025*'01 Prod Physique Boites'!H2007,"-")</f>
        <v>0</v>
      </c>
      <c r="G2025" s="409">
        <f>IFERROR(E2025*'01 Prod Physique Boites'!L2007,"-")</f>
        <v>0</v>
      </c>
      <c r="H2025" s="391">
        <v>37.369999999999997</v>
      </c>
      <c r="I2025" s="427">
        <f>IFERROR(H2025*(F2025/E2025),"-")</f>
        <v>0</v>
      </c>
      <c r="J2025" s="428">
        <f t="shared" si="1336"/>
        <v>0</v>
      </c>
    </row>
    <row r="2026" spans="1:10" ht="24" thickBot="1" x14ac:dyDescent="0.35">
      <c r="A2026" s="277" t="s">
        <v>111</v>
      </c>
      <c r="B2026" s="924"/>
      <c r="C2026" s="299" t="s">
        <v>128</v>
      </c>
      <c r="D2026" s="299"/>
      <c r="E2026" s="392">
        <v>26.035799999999998</v>
      </c>
      <c r="F2026" s="408">
        <f>IFERROR(E2026*'01 Prod Physique Boites'!H2008,"-")</f>
        <v>0</v>
      </c>
      <c r="G2026" s="409">
        <f>IFERROR(E2026*'01 Prod Physique Boites'!L2008,"-")</f>
        <v>0</v>
      </c>
      <c r="H2026" s="393">
        <v>37.11</v>
      </c>
      <c r="I2026" s="429">
        <f>IFERROR(H2026*(F2026/E2026),"-")</f>
        <v>0</v>
      </c>
      <c r="J2026" s="430">
        <f t="shared" si="1336"/>
        <v>0</v>
      </c>
    </row>
    <row r="2027" spans="1:10" ht="24" thickBot="1" x14ac:dyDescent="0.35">
      <c r="A2027" s="277" t="s">
        <v>111</v>
      </c>
      <c r="B2027" s="907" t="s">
        <v>50</v>
      </c>
      <c r="C2027" s="907"/>
      <c r="D2027" s="925"/>
      <c r="E2027" s="396"/>
      <c r="F2027" s="412">
        <f t="shared" ref="F2027:G2027" si="1337">SUM(F2024:F2026)</f>
        <v>0</v>
      </c>
      <c r="G2027" s="413">
        <f t="shared" si="1337"/>
        <v>0</v>
      </c>
      <c r="H2027" s="397"/>
      <c r="I2027" s="412">
        <f t="shared" ref="I2027:J2027" si="1338">SUM(I2024:I2026)</f>
        <v>0</v>
      </c>
      <c r="J2027" s="431">
        <f t="shared" si="1338"/>
        <v>0</v>
      </c>
    </row>
    <row r="2028" spans="1:10" ht="24" thickBot="1" x14ac:dyDescent="0.35">
      <c r="A2028" s="277" t="s">
        <v>111</v>
      </c>
      <c r="B2028" s="926" t="s">
        <v>21</v>
      </c>
      <c r="C2028" s="927"/>
      <c r="D2028" s="928"/>
      <c r="E2028" s="399"/>
      <c r="F2028" s="416">
        <f>+F2003+F2011+F2019+F2023+F2027</f>
        <v>904525.37760000001</v>
      </c>
      <c r="G2028" s="417">
        <f>+G2003+G2011+G2019+G2023+G2027</f>
        <v>41017762.355499998</v>
      </c>
      <c r="H2028" s="400"/>
      <c r="I2028" s="416">
        <f>+I2003+I2011+I2019+I2023+I2027</f>
        <v>1119862.08</v>
      </c>
      <c r="J2028" s="434">
        <f>+J2003+J2011+J2019+J2023+J2027</f>
        <v>63089818.280000001</v>
      </c>
    </row>
    <row r="2029" spans="1:10" ht="23.4" x14ac:dyDescent="0.3">
      <c r="A2029" s="277" t="s">
        <v>111</v>
      </c>
      <c r="B2029" s="922" t="s">
        <v>22</v>
      </c>
      <c r="C2029" s="272" t="s">
        <v>133</v>
      </c>
      <c r="D2029" s="272"/>
      <c r="E2029" s="386">
        <v>22.820599999999999</v>
      </c>
      <c r="F2029" s="408">
        <f>IFERROR(E2029*'01 Prod Physique Boites'!H2011,"-")</f>
        <v>0</v>
      </c>
      <c r="G2029" s="409">
        <f>IFERROR(E2029*'01 Prod Physique Boites'!L2011,"-")</f>
        <v>0</v>
      </c>
      <c r="H2029" s="387">
        <v>27.5</v>
      </c>
      <c r="I2029" s="425">
        <f>IFERROR(H2029*(F2029/E2029),"-")</f>
        <v>0</v>
      </c>
      <c r="J2029" s="426">
        <f t="shared" ref="J2029:J2032" si="1339">IFERROR(H2029*(G2029/E2029),"-")</f>
        <v>0</v>
      </c>
    </row>
    <row r="2030" spans="1:10" ht="23.4" x14ac:dyDescent="0.3">
      <c r="A2030" s="277" t="s">
        <v>111</v>
      </c>
      <c r="B2030" s="923"/>
      <c r="C2030" s="301" t="s">
        <v>291</v>
      </c>
      <c r="D2030" s="301" t="s">
        <v>196</v>
      </c>
      <c r="E2030" s="390">
        <v>23.570699999999999</v>
      </c>
      <c r="F2030" s="408">
        <f>IFERROR(E2030*'01 Prod Physique Boites'!H2012,"-")</f>
        <v>0</v>
      </c>
      <c r="G2030" s="409">
        <f>IFERROR(E2030*'01 Prod Physique Boites'!L2012,"-")</f>
        <v>0</v>
      </c>
      <c r="H2030" s="391">
        <v>27.5</v>
      </c>
      <c r="I2030" s="427">
        <f>IFERROR(H2030*(F2030/E2030),"-")</f>
        <v>0</v>
      </c>
      <c r="J2030" s="428">
        <f t="shared" si="1339"/>
        <v>0</v>
      </c>
    </row>
    <row r="2031" spans="1:10" ht="23.4" x14ac:dyDescent="0.3">
      <c r="A2031" s="277" t="s">
        <v>111</v>
      </c>
      <c r="B2031" s="923"/>
      <c r="C2031" s="301" t="s">
        <v>473</v>
      </c>
      <c r="D2031" s="301" t="s">
        <v>196</v>
      </c>
      <c r="E2031" s="390">
        <v>22.820599999999999</v>
      </c>
      <c r="F2031" s="408">
        <f>IFERROR(E2031*'01 Prod Physique Boites'!H2013,"-")</f>
        <v>0</v>
      </c>
      <c r="G2031" s="409">
        <f>IFERROR(E2031*'01 Prod Physique Boites'!L2013,"-")</f>
        <v>7816968.324</v>
      </c>
      <c r="H2031" s="391">
        <v>27.5</v>
      </c>
      <c r="I2031" s="427">
        <f>IFERROR(H2031*(F2031/E2031),"-")</f>
        <v>0</v>
      </c>
      <c r="J2031" s="428">
        <f t="shared" si="1339"/>
        <v>9419850</v>
      </c>
    </row>
    <row r="2032" spans="1:10" ht="24" thickBot="1" x14ac:dyDescent="0.35">
      <c r="A2032" s="277" t="s">
        <v>111</v>
      </c>
      <c r="B2032" s="924"/>
      <c r="C2032" s="282" t="s">
        <v>197</v>
      </c>
      <c r="D2032" s="282" t="s">
        <v>100</v>
      </c>
      <c r="E2032" s="392">
        <v>23.5685</v>
      </c>
      <c r="F2032" s="408">
        <f>IFERROR(E2032*'01 Prod Physique Boites'!H2014,"-")</f>
        <v>0</v>
      </c>
      <c r="G2032" s="409">
        <f>IFERROR(E2032*'01 Prod Physique Boites'!L2014,"-")</f>
        <v>0</v>
      </c>
      <c r="H2032" s="393">
        <v>24</v>
      </c>
      <c r="I2032" s="429">
        <f>IFERROR(H2032*(F2032/E2032),"-")</f>
        <v>0</v>
      </c>
      <c r="J2032" s="430">
        <f t="shared" si="1339"/>
        <v>0</v>
      </c>
    </row>
    <row r="2033" spans="1:10" ht="24" thickBot="1" x14ac:dyDescent="0.35">
      <c r="A2033" s="277" t="s">
        <v>111</v>
      </c>
      <c r="B2033" s="906" t="s">
        <v>51</v>
      </c>
      <c r="C2033" s="907"/>
      <c r="D2033" s="908"/>
      <c r="E2033" s="396"/>
      <c r="F2033" s="412">
        <f t="shared" ref="F2033:G2033" si="1340">SUM(F2029:F2032)</f>
        <v>0</v>
      </c>
      <c r="G2033" s="413">
        <f t="shared" si="1340"/>
        <v>7816968.324</v>
      </c>
      <c r="H2033" s="397"/>
      <c r="I2033" s="412">
        <f t="shared" ref="I2033:J2033" si="1341">SUM(I2029:I2032)</f>
        <v>0</v>
      </c>
      <c r="J2033" s="431">
        <f t="shared" si="1341"/>
        <v>9419850</v>
      </c>
    </row>
    <row r="2034" spans="1:10" ht="23.4" x14ac:dyDescent="0.3">
      <c r="A2034" s="277" t="s">
        <v>111</v>
      </c>
      <c r="B2034" s="922" t="s">
        <v>23</v>
      </c>
      <c r="C2034" s="302" t="s">
        <v>348</v>
      </c>
      <c r="D2034" s="302" t="s">
        <v>263</v>
      </c>
      <c r="E2034" s="386">
        <v>101.4935</v>
      </c>
      <c r="F2034" s="408">
        <f>IFERROR(E2034*'01 Prod Physique Boites'!H2016,"-")</f>
        <v>0</v>
      </c>
      <c r="G2034" s="409">
        <f>IFERROR(E2034*'01 Prod Physique Boites'!L2016,"-")</f>
        <v>0</v>
      </c>
      <c r="H2034" s="391">
        <v>160.44999999999999</v>
      </c>
      <c r="I2034" s="425">
        <f t="shared" ref="I2034:I2041" si="1342">IFERROR(H2034*(F2034/E2034),"-")</f>
        <v>0</v>
      </c>
      <c r="J2034" s="426">
        <f t="shared" ref="J2034:J2041" si="1343">IFERROR(H2034*(G2034/E2034),"-")</f>
        <v>0</v>
      </c>
    </row>
    <row r="2035" spans="1:10" ht="23.4" x14ac:dyDescent="0.3">
      <c r="A2035" s="277" t="s">
        <v>111</v>
      </c>
      <c r="B2035" s="923"/>
      <c r="C2035" s="278" t="s">
        <v>24</v>
      </c>
      <c r="D2035" s="278" t="s">
        <v>263</v>
      </c>
      <c r="E2035" s="390">
        <v>101.4935</v>
      </c>
      <c r="F2035" s="408">
        <f>IFERROR(E2035*'01 Prod Physique Boites'!H2017,"-")</f>
        <v>0</v>
      </c>
      <c r="G2035" s="409">
        <f>IFERROR(E2035*'01 Prod Physique Boites'!L2017,"-")</f>
        <v>11408275.374</v>
      </c>
      <c r="H2035" s="391">
        <v>160.44999999999999</v>
      </c>
      <c r="I2035" s="427">
        <f t="shared" si="1342"/>
        <v>0</v>
      </c>
      <c r="J2035" s="428">
        <f t="shared" si="1343"/>
        <v>18035221.799999997</v>
      </c>
    </row>
    <row r="2036" spans="1:10" ht="23.4" x14ac:dyDescent="0.3">
      <c r="A2036" s="277" t="s">
        <v>111</v>
      </c>
      <c r="B2036" s="923"/>
      <c r="C2036" s="278" t="s">
        <v>261</v>
      </c>
      <c r="D2036" s="278" t="s">
        <v>263</v>
      </c>
      <c r="E2036" s="390">
        <v>101.4935</v>
      </c>
      <c r="F2036" s="408">
        <f>IFERROR(E2036*'01 Prod Physique Boites'!H2018,"-")</f>
        <v>0</v>
      </c>
      <c r="G2036" s="409">
        <f>IFERROR(E2036*'01 Prod Physique Boites'!L2018,"-")</f>
        <v>1106380.6435</v>
      </c>
      <c r="H2036" s="391">
        <v>160.44999999999999</v>
      </c>
      <c r="I2036" s="427">
        <f t="shared" si="1342"/>
        <v>0</v>
      </c>
      <c r="J2036" s="428">
        <f t="shared" si="1343"/>
        <v>1749065.45</v>
      </c>
    </row>
    <row r="2037" spans="1:10" ht="23.4" x14ac:dyDescent="0.3">
      <c r="A2037" s="277" t="s">
        <v>111</v>
      </c>
      <c r="B2037" s="923"/>
      <c r="C2037" s="278" t="s">
        <v>262</v>
      </c>
      <c r="D2037" s="278" t="s">
        <v>263</v>
      </c>
      <c r="E2037" s="390">
        <v>101.4935</v>
      </c>
      <c r="F2037" s="408">
        <f>IFERROR(E2037*'01 Prod Physique Boites'!H2019,"-")</f>
        <v>0</v>
      </c>
      <c r="G2037" s="409">
        <f>IFERROR(E2037*'01 Prod Physique Boites'!L2019,"-")</f>
        <v>772568.522</v>
      </c>
      <c r="H2037" s="391">
        <v>160.44999999999999</v>
      </c>
      <c r="I2037" s="427">
        <f t="shared" si="1342"/>
        <v>0</v>
      </c>
      <c r="J2037" s="428">
        <f t="shared" si="1343"/>
        <v>1221345.3999999999</v>
      </c>
    </row>
    <row r="2038" spans="1:10" ht="23.4" x14ac:dyDescent="0.3">
      <c r="A2038" s="277" t="s">
        <v>111</v>
      </c>
      <c r="B2038" s="923"/>
      <c r="C2038" s="301" t="s">
        <v>264</v>
      </c>
      <c r="D2038" s="278" t="s">
        <v>263</v>
      </c>
      <c r="E2038" s="390">
        <v>101.4935</v>
      </c>
      <c r="F2038" s="408">
        <f>IFERROR(E2038*'01 Prod Physique Boites'!H2020,"-")</f>
        <v>0</v>
      </c>
      <c r="G2038" s="409">
        <f>IFERROR(E2038*'01 Prod Physique Boites'!L2020,"-")</f>
        <v>0</v>
      </c>
      <c r="H2038" s="391">
        <v>160.44999999999999</v>
      </c>
      <c r="I2038" s="427">
        <f t="shared" si="1342"/>
        <v>0</v>
      </c>
      <c r="J2038" s="428">
        <f t="shared" si="1343"/>
        <v>0</v>
      </c>
    </row>
    <row r="2039" spans="1:10" ht="23.4" x14ac:dyDescent="0.3">
      <c r="A2039" s="277" t="s">
        <v>111</v>
      </c>
      <c r="B2039" s="923"/>
      <c r="C2039" s="301" t="s">
        <v>265</v>
      </c>
      <c r="D2039" s="278" t="s">
        <v>263</v>
      </c>
      <c r="E2039" s="390">
        <v>101.4935</v>
      </c>
      <c r="F2039" s="408">
        <f>IFERROR(E2039*'01 Prod Physique Boites'!H2021,"-")</f>
        <v>0</v>
      </c>
      <c r="G2039" s="409">
        <f>IFERROR(E2039*'01 Prod Physique Boites'!L2021,"-")</f>
        <v>0</v>
      </c>
      <c r="H2039" s="391">
        <v>160.44999999999999</v>
      </c>
      <c r="I2039" s="427">
        <f t="shared" si="1342"/>
        <v>0</v>
      </c>
      <c r="J2039" s="428">
        <f t="shared" si="1343"/>
        <v>0</v>
      </c>
    </row>
    <row r="2040" spans="1:10" ht="23.4" x14ac:dyDescent="0.3">
      <c r="A2040" s="277" t="s">
        <v>111</v>
      </c>
      <c r="B2040" s="923"/>
      <c r="C2040" s="301" t="s">
        <v>266</v>
      </c>
      <c r="D2040" s="278" t="s">
        <v>268</v>
      </c>
      <c r="E2040" s="390">
        <v>101.4935</v>
      </c>
      <c r="F2040" s="408">
        <f>IFERROR(E2040*'01 Prod Physique Boites'!H2022,"-")</f>
        <v>0</v>
      </c>
      <c r="G2040" s="409">
        <f>IFERROR(E2040*'01 Prod Physique Boites'!L2022,"-")</f>
        <v>1057257.7895</v>
      </c>
      <c r="H2040" s="391">
        <v>160.44999999999999</v>
      </c>
      <c r="I2040" s="427">
        <f t="shared" si="1342"/>
        <v>0</v>
      </c>
      <c r="J2040" s="428">
        <f t="shared" si="1343"/>
        <v>1671407.65</v>
      </c>
    </row>
    <row r="2041" spans="1:10" ht="24" thickBot="1" x14ac:dyDescent="0.35">
      <c r="A2041" s="277" t="s">
        <v>111</v>
      </c>
      <c r="B2041" s="924"/>
      <c r="C2041" s="301" t="s">
        <v>267</v>
      </c>
      <c r="D2041" s="278" t="s">
        <v>263</v>
      </c>
      <c r="E2041" s="392">
        <v>101.4935</v>
      </c>
      <c r="F2041" s="408">
        <f>IFERROR(E2041*'01 Prod Physique Boites'!H2023,"-")</f>
        <v>0</v>
      </c>
      <c r="G2041" s="409">
        <f>IFERROR(E2041*'01 Prod Physique Boites'!L2023,"-")</f>
        <v>1420909</v>
      </c>
      <c r="H2041" s="391">
        <v>160.44999999999999</v>
      </c>
      <c r="I2041" s="429">
        <f t="shared" si="1342"/>
        <v>0</v>
      </c>
      <c r="J2041" s="430">
        <f t="shared" si="1343"/>
        <v>2246300</v>
      </c>
    </row>
    <row r="2042" spans="1:10" ht="24" thickBot="1" x14ac:dyDescent="0.35">
      <c r="A2042" s="277" t="s">
        <v>111</v>
      </c>
      <c r="B2042" s="906" t="s">
        <v>52</v>
      </c>
      <c r="C2042" s="907"/>
      <c r="D2042" s="908"/>
      <c r="E2042" s="396"/>
      <c r="F2042" s="412">
        <f t="shared" ref="F2042" si="1344">SUM(F2034:F2041)</f>
        <v>0</v>
      </c>
      <c r="G2042" s="413">
        <f>SUM(G2034:G2041)</f>
        <v>15765391.329</v>
      </c>
      <c r="H2042" s="397"/>
      <c r="I2042" s="412">
        <f t="shared" ref="I2042" si="1345">SUM(I2034:I2041)</f>
        <v>0</v>
      </c>
      <c r="J2042" s="431">
        <f>SUM(J2034:J2041)</f>
        <v>24923340.299999993</v>
      </c>
    </row>
    <row r="2043" spans="1:10" ht="24" thickBot="1" x14ac:dyDescent="0.35">
      <c r="A2043" s="277" t="s">
        <v>111</v>
      </c>
      <c r="B2043" s="926" t="s">
        <v>25</v>
      </c>
      <c r="C2043" s="927"/>
      <c r="D2043" s="928"/>
      <c r="E2043" s="399"/>
      <c r="F2043" s="416">
        <f t="shared" ref="F2043" si="1346">+F2033+F2042</f>
        <v>0</v>
      </c>
      <c r="G2043" s="417">
        <f>+G2033+G2042</f>
        <v>23582359.653000001</v>
      </c>
      <c r="H2043" s="400"/>
      <c r="I2043" s="416">
        <f t="shared" ref="I2043:J2043" si="1347">+I2033+I2042</f>
        <v>0</v>
      </c>
      <c r="J2043" s="434">
        <f t="shared" si="1347"/>
        <v>34343190.299999997</v>
      </c>
    </row>
    <row r="2044" spans="1:10" ht="24" thickBot="1" x14ac:dyDescent="0.35">
      <c r="A2044" s="277" t="s">
        <v>111</v>
      </c>
      <c r="B2044" s="900" t="s">
        <v>181</v>
      </c>
      <c r="C2044" s="901"/>
      <c r="D2044" s="902"/>
      <c r="E2044" s="401"/>
      <c r="F2044" s="418">
        <f t="shared" ref="F2044" si="1348">+F2028+F2043</f>
        <v>904525.37760000001</v>
      </c>
      <c r="G2044" s="419">
        <f>+G2028+G2043</f>
        <v>64600122.008499995</v>
      </c>
      <c r="H2044" s="402"/>
      <c r="I2044" s="418">
        <f t="shared" ref="I2044:J2044" si="1349">+I2028+I2043</f>
        <v>1119862.08</v>
      </c>
      <c r="J2044" s="435">
        <f t="shared" si="1349"/>
        <v>97433008.579999998</v>
      </c>
    </row>
    <row r="2045" spans="1:10" ht="23.4" x14ac:dyDescent="0.3">
      <c r="A2045" s="271" t="s">
        <v>109</v>
      </c>
      <c r="B2045" s="929" t="s">
        <v>26</v>
      </c>
      <c r="C2045" s="303" t="s">
        <v>334</v>
      </c>
      <c r="D2045" s="305" t="s">
        <v>192</v>
      </c>
      <c r="E2045" s="515">
        <v>13.1272</v>
      </c>
      <c r="F2045" s="408">
        <f>IFERROR(E2045*'01 Prod Physique Boites'!H2027,"-")</f>
        <v>0</v>
      </c>
      <c r="G2045" s="409">
        <f>IFERROR(E2045*'01 Prod Physique Boites'!L2027,"-")</f>
        <v>4229820.1295999996</v>
      </c>
      <c r="H2045" s="387">
        <v>20.76</v>
      </c>
      <c r="I2045" s="425">
        <f t="shared" ref="I2045:I2053" si="1350">IFERROR(H2045*(F2045/E2045),"-")</f>
        <v>0</v>
      </c>
      <c r="J2045" s="662">
        <f t="shared" ref="J2045:J2053" si="1351">IFERROR(H2045*(G2045/E2045),"-")</f>
        <v>6689245.6799999997</v>
      </c>
    </row>
    <row r="2046" spans="1:10" ht="23.4" x14ac:dyDescent="0.3">
      <c r="A2046" s="277" t="s">
        <v>109</v>
      </c>
      <c r="B2046" s="929"/>
      <c r="C2046" s="304" t="s">
        <v>199</v>
      </c>
      <c r="D2046" s="304" t="s">
        <v>115</v>
      </c>
      <c r="E2046" s="516">
        <v>14.608000000000001</v>
      </c>
      <c r="F2046" s="408">
        <f>IFERROR(E2046*'01 Prod Physique Boites'!H2028,"-")</f>
        <v>0</v>
      </c>
      <c r="G2046" s="409">
        <f>IFERROR(E2046*'01 Prod Physique Boites'!L2028,"-")</f>
        <v>0</v>
      </c>
      <c r="H2046" s="391">
        <v>24.93</v>
      </c>
      <c r="I2046" s="427">
        <f t="shared" si="1350"/>
        <v>0</v>
      </c>
      <c r="J2046" s="663">
        <f t="shared" si="1351"/>
        <v>0</v>
      </c>
    </row>
    <row r="2047" spans="1:10" ht="23.4" x14ac:dyDescent="0.3">
      <c r="A2047" s="277" t="s">
        <v>109</v>
      </c>
      <c r="B2047" s="929"/>
      <c r="C2047" s="305" t="s">
        <v>27</v>
      </c>
      <c r="D2047" s="305" t="s">
        <v>394</v>
      </c>
      <c r="E2047" s="512">
        <v>17.8202</v>
      </c>
      <c r="F2047" s="408">
        <f>IFERROR(E2047*'01 Prod Physique Boites'!H2029,"-")</f>
        <v>0</v>
      </c>
      <c r="G2047" s="409">
        <f>IFERROR(E2047*'01 Prod Physique Boites'!L2029,"-")</f>
        <v>354443.77799999999</v>
      </c>
      <c r="H2047" s="391">
        <v>21.22</v>
      </c>
      <c r="I2047" s="427">
        <f t="shared" si="1350"/>
        <v>0</v>
      </c>
      <c r="J2047" s="663">
        <f t="shared" si="1351"/>
        <v>422065.8</v>
      </c>
    </row>
    <row r="2048" spans="1:10" ht="23.4" x14ac:dyDescent="0.3">
      <c r="A2048" s="277" t="s">
        <v>109</v>
      </c>
      <c r="B2048" s="929"/>
      <c r="C2048" s="305" t="s">
        <v>27</v>
      </c>
      <c r="D2048" s="305" t="s">
        <v>259</v>
      </c>
      <c r="E2048" s="512">
        <v>17.8202</v>
      </c>
      <c r="F2048" s="408">
        <f>IFERROR(E2048*'01 Prod Physique Boites'!H2030,"-")</f>
        <v>0</v>
      </c>
      <c r="G2048" s="409">
        <f>IFERROR(E2048*'01 Prod Physique Boites'!L2030,"-")</f>
        <v>1346886.3563999999</v>
      </c>
      <c r="H2048" s="391">
        <v>24.93</v>
      </c>
      <c r="I2048" s="427">
        <f t="shared" si="1350"/>
        <v>0</v>
      </c>
      <c r="J2048" s="663">
        <f t="shared" si="1351"/>
        <v>1884259.26</v>
      </c>
    </row>
    <row r="2049" spans="1:10" ht="23.4" x14ac:dyDescent="0.3">
      <c r="A2049" s="277" t="s">
        <v>109</v>
      </c>
      <c r="B2049" s="929"/>
      <c r="C2049" s="305" t="s">
        <v>27</v>
      </c>
      <c r="D2049" s="305" t="s">
        <v>310</v>
      </c>
      <c r="E2049" s="512">
        <v>17.8202</v>
      </c>
      <c r="F2049" s="408">
        <f>IFERROR(E2049*'01 Prod Physique Boites'!H2031,"-")</f>
        <v>0</v>
      </c>
      <c r="G2049" s="409">
        <f>IFERROR(E2049*'01 Prod Physique Boites'!L2031,"-")</f>
        <v>141777.51120000001</v>
      </c>
      <c r="H2049" s="391">
        <v>24.93</v>
      </c>
      <c r="I2049" s="427">
        <f t="shared" si="1350"/>
        <v>0</v>
      </c>
      <c r="J2049" s="663">
        <f t="shared" si="1351"/>
        <v>198343.08000000002</v>
      </c>
    </row>
    <row r="2050" spans="1:10" ht="23.4" x14ac:dyDescent="0.3">
      <c r="A2050" s="277"/>
      <c r="B2050" s="929"/>
      <c r="C2050" s="305" t="s">
        <v>393</v>
      </c>
      <c r="D2050" s="305" t="s">
        <v>192</v>
      </c>
      <c r="E2050" s="512">
        <v>17.8202</v>
      </c>
      <c r="F2050" s="408">
        <f>IFERROR(E2050*'01 Prod Physique Boites'!H2032,"-")</f>
        <v>0</v>
      </c>
      <c r="G2050" s="409">
        <f>IFERROR(E2050*'01 Prod Physique Boites'!L2032,"-")</f>
        <v>0</v>
      </c>
      <c r="H2050" s="393">
        <v>21.22</v>
      </c>
      <c r="I2050" s="427">
        <f t="shared" si="1350"/>
        <v>0</v>
      </c>
      <c r="J2050" s="664">
        <f t="shared" si="1351"/>
        <v>0</v>
      </c>
    </row>
    <row r="2051" spans="1:10" ht="23.4" x14ac:dyDescent="0.3">
      <c r="A2051" s="277"/>
      <c r="B2051" s="929"/>
      <c r="C2051" s="305" t="s">
        <v>325</v>
      </c>
      <c r="D2051" s="305" t="s">
        <v>101</v>
      </c>
      <c r="E2051" s="512">
        <v>14.608000000000001</v>
      </c>
      <c r="F2051" s="408">
        <f>IFERROR(E2051*'01 Prod Physique Boites'!H2033,"-")</f>
        <v>0</v>
      </c>
      <c r="G2051" s="409">
        <f>IFERROR(E2051*'01 Prod Physique Boites'!L2033,"-")</f>
        <v>116221.24800000001</v>
      </c>
      <c r="H2051" s="393">
        <v>24.93</v>
      </c>
      <c r="I2051" s="429">
        <f t="shared" si="1350"/>
        <v>0</v>
      </c>
      <c r="J2051" s="664">
        <f t="shared" si="1351"/>
        <v>198343.08</v>
      </c>
    </row>
    <row r="2052" spans="1:10" ht="23.4" x14ac:dyDescent="0.3">
      <c r="A2052" s="277"/>
      <c r="B2052" s="929"/>
      <c r="C2052" s="305" t="s">
        <v>325</v>
      </c>
      <c r="D2052" s="305" t="s">
        <v>394</v>
      </c>
      <c r="E2052" s="512">
        <v>14.608000000000001</v>
      </c>
      <c r="F2052" s="408">
        <f>IFERROR(E2052*'01 Prod Physique Boites'!H2034,"-")</f>
        <v>0</v>
      </c>
      <c r="G2052" s="409">
        <f>IFERROR(E2052*'01 Prod Physique Boites'!L2034,"-")</f>
        <v>10401801.696</v>
      </c>
      <c r="H2052" s="393">
        <v>21.22</v>
      </c>
      <c r="I2052" s="429">
        <f t="shared" si="1350"/>
        <v>0</v>
      </c>
      <c r="J2052" s="664">
        <f t="shared" si="1351"/>
        <v>15109955.639999999</v>
      </c>
    </row>
    <row r="2053" spans="1:10" ht="24" thickBot="1" x14ac:dyDescent="0.35">
      <c r="A2053" s="277" t="s">
        <v>109</v>
      </c>
      <c r="B2053" s="929"/>
      <c r="C2053" s="306" t="s">
        <v>326</v>
      </c>
      <c r="D2053" s="305" t="s">
        <v>324</v>
      </c>
      <c r="E2053" s="512">
        <v>12.6997</v>
      </c>
      <c r="F2053" s="408">
        <f>IFERROR(E2053*'01 Prod Physique Boites'!H2035,"-")</f>
        <v>0</v>
      </c>
      <c r="G2053" s="409">
        <f>IFERROR(E2053*'01 Prod Physique Boites'!L2035,"-")</f>
        <v>101038.8132</v>
      </c>
      <c r="H2053" s="393">
        <v>13.25</v>
      </c>
      <c r="I2053" s="429">
        <f t="shared" si="1350"/>
        <v>0</v>
      </c>
      <c r="J2053" s="664">
        <f t="shared" si="1351"/>
        <v>105417</v>
      </c>
    </row>
    <row r="2054" spans="1:10" ht="24" thickBot="1" x14ac:dyDescent="0.35">
      <c r="A2054" s="277" t="s">
        <v>109</v>
      </c>
      <c r="B2054" s="930"/>
      <c r="C2054" s="307"/>
      <c r="D2054" s="308" t="s">
        <v>55</v>
      </c>
      <c r="E2054" s="396"/>
      <c r="F2054" s="412">
        <f>SUM(F2045:F2053)</f>
        <v>0</v>
      </c>
      <c r="G2054" s="413">
        <f t="shared" ref="G2054" si="1352">SUM(G2045:G2053)</f>
        <v>16691989.532400001</v>
      </c>
      <c r="H2054" s="397"/>
      <c r="I2054" s="412">
        <f t="shared" ref="I2054" si="1353">SUM(I2045:I2053)</f>
        <v>0</v>
      </c>
      <c r="J2054" s="431">
        <f>SUM(J2045:J2053)</f>
        <v>24607629.539999999</v>
      </c>
    </row>
    <row r="2055" spans="1:10" ht="23.4" x14ac:dyDescent="0.3">
      <c r="A2055" s="277" t="s">
        <v>109</v>
      </c>
      <c r="B2055" s="931" t="s">
        <v>28</v>
      </c>
      <c r="C2055" s="305" t="s">
        <v>27</v>
      </c>
      <c r="D2055" s="303" t="s">
        <v>310</v>
      </c>
      <c r="E2055" s="515">
        <v>17.8202</v>
      </c>
      <c r="F2055" s="408">
        <f>IFERROR(E2055*'01 Prod Physique Boites'!H2037,"-")</f>
        <v>0</v>
      </c>
      <c r="G2055" s="409">
        <f>IFERROR(E2055*'01 Prod Physique Boites'!L2037,"-")</f>
        <v>2551995.2015999998</v>
      </c>
      <c r="H2055" s="387">
        <v>24.93</v>
      </c>
      <c r="I2055" s="425">
        <f>IFERROR(H2055*(F2055/E2055),"-")</f>
        <v>0</v>
      </c>
      <c r="J2055" s="662">
        <f t="shared" ref="J2055:J2057" si="1354">IFERROR(H2055*(G2055/E2055),"-")</f>
        <v>3570175.44</v>
      </c>
    </row>
    <row r="2056" spans="1:10" ht="23.4" x14ac:dyDescent="0.3">
      <c r="A2056" s="277" t="s">
        <v>109</v>
      </c>
      <c r="B2056" s="929"/>
      <c r="C2056" s="305" t="s">
        <v>27</v>
      </c>
      <c r="D2056" s="305" t="s">
        <v>394</v>
      </c>
      <c r="E2056" s="512">
        <v>17.8202</v>
      </c>
      <c r="F2056" s="408">
        <f>IFERROR(E2056*'01 Prod Physique Boites'!H2038,"-")</f>
        <v>70888.755600000004</v>
      </c>
      <c r="G2056" s="409">
        <f>IFERROR(E2056*'01 Prod Physique Boites'!L2038,"-")</f>
        <v>6876209.2932000002</v>
      </c>
      <c r="H2056" s="391">
        <v>21.22</v>
      </c>
      <c r="I2056" s="427">
        <f>IFERROR(H2056*(F2056/E2056),"-")</f>
        <v>84413.16</v>
      </c>
      <c r="J2056" s="663">
        <f t="shared" si="1354"/>
        <v>8188076.5199999996</v>
      </c>
    </row>
    <row r="2057" spans="1:10" ht="24" thickBot="1" x14ac:dyDescent="0.35">
      <c r="A2057" s="277" t="s">
        <v>109</v>
      </c>
      <c r="B2057" s="929"/>
      <c r="C2057" s="305" t="s">
        <v>27</v>
      </c>
      <c r="D2057" s="306" t="s">
        <v>259</v>
      </c>
      <c r="E2057" s="512">
        <v>17.8202</v>
      </c>
      <c r="F2057" s="408">
        <f>IFERROR(E2057*'01 Prod Physique Boites'!H2039,"-")</f>
        <v>1134220.0896000001</v>
      </c>
      <c r="G2057" s="409">
        <f>IFERROR(E2057*'01 Prod Physique Boites'!L2039,"-")</f>
        <v>7514208.0936000003</v>
      </c>
      <c r="H2057" s="391">
        <v>24.93</v>
      </c>
      <c r="I2057" s="429">
        <f>IFERROR(H2057*(F2057/E2057),"-")</f>
        <v>1586744.6400000001</v>
      </c>
      <c r="J2057" s="664">
        <f t="shared" si="1354"/>
        <v>10512183.24</v>
      </c>
    </row>
    <row r="2058" spans="1:10" ht="24" thickBot="1" x14ac:dyDescent="0.35">
      <c r="A2058" s="277" t="s">
        <v>109</v>
      </c>
      <c r="B2058" s="929"/>
      <c r="C2058" s="310"/>
      <c r="D2058" s="311" t="s">
        <v>55</v>
      </c>
      <c r="E2058" s="403"/>
      <c r="F2058" s="420">
        <f t="shared" ref="F2058:G2058" si="1355">SUM(F2055:F2057)</f>
        <v>1205108.8452000001</v>
      </c>
      <c r="G2058" s="421">
        <f t="shared" si="1355"/>
        <v>16942412.588399999</v>
      </c>
      <c r="H2058" s="404"/>
      <c r="I2058" s="420">
        <f t="shared" ref="I2058:J2058" si="1356">SUM(I2055:I2057)</f>
        <v>1671157.8</v>
      </c>
      <c r="J2058" s="436">
        <f t="shared" si="1356"/>
        <v>22270435.199999999</v>
      </c>
    </row>
    <row r="2059" spans="1:10" ht="24" thickBot="1" x14ac:dyDescent="0.35">
      <c r="A2059" s="861" t="s">
        <v>109</v>
      </c>
      <c r="B2059" s="932" t="s">
        <v>171</v>
      </c>
      <c r="C2059" s="933"/>
      <c r="D2059" s="934"/>
      <c r="E2059" s="405"/>
      <c r="F2059" s="422">
        <f t="shared" ref="F2059:G2059" si="1357">+F2054+F2058</f>
        <v>1205108.8452000001</v>
      </c>
      <c r="G2059" s="423">
        <f t="shared" si="1357"/>
        <v>33634402.120800003</v>
      </c>
      <c r="H2059" s="406"/>
      <c r="I2059" s="422">
        <f t="shared" ref="I2059:J2059" si="1358">+I2054+I2058</f>
        <v>1671157.8</v>
      </c>
      <c r="J2059" s="437">
        <f t="shared" si="1358"/>
        <v>46878064.739999995</v>
      </c>
    </row>
    <row r="2060" spans="1:10" ht="23.4" x14ac:dyDescent="0.3">
      <c r="A2060" s="277" t="s">
        <v>109</v>
      </c>
      <c r="B2060" s="929" t="s">
        <v>30</v>
      </c>
      <c r="C2060" s="309" t="s">
        <v>375</v>
      </c>
      <c r="D2060" s="303" t="s">
        <v>193</v>
      </c>
      <c r="E2060" s="515">
        <v>15.2788</v>
      </c>
      <c r="F2060" s="408">
        <f>IFERROR(E2060*'01 Prod Physique Boites'!H2042,"-")</f>
        <v>0</v>
      </c>
      <c r="G2060" s="409">
        <f>IFERROR(E2060*'01 Prod Physique Boites'!L2042,"-")</f>
        <v>0</v>
      </c>
      <c r="H2060" s="387">
        <v>23.65</v>
      </c>
      <c r="I2060" s="425">
        <f>IFERROR(H2060*(F2060/E2060),"-")</f>
        <v>0</v>
      </c>
      <c r="J2060" s="426">
        <f t="shared" ref="J2060:J2062" si="1359">IFERROR(H2060*(G2060/E2060),"-")</f>
        <v>0</v>
      </c>
    </row>
    <row r="2061" spans="1:10" ht="23.4" x14ac:dyDescent="0.3">
      <c r="A2061" s="277" t="s">
        <v>109</v>
      </c>
      <c r="B2061" s="929"/>
      <c r="C2061" s="309" t="s">
        <v>368</v>
      </c>
      <c r="D2061" s="309" t="s">
        <v>324</v>
      </c>
      <c r="E2061" s="516">
        <v>22.6356</v>
      </c>
      <c r="F2061" s="408">
        <f>IFERROR(E2061*'01 Prod Physique Boites'!H2043,"-")</f>
        <v>0</v>
      </c>
      <c r="G2061" s="409">
        <f>IFERROR(E2061*'01 Prod Physique Boites'!L2043,"-")</f>
        <v>0</v>
      </c>
      <c r="H2061" s="391">
        <v>34.26</v>
      </c>
      <c r="I2061" s="427">
        <f>IFERROR(H2061*(F2061/E2061),"-")</f>
        <v>0</v>
      </c>
      <c r="J2061" s="428">
        <f t="shared" si="1359"/>
        <v>0</v>
      </c>
    </row>
    <row r="2062" spans="1:10" ht="24" thickBot="1" x14ac:dyDescent="0.35">
      <c r="A2062" s="277" t="s">
        <v>109</v>
      </c>
      <c r="B2062" s="929"/>
      <c r="C2062" s="306" t="s">
        <v>327</v>
      </c>
      <c r="D2062" s="306"/>
      <c r="E2062" s="512">
        <v>25.751300000000001</v>
      </c>
      <c r="F2062" s="408">
        <f>IFERROR(E2062*'01 Prod Physique Boites'!H2044,"-")</f>
        <v>0</v>
      </c>
      <c r="G2062" s="409">
        <f>IFERROR(E2062*'01 Prod Physique Boites'!L2044,"-")</f>
        <v>1349780.1407999999</v>
      </c>
      <c r="H2062" s="393">
        <v>37.89</v>
      </c>
      <c r="I2062" s="429">
        <f>IFERROR(H2062*(F2062/E2062),"-")</f>
        <v>0</v>
      </c>
      <c r="J2062" s="430">
        <f t="shared" si="1359"/>
        <v>1986042.24</v>
      </c>
    </row>
    <row r="2063" spans="1:10" ht="24" thickBot="1" x14ac:dyDescent="0.35">
      <c r="A2063" s="277" t="s">
        <v>109</v>
      </c>
      <c r="B2063" s="929"/>
      <c r="C2063" s="307"/>
      <c r="D2063" s="308" t="s">
        <v>53</v>
      </c>
      <c r="E2063" s="396"/>
      <c r="F2063" s="412">
        <f t="shared" ref="F2063:G2063" si="1360">SUM(F2060:F2062)</f>
        <v>0</v>
      </c>
      <c r="G2063" s="413">
        <f t="shared" si="1360"/>
        <v>1349780.1407999999</v>
      </c>
      <c r="H2063" s="397"/>
      <c r="I2063" s="412">
        <f t="shared" ref="I2063" si="1361">SUM(I2060:I2062)</f>
        <v>0</v>
      </c>
      <c r="J2063" s="431">
        <f>SUM(J2060:J2062)</f>
        <v>1986042.24</v>
      </c>
    </row>
    <row r="2064" spans="1:10" ht="23.4" x14ac:dyDescent="0.3">
      <c r="A2064" s="277" t="s">
        <v>109</v>
      </c>
      <c r="B2064" s="929"/>
      <c r="C2064" s="303" t="s">
        <v>352</v>
      </c>
      <c r="D2064" s="303"/>
      <c r="E2064" s="515">
        <v>22.094999999999999</v>
      </c>
      <c r="F2064" s="408">
        <f>IFERROR(E2064*'01 Prod Physique Boites'!H2046,"-")</f>
        <v>0</v>
      </c>
      <c r="G2064" s="409">
        <f>IFERROR(E2064*'01 Prod Physique Boites'!L2046,"-")</f>
        <v>0</v>
      </c>
      <c r="H2064" s="387">
        <v>37.11</v>
      </c>
      <c r="I2064" s="425">
        <f>IFERROR(H2064*(F2064/E2064),"-")</f>
        <v>0</v>
      </c>
      <c r="J2064" s="426">
        <f t="shared" ref="J2064:J2066" si="1362">IFERROR(H2064*(G2064/E2064),"-")</f>
        <v>0</v>
      </c>
    </row>
    <row r="2065" spans="1:10" ht="23.4" x14ac:dyDescent="0.3">
      <c r="A2065" s="277" t="s">
        <v>109</v>
      </c>
      <c r="B2065" s="929"/>
      <c r="C2065" s="309" t="s">
        <v>397</v>
      </c>
      <c r="D2065" s="309" t="s">
        <v>259</v>
      </c>
      <c r="E2065" s="516">
        <v>27.917000000000002</v>
      </c>
      <c r="F2065" s="408">
        <f>IFERROR(E2065*'01 Prod Physique Boites'!H2047,"-")</f>
        <v>0</v>
      </c>
      <c r="G2065" s="409">
        <f>IFERROR(E2065*'01 Prod Physique Boites'!L2047,"-")</f>
        <v>13430980.368000001</v>
      </c>
      <c r="H2065" s="391">
        <v>39</v>
      </c>
      <c r="I2065" s="427">
        <f>IFERROR(H2065*(F2065/E2065),"-")</f>
        <v>0</v>
      </c>
      <c r="J2065" s="428">
        <f t="shared" si="1362"/>
        <v>18763056</v>
      </c>
    </row>
    <row r="2066" spans="1:10" ht="24" thickBot="1" x14ac:dyDescent="0.35">
      <c r="A2066" s="277" t="s">
        <v>109</v>
      </c>
      <c r="B2066" s="929"/>
      <c r="C2066" s="306" t="s">
        <v>146</v>
      </c>
      <c r="D2066" s="306"/>
      <c r="E2066" s="512">
        <v>25.4041</v>
      </c>
      <c r="F2066" s="408">
        <f>IFERROR(E2066*'01 Prod Physique Boites'!H2048,"-")</f>
        <v>0</v>
      </c>
      <c r="G2066" s="409">
        <f>IFERROR(E2066*'01 Prod Physique Boites'!L2048,"-")</f>
        <v>0</v>
      </c>
      <c r="H2066" s="393">
        <v>28.21</v>
      </c>
      <c r="I2066" s="429">
        <f>IFERROR(H2066*(F2066/E2066),"-")</f>
        <v>0</v>
      </c>
      <c r="J2066" s="430">
        <f t="shared" si="1362"/>
        <v>0</v>
      </c>
    </row>
    <row r="2067" spans="1:10" ht="24" thickBot="1" x14ac:dyDescent="0.35">
      <c r="A2067" s="277" t="s">
        <v>109</v>
      </c>
      <c r="B2067" s="929"/>
      <c r="C2067" s="310"/>
      <c r="D2067" s="311" t="s">
        <v>54</v>
      </c>
      <c r="E2067" s="403"/>
      <c r="F2067" s="420">
        <f t="shared" ref="F2067:G2067" si="1363">SUM(F2064:F2066)</f>
        <v>0</v>
      </c>
      <c r="G2067" s="421">
        <f t="shared" si="1363"/>
        <v>13430980.368000001</v>
      </c>
      <c r="H2067" s="404"/>
      <c r="I2067" s="420">
        <f t="shared" ref="I2067" si="1364">SUM(I2064:I2066)</f>
        <v>0</v>
      </c>
      <c r="J2067" s="436">
        <f>SUM(J2064:J2066)</f>
        <v>18763056</v>
      </c>
    </row>
    <row r="2068" spans="1:10" ht="24" thickBot="1" x14ac:dyDescent="0.35">
      <c r="A2068" s="277" t="s">
        <v>109</v>
      </c>
      <c r="B2068" s="932" t="s">
        <v>172</v>
      </c>
      <c r="C2068" s="933"/>
      <c r="D2068" s="934"/>
      <c r="E2068" s="405"/>
      <c r="F2068" s="422">
        <f t="shared" ref="F2068:G2068" si="1365">+F2063+F2067</f>
        <v>0</v>
      </c>
      <c r="G2068" s="423">
        <f t="shared" si="1365"/>
        <v>14780760.5088</v>
      </c>
      <c r="H2068" s="406"/>
      <c r="I2068" s="422">
        <f t="shared" ref="I2068:J2068" si="1366">+I2063+I2067</f>
        <v>0</v>
      </c>
      <c r="J2068" s="437">
        <f t="shared" si="1366"/>
        <v>20749098.239999998</v>
      </c>
    </row>
    <row r="2069" spans="1:10" ht="24" thickBot="1" x14ac:dyDescent="0.35">
      <c r="A2069" s="277" t="s">
        <v>109</v>
      </c>
      <c r="B2069" s="617" t="s">
        <v>32</v>
      </c>
      <c r="C2069" s="857"/>
      <c r="D2069" s="316"/>
      <c r="E2069" s="517">
        <v>12.2659</v>
      </c>
      <c r="F2069" s="414">
        <f>IFERROR(E2069*'01 Prod Physique Boites'!H2051,"-")</f>
        <v>0</v>
      </c>
      <c r="G2069" s="415">
        <f>IFERROR(E2069*'01 Prod Physique Boites'!L2051,"-")</f>
        <v>0</v>
      </c>
      <c r="H2069" s="398"/>
      <c r="I2069" s="432">
        <f>IFERROR(H2069*(F2069/E2069),"-")</f>
        <v>0</v>
      </c>
      <c r="J2069" s="433">
        <f>IFERROR(H2069*(G2069/E2069),"-")</f>
        <v>0</v>
      </c>
    </row>
    <row r="2070" spans="1:10" ht="24" thickBot="1" x14ac:dyDescent="0.35">
      <c r="A2070" s="277" t="s">
        <v>109</v>
      </c>
      <c r="B2070" s="926" t="s">
        <v>21</v>
      </c>
      <c r="C2070" s="927"/>
      <c r="D2070" s="928"/>
      <c r="E2070" s="399"/>
      <c r="F2070" s="416">
        <f t="shared" ref="F2070" si="1367">+F2059+F2068+F2069</f>
        <v>1205108.8452000001</v>
      </c>
      <c r="G2070" s="417">
        <f>+G2059+G2068+G2069</f>
        <v>48415162.629600003</v>
      </c>
      <c r="H2070" s="400"/>
      <c r="I2070" s="416">
        <f t="shared" ref="I2070:J2070" si="1368">+I2059+I2068+I2069</f>
        <v>1671157.8</v>
      </c>
      <c r="J2070" s="434">
        <f t="shared" si="1368"/>
        <v>67627162.979999989</v>
      </c>
    </row>
    <row r="2071" spans="1:10" ht="24" thickBot="1" x14ac:dyDescent="0.35">
      <c r="A2071" s="277" t="s">
        <v>109</v>
      </c>
      <c r="B2071" s="900" t="s">
        <v>180</v>
      </c>
      <c r="C2071" s="901"/>
      <c r="D2071" s="902"/>
      <c r="E2071" s="401"/>
      <c r="F2071" s="418">
        <f t="shared" ref="F2071:G2071" si="1369">+F2070</f>
        <v>1205108.8452000001</v>
      </c>
      <c r="G2071" s="419">
        <f t="shared" si="1369"/>
        <v>48415162.629600003</v>
      </c>
      <c r="H2071" s="402"/>
      <c r="I2071" s="418">
        <f t="shared" ref="I2071:J2071" si="1370">+I2070</f>
        <v>1671157.8</v>
      </c>
      <c r="J2071" s="435">
        <f t="shared" si="1370"/>
        <v>67627162.979999989</v>
      </c>
    </row>
    <row r="2072" spans="1:10" ht="23.4" x14ac:dyDescent="0.3">
      <c r="A2072" s="271" t="s">
        <v>110</v>
      </c>
      <c r="B2072" s="903" t="s">
        <v>33</v>
      </c>
      <c r="C2072" s="317" t="s">
        <v>121</v>
      </c>
      <c r="D2072" s="317"/>
      <c r="E2072" s="513">
        <v>254.89750000000001</v>
      </c>
      <c r="F2072" s="408">
        <f>IFERROR(E2072*'01 Prod Physique Boites'!H2054,"-")</f>
        <v>0</v>
      </c>
      <c r="G2072" s="409">
        <f>IFERROR(E2072*'01 Prod Physique Boites'!L2054,"-")</f>
        <v>0</v>
      </c>
      <c r="H2072" s="387">
        <v>445.38</v>
      </c>
      <c r="I2072" s="425">
        <f>IFERROR(H2072*(F2072/E2072),"-")</f>
        <v>0</v>
      </c>
      <c r="J2072" s="426">
        <f t="shared" ref="J2072:J2074" si="1371">IFERROR(H2072*(G2072/E2072),"-")</f>
        <v>0</v>
      </c>
    </row>
    <row r="2073" spans="1:10" ht="23.4" x14ac:dyDescent="0.3">
      <c r="A2073" s="277" t="s">
        <v>110</v>
      </c>
      <c r="B2073" s="904"/>
      <c r="C2073" s="318" t="s">
        <v>274</v>
      </c>
      <c r="D2073" s="318"/>
      <c r="E2073" s="514">
        <v>246.51390000000001</v>
      </c>
      <c r="F2073" s="408">
        <f>IFERROR(E2073*'01 Prod Physique Boites'!H2055,"-")</f>
        <v>0</v>
      </c>
      <c r="G2073" s="409">
        <f>IFERROR(E2073*'01 Prod Physique Boites'!L2055,"-")</f>
        <v>2287648.9920000001</v>
      </c>
      <c r="H2073" s="391">
        <v>430.02</v>
      </c>
      <c r="I2073" s="427">
        <f>IFERROR(H2073*(F2073/E2073),"-")</f>
        <v>0</v>
      </c>
      <c r="J2073" s="428">
        <f t="shared" si="1371"/>
        <v>3990585.5999999996</v>
      </c>
    </row>
    <row r="2074" spans="1:10" ht="24" thickBot="1" x14ac:dyDescent="0.35">
      <c r="A2074" s="277" t="s">
        <v>110</v>
      </c>
      <c r="B2074" s="905"/>
      <c r="C2074" s="319" t="s">
        <v>34</v>
      </c>
      <c r="D2074" s="319"/>
      <c r="E2074" s="511">
        <v>225.7713</v>
      </c>
      <c r="F2074" s="408">
        <f>IFERROR(E2074*'01 Prod Physique Boites'!H2056,"-")</f>
        <v>0</v>
      </c>
      <c r="G2074" s="409">
        <f>IFERROR(E2074*'01 Prod Physique Boites'!L2056,"-")</f>
        <v>0</v>
      </c>
      <c r="H2074" s="393"/>
      <c r="I2074" s="429">
        <f>IFERROR(H2074*(F2074/E2074),"-")</f>
        <v>0</v>
      </c>
      <c r="J2074" s="430">
        <f t="shared" si="1371"/>
        <v>0</v>
      </c>
    </row>
    <row r="2075" spans="1:10" ht="24" thickBot="1" x14ac:dyDescent="0.35">
      <c r="A2075" s="277" t="s">
        <v>110</v>
      </c>
      <c r="B2075" s="906" t="s">
        <v>35</v>
      </c>
      <c r="C2075" s="907"/>
      <c r="D2075" s="908"/>
      <c r="E2075" s="396"/>
      <c r="F2075" s="412">
        <f t="shared" ref="F2075:G2075" si="1372">SUM(F2072:F2074)</f>
        <v>0</v>
      </c>
      <c r="G2075" s="413">
        <f t="shared" si="1372"/>
        <v>2287648.9920000001</v>
      </c>
      <c r="H2075" s="397"/>
      <c r="I2075" s="412">
        <f t="shared" ref="I2075:J2075" si="1373">SUM(I2072:I2074)</f>
        <v>0</v>
      </c>
      <c r="J2075" s="431">
        <f t="shared" si="1373"/>
        <v>3990585.5999999996</v>
      </c>
    </row>
    <row r="2076" spans="1:10" ht="23.4" x14ac:dyDescent="0.3">
      <c r="A2076" s="277" t="s">
        <v>110</v>
      </c>
      <c r="B2076" s="903" t="s">
        <v>36</v>
      </c>
      <c r="C2076" s="317" t="s">
        <v>121</v>
      </c>
      <c r="D2076" s="317"/>
      <c r="E2076" s="513">
        <v>254.89750000000001</v>
      </c>
      <c r="F2076" s="408">
        <f>IFERROR(E2076*'01 Prod Physique Boites'!H2058,"-")</f>
        <v>0</v>
      </c>
      <c r="G2076" s="409">
        <f>IFERROR(E2076*'01 Prod Physique Boites'!L2058,"-")</f>
        <v>0</v>
      </c>
      <c r="H2076" s="387">
        <v>445.38</v>
      </c>
      <c r="I2076" s="425">
        <f>IFERROR(H2076*(F2076/E2076),"-")</f>
        <v>0</v>
      </c>
      <c r="J2076" s="426">
        <f t="shared" ref="J2076:J2079" si="1374">IFERROR(H2076*(G2076/E2076),"-")</f>
        <v>0</v>
      </c>
    </row>
    <row r="2077" spans="1:10" ht="23.4" x14ac:dyDescent="0.3">
      <c r="A2077" s="277" t="s">
        <v>110</v>
      </c>
      <c r="B2077" s="904"/>
      <c r="C2077" s="318" t="s">
        <v>274</v>
      </c>
      <c r="D2077" s="318"/>
      <c r="E2077" s="514">
        <v>246.51390000000001</v>
      </c>
      <c r="F2077" s="408">
        <f>IFERROR(E2077*'01 Prod Physique Boites'!H2059,"-")</f>
        <v>0</v>
      </c>
      <c r="G2077" s="409">
        <f>IFERROR(E2077*'01 Prod Physique Boites'!L2059,"-")</f>
        <v>16383806.821800001</v>
      </c>
      <c r="H2077" s="391">
        <v>430.02</v>
      </c>
      <c r="I2077" s="427">
        <f>IFERROR(H2077*(F2077/E2077),"-")</f>
        <v>0</v>
      </c>
      <c r="J2077" s="428">
        <f t="shared" si="1374"/>
        <v>28579989.239999998</v>
      </c>
    </row>
    <row r="2078" spans="1:10" ht="23.4" x14ac:dyDescent="0.3">
      <c r="A2078" s="277" t="s">
        <v>110</v>
      </c>
      <c r="B2078" s="904"/>
      <c r="C2078" s="318" t="s">
        <v>201</v>
      </c>
      <c r="D2078" s="318" t="s">
        <v>200</v>
      </c>
      <c r="E2078" s="514">
        <v>254.89750000000001</v>
      </c>
      <c r="F2078" s="408">
        <f>IFERROR(E2078*'01 Prod Physique Boites'!H2060,"-")</f>
        <v>0</v>
      </c>
      <c r="G2078" s="409">
        <f>IFERROR(E2078*'01 Prod Physique Boites'!L2060,"-")</f>
        <v>0</v>
      </c>
      <c r="H2078" s="391"/>
      <c r="I2078" s="427">
        <f>IFERROR(H2078*(F2078/E2078),"-")</f>
        <v>0</v>
      </c>
      <c r="J2078" s="428">
        <f t="shared" si="1374"/>
        <v>0</v>
      </c>
    </row>
    <row r="2079" spans="1:10" ht="24" thickBot="1" x14ac:dyDescent="0.35">
      <c r="A2079" s="277" t="s">
        <v>110</v>
      </c>
      <c r="B2079" s="905"/>
      <c r="C2079" s="319" t="s">
        <v>37</v>
      </c>
      <c r="D2079" s="319"/>
      <c r="E2079" s="511">
        <v>229.99359999999999</v>
      </c>
      <c r="F2079" s="408">
        <f>IFERROR(E2079*'01 Prod Physique Boites'!H2061,"-")</f>
        <v>0</v>
      </c>
      <c r="G2079" s="409">
        <f>IFERROR(E2079*'01 Prod Physique Boites'!L2061,"-")</f>
        <v>0</v>
      </c>
      <c r="H2079" s="393"/>
      <c r="I2079" s="429">
        <f>IFERROR(H2079*(F2079/E2079),"-")</f>
        <v>0</v>
      </c>
      <c r="J2079" s="430">
        <f t="shared" si="1374"/>
        <v>0</v>
      </c>
    </row>
    <row r="2080" spans="1:10" ht="24" thickBot="1" x14ac:dyDescent="0.35">
      <c r="A2080" s="277" t="s">
        <v>110</v>
      </c>
      <c r="B2080" s="906" t="s">
        <v>38</v>
      </c>
      <c r="C2080" s="907"/>
      <c r="D2080" s="908"/>
      <c r="E2080" s="396"/>
      <c r="F2080" s="412">
        <f t="shared" ref="F2080:G2080" si="1375">SUM(F2076:F2079)</f>
        <v>0</v>
      </c>
      <c r="G2080" s="413">
        <f t="shared" si="1375"/>
        <v>16383806.821800001</v>
      </c>
      <c r="H2080" s="397"/>
      <c r="I2080" s="412">
        <f>SUM(I2076:I2079)</f>
        <v>0</v>
      </c>
      <c r="J2080" s="431">
        <f>SUM(J2076:J2079)</f>
        <v>28579989.239999998</v>
      </c>
    </row>
    <row r="2081" spans="1:10" ht="23.4" x14ac:dyDescent="0.3">
      <c r="A2081" s="277" t="s">
        <v>110</v>
      </c>
      <c r="B2081" s="903" t="s">
        <v>39</v>
      </c>
      <c r="C2081" s="320" t="s">
        <v>124</v>
      </c>
      <c r="D2081" s="320"/>
      <c r="E2081" s="513">
        <v>195.2808</v>
      </c>
      <c r="F2081" s="408">
        <f>IFERROR(E2081*'01 Prod Physique Boites'!H2063,"-")</f>
        <v>0</v>
      </c>
      <c r="G2081" s="409">
        <f>IFERROR(E2081*'01 Prod Physique Boites'!L2063,"-")</f>
        <v>0</v>
      </c>
      <c r="H2081" s="387"/>
      <c r="I2081" s="425">
        <f>IFERROR(H2081*(F2081/E2081),"-")</f>
        <v>0</v>
      </c>
      <c r="J2081" s="426">
        <f t="shared" ref="J2081:J2082" si="1376">IFERROR(H2081*(G2081/E2081),"-")</f>
        <v>0</v>
      </c>
    </row>
    <row r="2082" spans="1:10" ht="24" thickBot="1" x14ac:dyDescent="0.35">
      <c r="A2082" s="277" t="s">
        <v>110</v>
      </c>
      <c r="B2082" s="905"/>
      <c r="C2082" s="290" t="s">
        <v>140</v>
      </c>
      <c r="D2082" s="290"/>
      <c r="E2082" s="511">
        <v>189.91890000000001</v>
      </c>
      <c r="F2082" s="408">
        <f>IFERROR(E2082*'01 Prod Physique Boites'!H2064,"-")</f>
        <v>455805.36000000004</v>
      </c>
      <c r="G2082" s="409">
        <f>IFERROR(E2082*'01 Prod Physique Boites'!L2064,"-")</f>
        <v>2528580.2346000001</v>
      </c>
      <c r="H2082" s="393">
        <v>320.35000000000002</v>
      </c>
      <c r="I2082" s="429">
        <f>IFERROR(H2082*(F2082/E2082),"-")</f>
        <v>768840</v>
      </c>
      <c r="J2082" s="430">
        <f t="shared" si="1376"/>
        <v>4265139.9000000004</v>
      </c>
    </row>
    <row r="2083" spans="1:10" ht="24" thickBot="1" x14ac:dyDescent="0.35">
      <c r="A2083" s="861" t="s">
        <v>110</v>
      </c>
      <c r="B2083" s="906" t="s">
        <v>40</v>
      </c>
      <c r="C2083" s="907"/>
      <c r="D2083" s="908"/>
      <c r="E2083" s="396"/>
      <c r="F2083" s="412">
        <f>SUM(F2081:F2082)</f>
        <v>455805.36000000004</v>
      </c>
      <c r="G2083" s="413">
        <f t="shared" ref="G2083" si="1377">SUM(G2081:G2082)</f>
        <v>2528580.2346000001</v>
      </c>
      <c r="H2083" s="397"/>
      <c r="I2083" s="412">
        <f t="shared" ref="I2083:J2083" si="1378">SUM(I2081:I2082)</f>
        <v>768840</v>
      </c>
      <c r="J2083" s="431">
        <f t="shared" si="1378"/>
        <v>4265139.9000000004</v>
      </c>
    </row>
    <row r="2084" spans="1:10" ht="23.4" x14ac:dyDescent="0.3">
      <c r="A2084" s="277" t="s">
        <v>110</v>
      </c>
      <c r="B2084" s="903" t="s">
        <v>41</v>
      </c>
      <c r="C2084" s="272" t="s">
        <v>346</v>
      </c>
      <c r="D2084" s="272" t="s">
        <v>263</v>
      </c>
      <c r="E2084" s="515">
        <v>37.248699999999999</v>
      </c>
      <c r="F2084" s="408">
        <f>IFERROR(E2084*'01 Prod Physique Boites'!H2066,"-")</f>
        <v>876089.424</v>
      </c>
      <c r="G2084" s="409">
        <f>IFERROR(E2084*'01 Prod Physique Boites'!L2066,"-")</f>
        <v>15065609.202</v>
      </c>
      <c r="H2084" s="387">
        <v>71.44</v>
      </c>
      <c r="I2084" s="425">
        <f>IFERROR(H2084*(F2084/E2084),"-")</f>
        <v>1680268.8</v>
      </c>
      <c r="J2084" s="426">
        <f>IFERROR(H2084*(G2084/E2084),"-")</f>
        <v>28894622.399999999</v>
      </c>
    </row>
    <row r="2085" spans="1:10" ht="23.4" x14ac:dyDescent="0.3">
      <c r="A2085" s="277" t="s">
        <v>110</v>
      </c>
      <c r="B2085" s="904"/>
      <c r="C2085" s="272" t="s">
        <v>165</v>
      </c>
      <c r="D2085" s="278"/>
      <c r="E2085" s="515">
        <v>37.248699999999999</v>
      </c>
      <c r="F2085" s="408">
        <f>IFERROR(E2085*'01 Prod Physique Boites'!H2067,"-")</f>
        <v>0</v>
      </c>
      <c r="G2085" s="409">
        <f>IFERROR(E2085*'01 Prod Physique Boites'!L2067,"-")</f>
        <v>0</v>
      </c>
      <c r="H2085" s="391"/>
      <c r="I2085" s="427">
        <f>IFERROR(H2085*(F2085/E2085),"-")</f>
        <v>0</v>
      </c>
      <c r="J2085" s="428">
        <f t="shared" ref="J2085:J2088" si="1379">IFERROR(H2085*(G2085/E2085),"-")</f>
        <v>0</v>
      </c>
    </row>
    <row r="2086" spans="1:10" ht="23.4" x14ac:dyDescent="0.3">
      <c r="A2086" s="277" t="s">
        <v>110</v>
      </c>
      <c r="B2086" s="904"/>
      <c r="C2086" s="278" t="s">
        <v>423</v>
      </c>
      <c r="D2086" s="272" t="s">
        <v>263</v>
      </c>
      <c r="E2086" s="516">
        <v>38.466099999999997</v>
      </c>
      <c r="F2086" s="408">
        <f>IFERROR(E2086*'01 Prod Physique Boites'!H2068,"-")</f>
        <v>0</v>
      </c>
      <c r="G2086" s="409">
        <f>IFERROR(E2086*'01 Prod Physique Boites'!L2068,"-")</f>
        <v>1306308.7559999998</v>
      </c>
      <c r="H2086" s="391">
        <v>71.44</v>
      </c>
      <c r="I2086" s="427">
        <f>IFERROR(H2086*(F2086/E2086),"-")</f>
        <v>0</v>
      </c>
      <c r="J2086" s="428">
        <f t="shared" si="1379"/>
        <v>2426102.4</v>
      </c>
    </row>
    <row r="2087" spans="1:10" ht="23.4" x14ac:dyDescent="0.3">
      <c r="A2087" s="277" t="s">
        <v>110</v>
      </c>
      <c r="B2087" s="904"/>
      <c r="C2087" s="278" t="s">
        <v>166</v>
      </c>
      <c r="D2087" s="278"/>
      <c r="E2087" s="516">
        <v>37.248699999999999</v>
      </c>
      <c r="F2087" s="408">
        <f>IFERROR(E2087*'01 Prod Physique Boites'!H2069,"-")</f>
        <v>0</v>
      </c>
      <c r="G2087" s="409">
        <f>IFERROR(E2087*'01 Prod Physique Boites'!L2069,"-")</f>
        <v>0</v>
      </c>
      <c r="H2087" s="391"/>
      <c r="I2087" s="427">
        <f>IFERROR(H2087*(F2087/E2087),"-")</f>
        <v>0</v>
      </c>
      <c r="J2087" s="428">
        <f t="shared" si="1379"/>
        <v>0</v>
      </c>
    </row>
    <row r="2088" spans="1:10" ht="24" thickBot="1" x14ac:dyDescent="0.35">
      <c r="A2088" s="277" t="s">
        <v>110</v>
      </c>
      <c r="B2088" s="905"/>
      <c r="C2088" s="282" t="s">
        <v>167</v>
      </c>
      <c r="D2088" s="282"/>
      <c r="E2088" s="512">
        <v>33.711399999999998</v>
      </c>
      <c r="F2088" s="408">
        <f>IFERROR(E2088*'01 Prod Physique Boites'!H2070,"-")</f>
        <v>0</v>
      </c>
      <c r="G2088" s="409">
        <f>IFERROR(E2088*'01 Prod Physique Boites'!L2070,"-")</f>
        <v>0</v>
      </c>
      <c r="H2088" s="393"/>
      <c r="I2088" s="429">
        <f>IFERROR(H2088*(F2088/E2088),"-")</f>
        <v>0</v>
      </c>
      <c r="J2088" s="430">
        <f t="shared" si="1379"/>
        <v>0</v>
      </c>
    </row>
    <row r="2089" spans="1:10" ht="24" thickBot="1" x14ac:dyDescent="0.35">
      <c r="A2089" s="277" t="s">
        <v>110</v>
      </c>
      <c r="B2089" s="906" t="s">
        <v>42</v>
      </c>
      <c r="C2089" s="907"/>
      <c r="D2089" s="908"/>
      <c r="E2089" s="396"/>
      <c r="F2089" s="412">
        <f>SUM(F2084:F2088)</f>
        <v>876089.424</v>
      </c>
      <c r="G2089" s="413">
        <f>SUM(G2084:G2088)</f>
        <v>16371917.957999999</v>
      </c>
      <c r="H2089" s="397"/>
      <c r="I2089" s="412">
        <f>SUM(I2084:I2088)</f>
        <v>1680268.8</v>
      </c>
      <c r="J2089" s="412">
        <f>SUM(J2084:J2088)</f>
        <v>31320724.799999997</v>
      </c>
    </row>
    <row r="2090" spans="1:10" ht="23.4" x14ac:dyDescent="0.3">
      <c r="A2090" s="277" t="s">
        <v>110</v>
      </c>
      <c r="B2090" s="903" t="s">
        <v>43</v>
      </c>
      <c r="C2090" s="272" t="s">
        <v>204</v>
      </c>
      <c r="D2090" s="272" t="s">
        <v>200</v>
      </c>
      <c r="E2090" s="515">
        <v>30.7499</v>
      </c>
      <c r="F2090" s="408">
        <f>IFERROR(E2090*'01 Prod Physique Boites'!H2072,"-")</f>
        <v>0</v>
      </c>
      <c r="G2090" s="409">
        <f>IFERROR(E2090*'01 Prod Physique Boites'!L2072,"-")</f>
        <v>0</v>
      </c>
      <c r="H2090" s="387"/>
      <c r="I2090" s="425">
        <f>IFERROR(H2090*(F2090/E2090),"-")</f>
        <v>0</v>
      </c>
      <c r="J2090" s="426">
        <f>IFERROR(H2090*(G2090/E2090),"-")</f>
        <v>0</v>
      </c>
    </row>
    <row r="2091" spans="1:10" ht="23.4" x14ac:dyDescent="0.3">
      <c r="A2091" s="277" t="s">
        <v>110</v>
      </c>
      <c r="B2091" s="904"/>
      <c r="C2091" s="278" t="s">
        <v>168</v>
      </c>
      <c r="D2091" s="278"/>
      <c r="E2091" s="516">
        <v>28.7</v>
      </c>
      <c r="F2091" s="408">
        <f>IFERROR(E2091*'01 Prod Physique Boites'!H2073,"-")</f>
        <v>0</v>
      </c>
      <c r="G2091" s="409">
        <f>IFERROR(E2091*'01 Prod Physique Boites'!L2073,"-")</f>
        <v>0</v>
      </c>
      <c r="H2091" s="391"/>
      <c r="I2091" s="427">
        <f>IFERROR(H2091*(F2091/E2091),"-")</f>
        <v>0</v>
      </c>
      <c r="J2091" s="428">
        <f t="shared" ref="J2091:J2092" si="1380">IFERROR(H2091*(G2091/E2091),"-")</f>
        <v>0</v>
      </c>
    </row>
    <row r="2092" spans="1:10" ht="24" thickBot="1" x14ac:dyDescent="0.35">
      <c r="A2092" s="277" t="s">
        <v>110</v>
      </c>
      <c r="B2092" s="905"/>
      <c r="C2092" s="282" t="s">
        <v>204</v>
      </c>
      <c r="D2092" s="282" t="s">
        <v>203</v>
      </c>
      <c r="E2092" s="512">
        <v>30.073599999999999</v>
      </c>
      <c r="F2092" s="408">
        <f>IFERROR(E2092*'01 Prod Physique Boites'!H2074,"-")</f>
        <v>0</v>
      </c>
      <c r="G2092" s="409">
        <f>IFERROR(E2092*'01 Prod Physique Boites'!L2074,"-")</f>
        <v>0</v>
      </c>
      <c r="H2092" s="393"/>
      <c r="I2092" s="429">
        <f>IFERROR(H2092*(F2092/E2092),"-")</f>
        <v>0</v>
      </c>
      <c r="J2092" s="430">
        <f t="shared" si="1380"/>
        <v>0</v>
      </c>
    </row>
    <row r="2093" spans="1:10" ht="24" thickBot="1" x14ac:dyDescent="0.35">
      <c r="A2093" s="277" t="s">
        <v>110</v>
      </c>
      <c r="B2093" s="909" t="s">
        <v>44</v>
      </c>
      <c r="C2093" s="910"/>
      <c r="D2093" s="911"/>
      <c r="E2093" s="396"/>
      <c r="F2093" s="412">
        <f t="shared" ref="F2093:G2093" si="1381">SUM(F2090:F2092)</f>
        <v>0</v>
      </c>
      <c r="G2093" s="413">
        <f t="shared" si="1381"/>
        <v>0</v>
      </c>
      <c r="H2093" s="397"/>
      <c r="I2093" s="412">
        <f t="shared" ref="I2093:J2093" si="1382">SUM(I2090:I2092)</f>
        <v>0</v>
      </c>
      <c r="J2093" s="431">
        <f t="shared" si="1382"/>
        <v>0</v>
      </c>
    </row>
    <row r="2094" spans="1:10" ht="23.4" x14ac:dyDescent="0.3">
      <c r="A2094" s="277" t="s">
        <v>110</v>
      </c>
      <c r="B2094" s="903" t="s">
        <v>45</v>
      </c>
      <c r="C2094" s="272" t="s">
        <v>169</v>
      </c>
      <c r="D2094" s="272"/>
      <c r="E2094" s="515">
        <v>36.684899999999999</v>
      </c>
      <c r="F2094" s="408">
        <f>IFERROR(E2094*'01 Prod Physique Boites'!H2076,"-")</f>
        <v>0</v>
      </c>
      <c r="G2094" s="409">
        <f>IFERROR(E2094*'01 Prod Physique Boites'!L2076,"-")</f>
        <v>0</v>
      </c>
      <c r="H2094" s="387"/>
      <c r="I2094" s="388" t="s">
        <v>209</v>
      </c>
      <c r="J2094" s="389" t="s">
        <v>209</v>
      </c>
    </row>
    <row r="2095" spans="1:10" ht="24" thickBot="1" x14ac:dyDescent="0.35">
      <c r="A2095" s="277" t="s">
        <v>110</v>
      </c>
      <c r="B2095" s="905"/>
      <c r="C2095" s="282" t="s">
        <v>170</v>
      </c>
      <c r="D2095" s="282"/>
      <c r="E2095" s="512">
        <v>37.002800000000001</v>
      </c>
      <c r="F2095" s="408">
        <f>IFERROR(E2095*'01 Prod Physique Boites'!H2077,"-")</f>
        <v>0</v>
      </c>
      <c r="G2095" s="409">
        <f>IFERROR(E2095*'01 Prod Physique Boites'!L2077,"-")</f>
        <v>0</v>
      </c>
      <c r="H2095" s="393"/>
      <c r="I2095" s="394" t="s">
        <v>209</v>
      </c>
      <c r="J2095" s="395" t="s">
        <v>209</v>
      </c>
    </row>
    <row r="2096" spans="1:10" ht="24" thickBot="1" x14ac:dyDescent="0.35">
      <c r="A2096" s="277" t="s">
        <v>110</v>
      </c>
      <c r="B2096" s="909" t="s">
        <v>46</v>
      </c>
      <c r="C2096" s="910"/>
      <c r="D2096" s="911"/>
      <c r="E2096" s="396"/>
      <c r="F2096" s="412">
        <f t="shared" ref="F2096:G2096" si="1383">SUM(F2094:F2095)</f>
        <v>0</v>
      </c>
      <c r="G2096" s="413">
        <f t="shared" si="1383"/>
        <v>0</v>
      </c>
      <c r="H2096" s="397"/>
      <c r="I2096" s="412">
        <f t="shared" ref="I2096:J2096" si="1384">SUM(I2094:I2095)</f>
        <v>0</v>
      </c>
      <c r="J2096" s="431">
        <f t="shared" si="1384"/>
        <v>0</v>
      </c>
    </row>
    <row r="2097" spans="1:10" ht="24" thickBot="1" x14ac:dyDescent="0.35">
      <c r="A2097" s="277" t="s">
        <v>110</v>
      </c>
      <c r="B2097" s="912" t="s">
        <v>25</v>
      </c>
      <c r="C2097" s="913"/>
      <c r="D2097" s="914"/>
      <c r="E2097" s="399"/>
      <c r="F2097" s="416">
        <f t="shared" ref="F2097:G2097" si="1385">+F2075+F2080+F2083+F2089+F2093+F2096</f>
        <v>1331894.784</v>
      </c>
      <c r="G2097" s="417">
        <f t="shared" si="1385"/>
        <v>37571954.006399997</v>
      </c>
      <c r="H2097" s="400"/>
      <c r="I2097" s="416">
        <f>+I2075+I2080+I2083+I2089+I2093+I2096</f>
        <v>2449108.7999999998</v>
      </c>
      <c r="J2097" s="434">
        <f>+J2075+J2080+J2083+J2089+J2093+J2096</f>
        <v>68156439.539999992</v>
      </c>
    </row>
    <row r="2098" spans="1:10" ht="24" thickBot="1" x14ac:dyDescent="0.35">
      <c r="A2098" s="324" t="s">
        <v>110</v>
      </c>
      <c r="B2098" s="901" t="s">
        <v>182</v>
      </c>
      <c r="C2098" s="901"/>
      <c r="D2098" s="902"/>
      <c r="E2098" s="401"/>
      <c r="F2098" s="418">
        <f t="shared" ref="F2098:G2098" si="1386">+F2097</f>
        <v>1331894.784</v>
      </c>
      <c r="G2098" s="419">
        <f t="shared" si="1386"/>
        <v>37571954.006399997</v>
      </c>
      <c r="H2098" s="402"/>
      <c r="I2098" s="418">
        <f t="shared" ref="I2098" si="1387">+I2097</f>
        <v>2449108.7999999998</v>
      </c>
      <c r="J2098" s="435">
        <f>+J2097</f>
        <v>68156439.539999992</v>
      </c>
    </row>
    <row r="2099" spans="1:10" ht="24.6" thickBot="1" x14ac:dyDescent="0.35">
      <c r="A2099" s="325"/>
      <c r="B2099" s="915" t="s">
        <v>183</v>
      </c>
      <c r="C2099" s="916"/>
      <c r="D2099" s="917"/>
      <c r="E2099" s="407"/>
      <c r="F2099" s="424">
        <f t="shared" ref="F2099:G2099" si="1388">+F2044+F2071+F2098</f>
        <v>3441529.0068000001</v>
      </c>
      <c r="G2099" s="424">
        <f t="shared" si="1388"/>
        <v>150587238.64449999</v>
      </c>
      <c r="H2099" s="407"/>
      <c r="I2099" s="424">
        <f t="shared" ref="I2099:J2099" si="1389">+I2044+I2071+I2098</f>
        <v>5240128.68</v>
      </c>
      <c r="J2099" s="438">
        <f t="shared" si="1389"/>
        <v>233216611.09999999</v>
      </c>
    </row>
    <row r="2100" spans="1:10" ht="23.4" x14ac:dyDescent="0.3">
      <c r="A2100" s="935" t="s">
        <v>1</v>
      </c>
      <c r="B2100" s="938" t="s">
        <v>2</v>
      </c>
      <c r="C2100" s="941" t="s">
        <v>3</v>
      </c>
      <c r="D2100" s="941" t="s">
        <v>93</v>
      </c>
      <c r="E2100" s="965" t="s">
        <v>176</v>
      </c>
      <c r="F2100" s="966"/>
      <c r="G2100" s="966"/>
      <c r="H2100" s="451"/>
      <c r="I2100" s="451"/>
      <c r="J2100" s="452"/>
    </row>
    <row r="2101" spans="1:10" ht="23.4" x14ac:dyDescent="0.3">
      <c r="A2101" s="936"/>
      <c r="B2101" s="939"/>
      <c r="C2101" s="942"/>
      <c r="D2101" s="942"/>
      <c r="E2101" s="967" t="s">
        <v>178</v>
      </c>
      <c r="F2101" s="968"/>
      <c r="G2101" s="969"/>
      <c r="H2101" s="967" t="s">
        <v>177</v>
      </c>
      <c r="I2101" s="968"/>
      <c r="J2101" s="969"/>
    </row>
    <row r="2102" spans="1:10" ht="46.8" x14ac:dyDescent="0.3">
      <c r="A2102" s="937"/>
      <c r="B2102" s="963"/>
      <c r="C2102" s="964"/>
      <c r="D2102" s="964"/>
      <c r="E2102" s="385" t="s">
        <v>179</v>
      </c>
      <c r="F2102" s="874" t="s">
        <v>11</v>
      </c>
      <c r="G2102" s="875" t="s">
        <v>12</v>
      </c>
      <c r="H2102" s="970" t="s">
        <v>179</v>
      </c>
      <c r="I2102" s="972" t="s">
        <v>145</v>
      </c>
      <c r="J2102" s="974" t="s">
        <v>12</v>
      </c>
    </row>
    <row r="2103" spans="1:10" ht="24" thickBot="1" x14ac:dyDescent="0.35">
      <c r="A2103" s="937"/>
      <c r="B2103" s="940"/>
      <c r="C2103" s="943"/>
      <c r="D2103" s="943"/>
      <c r="E2103" s="976">
        <v>44528</v>
      </c>
      <c r="F2103" s="977"/>
      <c r="G2103" s="978"/>
      <c r="H2103" s="971"/>
      <c r="I2103" s="973"/>
      <c r="J2103" s="975"/>
    </row>
    <row r="2104" spans="1:10" ht="23.4" x14ac:dyDescent="0.3">
      <c r="A2104" s="271" t="s">
        <v>111</v>
      </c>
      <c r="B2104" s="922" t="s">
        <v>16</v>
      </c>
      <c r="C2104" s="272" t="s">
        <v>186</v>
      </c>
      <c r="D2104" s="272" t="s">
        <v>184</v>
      </c>
      <c r="E2104" s="515">
        <v>81.360699999999994</v>
      </c>
      <c r="F2104" s="408">
        <f>IFERROR(E2104*'01 Prod Physique Boites'!H2085,"-")</f>
        <v>0</v>
      </c>
      <c r="G2104" s="408">
        <f>IFERROR(E2104*'01 Prod Physique Boites'!L2085,"-")</f>
        <v>0</v>
      </c>
      <c r="H2104" s="387">
        <v>0</v>
      </c>
      <c r="I2104" s="425">
        <f>IFERROR(H2104*(F2104/E2104),"-")</f>
        <v>0</v>
      </c>
      <c r="J2104" s="426">
        <f t="shared" ref="J2104:J2106" si="1390">IFERROR(H2104*(G2104/E2104),"-")</f>
        <v>0</v>
      </c>
    </row>
    <row r="2105" spans="1:10" ht="23.4" x14ac:dyDescent="0.3">
      <c r="A2105" s="277" t="s">
        <v>111</v>
      </c>
      <c r="B2105" s="923"/>
      <c r="C2105" s="278" t="s">
        <v>190</v>
      </c>
      <c r="D2105" s="278" t="s">
        <v>101</v>
      </c>
      <c r="E2105" s="516">
        <v>81.360699999999994</v>
      </c>
      <c r="F2105" s="408">
        <f>IFERROR(E2105*'01 Prod Physique Boites'!H2086,"-")</f>
        <v>0</v>
      </c>
      <c r="G2105" s="408">
        <f>IFERROR(E2105*'01 Prod Physique Boites'!L2086,"-")</f>
        <v>0</v>
      </c>
      <c r="H2105" s="391">
        <v>0</v>
      </c>
      <c r="I2105" s="425">
        <f>IFERROR(H2105*(F2105/E2105),"-")</f>
        <v>0</v>
      </c>
      <c r="J2105" s="426">
        <f t="shared" si="1390"/>
        <v>0</v>
      </c>
    </row>
    <row r="2106" spans="1:10" ht="23.4" x14ac:dyDescent="0.3">
      <c r="A2106" s="277" t="s">
        <v>111</v>
      </c>
      <c r="B2106" s="923"/>
      <c r="C2106" s="278" t="s">
        <v>187</v>
      </c>
      <c r="D2106" s="278" t="s">
        <v>185</v>
      </c>
      <c r="E2106" s="516">
        <v>55.476900000000001</v>
      </c>
      <c r="F2106" s="408">
        <f>IFERROR(E2106*'01 Prod Physique Boites'!H2087,"-")</f>
        <v>0</v>
      </c>
      <c r="G2106" s="408">
        <f>IFERROR(E2106*'01 Prod Physique Boites'!L2087,"-")</f>
        <v>0</v>
      </c>
      <c r="H2106" s="391">
        <v>0</v>
      </c>
      <c r="I2106" s="425">
        <f>IFERROR(H2106*(F2106/E2106),"-")</f>
        <v>0</v>
      </c>
      <c r="J2106" s="426">
        <f t="shared" si="1390"/>
        <v>0</v>
      </c>
    </row>
    <row r="2107" spans="1:10" ht="24" thickBot="1" x14ac:dyDescent="0.35">
      <c r="A2107" s="277" t="s">
        <v>111</v>
      </c>
      <c r="B2107" s="924"/>
      <c r="C2107" s="282" t="s">
        <v>289</v>
      </c>
      <c r="D2107" s="282" t="s">
        <v>256</v>
      </c>
      <c r="E2107" s="512">
        <v>60.703499999999998</v>
      </c>
      <c r="F2107" s="408">
        <f>IFERROR(E2107*'01 Prod Physique Boites'!H2088,"-")</f>
        <v>0</v>
      </c>
      <c r="G2107" s="408">
        <f>IFERROR(E2107*'01 Prod Physique Boites'!L2088,"-")</f>
        <v>6314135.2560000001</v>
      </c>
      <c r="H2107" s="393">
        <v>111.09</v>
      </c>
      <c r="I2107" s="425">
        <f>IFERROR(H2107*(F2107/E2107),"-")</f>
        <v>0</v>
      </c>
      <c r="J2107" s="426">
        <f>IFERROR(H2107*(G2107/E2107),"-")</f>
        <v>11555137.439999999</v>
      </c>
    </row>
    <row r="2108" spans="1:10" ht="24" thickBot="1" x14ac:dyDescent="0.35">
      <c r="A2108" s="277" t="s">
        <v>111</v>
      </c>
      <c r="B2108" s="906" t="s">
        <v>47</v>
      </c>
      <c r="C2108" s="907"/>
      <c r="D2108" s="908"/>
      <c r="E2108" s="396"/>
      <c r="F2108" s="412">
        <f t="shared" ref="F2108" si="1391">SUM(F2104:F2107)</f>
        <v>0</v>
      </c>
      <c r="G2108" s="413">
        <f>SUM(G2104:G2107)</f>
        <v>6314135.2560000001</v>
      </c>
      <c r="H2108" s="397"/>
      <c r="I2108" s="412">
        <f t="shared" ref="I2108:J2108" si="1392">SUM(I2104:I2107)</f>
        <v>0</v>
      </c>
      <c r="J2108" s="431">
        <f t="shared" si="1392"/>
        <v>11555137.439999999</v>
      </c>
    </row>
    <row r="2109" spans="1:10" ht="23.4" x14ac:dyDescent="0.3">
      <c r="A2109" s="277" t="s">
        <v>111</v>
      </c>
      <c r="B2109" s="922" t="s">
        <v>17</v>
      </c>
      <c r="C2109" s="272" t="s">
        <v>331</v>
      </c>
      <c r="D2109" s="272"/>
      <c r="E2109" s="515">
        <v>12.5275</v>
      </c>
      <c r="F2109" s="408">
        <f>IFERROR(E2109*'01 Prod Physique Boites'!H2090,"-")</f>
        <v>0</v>
      </c>
      <c r="G2109" s="408">
        <f>IFERROR(E2109*'01 Prod Physique Boites'!L2090,"-")</f>
        <v>0</v>
      </c>
      <c r="H2109" s="387">
        <v>18.836400000000001</v>
      </c>
      <c r="I2109" s="425">
        <f t="shared" ref="I2109:I2115" si="1393">IFERROR(H2109*(F2109/E2109),"-")</f>
        <v>0</v>
      </c>
      <c r="J2109" s="426">
        <f t="shared" ref="J2109:J2114" si="1394">IFERROR(H2109*(G2109/E2109),"-")</f>
        <v>0</v>
      </c>
    </row>
    <row r="2110" spans="1:10" ht="23.4" x14ac:dyDescent="0.3">
      <c r="A2110" s="277" t="s">
        <v>111</v>
      </c>
      <c r="B2110" s="923"/>
      <c r="C2110" s="278" t="s">
        <v>421</v>
      </c>
      <c r="D2110" s="278" t="s">
        <v>257</v>
      </c>
      <c r="E2110" s="516">
        <v>13.002700000000001</v>
      </c>
      <c r="F2110" s="408">
        <f>IFERROR(E2110*'01 Prod Physique Boites'!H2091,"-")</f>
        <v>0</v>
      </c>
      <c r="G2110" s="408">
        <f>IFERROR(E2110*'01 Prod Physique Boites'!L2091,"-")</f>
        <v>16088487.761300001</v>
      </c>
      <c r="H2110" s="391">
        <v>21.18</v>
      </c>
      <c r="I2110" s="427">
        <f t="shared" si="1393"/>
        <v>0</v>
      </c>
      <c r="J2110" s="428">
        <f t="shared" si="1394"/>
        <v>26206416.419999998</v>
      </c>
    </row>
    <row r="2111" spans="1:10" ht="23.4" x14ac:dyDescent="0.3">
      <c r="A2111" s="277" t="s">
        <v>111</v>
      </c>
      <c r="B2111" s="923"/>
      <c r="C2111" s="278" t="s">
        <v>441</v>
      </c>
      <c r="D2111" s="278" t="s">
        <v>205</v>
      </c>
      <c r="E2111" s="516">
        <v>12.9049</v>
      </c>
      <c r="F2111" s="408">
        <f>IFERROR(E2111*'01 Prod Physique Boites'!H2092,"-")</f>
        <v>0</v>
      </c>
      <c r="G2111" s="408">
        <f>IFERROR(E2111*'01 Prod Physique Boites'!L2092,"-")</f>
        <v>0</v>
      </c>
      <c r="H2111" s="391">
        <v>20.6602</v>
      </c>
      <c r="I2111" s="427">
        <f t="shared" si="1393"/>
        <v>0</v>
      </c>
      <c r="J2111" s="428">
        <f t="shared" si="1394"/>
        <v>0</v>
      </c>
    </row>
    <row r="2112" spans="1:10" ht="23.4" x14ac:dyDescent="0.3">
      <c r="A2112" s="277" t="s">
        <v>111</v>
      </c>
      <c r="B2112" s="923"/>
      <c r="C2112" s="278" t="s">
        <v>330</v>
      </c>
      <c r="D2112" s="278" t="s">
        <v>206</v>
      </c>
      <c r="E2112" s="516">
        <v>13.078200000000001</v>
      </c>
      <c r="F2112" s="408">
        <f>IFERROR(E2112*'01 Prod Physique Boites'!H2093,"-")</f>
        <v>0</v>
      </c>
      <c r="G2112" s="408">
        <f>IFERROR(E2112*'01 Prod Physique Boites'!L2093,"-")</f>
        <v>24011.575200000003</v>
      </c>
      <c r="H2112" s="391">
        <v>20.6</v>
      </c>
      <c r="I2112" s="427">
        <f t="shared" si="1393"/>
        <v>0</v>
      </c>
      <c r="J2112" s="428">
        <f t="shared" si="1394"/>
        <v>37821.600000000006</v>
      </c>
    </row>
    <row r="2113" spans="1:10" ht="23.4" x14ac:dyDescent="0.3">
      <c r="A2113" s="277" t="s">
        <v>111</v>
      </c>
      <c r="B2113" s="923"/>
      <c r="C2113" s="278" t="s">
        <v>377</v>
      </c>
      <c r="D2113" s="278" t="s">
        <v>371</v>
      </c>
      <c r="E2113" s="516">
        <v>13.1958</v>
      </c>
      <c r="F2113" s="408">
        <f>IFERROR(E2113*'01 Prod Physique Boites'!H2094,"-")</f>
        <v>0</v>
      </c>
      <c r="G2113" s="408">
        <f>IFERROR(E2113*'01 Prod Physique Boites'!L2094,"-")</f>
        <v>140007.43799999999</v>
      </c>
      <c r="H2113" s="391">
        <v>21.28</v>
      </c>
      <c r="I2113" s="427">
        <f t="shared" si="1393"/>
        <v>0</v>
      </c>
      <c r="J2113" s="428">
        <f t="shared" si="1394"/>
        <v>225780.80000000002</v>
      </c>
    </row>
    <row r="2114" spans="1:10" ht="23.4" x14ac:dyDescent="0.3">
      <c r="A2114" s="277" t="s">
        <v>111</v>
      </c>
      <c r="B2114" s="923"/>
      <c r="C2114" s="278" t="s">
        <v>443</v>
      </c>
      <c r="D2114" s="278" t="s">
        <v>207</v>
      </c>
      <c r="E2114" s="516">
        <v>12.9049</v>
      </c>
      <c r="F2114" s="408">
        <f>IFERROR(E2114*'01 Prod Physique Boites'!H2095,"-")</f>
        <v>2132405.676</v>
      </c>
      <c r="G2114" s="408">
        <f>IFERROR(E2114*'01 Prod Physique Boites'!L2095,"-")</f>
        <v>8924512.6439999994</v>
      </c>
      <c r="H2114" s="812">
        <v>20.5</v>
      </c>
      <c r="I2114" s="427">
        <f t="shared" si="1393"/>
        <v>3387420</v>
      </c>
      <c r="J2114" s="428">
        <f t="shared" si="1394"/>
        <v>14176980</v>
      </c>
    </row>
    <row r="2115" spans="1:10" ht="24" thickBot="1" x14ac:dyDescent="0.35">
      <c r="A2115" s="277" t="s">
        <v>111</v>
      </c>
      <c r="B2115" s="924"/>
      <c r="C2115" s="282" t="s">
        <v>416</v>
      </c>
      <c r="D2115" s="282" t="s">
        <v>189</v>
      </c>
      <c r="E2115" s="512">
        <v>13.6509</v>
      </c>
      <c r="F2115" s="408">
        <f>IFERROR(E2115*'01 Prod Physique Boites'!H2096,"-")</f>
        <v>0</v>
      </c>
      <c r="G2115" s="408">
        <f>IFERROR(E2115*'01 Prod Physique Boites'!L2096,"-")</f>
        <v>1002522.096</v>
      </c>
      <c r="H2115" s="393">
        <v>21.18</v>
      </c>
      <c r="I2115" s="429">
        <f t="shared" si="1393"/>
        <v>0</v>
      </c>
      <c r="J2115" s="430">
        <f>IFERROR(H2115*(G2115/E2115),"-")</f>
        <v>1555459.2</v>
      </c>
    </row>
    <row r="2116" spans="1:10" ht="24" thickBot="1" x14ac:dyDescent="0.35">
      <c r="A2116" s="277" t="s">
        <v>111</v>
      </c>
      <c r="B2116" s="906" t="s">
        <v>48</v>
      </c>
      <c r="C2116" s="907"/>
      <c r="D2116" s="908"/>
      <c r="E2116" s="396"/>
      <c r="F2116" s="412">
        <f t="shared" ref="F2116" si="1395">SUM(F2109:F2115)</f>
        <v>2132405.676</v>
      </c>
      <c r="G2116" s="413">
        <f>SUM(G2109:G2115)</f>
        <v>26179541.5145</v>
      </c>
      <c r="H2116" s="397"/>
      <c r="I2116" s="412">
        <f t="shared" ref="I2116" si="1396">SUM(I2109:I2115)</f>
        <v>3387420</v>
      </c>
      <c r="J2116" s="431">
        <f>SUM(J2109:J2115)</f>
        <v>42202458.020000003</v>
      </c>
    </row>
    <row r="2117" spans="1:10" ht="23.4" x14ac:dyDescent="0.3">
      <c r="A2117" s="277" t="s">
        <v>111</v>
      </c>
      <c r="B2117" s="922" t="s">
        <v>18</v>
      </c>
      <c r="C2117" s="272" t="s">
        <v>359</v>
      </c>
      <c r="D2117" s="272" t="s">
        <v>99</v>
      </c>
      <c r="E2117" s="515">
        <v>17.8202</v>
      </c>
      <c r="F2117" s="408">
        <f>IFERROR(E2117*'01 Prod Physique Boites'!H2098,"-")</f>
        <v>0</v>
      </c>
      <c r="G2117" s="409">
        <f>IFERROR(E2117*'01 Prod Physique Boites'!L2098,"-")</f>
        <v>0</v>
      </c>
      <c r="H2117" s="387">
        <v>24.93</v>
      </c>
      <c r="I2117" s="425">
        <f t="shared" ref="I2117:I2123" si="1397">IFERROR(H2117*(F2117/E2117),"-")</f>
        <v>0</v>
      </c>
      <c r="J2117" s="426">
        <f t="shared" ref="J2117:J2119" si="1398">IFERROR(H2117*(G2117/E2117),"-")</f>
        <v>0</v>
      </c>
    </row>
    <row r="2118" spans="1:10" ht="23.4" x14ac:dyDescent="0.3">
      <c r="A2118" s="277" t="s">
        <v>111</v>
      </c>
      <c r="B2118" s="923"/>
      <c r="C2118" s="278" t="s">
        <v>138</v>
      </c>
      <c r="D2118" s="278"/>
      <c r="E2118" s="516">
        <v>17.8202</v>
      </c>
      <c r="F2118" s="408">
        <f>IFERROR(E2118*'01 Prod Physique Boites'!H2099,"-")</f>
        <v>0</v>
      </c>
      <c r="G2118" s="409">
        <f>IFERROR(E2118*'01 Prod Physique Boites'!L2099,"-")</f>
        <v>0</v>
      </c>
      <c r="H2118" s="391">
        <v>0</v>
      </c>
      <c r="I2118" s="427">
        <f t="shared" si="1397"/>
        <v>0</v>
      </c>
      <c r="J2118" s="428">
        <f t="shared" si="1398"/>
        <v>0</v>
      </c>
    </row>
    <row r="2119" spans="1:10" ht="23.4" x14ac:dyDescent="0.3">
      <c r="A2119" s="277" t="s">
        <v>111</v>
      </c>
      <c r="B2119" s="923"/>
      <c r="C2119" s="278" t="s">
        <v>123</v>
      </c>
      <c r="D2119" s="278"/>
      <c r="E2119" s="516">
        <v>16.4071</v>
      </c>
      <c r="F2119" s="408">
        <f>IFERROR(E2119*'01 Prod Physique Boites'!H2100,"-")</f>
        <v>0</v>
      </c>
      <c r="G2119" s="409">
        <f>IFERROR(E2119*'01 Prod Physique Boites'!L2100,"-")</f>
        <v>0</v>
      </c>
      <c r="H2119" s="391">
        <v>0</v>
      </c>
      <c r="I2119" s="427">
        <f t="shared" si="1397"/>
        <v>0</v>
      </c>
      <c r="J2119" s="428">
        <f t="shared" si="1398"/>
        <v>0</v>
      </c>
    </row>
    <row r="2120" spans="1:10" ht="23.4" x14ac:dyDescent="0.3">
      <c r="A2120" s="277" t="s">
        <v>111</v>
      </c>
      <c r="B2120" s="923"/>
      <c r="C2120" s="278" t="s">
        <v>130</v>
      </c>
      <c r="D2120" s="278"/>
      <c r="E2120" s="516">
        <v>17.8202</v>
      </c>
      <c r="F2120" s="408">
        <f>IFERROR(E2120*'01 Prod Physique Boites'!H2101,"-")</f>
        <v>0</v>
      </c>
      <c r="G2120" s="409">
        <f>IFERROR(E2120*'01 Prod Physique Boites'!L2101,"-")</f>
        <v>0</v>
      </c>
      <c r="H2120" s="391">
        <v>0</v>
      </c>
      <c r="I2120" s="427">
        <f t="shared" si="1397"/>
        <v>0</v>
      </c>
      <c r="J2120" s="428">
        <f>IFERROR(H2120*(G2120/E2120),"-")</f>
        <v>0</v>
      </c>
    </row>
    <row r="2121" spans="1:10" ht="23.4" x14ac:dyDescent="0.3">
      <c r="A2121" s="277" t="s">
        <v>111</v>
      </c>
      <c r="B2121" s="923"/>
      <c r="C2121" s="278" t="s">
        <v>191</v>
      </c>
      <c r="D2121" s="278" t="s">
        <v>192</v>
      </c>
      <c r="E2121" s="516">
        <v>17.8202</v>
      </c>
      <c r="F2121" s="408">
        <f>IFERROR(E2121*'01 Prod Physique Boites'!H2102,"-")</f>
        <v>0</v>
      </c>
      <c r="G2121" s="409">
        <f>IFERROR(E2121*'01 Prod Physique Boites'!L2102,"-")</f>
        <v>0</v>
      </c>
      <c r="H2121" s="391">
        <v>0</v>
      </c>
      <c r="I2121" s="427">
        <f t="shared" si="1397"/>
        <v>0</v>
      </c>
      <c r="J2121" s="428">
        <f t="shared" ref="J2121:J2123" si="1399">IFERROR(H2121*(G2121/E2121),"-")</f>
        <v>0</v>
      </c>
    </row>
    <row r="2122" spans="1:10" ht="23.4" x14ac:dyDescent="0.3">
      <c r="A2122" s="277" t="s">
        <v>111</v>
      </c>
      <c r="B2122" s="923"/>
      <c r="C2122" s="278" t="s">
        <v>194</v>
      </c>
      <c r="D2122" s="278" t="s">
        <v>193</v>
      </c>
      <c r="E2122" s="516">
        <v>16.7288</v>
      </c>
      <c r="F2122" s="408">
        <f>IFERROR(E2122*'01 Prod Physique Boites'!H2103,"-")</f>
        <v>0</v>
      </c>
      <c r="G2122" s="409">
        <f>IFERROR(E2122*'01 Prod Physique Boites'!L2103,"-")</f>
        <v>0</v>
      </c>
      <c r="H2122" s="391">
        <v>0</v>
      </c>
      <c r="I2122" s="427">
        <f t="shared" si="1397"/>
        <v>0</v>
      </c>
      <c r="J2122" s="428">
        <f t="shared" si="1399"/>
        <v>0</v>
      </c>
    </row>
    <row r="2123" spans="1:10" ht="24" thickBot="1" x14ac:dyDescent="0.35">
      <c r="A2123" s="277" t="s">
        <v>111</v>
      </c>
      <c r="B2123" s="924"/>
      <c r="C2123" s="290" t="s">
        <v>195</v>
      </c>
      <c r="D2123" s="290" t="s">
        <v>115</v>
      </c>
      <c r="E2123" s="512">
        <v>17.8202</v>
      </c>
      <c r="F2123" s="408">
        <f>IFERROR(E2123*'01 Prod Physique Boites'!H2104,"-")</f>
        <v>0</v>
      </c>
      <c r="G2123" s="409">
        <f>IFERROR(E2123*'01 Prod Physique Boites'!L2104,"-")</f>
        <v>0</v>
      </c>
      <c r="H2123" s="391">
        <v>0</v>
      </c>
      <c r="I2123" s="429">
        <f t="shared" si="1397"/>
        <v>0</v>
      </c>
      <c r="J2123" s="430">
        <f t="shared" si="1399"/>
        <v>0</v>
      </c>
    </row>
    <row r="2124" spans="1:10" ht="24" thickBot="1" x14ac:dyDescent="0.35">
      <c r="A2124" s="277" t="s">
        <v>111</v>
      </c>
      <c r="B2124" s="906" t="s">
        <v>29</v>
      </c>
      <c r="C2124" s="907"/>
      <c r="D2124" s="908"/>
      <c r="E2124" s="777"/>
      <c r="F2124" s="778">
        <f t="shared" ref="F2124:G2124" si="1400">SUM(F2117:F2123)</f>
        <v>0</v>
      </c>
      <c r="G2124" s="413">
        <f t="shared" si="1400"/>
        <v>0</v>
      </c>
      <c r="H2124" s="397"/>
      <c r="I2124" s="412">
        <f t="shared" ref="I2124:J2124" si="1401">SUM(I2117:I2123)</f>
        <v>0</v>
      </c>
      <c r="J2124" s="431">
        <f t="shared" si="1401"/>
        <v>0</v>
      </c>
    </row>
    <row r="2125" spans="1:10" ht="23.4" x14ac:dyDescent="0.3">
      <c r="A2125" s="277"/>
      <c r="B2125" s="918" t="s">
        <v>19</v>
      </c>
      <c r="C2125" s="779" t="s">
        <v>260</v>
      </c>
      <c r="D2125" s="785" t="s">
        <v>192</v>
      </c>
      <c r="E2125" s="786">
        <v>12.2659</v>
      </c>
      <c r="F2125" s="787">
        <f>IFERROR(E2125*'01 Prod Physique Boites'!H2106,"-")</f>
        <v>0</v>
      </c>
      <c r="G2125" s="788">
        <f>IFERROR(E2125*'01 Prod Physique Boites'!L2106,"-")</f>
        <v>4024662.5762</v>
      </c>
      <c r="H2125" s="782">
        <v>14.79</v>
      </c>
      <c r="I2125" s="703">
        <f t="shared" ref="I2125:I2127" si="1402">IFERROR(H2125*(F2125/E2125),"-")</f>
        <v>0</v>
      </c>
      <c r="J2125" s="703">
        <f>IFERROR(H2125*(G2125/E2125),"-")</f>
        <v>4852865.22</v>
      </c>
    </row>
    <row r="2126" spans="1:10" ht="23.4" x14ac:dyDescent="0.3">
      <c r="A2126" s="277"/>
      <c r="B2126" s="919"/>
      <c r="C2126" s="780" t="s">
        <v>458</v>
      </c>
      <c r="D2126" s="789"/>
      <c r="E2126" s="762">
        <v>12.2659</v>
      </c>
      <c r="F2126" s="763">
        <f>IFERROR(E2126*'01 Prod Physique Boites'!H2107,"-")</f>
        <v>621733.93920000002</v>
      </c>
      <c r="G2126" s="663">
        <f>IFERROR(E2126*'01 Prod Physique Boites'!L2107,"-")</f>
        <v>7253562.6239999998</v>
      </c>
      <c r="H2126" s="783">
        <v>14.55</v>
      </c>
      <c r="I2126" s="763">
        <f t="shared" si="1402"/>
        <v>737510.40000000002</v>
      </c>
      <c r="J2126" s="763">
        <f>IFERROR(H2126*(G2126/E2126),"-")</f>
        <v>8604288</v>
      </c>
    </row>
    <row r="2127" spans="1:10" ht="24" thickBot="1" x14ac:dyDescent="0.35">
      <c r="A2127" s="876" t="s">
        <v>111</v>
      </c>
      <c r="B2127" s="920"/>
      <c r="C2127" s="781" t="s">
        <v>417</v>
      </c>
      <c r="D2127" s="790"/>
      <c r="E2127" s="791">
        <v>0</v>
      </c>
      <c r="F2127" s="792">
        <f>IFERROR(E2127*'01 Prod Physique Boites'!H2108,"-")</f>
        <v>0</v>
      </c>
      <c r="G2127" s="793">
        <f>IFERROR(E2127*'01 Prod Physique Boites'!L2108,"-")</f>
        <v>0</v>
      </c>
      <c r="H2127" s="784">
        <v>0</v>
      </c>
      <c r="I2127" s="432" t="str">
        <f t="shared" si="1402"/>
        <v>-</v>
      </c>
      <c r="J2127" s="433" t="str">
        <f t="shared" ref="J2127" si="1403">IFERROR(I2127*(G2127/F2127),"-")</f>
        <v>-</v>
      </c>
    </row>
    <row r="2128" spans="1:10" ht="24" thickBot="1" x14ac:dyDescent="0.35">
      <c r="A2128" s="277" t="s">
        <v>111</v>
      </c>
      <c r="B2128" s="906" t="s">
        <v>49</v>
      </c>
      <c r="C2128" s="907"/>
      <c r="D2128" s="908"/>
      <c r="E2128" s="396"/>
      <c r="F2128" s="412">
        <f>SUM(F2125:F2127)</f>
        <v>621733.93920000002</v>
      </c>
      <c r="G2128" s="412">
        <f>SUM(G2125:G2127)</f>
        <v>11278225.200199999</v>
      </c>
      <c r="H2128" s="397"/>
      <c r="I2128" s="412">
        <f t="shared" ref="I2128" si="1404">SUM(I2127)</f>
        <v>0</v>
      </c>
      <c r="J2128" s="431">
        <f>SUM(J2125:J2127)</f>
        <v>13457153.219999999</v>
      </c>
    </row>
    <row r="2129" spans="1:10" ht="23.4" x14ac:dyDescent="0.3">
      <c r="A2129" s="277" t="s">
        <v>111</v>
      </c>
      <c r="B2129" s="922" t="s">
        <v>20</v>
      </c>
      <c r="C2129" s="297" t="s">
        <v>370</v>
      </c>
      <c r="D2129" s="297" t="s">
        <v>324</v>
      </c>
      <c r="E2129" s="515">
        <v>26.032900000000001</v>
      </c>
      <c r="F2129" s="408">
        <f>IFERROR(E2129*'01 Prod Physique Boites'!H2110,"-")</f>
        <v>0</v>
      </c>
      <c r="G2129" s="409">
        <f>IFERROR(E2129*'01 Prod Physique Boites'!L2110,"-")</f>
        <v>0</v>
      </c>
      <c r="H2129" s="387">
        <v>36.44</v>
      </c>
      <c r="I2129" s="425">
        <f>IFERROR(H2129*(F2129/E2129),"-")</f>
        <v>0</v>
      </c>
      <c r="J2129" s="426">
        <f t="shared" ref="J2129:J2131" si="1405">IFERROR(H2129*(G2129/E2129),"-")</f>
        <v>0</v>
      </c>
    </row>
    <row r="2130" spans="1:10" ht="23.4" x14ac:dyDescent="0.3">
      <c r="A2130" s="277" t="s">
        <v>111</v>
      </c>
      <c r="B2130" s="923"/>
      <c r="C2130" s="298" t="s">
        <v>122</v>
      </c>
      <c r="D2130" s="298"/>
      <c r="E2130" s="390">
        <v>24.2607</v>
      </c>
      <c r="F2130" s="408">
        <f>IFERROR(E2130*'01 Prod Physique Boites'!H2111,"-")</f>
        <v>0</v>
      </c>
      <c r="G2130" s="409">
        <f>IFERROR(E2130*'01 Prod Physique Boites'!L2111,"-")</f>
        <v>0</v>
      </c>
      <c r="H2130" s="391">
        <v>37.369999999999997</v>
      </c>
      <c r="I2130" s="427">
        <f>IFERROR(H2130*(F2130/E2130),"-")</f>
        <v>0</v>
      </c>
      <c r="J2130" s="428">
        <f t="shared" si="1405"/>
        <v>0</v>
      </c>
    </row>
    <row r="2131" spans="1:10" ht="24" thickBot="1" x14ac:dyDescent="0.35">
      <c r="A2131" s="277" t="s">
        <v>111</v>
      </c>
      <c r="B2131" s="924"/>
      <c r="C2131" s="299" t="s">
        <v>128</v>
      </c>
      <c r="D2131" s="299"/>
      <c r="E2131" s="392">
        <v>26.035799999999998</v>
      </c>
      <c r="F2131" s="408">
        <f>IFERROR(E2131*'01 Prod Physique Boites'!H2112,"-")</f>
        <v>0</v>
      </c>
      <c r="G2131" s="409">
        <f>IFERROR(E2131*'01 Prod Physique Boites'!L2112,"-")</f>
        <v>0</v>
      </c>
      <c r="H2131" s="393">
        <v>37.11</v>
      </c>
      <c r="I2131" s="429">
        <f>IFERROR(H2131*(F2131/E2131),"-")</f>
        <v>0</v>
      </c>
      <c r="J2131" s="430">
        <f t="shared" si="1405"/>
        <v>0</v>
      </c>
    </row>
    <row r="2132" spans="1:10" ht="24" thickBot="1" x14ac:dyDescent="0.35">
      <c r="A2132" s="277" t="s">
        <v>111</v>
      </c>
      <c r="B2132" s="907" t="s">
        <v>50</v>
      </c>
      <c r="C2132" s="907"/>
      <c r="D2132" s="925"/>
      <c r="E2132" s="396"/>
      <c r="F2132" s="412">
        <f t="shared" ref="F2132:G2132" si="1406">SUM(F2129:F2131)</f>
        <v>0</v>
      </c>
      <c r="G2132" s="413">
        <f t="shared" si="1406"/>
        <v>0</v>
      </c>
      <c r="H2132" s="397"/>
      <c r="I2132" s="412">
        <f t="shared" ref="I2132:J2132" si="1407">SUM(I2129:I2131)</f>
        <v>0</v>
      </c>
      <c r="J2132" s="431">
        <f t="shared" si="1407"/>
        <v>0</v>
      </c>
    </row>
    <row r="2133" spans="1:10" ht="24" thickBot="1" x14ac:dyDescent="0.35">
      <c r="A2133" s="277" t="s">
        <v>111</v>
      </c>
      <c r="B2133" s="926" t="s">
        <v>21</v>
      </c>
      <c r="C2133" s="927"/>
      <c r="D2133" s="928"/>
      <c r="E2133" s="399"/>
      <c r="F2133" s="416">
        <f>+F2108+F2116+F2124+F2128+F2132</f>
        <v>2754139.6151999999</v>
      </c>
      <c r="G2133" s="417">
        <f>+G2108+G2116+G2124+G2128+G2132</f>
        <v>43771901.970699996</v>
      </c>
      <c r="H2133" s="400"/>
      <c r="I2133" s="416">
        <f>+I2108+I2116+I2124+I2128+I2132</f>
        <v>3387420</v>
      </c>
      <c r="J2133" s="434">
        <f>+J2108+J2116+J2124+J2128+J2132</f>
        <v>67214748.680000007</v>
      </c>
    </row>
    <row r="2134" spans="1:10" ht="23.4" x14ac:dyDescent="0.3">
      <c r="A2134" s="277" t="s">
        <v>111</v>
      </c>
      <c r="B2134" s="922" t="s">
        <v>22</v>
      </c>
      <c r="C2134" s="272" t="s">
        <v>133</v>
      </c>
      <c r="D2134" s="272"/>
      <c r="E2134" s="386">
        <v>22.820599999999999</v>
      </c>
      <c r="F2134" s="408">
        <f>IFERROR(E2134*'01 Prod Physique Boites'!H2115,"-")</f>
        <v>0</v>
      </c>
      <c r="G2134" s="409">
        <f>IFERROR(E2134*'01 Prod Physique Boites'!L2115,"-")</f>
        <v>0</v>
      </c>
      <c r="H2134" s="387">
        <v>27.5</v>
      </c>
      <c r="I2134" s="425">
        <f>IFERROR(H2134*(F2134/E2134),"-")</f>
        <v>0</v>
      </c>
      <c r="J2134" s="426">
        <f t="shared" ref="J2134:J2137" si="1408">IFERROR(H2134*(G2134/E2134),"-")</f>
        <v>0</v>
      </c>
    </row>
    <row r="2135" spans="1:10" ht="23.4" x14ac:dyDescent="0.3">
      <c r="A2135" s="277" t="s">
        <v>111</v>
      </c>
      <c r="B2135" s="923"/>
      <c r="C2135" s="301" t="s">
        <v>291</v>
      </c>
      <c r="D2135" s="301" t="s">
        <v>196</v>
      </c>
      <c r="E2135" s="390">
        <v>23.570699999999999</v>
      </c>
      <c r="F2135" s="408">
        <f>IFERROR(E2135*'01 Prod Physique Boites'!H2116,"-")</f>
        <v>0</v>
      </c>
      <c r="G2135" s="409">
        <f>IFERROR(E2135*'01 Prod Physique Boites'!L2116,"-")</f>
        <v>0</v>
      </c>
      <c r="H2135" s="391">
        <v>27.5</v>
      </c>
      <c r="I2135" s="427">
        <f>IFERROR(H2135*(F2135/E2135),"-")</f>
        <v>0</v>
      </c>
      <c r="J2135" s="428">
        <f t="shared" si="1408"/>
        <v>0</v>
      </c>
    </row>
    <row r="2136" spans="1:10" ht="23.4" x14ac:dyDescent="0.3">
      <c r="A2136" s="277" t="s">
        <v>111</v>
      </c>
      <c r="B2136" s="923"/>
      <c r="C2136" s="301" t="s">
        <v>473</v>
      </c>
      <c r="D2136" s="301" t="s">
        <v>196</v>
      </c>
      <c r="E2136" s="390">
        <v>22.820599999999999</v>
      </c>
      <c r="F2136" s="408">
        <f>IFERROR(E2136*'01 Prod Physique Boites'!H2117,"-")</f>
        <v>1174804.4879999999</v>
      </c>
      <c r="G2136" s="409">
        <f>IFERROR(E2136*'01 Prod Physique Boites'!L2117,"-")</f>
        <v>8991772.811999999</v>
      </c>
      <c r="H2136" s="391">
        <v>27.5</v>
      </c>
      <c r="I2136" s="427">
        <f>IFERROR(H2136*(F2136/E2136),"-")</f>
        <v>1415700</v>
      </c>
      <c r="J2136" s="428">
        <f t="shared" si="1408"/>
        <v>10835550</v>
      </c>
    </row>
    <row r="2137" spans="1:10" ht="24" thickBot="1" x14ac:dyDescent="0.35">
      <c r="A2137" s="277" t="s">
        <v>111</v>
      </c>
      <c r="B2137" s="924"/>
      <c r="C2137" s="282" t="s">
        <v>197</v>
      </c>
      <c r="D2137" s="282" t="s">
        <v>100</v>
      </c>
      <c r="E2137" s="392">
        <v>23.5685</v>
      </c>
      <c r="F2137" s="408">
        <f>IFERROR(E2137*'01 Prod Physique Boites'!H2118,"-")</f>
        <v>0</v>
      </c>
      <c r="G2137" s="409">
        <f>IFERROR(E2137*'01 Prod Physique Boites'!L2118,"-")</f>
        <v>0</v>
      </c>
      <c r="H2137" s="393">
        <v>24</v>
      </c>
      <c r="I2137" s="429">
        <f>IFERROR(H2137*(F2137/E2137),"-")</f>
        <v>0</v>
      </c>
      <c r="J2137" s="430">
        <f t="shared" si="1408"/>
        <v>0</v>
      </c>
    </row>
    <row r="2138" spans="1:10" ht="24" thickBot="1" x14ac:dyDescent="0.35">
      <c r="A2138" s="277" t="s">
        <v>111</v>
      </c>
      <c r="B2138" s="906" t="s">
        <v>51</v>
      </c>
      <c r="C2138" s="907"/>
      <c r="D2138" s="908"/>
      <c r="E2138" s="396"/>
      <c r="F2138" s="412">
        <f t="shared" ref="F2138:G2138" si="1409">SUM(F2134:F2137)</f>
        <v>1174804.4879999999</v>
      </c>
      <c r="G2138" s="413">
        <f t="shared" si="1409"/>
        <v>8991772.811999999</v>
      </c>
      <c r="H2138" s="397"/>
      <c r="I2138" s="412">
        <f t="shared" ref="I2138:J2138" si="1410">SUM(I2134:I2137)</f>
        <v>1415700</v>
      </c>
      <c r="J2138" s="431">
        <f t="shared" si="1410"/>
        <v>10835550</v>
      </c>
    </row>
    <row r="2139" spans="1:10" ht="23.4" x14ac:dyDescent="0.3">
      <c r="A2139" s="277" t="s">
        <v>111</v>
      </c>
      <c r="B2139" s="922" t="s">
        <v>23</v>
      </c>
      <c r="C2139" s="302" t="s">
        <v>348</v>
      </c>
      <c r="D2139" s="302" t="s">
        <v>263</v>
      </c>
      <c r="E2139" s="386">
        <v>101.4935</v>
      </c>
      <c r="F2139" s="408">
        <f>IFERROR(E2139*'01 Prod Physique Boites'!H2120,"-")</f>
        <v>0</v>
      </c>
      <c r="G2139" s="409">
        <f>IFERROR(E2139*'01 Prod Physique Boites'!L2120,"-")</f>
        <v>0</v>
      </c>
      <c r="H2139" s="391">
        <v>160.44999999999999</v>
      </c>
      <c r="I2139" s="425">
        <f t="shared" ref="I2139:I2146" si="1411">IFERROR(H2139*(F2139/E2139),"-")</f>
        <v>0</v>
      </c>
      <c r="J2139" s="426">
        <f t="shared" ref="J2139:J2146" si="1412">IFERROR(H2139*(G2139/E2139),"-")</f>
        <v>0</v>
      </c>
    </row>
    <row r="2140" spans="1:10" ht="23.4" x14ac:dyDescent="0.3">
      <c r="A2140" s="277" t="s">
        <v>111</v>
      </c>
      <c r="B2140" s="923"/>
      <c r="C2140" s="278" t="s">
        <v>24</v>
      </c>
      <c r="D2140" s="278" t="s">
        <v>263</v>
      </c>
      <c r="E2140" s="390">
        <v>101.4935</v>
      </c>
      <c r="F2140" s="408">
        <f>IFERROR(E2140*'01 Prod Physique Boites'!H2121,"-")</f>
        <v>0</v>
      </c>
      <c r="G2140" s="409">
        <f>IFERROR(E2140*'01 Prod Physique Boites'!L2121,"-")</f>
        <v>11408275.374</v>
      </c>
      <c r="H2140" s="391">
        <v>160.44999999999999</v>
      </c>
      <c r="I2140" s="427">
        <f t="shared" si="1411"/>
        <v>0</v>
      </c>
      <c r="J2140" s="428">
        <f t="shared" si="1412"/>
        <v>18035221.799999997</v>
      </c>
    </row>
    <row r="2141" spans="1:10" ht="23.4" x14ac:dyDescent="0.3">
      <c r="A2141" s="277" t="s">
        <v>111</v>
      </c>
      <c r="B2141" s="923"/>
      <c r="C2141" s="278" t="s">
        <v>261</v>
      </c>
      <c r="D2141" s="278" t="s">
        <v>263</v>
      </c>
      <c r="E2141" s="390">
        <v>101.4935</v>
      </c>
      <c r="F2141" s="408">
        <f>IFERROR(E2141*'01 Prod Physique Boites'!H2122,"-")</f>
        <v>0</v>
      </c>
      <c r="G2141" s="409">
        <f>IFERROR(E2141*'01 Prod Physique Boites'!L2122,"-")</f>
        <v>1106380.6435</v>
      </c>
      <c r="H2141" s="391">
        <v>160.44999999999999</v>
      </c>
      <c r="I2141" s="427">
        <f t="shared" si="1411"/>
        <v>0</v>
      </c>
      <c r="J2141" s="428">
        <f t="shared" si="1412"/>
        <v>1749065.45</v>
      </c>
    </row>
    <row r="2142" spans="1:10" ht="23.4" x14ac:dyDescent="0.3">
      <c r="A2142" s="277" t="s">
        <v>111</v>
      </c>
      <c r="B2142" s="923"/>
      <c r="C2142" s="278" t="s">
        <v>262</v>
      </c>
      <c r="D2142" s="278" t="s">
        <v>263</v>
      </c>
      <c r="E2142" s="390">
        <v>101.4935</v>
      </c>
      <c r="F2142" s="408">
        <f>IFERROR(E2142*'01 Prod Physique Boites'!H2123,"-")</f>
        <v>0</v>
      </c>
      <c r="G2142" s="409">
        <f>IFERROR(E2142*'01 Prod Physique Boites'!L2123,"-")</f>
        <v>772568.522</v>
      </c>
      <c r="H2142" s="391">
        <v>160.44999999999999</v>
      </c>
      <c r="I2142" s="427">
        <f t="shared" si="1411"/>
        <v>0</v>
      </c>
      <c r="J2142" s="428">
        <f t="shared" si="1412"/>
        <v>1221345.3999999999</v>
      </c>
    </row>
    <row r="2143" spans="1:10" ht="23.4" x14ac:dyDescent="0.3">
      <c r="A2143" s="277" t="s">
        <v>111</v>
      </c>
      <c r="B2143" s="923"/>
      <c r="C2143" s="301" t="s">
        <v>264</v>
      </c>
      <c r="D2143" s="278" t="s">
        <v>263</v>
      </c>
      <c r="E2143" s="390">
        <v>101.4935</v>
      </c>
      <c r="F2143" s="408">
        <f>IFERROR(E2143*'01 Prod Physique Boites'!H2124,"-")</f>
        <v>0</v>
      </c>
      <c r="G2143" s="409">
        <f>IFERROR(E2143*'01 Prod Physique Boites'!L2124,"-")</f>
        <v>0</v>
      </c>
      <c r="H2143" s="391">
        <v>160.44999999999999</v>
      </c>
      <c r="I2143" s="427">
        <f t="shared" si="1411"/>
        <v>0</v>
      </c>
      <c r="J2143" s="428">
        <f t="shared" si="1412"/>
        <v>0</v>
      </c>
    </row>
    <row r="2144" spans="1:10" ht="23.4" x14ac:dyDescent="0.3">
      <c r="A2144" s="277" t="s">
        <v>111</v>
      </c>
      <c r="B2144" s="923"/>
      <c r="C2144" s="301" t="s">
        <v>265</v>
      </c>
      <c r="D2144" s="278" t="s">
        <v>263</v>
      </c>
      <c r="E2144" s="390">
        <v>101.4935</v>
      </c>
      <c r="F2144" s="408">
        <f>IFERROR(E2144*'01 Prod Physique Boites'!H2125,"-")</f>
        <v>0</v>
      </c>
      <c r="G2144" s="409">
        <f>IFERROR(E2144*'01 Prod Physique Boites'!L2125,"-")</f>
        <v>0</v>
      </c>
      <c r="H2144" s="391">
        <v>160.44999999999999</v>
      </c>
      <c r="I2144" s="427">
        <f t="shared" si="1411"/>
        <v>0</v>
      </c>
      <c r="J2144" s="428">
        <f t="shared" si="1412"/>
        <v>0</v>
      </c>
    </row>
    <row r="2145" spans="1:10" ht="23.4" x14ac:dyDescent="0.3">
      <c r="A2145" s="277" t="s">
        <v>111</v>
      </c>
      <c r="B2145" s="923"/>
      <c r="C2145" s="301" t="s">
        <v>266</v>
      </c>
      <c r="D2145" s="278" t="s">
        <v>268</v>
      </c>
      <c r="E2145" s="390">
        <v>101.4935</v>
      </c>
      <c r="F2145" s="408">
        <f>IFERROR(E2145*'01 Prod Physique Boites'!H2126,"-")</f>
        <v>0</v>
      </c>
      <c r="G2145" s="409">
        <f>IFERROR(E2145*'01 Prod Physique Boites'!L2126,"-")</f>
        <v>1057257.7895</v>
      </c>
      <c r="H2145" s="391">
        <v>160.44999999999999</v>
      </c>
      <c r="I2145" s="427">
        <f t="shared" si="1411"/>
        <v>0</v>
      </c>
      <c r="J2145" s="428">
        <f t="shared" si="1412"/>
        <v>1671407.65</v>
      </c>
    </row>
    <row r="2146" spans="1:10" ht="24" thickBot="1" x14ac:dyDescent="0.35">
      <c r="A2146" s="277" t="s">
        <v>111</v>
      </c>
      <c r="B2146" s="924"/>
      <c r="C2146" s="301" t="s">
        <v>267</v>
      </c>
      <c r="D2146" s="278" t="s">
        <v>263</v>
      </c>
      <c r="E2146" s="392">
        <v>101.4935</v>
      </c>
      <c r="F2146" s="408">
        <f>IFERROR(E2146*'01 Prod Physique Boites'!H2127,"-")</f>
        <v>0</v>
      </c>
      <c r="G2146" s="409">
        <f>IFERROR(E2146*'01 Prod Physique Boites'!L2127,"-")</f>
        <v>1420909</v>
      </c>
      <c r="H2146" s="391">
        <v>160.44999999999999</v>
      </c>
      <c r="I2146" s="429">
        <f t="shared" si="1411"/>
        <v>0</v>
      </c>
      <c r="J2146" s="430">
        <f t="shared" si="1412"/>
        <v>2246300</v>
      </c>
    </row>
    <row r="2147" spans="1:10" ht="24" thickBot="1" x14ac:dyDescent="0.35">
      <c r="A2147" s="277" t="s">
        <v>111</v>
      </c>
      <c r="B2147" s="906" t="s">
        <v>52</v>
      </c>
      <c r="C2147" s="907"/>
      <c r="D2147" s="908"/>
      <c r="E2147" s="396"/>
      <c r="F2147" s="412">
        <f t="shared" ref="F2147" si="1413">SUM(F2139:F2146)</f>
        <v>0</v>
      </c>
      <c r="G2147" s="413">
        <f>SUM(G2139:G2146)</f>
        <v>15765391.329</v>
      </c>
      <c r="H2147" s="397"/>
      <c r="I2147" s="412">
        <f t="shared" ref="I2147" si="1414">SUM(I2139:I2146)</f>
        <v>0</v>
      </c>
      <c r="J2147" s="431">
        <f>SUM(J2139:J2146)</f>
        <v>24923340.299999993</v>
      </c>
    </row>
    <row r="2148" spans="1:10" ht="24" thickBot="1" x14ac:dyDescent="0.35">
      <c r="A2148" s="277" t="s">
        <v>111</v>
      </c>
      <c r="B2148" s="926" t="s">
        <v>25</v>
      </c>
      <c r="C2148" s="927"/>
      <c r="D2148" s="928"/>
      <c r="E2148" s="399"/>
      <c r="F2148" s="416">
        <f t="shared" ref="F2148" si="1415">+F2138+F2147</f>
        <v>1174804.4879999999</v>
      </c>
      <c r="G2148" s="417">
        <f>+G2138+G2147</f>
        <v>24757164.140999999</v>
      </c>
      <c r="H2148" s="400"/>
      <c r="I2148" s="416">
        <f t="shared" ref="I2148:J2148" si="1416">+I2138+I2147</f>
        <v>1415700</v>
      </c>
      <c r="J2148" s="434">
        <f t="shared" si="1416"/>
        <v>35758890.299999997</v>
      </c>
    </row>
    <row r="2149" spans="1:10" ht="24" thickBot="1" x14ac:dyDescent="0.35">
      <c r="A2149" s="277" t="s">
        <v>111</v>
      </c>
      <c r="B2149" s="900" t="s">
        <v>181</v>
      </c>
      <c r="C2149" s="901"/>
      <c r="D2149" s="902"/>
      <c r="E2149" s="401"/>
      <c r="F2149" s="418">
        <f t="shared" ref="F2149" si="1417">+F2133+F2148</f>
        <v>3928944.1031999998</v>
      </c>
      <c r="G2149" s="419">
        <f>+G2133+G2148</f>
        <v>68529066.111699998</v>
      </c>
      <c r="H2149" s="402"/>
      <c r="I2149" s="418">
        <f t="shared" ref="I2149:J2149" si="1418">+I2133+I2148</f>
        <v>4803120</v>
      </c>
      <c r="J2149" s="435">
        <f t="shared" si="1418"/>
        <v>102973638.98</v>
      </c>
    </row>
    <row r="2150" spans="1:10" ht="23.4" x14ac:dyDescent="0.3">
      <c r="A2150" s="271" t="s">
        <v>109</v>
      </c>
      <c r="B2150" s="929" t="s">
        <v>26</v>
      </c>
      <c r="C2150" s="303" t="s">
        <v>334</v>
      </c>
      <c r="D2150" s="305" t="s">
        <v>192</v>
      </c>
      <c r="E2150" s="515">
        <v>13.1272</v>
      </c>
      <c r="F2150" s="408">
        <f>IFERROR(E2150*'01 Prod Physique Boites'!H2131,"-")</f>
        <v>0</v>
      </c>
      <c r="G2150" s="409">
        <f>IFERROR(E2150*'01 Prod Physique Boites'!L2131,"-")</f>
        <v>4229820.1295999996</v>
      </c>
      <c r="H2150" s="387">
        <v>20.76</v>
      </c>
      <c r="I2150" s="425">
        <f t="shared" ref="I2150:I2158" si="1419">IFERROR(H2150*(F2150/E2150),"-")</f>
        <v>0</v>
      </c>
      <c r="J2150" s="662">
        <f t="shared" ref="J2150:J2158" si="1420">IFERROR(H2150*(G2150/E2150),"-")</f>
        <v>6689245.6799999997</v>
      </c>
    </row>
    <row r="2151" spans="1:10" ht="23.4" x14ac:dyDescent="0.3">
      <c r="A2151" s="277" t="s">
        <v>109</v>
      </c>
      <c r="B2151" s="929"/>
      <c r="C2151" s="304" t="s">
        <v>199</v>
      </c>
      <c r="D2151" s="304" t="s">
        <v>115</v>
      </c>
      <c r="E2151" s="516">
        <v>14.608000000000001</v>
      </c>
      <c r="F2151" s="408">
        <f>IFERROR(E2151*'01 Prod Physique Boites'!H2132,"-")</f>
        <v>0</v>
      </c>
      <c r="G2151" s="409">
        <f>IFERROR(E2151*'01 Prod Physique Boites'!L2132,"-")</f>
        <v>0</v>
      </c>
      <c r="H2151" s="391">
        <v>24.93</v>
      </c>
      <c r="I2151" s="427">
        <f t="shared" si="1419"/>
        <v>0</v>
      </c>
      <c r="J2151" s="663">
        <f t="shared" si="1420"/>
        <v>0</v>
      </c>
    </row>
    <row r="2152" spans="1:10" ht="23.4" x14ac:dyDescent="0.3">
      <c r="A2152" s="277" t="s">
        <v>109</v>
      </c>
      <c r="B2152" s="929"/>
      <c r="C2152" s="305" t="s">
        <v>27</v>
      </c>
      <c r="D2152" s="305" t="s">
        <v>394</v>
      </c>
      <c r="E2152" s="512">
        <v>17.8202</v>
      </c>
      <c r="F2152" s="408">
        <f>IFERROR(E2152*'01 Prod Physique Boites'!H2133,"-")</f>
        <v>0</v>
      </c>
      <c r="G2152" s="409">
        <f>IFERROR(E2152*'01 Prod Physique Boites'!L2133,"-")</f>
        <v>354443.77799999999</v>
      </c>
      <c r="H2152" s="391">
        <v>21.22</v>
      </c>
      <c r="I2152" s="427">
        <f t="shared" si="1419"/>
        <v>0</v>
      </c>
      <c r="J2152" s="663">
        <f t="shared" si="1420"/>
        <v>422065.8</v>
      </c>
    </row>
    <row r="2153" spans="1:10" ht="23.4" x14ac:dyDescent="0.3">
      <c r="A2153" s="277" t="s">
        <v>109</v>
      </c>
      <c r="B2153" s="929"/>
      <c r="C2153" s="305" t="s">
        <v>27</v>
      </c>
      <c r="D2153" s="305" t="s">
        <v>259</v>
      </c>
      <c r="E2153" s="512">
        <v>17.8202</v>
      </c>
      <c r="F2153" s="408">
        <f>IFERROR(E2153*'01 Prod Physique Boites'!H2134,"-")</f>
        <v>0</v>
      </c>
      <c r="G2153" s="409">
        <f>IFERROR(E2153*'01 Prod Physique Boites'!L2134,"-")</f>
        <v>1346886.3563999999</v>
      </c>
      <c r="H2153" s="391">
        <v>24.93</v>
      </c>
      <c r="I2153" s="427">
        <f t="shared" si="1419"/>
        <v>0</v>
      </c>
      <c r="J2153" s="663">
        <f t="shared" si="1420"/>
        <v>1884259.26</v>
      </c>
    </row>
    <row r="2154" spans="1:10" ht="23.4" x14ac:dyDescent="0.3">
      <c r="A2154" s="277" t="s">
        <v>109</v>
      </c>
      <c r="B2154" s="929"/>
      <c r="C2154" s="305" t="s">
        <v>27</v>
      </c>
      <c r="D2154" s="305" t="s">
        <v>310</v>
      </c>
      <c r="E2154" s="512">
        <v>17.8202</v>
      </c>
      <c r="F2154" s="408">
        <f>IFERROR(E2154*'01 Prod Physique Boites'!H2135,"-")</f>
        <v>0</v>
      </c>
      <c r="G2154" s="409">
        <f>IFERROR(E2154*'01 Prod Physique Boites'!L2135,"-")</f>
        <v>141777.51120000001</v>
      </c>
      <c r="H2154" s="391">
        <v>24.93</v>
      </c>
      <c r="I2154" s="427">
        <f t="shared" si="1419"/>
        <v>0</v>
      </c>
      <c r="J2154" s="663">
        <f t="shared" si="1420"/>
        <v>198343.08000000002</v>
      </c>
    </row>
    <row r="2155" spans="1:10" ht="23.4" x14ac:dyDescent="0.3">
      <c r="A2155" s="277"/>
      <c r="B2155" s="929"/>
      <c r="C2155" s="305" t="s">
        <v>393</v>
      </c>
      <c r="D2155" s="305" t="s">
        <v>192</v>
      </c>
      <c r="E2155" s="512">
        <v>17.8202</v>
      </c>
      <c r="F2155" s="408">
        <f>IFERROR(E2155*'01 Prod Physique Boites'!H2136,"-")</f>
        <v>0</v>
      </c>
      <c r="G2155" s="409">
        <f>IFERROR(E2155*'01 Prod Physique Boites'!L2136,"-")</f>
        <v>0</v>
      </c>
      <c r="H2155" s="393">
        <v>21.22</v>
      </c>
      <c r="I2155" s="427">
        <f t="shared" si="1419"/>
        <v>0</v>
      </c>
      <c r="J2155" s="664">
        <f t="shared" si="1420"/>
        <v>0</v>
      </c>
    </row>
    <row r="2156" spans="1:10" ht="23.4" x14ac:dyDescent="0.3">
      <c r="A2156" s="277"/>
      <c r="B2156" s="929"/>
      <c r="C2156" s="305" t="s">
        <v>325</v>
      </c>
      <c r="D2156" s="305" t="s">
        <v>101</v>
      </c>
      <c r="E2156" s="512">
        <v>14.608000000000001</v>
      </c>
      <c r="F2156" s="408">
        <f>IFERROR(E2156*'01 Prod Physique Boites'!H2137,"-")</f>
        <v>0</v>
      </c>
      <c r="G2156" s="409">
        <f>IFERROR(E2156*'01 Prod Physique Boites'!L2137,"-")</f>
        <v>116221.24800000001</v>
      </c>
      <c r="H2156" s="393">
        <v>24.93</v>
      </c>
      <c r="I2156" s="429">
        <f t="shared" si="1419"/>
        <v>0</v>
      </c>
      <c r="J2156" s="664">
        <f t="shared" si="1420"/>
        <v>198343.08</v>
      </c>
    </row>
    <row r="2157" spans="1:10" ht="23.4" x14ac:dyDescent="0.3">
      <c r="A2157" s="277"/>
      <c r="B2157" s="929"/>
      <c r="C2157" s="305" t="s">
        <v>325</v>
      </c>
      <c r="D2157" s="305" t="s">
        <v>394</v>
      </c>
      <c r="E2157" s="512">
        <v>14.608000000000001</v>
      </c>
      <c r="F2157" s="408">
        <f>IFERROR(E2157*'01 Prod Physique Boites'!H2138,"-")</f>
        <v>0</v>
      </c>
      <c r="G2157" s="409">
        <f>IFERROR(E2157*'01 Prod Physique Boites'!L2138,"-")</f>
        <v>10401801.696</v>
      </c>
      <c r="H2157" s="393">
        <v>21.22</v>
      </c>
      <c r="I2157" s="429">
        <f t="shared" si="1419"/>
        <v>0</v>
      </c>
      <c r="J2157" s="664">
        <f t="shared" si="1420"/>
        <v>15109955.639999999</v>
      </c>
    </row>
    <row r="2158" spans="1:10" ht="24" thickBot="1" x14ac:dyDescent="0.35">
      <c r="A2158" s="277" t="s">
        <v>109</v>
      </c>
      <c r="B2158" s="929"/>
      <c r="C2158" s="306" t="s">
        <v>326</v>
      </c>
      <c r="D2158" s="305" t="s">
        <v>324</v>
      </c>
      <c r="E2158" s="512">
        <v>12.6997</v>
      </c>
      <c r="F2158" s="408">
        <f>IFERROR(E2158*'01 Prod Physique Boites'!H2139,"-")</f>
        <v>0</v>
      </c>
      <c r="G2158" s="409">
        <f>IFERROR(E2158*'01 Prod Physique Boites'!L2139,"-")</f>
        <v>101038.8132</v>
      </c>
      <c r="H2158" s="393">
        <v>13.25</v>
      </c>
      <c r="I2158" s="429">
        <f t="shared" si="1419"/>
        <v>0</v>
      </c>
      <c r="J2158" s="664">
        <f t="shared" si="1420"/>
        <v>105417</v>
      </c>
    </row>
    <row r="2159" spans="1:10" ht="24" thickBot="1" x14ac:dyDescent="0.35">
      <c r="A2159" s="277" t="s">
        <v>109</v>
      </c>
      <c r="B2159" s="930"/>
      <c r="C2159" s="307"/>
      <c r="D2159" s="308" t="s">
        <v>55</v>
      </c>
      <c r="E2159" s="396"/>
      <c r="F2159" s="412">
        <f>SUM(F2150:F2158)</f>
        <v>0</v>
      </c>
      <c r="G2159" s="413">
        <f t="shared" ref="G2159" si="1421">SUM(G2150:G2158)</f>
        <v>16691989.532400001</v>
      </c>
      <c r="H2159" s="397"/>
      <c r="I2159" s="412">
        <f t="shared" ref="I2159" si="1422">SUM(I2150:I2158)</f>
        <v>0</v>
      </c>
      <c r="J2159" s="431">
        <f>SUM(J2150:J2158)</f>
        <v>24607629.539999999</v>
      </c>
    </row>
    <row r="2160" spans="1:10" ht="23.4" x14ac:dyDescent="0.3">
      <c r="A2160" s="277" t="s">
        <v>109</v>
      </c>
      <c r="B2160" s="931" t="s">
        <v>28</v>
      </c>
      <c r="C2160" s="305" t="s">
        <v>27</v>
      </c>
      <c r="D2160" s="303" t="s">
        <v>310</v>
      </c>
      <c r="E2160" s="515">
        <v>17.8202</v>
      </c>
      <c r="F2160" s="408">
        <f>IFERROR(E2160*'01 Prod Physique Boites'!H2141,"-")</f>
        <v>0</v>
      </c>
      <c r="G2160" s="409">
        <f>IFERROR(E2160*'01 Prod Physique Boites'!L2141,"-")</f>
        <v>2551995.2015999998</v>
      </c>
      <c r="H2160" s="387">
        <v>24.93</v>
      </c>
      <c r="I2160" s="425">
        <f>IFERROR(H2160*(F2160/E2160),"-")</f>
        <v>0</v>
      </c>
      <c r="J2160" s="662">
        <f t="shared" ref="J2160:J2162" si="1423">IFERROR(H2160*(G2160/E2160),"-")</f>
        <v>3570175.44</v>
      </c>
    </row>
    <row r="2161" spans="1:10" ht="23.4" x14ac:dyDescent="0.3">
      <c r="A2161" s="277" t="s">
        <v>109</v>
      </c>
      <c r="B2161" s="929"/>
      <c r="C2161" s="305" t="s">
        <v>27</v>
      </c>
      <c r="D2161" s="305" t="s">
        <v>394</v>
      </c>
      <c r="E2161" s="512">
        <v>17.8202</v>
      </c>
      <c r="F2161" s="408">
        <f>IFERROR(E2161*'01 Prod Physique Boites'!H2142,"-")</f>
        <v>0</v>
      </c>
      <c r="G2161" s="409">
        <f>IFERROR(E2161*'01 Prod Physique Boites'!L2142,"-")</f>
        <v>6876209.2932000002</v>
      </c>
      <c r="H2161" s="391">
        <v>21.22</v>
      </c>
      <c r="I2161" s="427">
        <f>IFERROR(H2161*(F2161/E2161),"-")</f>
        <v>0</v>
      </c>
      <c r="J2161" s="663">
        <f t="shared" si="1423"/>
        <v>8188076.5199999996</v>
      </c>
    </row>
    <row r="2162" spans="1:10" ht="24" thickBot="1" x14ac:dyDescent="0.35">
      <c r="A2162" s="277" t="s">
        <v>109</v>
      </c>
      <c r="B2162" s="929"/>
      <c r="C2162" s="305" t="s">
        <v>27</v>
      </c>
      <c r="D2162" s="306" t="s">
        <v>259</v>
      </c>
      <c r="E2162" s="512">
        <v>17.8202</v>
      </c>
      <c r="F2162" s="408">
        <f>IFERROR(E2162*'01 Prod Physique Boites'!H2143,"-")</f>
        <v>567110.04480000003</v>
      </c>
      <c r="G2162" s="409">
        <f>IFERROR(E2162*'01 Prod Physique Boites'!L2143,"-")</f>
        <v>8081318.1383999996</v>
      </c>
      <c r="H2162" s="391">
        <v>24.93</v>
      </c>
      <c r="I2162" s="429">
        <f>IFERROR(H2162*(F2162/E2162),"-")</f>
        <v>793372.32000000007</v>
      </c>
      <c r="J2162" s="664">
        <f t="shared" si="1423"/>
        <v>11305555.560000001</v>
      </c>
    </row>
    <row r="2163" spans="1:10" ht="24" thickBot="1" x14ac:dyDescent="0.35">
      <c r="A2163" s="277" t="s">
        <v>109</v>
      </c>
      <c r="B2163" s="929"/>
      <c r="C2163" s="310"/>
      <c r="D2163" s="311" t="s">
        <v>55</v>
      </c>
      <c r="E2163" s="403"/>
      <c r="F2163" s="420">
        <f t="shared" ref="F2163:G2163" si="1424">SUM(F2160:F2162)</f>
        <v>567110.04480000003</v>
      </c>
      <c r="G2163" s="421">
        <f t="shared" si="1424"/>
        <v>17509522.633199997</v>
      </c>
      <c r="H2163" s="404"/>
      <c r="I2163" s="420">
        <f t="shared" ref="I2163:J2163" si="1425">SUM(I2160:I2162)</f>
        <v>793372.32000000007</v>
      </c>
      <c r="J2163" s="436">
        <f t="shared" si="1425"/>
        <v>23063807.52</v>
      </c>
    </row>
    <row r="2164" spans="1:10" ht="24" thickBot="1" x14ac:dyDescent="0.35">
      <c r="A2164" s="876" t="s">
        <v>109</v>
      </c>
      <c r="B2164" s="932" t="s">
        <v>171</v>
      </c>
      <c r="C2164" s="933"/>
      <c r="D2164" s="934"/>
      <c r="E2164" s="405"/>
      <c r="F2164" s="422">
        <f t="shared" ref="F2164:G2164" si="1426">+F2159+F2163</f>
        <v>567110.04480000003</v>
      </c>
      <c r="G2164" s="423">
        <f t="shared" si="1426"/>
        <v>34201512.165600002</v>
      </c>
      <c r="H2164" s="406"/>
      <c r="I2164" s="422">
        <f t="shared" ref="I2164:J2164" si="1427">+I2159+I2163</f>
        <v>793372.32000000007</v>
      </c>
      <c r="J2164" s="437">
        <f t="shared" si="1427"/>
        <v>47671437.060000002</v>
      </c>
    </row>
    <row r="2165" spans="1:10" ht="23.4" x14ac:dyDescent="0.3">
      <c r="A2165" s="277" t="s">
        <v>109</v>
      </c>
      <c r="B2165" s="929" t="s">
        <v>30</v>
      </c>
      <c r="C2165" s="309" t="s">
        <v>375</v>
      </c>
      <c r="D2165" s="303" t="s">
        <v>193</v>
      </c>
      <c r="E2165" s="515">
        <v>15.2788</v>
      </c>
      <c r="F2165" s="408">
        <f>IFERROR(E2165*'01 Prod Physique Boites'!H2146,"-")</f>
        <v>0</v>
      </c>
      <c r="G2165" s="409">
        <f>IFERROR(E2165*'01 Prod Physique Boites'!L2146,"-")</f>
        <v>0</v>
      </c>
      <c r="H2165" s="387">
        <v>23.65</v>
      </c>
      <c r="I2165" s="425">
        <f>IFERROR(H2165*(F2165/E2165),"-")</f>
        <v>0</v>
      </c>
      <c r="J2165" s="426">
        <f t="shared" ref="J2165:J2167" si="1428">IFERROR(H2165*(G2165/E2165),"-")</f>
        <v>0</v>
      </c>
    </row>
    <row r="2166" spans="1:10" ht="23.4" x14ac:dyDescent="0.3">
      <c r="A2166" s="277" t="s">
        <v>109</v>
      </c>
      <c r="B2166" s="929"/>
      <c r="C2166" s="309" t="s">
        <v>368</v>
      </c>
      <c r="D2166" s="309" t="s">
        <v>324</v>
      </c>
      <c r="E2166" s="516">
        <v>22.6356</v>
      </c>
      <c r="F2166" s="408">
        <f>IFERROR(E2166*'01 Prod Physique Boites'!H2147,"-")</f>
        <v>0</v>
      </c>
      <c r="G2166" s="409">
        <f>IFERROR(E2166*'01 Prod Physique Boites'!L2147,"-")</f>
        <v>0</v>
      </c>
      <c r="H2166" s="391">
        <v>34.26</v>
      </c>
      <c r="I2166" s="427">
        <f>IFERROR(H2166*(F2166/E2166),"-")</f>
        <v>0</v>
      </c>
      <c r="J2166" s="428">
        <f t="shared" si="1428"/>
        <v>0</v>
      </c>
    </row>
    <row r="2167" spans="1:10" ht="24" thickBot="1" x14ac:dyDescent="0.35">
      <c r="A2167" s="277" t="s">
        <v>109</v>
      </c>
      <c r="B2167" s="929"/>
      <c r="C2167" s="306" t="s">
        <v>327</v>
      </c>
      <c r="D2167" s="306"/>
      <c r="E2167" s="512">
        <v>25.751300000000001</v>
      </c>
      <c r="F2167" s="408">
        <f>IFERROR(E2167*'01 Prod Physique Boites'!H2148,"-")</f>
        <v>433857.90240000002</v>
      </c>
      <c r="G2167" s="409">
        <f>IFERROR(E2167*'01 Prod Physique Boites'!L2148,"-")</f>
        <v>1783638.0432</v>
      </c>
      <c r="H2167" s="393">
        <v>37.89</v>
      </c>
      <c r="I2167" s="429">
        <f>IFERROR(H2167*(F2167/E2167),"-")</f>
        <v>638370.72</v>
      </c>
      <c r="J2167" s="430">
        <f t="shared" si="1428"/>
        <v>2624412.96</v>
      </c>
    </row>
    <row r="2168" spans="1:10" ht="24" thickBot="1" x14ac:dyDescent="0.35">
      <c r="A2168" s="277" t="s">
        <v>109</v>
      </c>
      <c r="B2168" s="929"/>
      <c r="C2168" s="307"/>
      <c r="D2168" s="308" t="s">
        <v>53</v>
      </c>
      <c r="E2168" s="396"/>
      <c r="F2168" s="412">
        <f t="shared" ref="F2168:G2168" si="1429">SUM(F2165:F2167)</f>
        <v>433857.90240000002</v>
      </c>
      <c r="G2168" s="413">
        <f t="shared" si="1429"/>
        <v>1783638.0432</v>
      </c>
      <c r="H2168" s="397"/>
      <c r="I2168" s="412">
        <f t="shared" ref="I2168" si="1430">SUM(I2165:I2167)</f>
        <v>638370.72</v>
      </c>
      <c r="J2168" s="431">
        <f>SUM(J2165:J2167)</f>
        <v>2624412.96</v>
      </c>
    </row>
    <row r="2169" spans="1:10" ht="23.4" x14ac:dyDescent="0.3">
      <c r="A2169" s="277" t="s">
        <v>109</v>
      </c>
      <c r="B2169" s="929"/>
      <c r="C2169" s="303" t="s">
        <v>352</v>
      </c>
      <c r="D2169" s="303"/>
      <c r="E2169" s="515">
        <v>22.094999999999999</v>
      </c>
      <c r="F2169" s="408">
        <f>IFERROR(E2169*'01 Prod Physique Boites'!H2150,"-")</f>
        <v>0</v>
      </c>
      <c r="G2169" s="409">
        <f>IFERROR(E2169*'01 Prod Physique Boites'!L2150,"-")</f>
        <v>0</v>
      </c>
      <c r="H2169" s="387">
        <v>37.11</v>
      </c>
      <c r="I2169" s="425">
        <f>IFERROR(H2169*(F2169/E2169),"-")</f>
        <v>0</v>
      </c>
      <c r="J2169" s="426">
        <f t="shared" ref="J2169:J2171" si="1431">IFERROR(H2169*(G2169/E2169),"-")</f>
        <v>0</v>
      </c>
    </row>
    <row r="2170" spans="1:10" ht="23.4" x14ac:dyDescent="0.3">
      <c r="A2170" s="277" t="s">
        <v>109</v>
      </c>
      <c r="B2170" s="929"/>
      <c r="C2170" s="309" t="s">
        <v>397</v>
      </c>
      <c r="D2170" s="309" t="s">
        <v>259</v>
      </c>
      <c r="E2170" s="516">
        <v>27.917000000000002</v>
      </c>
      <c r="F2170" s="408">
        <f>IFERROR(E2170*'01 Prod Physique Boites'!H2151,"-")</f>
        <v>0</v>
      </c>
      <c r="G2170" s="409">
        <f>IFERROR(E2170*'01 Prod Physique Boites'!L2151,"-")</f>
        <v>13430980.368000001</v>
      </c>
      <c r="H2170" s="391">
        <v>39</v>
      </c>
      <c r="I2170" s="427">
        <f>IFERROR(H2170*(F2170/E2170),"-")</f>
        <v>0</v>
      </c>
      <c r="J2170" s="428">
        <f t="shared" si="1431"/>
        <v>18763056</v>
      </c>
    </row>
    <row r="2171" spans="1:10" ht="24" thickBot="1" x14ac:dyDescent="0.35">
      <c r="A2171" s="277" t="s">
        <v>109</v>
      </c>
      <c r="B2171" s="929"/>
      <c r="C2171" s="306" t="s">
        <v>146</v>
      </c>
      <c r="D2171" s="306"/>
      <c r="E2171" s="512">
        <v>25.4041</v>
      </c>
      <c r="F2171" s="408">
        <f>IFERROR(E2171*'01 Prod Physique Boites'!H2152,"-")</f>
        <v>0</v>
      </c>
      <c r="G2171" s="409">
        <f>IFERROR(E2171*'01 Prod Physique Boites'!L2152,"-")</f>
        <v>0</v>
      </c>
      <c r="H2171" s="393">
        <v>28.21</v>
      </c>
      <c r="I2171" s="429">
        <f>IFERROR(H2171*(F2171/E2171),"-")</f>
        <v>0</v>
      </c>
      <c r="J2171" s="430">
        <f t="shared" si="1431"/>
        <v>0</v>
      </c>
    </row>
    <row r="2172" spans="1:10" ht="24" thickBot="1" x14ac:dyDescent="0.35">
      <c r="A2172" s="277" t="s">
        <v>109</v>
      </c>
      <c r="B2172" s="929"/>
      <c r="C2172" s="310"/>
      <c r="D2172" s="311" t="s">
        <v>54</v>
      </c>
      <c r="E2172" s="403"/>
      <c r="F2172" s="420">
        <f t="shared" ref="F2172:G2172" si="1432">SUM(F2169:F2171)</f>
        <v>0</v>
      </c>
      <c r="G2172" s="421">
        <f t="shared" si="1432"/>
        <v>13430980.368000001</v>
      </c>
      <c r="H2172" s="404"/>
      <c r="I2172" s="420">
        <f t="shared" ref="I2172" si="1433">SUM(I2169:I2171)</f>
        <v>0</v>
      </c>
      <c r="J2172" s="436">
        <f>SUM(J2169:J2171)</f>
        <v>18763056</v>
      </c>
    </row>
    <row r="2173" spans="1:10" ht="24" thickBot="1" x14ac:dyDescent="0.35">
      <c r="A2173" s="277" t="s">
        <v>109</v>
      </c>
      <c r="B2173" s="932" t="s">
        <v>172</v>
      </c>
      <c r="C2173" s="933"/>
      <c r="D2173" s="934"/>
      <c r="E2173" s="405"/>
      <c r="F2173" s="422">
        <f t="shared" ref="F2173:G2173" si="1434">+F2168+F2172</f>
        <v>433857.90240000002</v>
      </c>
      <c r="G2173" s="423">
        <f t="shared" si="1434"/>
        <v>15214618.4112</v>
      </c>
      <c r="H2173" s="406"/>
      <c r="I2173" s="422">
        <f t="shared" ref="I2173:J2173" si="1435">+I2168+I2172</f>
        <v>638370.72</v>
      </c>
      <c r="J2173" s="437">
        <f t="shared" si="1435"/>
        <v>21387468.960000001</v>
      </c>
    </row>
    <row r="2174" spans="1:10" ht="24" thickBot="1" x14ac:dyDescent="0.35">
      <c r="A2174" s="277" t="s">
        <v>109</v>
      </c>
      <c r="B2174" s="617" t="s">
        <v>32</v>
      </c>
      <c r="C2174" s="872"/>
      <c r="D2174" s="316"/>
      <c r="E2174" s="517">
        <v>12.2659</v>
      </c>
      <c r="F2174" s="414">
        <f>IFERROR(E2174*'01 Prod Physique Boites'!H2155,"-")</f>
        <v>0</v>
      </c>
      <c r="G2174" s="415">
        <f>IFERROR(E2174*'01 Prod Physique Boites'!L2155,"-")</f>
        <v>0</v>
      </c>
      <c r="H2174" s="398"/>
      <c r="I2174" s="432">
        <f>IFERROR(H2174*(F2174/E2174),"-")</f>
        <v>0</v>
      </c>
      <c r="J2174" s="433">
        <f>IFERROR(H2174*(G2174/E2174),"-")</f>
        <v>0</v>
      </c>
    </row>
    <row r="2175" spans="1:10" ht="24" thickBot="1" x14ac:dyDescent="0.35">
      <c r="A2175" s="277" t="s">
        <v>109</v>
      </c>
      <c r="B2175" s="926" t="s">
        <v>21</v>
      </c>
      <c r="C2175" s="927"/>
      <c r="D2175" s="928"/>
      <c r="E2175" s="399"/>
      <c r="F2175" s="416">
        <f t="shared" ref="F2175" si="1436">+F2164+F2173+F2174</f>
        <v>1000967.9472000001</v>
      </c>
      <c r="G2175" s="417">
        <f>+G2164+G2173+G2174</f>
        <v>49416130.576800004</v>
      </c>
      <c r="H2175" s="400"/>
      <c r="I2175" s="416">
        <f t="shared" ref="I2175:J2175" si="1437">+I2164+I2173+I2174</f>
        <v>1431743.04</v>
      </c>
      <c r="J2175" s="434">
        <f t="shared" si="1437"/>
        <v>69058906.020000011</v>
      </c>
    </row>
    <row r="2176" spans="1:10" ht="24" thickBot="1" x14ac:dyDescent="0.35">
      <c r="A2176" s="277" t="s">
        <v>109</v>
      </c>
      <c r="B2176" s="900" t="s">
        <v>180</v>
      </c>
      <c r="C2176" s="901"/>
      <c r="D2176" s="902"/>
      <c r="E2176" s="401"/>
      <c r="F2176" s="418">
        <f t="shared" ref="F2176:G2176" si="1438">+F2175</f>
        <v>1000967.9472000001</v>
      </c>
      <c r="G2176" s="419">
        <f t="shared" si="1438"/>
        <v>49416130.576800004</v>
      </c>
      <c r="H2176" s="402"/>
      <c r="I2176" s="418">
        <f t="shared" ref="I2176:J2176" si="1439">+I2175</f>
        <v>1431743.04</v>
      </c>
      <c r="J2176" s="435">
        <f t="shared" si="1439"/>
        <v>69058906.020000011</v>
      </c>
    </row>
    <row r="2177" spans="1:10" ht="23.4" x14ac:dyDescent="0.3">
      <c r="A2177" s="271" t="s">
        <v>110</v>
      </c>
      <c r="B2177" s="903" t="s">
        <v>33</v>
      </c>
      <c r="C2177" s="317" t="s">
        <v>121</v>
      </c>
      <c r="D2177" s="317"/>
      <c r="E2177" s="513">
        <v>254.89750000000001</v>
      </c>
      <c r="F2177" s="408">
        <f>IFERROR(E2177*'01 Prod Physique Boites'!H2158,"-")</f>
        <v>0</v>
      </c>
      <c r="G2177" s="409">
        <f>IFERROR(E2177*'01 Prod Physique Boites'!L2158,"-")</f>
        <v>0</v>
      </c>
      <c r="H2177" s="387">
        <v>445.38</v>
      </c>
      <c r="I2177" s="425">
        <f>IFERROR(H2177*(F2177/E2177),"-")</f>
        <v>0</v>
      </c>
      <c r="J2177" s="426">
        <f t="shared" ref="J2177:J2179" si="1440">IFERROR(H2177*(G2177/E2177),"-")</f>
        <v>0</v>
      </c>
    </row>
    <row r="2178" spans="1:10" ht="23.4" x14ac:dyDescent="0.3">
      <c r="A2178" s="277" t="s">
        <v>110</v>
      </c>
      <c r="B2178" s="904"/>
      <c r="C2178" s="318" t="s">
        <v>274</v>
      </c>
      <c r="D2178" s="318"/>
      <c r="E2178" s="514">
        <v>246.51390000000001</v>
      </c>
      <c r="F2178" s="408">
        <f>IFERROR(E2178*'01 Prod Physique Boites'!H2159,"-")</f>
        <v>0</v>
      </c>
      <c r="G2178" s="409">
        <f>IFERROR(E2178*'01 Prod Physique Boites'!L2159,"-")</f>
        <v>2287648.9920000001</v>
      </c>
      <c r="H2178" s="391">
        <v>430.02</v>
      </c>
      <c r="I2178" s="427">
        <f>IFERROR(H2178*(F2178/E2178),"-")</f>
        <v>0</v>
      </c>
      <c r="J2178" s="428">
        <f t="shared" si="1440"/>
        <v>3990585.5999999996</v>
      </c>
    </row>
    <row r="2179" spans="1:10" ht="24" thickBot="1" x14ac:dyDescent="0.35">
      <c r="A2179" s="277" t="s">
        <v>110</v>
      </c>
      <c r="B2179" s="905"/>
      <c r="C2179" s="319" t="s">
        <v>34</v>
      </c>
      <c r="D2179" s="319"/>
      <c r="E2179" s="511">
        <v>225.7713</v>
      </c>
      <c r="F2179" s="408">
        <f>IFERROR(E2179*'01 Prod Physique Boites'!H2160,"-")</f>
        <v>0</v>
      </c>
      <c r="G2179" s="409">
        <f>IFERROR(E2179*'01 Prod Physique Boites'!L2160,"-")</f>
        <v>0</v>
      </c>
      <c r="H2179" s="393"/>
      <c r="I2179" s="429">
        <f>IFERROR(H2179*(F2179/E2179),"-")</f>
        <v>0</v>
      </c>
      <c r="J2179" s="430">
        <f t="shared" si="1440"/>
        <v>0</v>
      </c>
    </row>
    <row r="2180" spans="1:10" ht="24" thickBot="1" x14ac:dyDescent="0.35">
      <c r="A2180" s="277" t="s">
        <v>110</v>
      </c>
      <c r="B2180" s="906" t="s">
        <v>35</v>
      </c>
      <c r="C2180" s="907"/>
      <c r="D2180" s="908"/>
      <c r="E2180" s="396"/>
      <c r="F2180" s="412">
        <f t="shared" ref="F2180:G2180" si="1441">SUM(F2177:F2179)</f>
        <v>0</v>
      </c>
      <c r="G2180" s="413">
        <f t="shared" si="1441"/>
        <v>2287648.9920000001</v>
      </c>
      <c r="H2180" s="397"/>
      <c r="I2180" s="412">
        <f t="shared" ref="I2180:J2180" si="1442">SUM(I2177:I2179)</f>
        <v>0</v>
      </c>
      <c r="J2180" s="431">
        <f t="shared" si="1442"/>
        <v>3990585.5999999996</v>
      </c>
    </row>
    <row r="2181" spans="1:10" ht="23.4" x14ac:dyDescent="0.3">
      <c r="A2181" s="277" t="s">
        <v>110</v>
      </c>
      <c r="B2181" s="903" t="s">
        <v>36</v>
      </c>
      <c r="C2181" s="317" t="s">
        <v>121</v>
      </c>
      <c r="D2181" s="317"/>
      <c r="E2181" s="513">
        <v>254.89750000000001</v>
      </c>
      <c r="F2181" s="408">
        <f>IFERROR(E2181*'01 Prod Physique Boites'!H2162,"-")</f>
        <v>0</v>
      </c>
      <c r="G2181" s="409">
        <f>IFERROR(E2181*'01 Prod Physique Boites'!L2162,"-")</f>
        <v>0</v>
      </c>
      <c r="H2181" s="387">
        <v>445.38</v>
      </c>
      <c r="I2181" s="425">
        <f>IFERROR(H2181*(F2181/E2181),"-")</f>
        <v>0</v>
      </c>
      <c r="J2181" s="426">
        <f t="shared" ref="J2181:J2184" si="1443">IFERROR(H2181*(G2181/E2181),"-")</f>
        <v>0</v>
      </c>
    </row>
    <row r="2182" spans="1:10" ht="23.4" x14ac:dyDescent="0.3">
      <c r="A2182" s="277" t="s">
        <v>110</v>
      </c>
      <c r="B2182" s="904"/>
      <c r="C2182" s="318" t="s">
        <v>274</v>
      </c>
      <c r="D2182" s="318"/>
      <c r="E2182" s="514">
        <v>246.51390000000001</v>
      </c>
      <c r="F2182" s="408">
        <f>IFERROR(E2182*'01 Prod Physique Boites'!H2163,"-")</f>
        <v>0</v>
      </c>
      <c r="G2182" s="409">
        <f>IFERROR(E2182*'01 Prod Physique Boites'!L2163,"-")</f>
        <v>16383806.821800001</v>
      </c>
      <c r="H2182" s="391">
        <v>430.02</v>
      </c>
      <c r="I2182" s="427">
        <f>IFERROR(H2182*(F2182/E2182),"-")</f>
        <v>0</v>
      </c>
      <c r="J2182" s="428">
        <f t="shared" si="1443"/>
        <v>28579989.239999998</v>
      </c>
    </row>
    <row r="2183" spans="1:10" ht="23.4" x14ac:dyDescent="0.3">
      <c r="A2183" s="277" t="s">
        <v>110</v>
      </c>
      <c r="B2183" s="904"/>
      <c r="C2183" s="318" t="s">
        <v>201</v>
      </c>
      <c r="D2183" s="318" t="s">
        <v>200</v>
      </c>
      <c r="E2183" s="514">
        <v>254.89750000000001</v>
      </c>
      <c r="F2183" s="408">
        <f>IFERROR(E2183*'01 Prod Physique Boites'!H2164,"-")</f>
        <v>0</v>
      </c>
      <c r="G2183" s="409">
        <f>IFERROR(E2183*'01 Prod Physique Boites'!L2164,"-")</f>
        <v>0</v>
      </c>
      <c r="H2183" s="391"/>
      <c r="I2183" s="427">
        <f>IFERROR(H2183*(F2183/E2183),"-")</f>
        <v>0</v>
      </c>
      <c r="J2183" s="428">
        <f t="shared" si="1443"/>
        <v>0</v>
      </c>
    </row>
    <row r="2184" spans="1:10" ht="24" thickBot="1" x14ac:dyDescent="0.35">
      <c r="A2184" s="277" t="s">
        <v>110</v>
      </c>
      <c r="B2184" s="905"/>
      <c r="C2184" s="319" t="s">
        <v>37</v>
      </c>
      <c r="D2184" s="319"/>
      <c r="E2184" s="511">
        <v>229.99359999999999</v>
      </c>
      <c r="F2184" s="408">
        <f>IFERROR(E2184*'01 Prod Physique Boites'!H2165,"-")</f>
        <v>0</v>
      </c>
      <c r="G2184" s="409">
        <f>IFERROR(E2184*'01 Prod Physique Boites'!L2165,"-")</f>
        <v>0</v>
      </c>
      <c r="H2184" s="393"/>
      <c r="I2184" s="429">
        <f>IFERROR(H2184*(F2184/E2184),"-")</f>
        <v>0</v>
      </c>
      <c r="J2184" s="430">
        <f t="shared" si="1443"/>
        <v>0</v>
      </c>
    </row>
    <row r="2185" spans="1:10" ht="24" thickBot="1" x14ac:dyDescent="0.35">
      <c r="A2185" s="277" t="s">
        <v>110</v>
      </c>
      <c r="B2185" s="906" t="s">
        <v>38</v>
      </c>
      <c r="C2185" s="907"/>
      <c r="D2185" s="908"/>
      <c r="E2185" s="396"/>
      <c r="F2185" s="412">
        <f t="shared" ref="F2185:G2185" si="1444">SUM(F2181:F2184)</f>
        <v>0</v>
      </c>
      <c r="G2185" s="413">
        <f t="shared" si="1444"/>
        <v>16383806.821800001</v>
      </c>
      <c r="H2185" s="397"/>
      <c r="I2185" s="412">
        <f>SUM(I2181:I2184)</f>
        <v>0</v>
      </c>
      <c r="J2185" s="431">
        <f>SUM(J2181:J2184)</f>
        <v>28579989.239999998</v>
      </c>
    </row>
    <row r="2186" spans="1:10" ht="23.4" x14ac:dyDescent="0.3">
      <c r="A2186" s="277" t="s">
        <v>110</v>
      </c>
      <c r="B2186" s="903" t="s">
        <v>39</v>
      </c>
      <c r="C2186" s="320" t="s">
        <v>124</v>
      </c>
      <c r="D2186" s="320"/>
      <c r="E2186" s="513">
        <v>195.2808</v>
      </c>
      <c r="F2186" s="408">
        <f>IFERROR(E2186*'01 Prod Physique Boites'!H2167,"-")</f>
        <v>0</v>
      </c>
      <c r="G2186" s="409">
        <f>IFERROR(E2186*'01 Prod Physique Boites'!L2167,"-")</f>
        <v>0</v>
      </c>
      <c r="H2186" s="387"/>
      <c r="I2186" s="425">
        <f>IFERROR(H2186*(F2186/E2186),"-")</f>
        <v>0</v>
      </c>
      <c r="J2186" s="426">
        <f t="shared" ref="J2186:J2187" si="1445">IFERROR(H2186*(G2186/E2186),"-")</f>
        <v>0</v>
      </c>
    </row>
    <row r="2187" spans="1:10" ht="24" thickBot="1" x14ac:dyDescent="0.35">
      <c r="A2187" s="277" t="s">
        <v>110</v>
      </c>
      <c r="B2187" s="905"/>
      <c r="C2187" s="290" t="s">
        <v>140</v>
      </c>
      <c r="D2187" s="290"/>
      <c r="E2187" s="511">
        <v>189.91890000000001</v>
      </c>
      <c r="F2187" s="408">
        <f>IFERROR(E2187*'01 Prod Physique Boites'!H2168,"-")</f>
        <v>607740.48</v>
      </c>
      <c r="G2187" s="409">
        <f>IFERROR(E2187*'01 Prod Physique Boites'!L2168,"-")</f>
        <v>3136320.7146000001</v>
      </c>
      <c r="H2187" s="393">
        <v>320.35000000000002</v>
      </c>
      <c r="I2187" s="429">
        <f>IFERROR(H2187*(F2187/E2187),"-")</f>
        <v>1025119.9999999999</v>
      </c>
      <c r="J2187" s="430">
        <f t="shared" si="1445"/>
        <v>5290259.9000000004</v>
      </c>
    </row>
    <row r="2188" spans="1:10" ht="24" thickBot="1" x14ac:dyDescent="0.35">
      <c r="A2188" s="876" t="s">
        <v>110</v>
      </c>
      <c r="B2188" s="906" t="s">
        <v>40</v>
      </c>
      <c r="C2188" s="907"/>
      <c r="D2188" s="908"/>
      <c r="E2188" s="396"/>
      <c r="F2188" s="412">
        <f>SUM(F2186:F2187)</f>
        <v>607740.48</v>
      </c>
      <c r="G2188" s="413">
        <f t="shared" ref="G2188" si="1446">SUM(G2186:G2187)</f>
        <v>3136320.7146000001</v>
      </c>
      <c r="H2188" s="397"/>
      <c r="I2188" s="412">
        <f t="shared" ref="I2188:J2188" si="1447">SUM(I2186:I2187)</f>
        <v>1025119.9999999999</v>
      </c>
      <c r="J2188" s="431">
        <f t="shared" si="1447"/>
        <v>5290259.9000000004</v>
      </c>
    </row>
    <row r="2189" spans="1:10" ht="23.4" x14ac:dyDescent="0.3">
      <c r="A2189" s="277" t="s">
        <v>110</v>
      </c>
      <c r="B2189" s="903" t="s">
        <v>41</v>
      </c>
      <c r="C2189" s="272" t="s">
        <v>346</v>
      </c>
      <c r="D2189" s="272" t="s">
        <v>263</v>
      </c>
      <c r="E2189" s="515">
        <v>37.248699999999999</v>
      </c>
      <c r="F2189" s="408">
        <f>IFERROR(E2189*'01 Prod Physique Boites'!H2170,"-")</f>
        <v>813511.60800000001</v>
      </c>
      <c r="G2189" s="409">
        <f>IFERROR(E2189*'01 Prod Physique Boites'!L2170,"-")</f>
        <v>15879120.810000001</v>
      </c>
      <c r="H2189" s="387">
        <v>71.44</v>
      </c>
      <c r="I2189" s="425">
        <f>IFERROR(H2189*(F2189/E2189),"-")</f>
        <v>1560249.5999999999</v>
      </c>
      <c r="J2189" s="426">
        <f>IFERROR(H2189*(G2189/E2189),"-")</f>
        <v>30454872</v>
      </c>
    </row>
    <row r="2190" spans="1:10" ht="23.4" x14ac:dyDescent="0.3">
      <c r="A2190" s="277" t="s">
        <v>110</v>
      </c>
      <c r="B2190" s="904"/>
      <c r="C2190" s="272" t="s">
        <v>165</v>
      </c>
      <c r="D2190" s="278"/>
      <c r="E2190" s="515">
        <v>37.248699999999999</v>
      </c>
      <c r="F2190" s="408">
        <f>IFERROR(E2190*'01 Prod Physique Boites'!H2171,"-")</f>
        <v>0</v>
      </c>
      <c r="G2190" s="409">
        <f>IFERROR(E2190*'01 Prod Physique Boites'!L2171,"-")</f>
        <v>0</v>
      </c>
      <c r="H2190" s="391"/>
      <c r="I2190" s="427">
        <f>IFERROR(H2190*(F2190/E2190),"-")</f>
        <v>0</v>
      </c>
      <c r="J2190" s="428">
        <f t="shared" ref="J2190:J2193" si="1448">IFERROR(H2190*(G2190/E2190),"-")</f>
        <v>0</v>
      </c>
    </row>
    <row r="2191" spans="1:10" ht="23.4" x14ac:dyDescent="0.3">
      <c r="A2191" s="277" t="s">
        <v>110</v>
      </c>
      <c r="B2191" s="904"/>
      <c r="C2191" s="278" t="s">
        <v>423</v>
      </c>
      <c r="D2191" s="272" t="s">
        <v>263</v>
      </c>
      <c r="E2191" s="515">
        <v>37.248699999999999</v>
      </c>
      <c r="F2191" s="408">
        <f>IFERROR(E2191*'01 Prod Physique Boites'!H2172,"-")</f>
        <v>0</v>
      </c>
      <c r="G2191" s="409">
        <f>IFERROR(E2191*'01 Prod Physique Boites'!L2172,"-")</f>
        <v>1264965.852</v>
      </c>
      <c r="H2191" s="391">
        <v>71.44</v>
      </c>
      <c r="I2191" s="427">
        <f>IFERROR(H2191*(F2191/E2191),"-")</f>
        <v>0</v>
      </c>
      <c r="J2191" s="428">
        <f t="shared" si="1448"/>
        <v>2426102.4</v>
      </c>
    </row>
    <row r="2192" spans="1:10" ht="23.4" x14ac:dyDescent="0.3">
      <c r="A2192" s="277" t="s">
        <v>110</v>
      </c>
      <c r="B2192" s="904"/>
      <c r="C2192" s="278" t="s">
        <v>166</v>
      </c>
      <c r="D2192" s="278"/>
      <c r="E2192" s="516">
        <v>38.466099999999997</v>
      </c>
      <c r="F2192" s="408">
        <f>IFERROR(E2192*'01 Prod Physique Boites'!H2173,"-")</f>
        <v>0</v>
      </c>
      <c r="G2192" s="409">
        <f>IFERROR(E2192*'01 Prod Physique Boites'!L2173,"-")</f>
        <v>0</v>
      </c>
      <c r="H2192" s="391"/>
      <c r="I2192" s="427">
        <f>IFERROR(H2192*(F2192/E2192),"-")</f>
        <v>0</v>
      </c>
      <c r="J2192" s="428">
        <f t="shared" si="1448"/>
        <v>0</v>
      </c>
    </row>
    <row r="2193" spans="1:10" ht="24" thickBot="1" x14ac:dyDescent="0.35">
      <c r="A2193" s="277" t="s">
        <v>110</v>
      </c>
      <c r="B2193" s="905"/>
      <c r="C2193" s="282" t="s">
        <v>167</v>
      </c>
      <c r="D2193" s="282"/>
      <c r="E2193" s="512">
        <v>33.711399999999998</v>
      </c>
      <c r="F2193" s="408">
        <f>IFERROR(E2193*'01 Prod Physique Boites'!H2174,"-")</f>
        <v>0</v>
      </c>
      <c r="G2193" s="409">
        <f>IFERROR(E2193*'01 Prod Physique Boites'!L2174,"-")</f>
        <v>0</v>
      </c>
      <c r="H2193" s="393"/>
      <c r="I2193" s="429">
        <f>IFERROR(H2193*(F2193/E2193),"-")</f>
        <v>0</v>
      </c>
      <c r="J2193" s="430">
        <f t="shared" si="1448"/>
        <v>0</v>
      </c>
    </row>
    <row r="2194" spans="1:10" ht="24" thickBot="1" x14ac:dyDescent="0.35">
      <c r="A2194" s="277" t="s">
        <v>110</v>
      </c>
      <c r="B2194" s="906" t="s">
        <v>42</v>
      </c>
      <c r="C2194" s="907"/>
      <c r="D2194" s="908"/>
      <c r="E2194" s="396"/>
      <c r="F2194" s="412">
        <f>SUM(F2189:F2193)</f>
        <v>813511.60800000001</v>
      </c>
      <c r="G2194" s="413">
        <f>SUM(G2189:G2193)</f>
        <v>17144086.662</v>
      </c>
      <c r="H2194" s="397"/>
      <c r="I2194" s="412">
        <f>SUM(I2189:I2193)</f>
        <v>1560249.5999999999</v>
      </c>
      <c r="J2194" s="412">
        <f>SUM(J2189:J2193)</f>
        <v>32880974.399999999</v>
      </c>
    </row>
    <row r="2195" spans="1:10" ht="23.4" x14ac:dyDescent="0.3">
      <c r="A2195" s="277" t="s">
        <v>110</v>
      </c>
      <c r="B2195" s="903" t="s">
        <v>43</v>
      </c>
      <c r="C2195" s="272" t="s">
        <v>204</v>
      </c>
      <c r="D2195" s="272" t="s">
        <v>200</v>
      </c>
      <c r="E2195" s="515">
        <v>30.7499</v>
      </c>
      <c r="F2195" s="408">
        <f>IFERROR(E2195*'01 Prod Physique Boites'!H2176,"-")</f>
        <v>0</v>
      </c>
      <c r="G2195" s="409">
        <f>IFERROR(E2195*'01 Prod Physique Boites'!L2176,"-")</f>
        <v>0</v>
      </c>
      <c r="H2195" s="387"/>
      <c r="I2195" s="425">
        <f>IFERROR(H2195*(F2195/E2195),"-")</f>
        <v>0</v>
      </c>
      <c r="J2195" s="426">
        <f>IFERROR(H2195*(G2195/E2195),"-")</f>
        <v>0</v>
      </c>
    </row>
    <row r="2196" spans="1:10" ht="23.4" x14ac:dyDescent="0.3">
      <c r="A2196" s="277" t="s">
        <v>110</v>
      </c>
      <c r="B2196" s="904"/>
      <c r="C2196" s="278" t="s">
        <v>168</v>
      </c>
      <c r="D2196" s="278"/>
      <c r="E2196" s="516">
        <v>28.7</v>
      </c>
      <c r="F2196" s="408">
        <f>IFERROR(E2196*'01 Prod Physique Boites'!H2177,"-")</f>
        <v>0</v>
      </c>
      <c r="G2196" s="409">
        <f>IFERROR(E2196*'01 Prod Physique Boites'!L2177,"-")</f>
        <v>0</v>
      </c>
      <c r="H2196" s="391"/>
      <c r="I2196" s="427">
        <f>IFERROR(H2196*(F2196/E2196),"-")</f>
        <v>0</v>
      </c>
      <c r="J2196" s="428">
        <f t="shared" ref="J2196:J2197" si="1449">IFERROR(H2196*(G2196/E2196),"-")</f>
        <v>0</v>
      </c>
    </row>
    <row r="2197" spans="1:10" ht="24" thickBot="1" x14ac:dyDescent="0.35">
      <c r="A2197" s="277" t="s">
        <v>110</v>
      </c>
      <c r="B2197" s="905"/>
      <c r="C2197" s="282" t="s">
        <v>204</v>
      </c>
      <c r="D2197" s="282" t="s">
        <v>203</v>
      </c>
      <c r="E2197" s="512">
        <v>30.073599999999999</v>
      </c>
      <c r="F2197" s="408">
        <f>IFERROR(E2197*'01 Prod Physique Boites'!H2178,"-")</f>
        <v>0</v>
      </c>
      <c r="G2197" s="409">
        <f>IFERROR(E2197*'01 Prod Physique Boites'!L2178,"-")</f>
        <v>0</v>
      </c>
      <c r="H2197" s="393"/>
      <c r="I2197" s="429">
        <f>IFERROR(H2197*(F2197/E2197),"-")</f>
        <v>0</v>
      </c>
      <c r="J2197" s="430">
        <f t="shared" si="1449"/>
        <v>0</v>
      </c>
    </row>
    <row r="2198" spans="1:10" ht="24" thickBot="1" x14ac:dyDescent="0.35">
      <c r="A2198" s="277" t="s">
        <v>110</v>
      </c>
      <c r="B2198" s="909" t="s">
        <v>44</v>
      </c>
      <c r="C2198" s="910"/>
      <c r="D2198" s="911"/>
      <c r="E2198" s="396"/>
      <c r="F2198" s="412">
        <f t="shared" ref="F2198:G2198" si="1450">SUM(F2195:F2197)</f>
        <v>0</v>
      </c>
      <c r="G2198" s="413">
        <f t="shared" si="1450"/>
        <v>0</v>
      </c>
      <c r="H2198" s="397"/>
      <c r="I2198" s="412">
        <f t="shared" ref="I2198:J2198" si="1451">SUM(I2195:I2197)</f>
        <v>0</v>
      </c>
      <c r="J2198" s="431">
        <f t="shared" si="1451"/>
        <v>0</v>
      </c>
    </row>
    <row r="2199" spans="1:10" ht="23.4" x14ac:dyDescent="0.3">
      <c r="A2199" s="277" t="s">
        <v>110</v>
      </c>
      <c r="B2199" s="903" t="s">
        <v>45</v>
      </c>
      <c r="C2199" s="272" t="s">
        <v>169</v>
      </c>
      <c r="D2199" s="272"/>
      <c r="E2199" s="515">
        <v>36.684899999999999</v>
      </c>
      <c r="F2199" s="408">
        <f>IFERROR(E2199*'01 Prod Physique Boites'!H2180,"-")</f>
        <v>0</v>
      </c>
      <c r="G2199" s="409">
        <f>IFERROR(E2199*'01 Prod Physique Boites'!L2180,"-")</f>
        <v>0</v>
      </c>
      <c r="H2199" s="387"/>
      <c r="I2199" s="388" t="s">
        <v>209</v>
      </c>
      <c r="J2199" s="389" t="s">
        <v>209</v>
      </c>
    </row>
    <row r="2200" spans="1:10" ht="24" thickBot="1" x14ac:dyDescent="0.35">
      <c r="A2200" s="277" t="s">
        <v>110</v>
      </c>
      <c r="B2200" s="905"/>
      <c r="C2200" s="282" t="s">
        <v>170</v>
      </c>
      <c r="D2200" s="282"/>
      <c r="E2200" s="512">
        <v>37.002800000000001</v>
      </c>
      <c r="F2200" s="408">
        <f>IFERROR(E2200*'01 Prod Physique Boites'!H2181,"-")</f>
        <v>0</v>
      </c>
      <c r="G2200" s="409">
        <f>IFERROR(E2200*'01 Prod Physique Boites'!L2181,"-")</f>
        <v>0</v>
      </c>
      <c r="H2200" s="393"/>
      <c r="I2200" s="394" t="s">
        <v>209</v>
      </c>
      <c r="J2200" s="395" t="s">
        <v>209</v>
      </c>
    </row>
    <row r="2201" spans="1:10" ht="24" thickBot="1" x14ac:dyDescent="0.35">
      <c r="A2201" s="277" t="s">
        <v>110</v>
      </c>
      <c r="B2201" s="909" t="s">
        <v>46</v>
      </c>
      <c r="C2201" s="910"/>
      <c r="D2201" s="911"/>
      <c r="E2201" s="396"/>
      <c r="F2201" s="412">
        <f t="shared" ref="F2201:G2201" si="1452">SUM(F2199:F2200)</f>
        <v>0</v>
      </c>
      <c r="G2201" s="413">
        <f t="shared" si="1452"/>
        <v>0</v>
      </c>
      <c r="H2201" s="397"/>
      <c r="I2201" s="412">
        <f t="shared" ref="I2201:J2201" si="1453">SUM(I2199:I2200)</f>
        <v>0</v>
      </c>
      <c r="J2201" s="431">
        <f t="shared" si="1453"/>
        <v>0</v>
      </c>
    </row>
    <row r="2202" spans="1:10" ht="24" thickBot="1" x14ac:dyDescent="0.35">
      <c r="A2202" s="277" t="s">
        <v>110</v>
      </c>
      <c r="B2202" s="912" t="s">
        <v>25</v>
      </c>
      <c r="C2202" s="913"/>
      <c r="D2202" s="914"/>
      <c r="E2202" s="399"/>
      <c r="F2202" s="416">
        <f t="shared" ref="F2202:G2202" si="1454">+F2180+F2185+F2188+F2194+F2198+F2201</f>
        <v>1421252.088</v>
      </c>
      <c r="G2202" s="417">
        <f t="shared" si="1454"/>
        <v>38951863.190400004</v>
      </c>
      <c r="H2202" s="400"/>
      <c r="I2202" s="416">
        <f>+I2180+I2185+I2188+I2194+I2198+I2201</f>
        <v>2585369.5999999996</v>
      </c>
      <c r="J2202" s="434">
        <f>+J2180+J2185+J2188+J2194+J2198+J2201</f>
        <v>70741809.139999986</v>
      </c>
    </row>
    <row r="2203" spans="1:10" ht="24" thickBot="1" x14ac:dyDescent="0.35">
      <c r="A2203" s="324" t="s">
        <v>110</v>
      </c>
      <c r="B2203" s="901" t="s">
        <v>182</v>
      </c>
      <c r="C2203" s="901"/>
      <c r="D2203" s="902"/>
      <c r="E2203" s="401"/>
      <c r="F2203" s="418">
        <f t="shared" ref="F2203:G2203" si="1455">+F2202</f>
        <v>1421252.088</v>
      </c>
      <c r="G2203" s="419">
        <f t="shared" si="1455"/>
        <v>38951863.190400004</v>
      </c>
      <c r="H2203" s="402"/>
      <c r="I2203" s="418">
        <f t="shared" ref="I2203" si="1456">+I2202</f>
        <v>2585369.5999999996</v>
      </c>
      <c r="J2203" s="435">
        <f>+J2202</f>
        <v>70741809.139999986</v>
      </c>
    </row>
    <row r="2204" spans="1:10" ht="24.6" thickBot="1" x14ac:dyDescent="0.35">
      <c r="A2204" s="325"/>
      <c r="B2204" s="915" t="s">
        <v>183</v>
      </c>
      <c r="C2204" s="916"/>
      <c r="D2204" s="917"/>
      <c r="E2204" s="407"/>
      <c r="F2204" s="424">
        <f t="shared" ref="F2204:G2204" si="1457">+F2149+F2176+F2203</f>
        <v>6351164.1383999996</v>
      </c>
      <c r="G2204" s="424">
        <f t="shared" si="1457"/>
        <v>156897059.87889999</v>
      </c>
      <c r="H2204" s="407"/>
      <c r="I2204" s="424">
        <f t="shared" ref="I2204:J2204" si="1458">+I2149+I2176+I2203</f>
        <v>8820232.6400000006</v>
      </c>
      <c r="J2204" s="438">
        <f t="shared" si="1458"/>
        <v>242774354.13999999</v>
      </c>
    </row>
    <row r="2205" spans="1:10" ht="23.4" x14ac:dyDescent="0.3">
      <c r="A2205" s="935" t="s">
        <v>1</v>
      </c>
      <c r="B2205" s="938" t="s">
        <v>2</v>
      </c>
      <c r="C2205" s="941" t="s">
        <v>3</v>
      </c>
      <c r="D2205" s="941" t="s">
        <v>93</v>
      </c>
      <c r="E2205" s="965" t="s">
        <v>176</v>
      </c>
      <c r="F2205" s="966"/>
      <c r="G2205" s="966"/>
      <c r="H2205" s="451"/>
      <c r="I2205" s="451"/>
      <c r="J2205" s="452"/>
    </row>
    <row r="2206" spans="1:10" ht="23.4" x14ac:dyDescent="0.3">
      <c r="A2206" s="936"/>
      <c r="B2206" s="939"/>
      <c r="C2206" s="942"/>
      <c r="D2206" s="942"/>
      <c r="E2206" s="967" t="s">
        <v>178</v>
      </c>
      <c r="F2206" s="968"/>
      <c r="G2206" s="969"/>
      <c r="H2206" s="967" t="s">
        <v>177</v>
      </c>
      <c r="I2206" s="968"/>
      <c r="J2206" s="969"/>
    </row>
    <row r="2207" spans="1:10" ht="46.8" x14ac:dyDescent="0.3">
      <c r="A2207" s="937"/>
      <c r="B2207" s="963"/>
      <c r="C2207" s="964"/>
      <c r="D2207" s="964"/>
      <c r="E2207" s="385" t="s">
        <v>179</v>
      </c>
      <c r="F2207" s="884" t="s">
        <v>11</v>
      </c>
      <c r="G2207" s="885" t="s">
        <v>12</v>
      </c>
      <c r="H2207" s="970" t="s">
        <v>179</v>
      </c>
      <c r="I2207" s="972" t="s">
        <v>145</v>
      </c>
      <c r="J2207" s="974" t="s">
        <v>12</v>
      </c>
    </row>
    <row r="2208" spans="1:10" ht="24" thickBot="1" x14ac:dyDescent="0.35">
      <c r="A2208" s="937"/>
      <c r="B2208" s="940"/>
      <c r="C2208" s="943"/>
      <c r="D2208" s="943"/>
      <c r="E2208" s="976">
        <v>44529</v>
      </c>
      <c r="F2208" s="977"/>
      <c r="G2208" s="978"/>
      <c r="H2208" s="971"/>
      <c r="I2208" s="973"/>
      <c r="J2208" s="975"/>
    </row>
    <row r="2209" spans="1:10" ht="23.4" x14ac:dyDescent="0.3">
      <c r="A2209" s="271" t="s">
        <v>111</v>
      </c>
      <c r="B2209" s="922" t="s">
        <v>16</v>
      </c>
      <c r="C2209" s="272" t="s">
        <v>186</v>
      </c>
      <c r="D2209" s="272" t="s">
        <v>184</v>
      </c>
      <c r="E2209" s="515">
        <v>81.360699999999994</v>
      </c>
      <c r="F2209" s="408">
        <f>IFERROR(E2209*'01 Prod Physique Boites'!H2189,"-")</f>
        <v>0</v>
      </c>
      <c r="G2209" s="408">
        <f>IFERROR(E2209*'01 Prod Physique Boites'!L2189,"-")</f>
        <v>0</v>
      </c>
      <c r="H2209" s="387">
        <v>0</v>
      </c>
      <c r="I2209" s="425">
        <f>IFERROR(H2209*(F2209/E2209),"-")</f>
        <v>0</v>
      </c>
      <c r="J2209" s="426">
        <f t="shared" ref="J2209:J2211" si="1459">IFERROR(H2209*(G2209/E2209),"-")</f>
        <v>0</v>
      </c>
    </row>
    <row r="2210" spans="1:10" ht="23.4" x14ac:dyDescent="0.3">
      <c r="A2210" s="277" t="s">
        <v>111</v>
      </c>
      <c r="B2210" s="923"/>
      <c r="C2210" s="278" t="s">
        <v>190</v>
      </c>
      <c r="D2210" s="278" t="s">
        <v>101</v>
      </c>
      <c r="E2210" s="516">
        <v>81.360699999999994</v>
      </c>
      <c r="F2210" s="408">
        <f>IFERROR(E2210*'01 Prod Physique Boites'!H2190,"-")</f>
        <v>0</v>
      </c>
      <c r="G2210" s="408">
        <f>IFERROR(E2210*'01 Prod Physique Boites'!L2190,"-")</f>
        <v>0</v>
      </c>
      <c r="H2210" s="391">
        <v>0</v>
      </c>
      <c r="I2210" s="425">
        <f>IFERROR(H2210*(F2210/E2210),"-")</f>
        <v>0</v>
      </c>
      <c r="J2210" s="426">
        <f t="shared" si="1459"/>
        <v>0</v>
      </c>
    </row>
    <row r="2211" spans="1:10" ht="23.4" x14ac:dyDescent="0.3">
      <c r="A2211" s="277" t="s">
        <v>111</v>
      </c>
      <c r="B2211" s="923"/>
      <c r="C2211" s="278" t="s">
        <v>187</v>
      </c>
      <c r="D2211" s="278" t="s">
        <v>185</v>
      </c>
      <c r="E2211" s="516">
        <v>55.476900000000001</v>
      </c>
      <c r="F2211" s="408">
        <f>IFERROR(E2211*'01 Prod Physique Boites'!H2191,"-")</f>
        <v>0</v>
      </c>
      <c r="G2211" s="408">
        <f>IFERROR(E2211*'01 Prod Physique Boites'!L2191,"-")</f>
        <v>0</v>
      </c>
      <c r="H2211" s="391">
        <v>0</v>
      </c>
      <c r="I2211" s="425">
        <f>IFERROR(H2211*(F2211/E2211),"-")</f>
        <v>0</v>
      </c>
      <c r="J2211" s="426">
        <f t="shared" si="1459"/>
        <v>0</v>
      </c>
    </row>
    <row r="2212" spans="1:10" ht="24" thickBot="1" x14ac:dyDescent="0.35">
      <c r="A2212" s="277" t="s">
        <v>111</v>
      </c>
      <c r="B2212" s="924"/>
      <c r="C2212" s="282" t="s">
        <v>289</v>
      </c>
      <c r="D2212" s="282" t="s">
        <v>256</v>
      </c>
      <c r="E2212" s="512">
        <v>60.703499999999998</v>
      </c>
      <c r="F2212" s="408">
        <f>IFERROR(E2212*'01 Prod Physique Boites'!H2192,"-")</f>
        <v>0</v>
      </c>
      <c r="G2212" s="408">
        <f>IFERROR(E2212*'01 Prod Physique Boites'!L2192,"-")</f>
        <v>6314135.2560000001</v>
      </c>
      <c r="H2212" s="393">
        <v>111.09</v>
      </c>
      <c r="I2212" s="425">
        <f>IFERROR(H2212*(F2212/E2212),"-")</f>
        <v>0</v>
      </c>
      <c r="J2212" s="426">
        <f>IFERROR(H2212*(G2212/E2212),"-")</f>
        <v>11555137.439999999</v>
      </c>
    </row>
    <row r="2213" spans="1:10" ht="24" thickBot="1" x14ac:dyDescent="0.35">
      <c r="A2213" s="277" t="s">
        <v>111</v>
      </c>
      <c r="B2213" s="906" t="s">
        <v>47</v>
      </c>
      <c r="C2213" s="907"/>
      <c r="D2213" s="908"/>
      <c r="E2213" s="396"/>
      <c r="F2213" s="412">
        <f t="shared" ref="F2213" si="1460">SUM(F2209:F2212)</f>
        <v>0</v>
      </c>
      <c r="G2213" s="413">
        <f>SUM(G2209:G2212)</f>
        <v>6314135.2560000001</v>
      </c>
      <c r="H2213" s="397"/>
      <c r="I2213" s="412">
        <f t="shared" ref="I2213:J2213" si="1461">SUM(I2209:I2212)</f>
        <v>0</v>
      </c>
      <c r="J2213" s="431">
        <f t="shared" si="1461"/>
        <v>11555137.439999999</v>
      </c>
    </row>
    <row r="2214" spans="1:10" ht="23.4" x14ac:dyDescent="0.3">
      <c r="A2214" s="277" t="s">
        <v>111</v>
      </c>
      <c r="B2214" s="922" t="s">
        <v>17</v>
      </c>
      <c r="C2214" s="272" t="s">
        <v>331</v>
      </c>
      <c r="D2214" s="272"/>
      <c r="E2214" s="515">
        <v>12.5275</v>
      </c>
      <c r="F2214" s="408">
        <f>IFERROR(E2214*'01 Prod Physique Boites'!H2194,"-")</f>
        <v>0</v>
      </c>
      <c r="G2214" s="408">
        <f>IFERROR(E2214*'01 Prod Physique Boites'!L2194,"-")</f>
        <v>0</v>
      </c>
      <c r="H2214" s="387">
        <v>18.836400000000001</v>
      </c>
      <c r="I2214" s="425">
        <f t="shared" ref="I2214:I2220" si="1462">IFERROR(H2214*(F2214/E2214),"-")</f>
        <v>0</v>
      </c>
      <c r="J2214" s="426">
        <f t="shared" ref="J2214:J2219" si="1463">IFERROR(H2214*(G2214/E2214),"-")</f>
        <v>0</v>
      </c>
    </row>
    <row r="2215" spans="1:10" ht="23.4" x14ac:dyDescent="0.3">
      <c r="A2215" s="277" t="s">
        <v>111</v>
      </c>
      <c r="B2215" s="923"/>
      <c r="C2215" s="278" t="s">
        <v>421</v>
      </c>
      <c r="D2215" s="278" t="s">
        <v>257</v>
      </c>
      <c r="E2215" s="516">
        <v>13.002700000000001</v>
      </c>
      <c r="F2215" s="408">
        <f>IFERROR(E2215*'01 Prod Physique Boites'!H2195,"-")</f>
        <v>0</v>
      </c>
      <c r="G2215" s="408">
        <f>IFERROR(E2215*'01 Prod Physique Boites'!L2195,"-")</f>
        <v>16088487.761300001</v>
      </c>
      <c r="H2215" s="391">
        <v>21.18</v>
      </c>
      <c r="I2215" s="427">
        <f t="shared" si="1462"/>
        <v>0</v>
      </c>
      <c r="J2215" s="428">
        <f t="shared" si="1463"/>
        <v>26206416.419999998</v>
      </c>
    </row>
    <row r="2216" spans="1:10" ht="23.4" x14ac:dyDescent="0.3">
      <c r="A2216" s="277" t="s">
        <v>111</v>
      </c>
      <c r="B2216" s="923"/>
      <c r="C2216" s="278" t="s">
        <v>441</v>
      </c>
      <c r="D2216" s="278" t="s">
        <v>205</v>
      </c>
      <c r="E2216" s="516">
        <v>12.9049</v>
      </c>
      <c r="F2216" s="408">
        <f>IFERROR(E2216*'01 Prod Physique Boites'!H2196,"-")</f>
        <v>0</v>
      </c>
      <c r="G2216" s="408">
        <f>IFERROR(E2216*'01 Prod Physique Boites'!L2196,"-")</f>
        <v>0</v>
      </c>
      <c r="H2216" s="391">
        <v>20.6602</v>
      </c>
      <c r="I2216" s="427">
        <f t="shared" si="1462"/>
        <v>0</v>
      </c>
      <c r="J2216" s="428">
        <f t="shared" si="1463"/>
        <v>0</v>
      </c>
    </row>
    <row r="2217" spans="1:10" ht="23.4" x14ac:dyDescent="0.3">
      <c r="A2217" s="277" t="s">
        <v>111</v>
      </c>
      <c r="B2217" s="923"/>
      <c r="C2217" s="278" t="s">
        <v>330</v>
      </c>
      <c r="D2217" s="278" t="s">
        <v>206</v>
      </c>
      <c r="E2217" s="516">
        <v>13.078200000000001</v>
      </c>
      <c r="F2217" s="408">
        <f>IFERROR(E2217*'01 Prod Physique Boites'!H2197,"-")</f>
        <v>0</v>
      </c>
      <c r="G2217" s="408">
        <f>IFERROR(E2217*'01 Prod Physique Boites'!L2197,"-")</f>
        <v>24011.575200000003</v>
      </c>
      <c r="H2217" s="391">
        <v>20.6</v>
      </c>
      <c r="I2217" s="427">
        <f t="shared" si="1462"/>
        <v>0</v>
      </c>
      <c r="J2217" s="428">
        <f t="shared" si="1463"/>
        <v>37821.600000000006</v>
      </c>
    </row>
    <row r="2218" spans="1:10" ht="23.4" x14ac:dyDescent="0.3">
      <c r="A2218" s="277" t="s">
        <v>111</v>
      </c>
      <c r="B2218" s="923"/>
      <c r="C2218" s="278" t="s">
        <v>377</v>
      </c>
      <c r="D2218" s="278" t="s">
        <v>371</v>
      </c>
      <c r="E2218" s="516">
        <v>13.1958</v>
      </c>
      <c r="F2218" s="408">
        <f>IFERROR(E2218*'01 Prod Physique Boites'!H2198,"-")</f>
        <v>0</v>
      </c>
      <c r="G2218" s="408">
        <f>IFERROR(E2218*'01 Prod Physique Boites'!L2198,"-")</f>
        <v>140007.43799999999</v>
      </c>
      <c r="H2218" s="391">
        <v>21.28</v>
      </c>
      <c r="I2218" s="427">
        <f t="shared" si="1462"/>
        <v>0</v>
      </c>
      <c r="J2218" s="428">
        <f t="shared" si="1463"/>
        <v>225780.80000000002</v>
      </c>
    </row>
    <row r="2219" spans="1:10" ht="23.4" x14ac:dyDescent="0.3">
      <c r="A2219" s="277" t="s">
        <v>111</v>
      </c>
      <c r="B2219" s="923"/>
      <c r="C2219" s="278" t="s">
        <v>443</v>
      </c>
      <c r="D2219" s="278" t="s">
        <v>207</v>
      </c>
      <c r="E2219" s="516">
        <v>12.9049</v>
      </c>
      <c r="F2219" s="408">
        <f>IFERROR(E2219*'01 Prod Physique Boites'!H2199,"-")</f>
        <v>3001163.5439999998</v>
      </c>
      <c r="G2219" s="408">
        <f>IFERROR(E2219*'01 Prod Physique Boites'!L2199,"-")</f>
        <v>11925676.187999999</v>
      </c>
      <c r="H2219" s="812">
        <v>20.5</v>
      </c>
      <c r="I2219" s="427">
        <f t="shared" si="1462"/>
        <v>4767480</v>
      </c>
      <c r="J2219" s="428">
        <f t="shared" si="1463"/>
        <v>18944460</v>
      </c>
    </row>
    <row r="2220" spans="1:10" ht="24" thickBot="1" x14ac:dyDescent="0.35">
      <c r="A2220" s="277" t="s">
        <v>111</v>
      </c>
      <c r="B2220" s="924"/>
      <c r="C2220" s="282" t="s">
        <v>416</v>
      </c>
      <c r="D2220" s="282" t="s">
        <v>189</v>
      </c>
      <c r="E2220" s="512">
        <v>13.6509</v>
      </c>
      <c r="F2220" s="408">
        <f>IFERROR(E2220*'01 Prod Physique Boites'!H2200,"-")</f>
        <v>0</v>
      </c>
      <c r="G2220" s="408">
        <f>IFERROR(E2220*'01 Prod Physique Boites'!L2200,"-")</f>
        <v>1002522.096</v>
      </c>
      <c r="H2220" s="393">
        <v>21.18</v>
      </c>
      <c r="I2220" s="429">
        <f t="shared" si="1462"/>
        <v>0</v>
      </c>
      <c r="J2220" s="430">
        <f>IFERROR(H2220*(G2220/E2220),"-")</f>
        <v>1555459.2</v>
      </c>
    </row>
    <row r="2221" spans="1:10" ht="24" thickBot="1" x14ac:dyDescent="0.35">
      <c r="A2221" s="277" t="s">
        <v>111</v>
      </c>
      <c r="B2221" s="906" t="s">
        <v>48</v>
      </c>
      <c r="C2221" s="907"/>
      <c r="D2221" s="908"/>
      <c r="E2221" s="396"/>
      <c r="F2221" s="412">
        <f t="shared" ref="F2221" si="1464">SUM(F2214:F2220)</f>
        <v>3001163.5439999998</v>
      </c>
      <c r="G2221" s="413">
        <f>SUM(G2214:G2220)</f>
        <v>29180705.058499999</v>
      </c>
      <c r="H2221" s="397"/>
      <c r="I2221" s="412">
        <f t="shared" ref="I2221" si="1465">SUM(I2214:I2220)</f>
        <v>4767480</v>
      </c>
      <c r="J2221" s="431">
        <f>SUM(J2214:J2220)</f>
        <v>46969938.020000003</v>
      </c>
    </row>
    <row r="2222" spans="1:10" ht="23.4" x14ac:dyDescent="0.3">
      <c r="A2222" s="277" t="s">
        <v>111</v>
      </c>
      <c r="B2222" s="922" t="s">
        <v>18</v>
      </c>
      <c r="C2222" s="272" t="s">
        <v>359</v>
      </c>
      <c r="D2222" s="272" t="s">
        <v>99</v>
      </c>
      <c r="E2222" s="515">
        <v>17.8202</v>
      </c>
      <c r="F2222" s="408">
        <f>IFERROR(E2222*'01 Prod Physique Boites'!H2202,"-")</f>
        <v>0</v>
      </c>
      <c r="G2222" s="409">
        <f>IFERROR(E2222*'01 Prod Physique Boites'!L2202,"-")</f>
        <v>0</v>
      </c>
      <c r="H2222" s="387">
        <v>24.93</v>
      </c>
      <c r="I2222" s="425">
        <f t="shared" ref="I2222:I2228" si="1466">IFERROR(H2222*(F2222/E2222),"-")</f>
        <v>0</v>
      </c>
      <c r="J2222" s="426">
        <f t="shared" ref="J2222:J2224" si="1467">IFERROR(H2222*(G2222/E2222),"-")</f>
        <v>0</v>
      </c>
    </row>
    <row r="2223" spans="1:10" ht="23.4" x14ac:dyDescent="0.3">
      <c r="A2223" s="277" t="s">
        <v>111</v>
      </c>
      <c r="B2223" s="923"/>
      <c r="C2223" s="278" t="s">
        <v>138</v>
      </c>
      <c r="D2223" s="278"/>
      <c r="E2223" s="516">
        <v>17.8202</v>
      </c>
      <c r="F2223" s="408">
        <f>IFERROR(E2223*'01 Prod Physique Boites'!H2203,"-")</f>
        <v>0</v>
      </c>
      <c r="G2223" s="409">
        <f>IFERROR(E2223*'01 Prod Physique Boites'!L2203,"-")</f>
        <v>0</v>
      </c>
      <c r="H2223" s="391">
        <v>0</v>
      </c>
      <c r="I2223" s="427">
        <f t="shared" si="1466"/>
        <v>0</v>
      </c>
      <c r="J2223" s="428">
        <f t="shared" si="1467"/>
        <v>0</v>
      </c>
    </row>
    <row r="2224" spans="1:10" ht="23.4" x14ac:dyDescent="0.3">
      <c r="A2224" s="277" t="s">
        <v>111</v>
      </c>
      <c r="B2224" s="923"/>
      <c r="C2224" s="278" t="s">
        <v>123</v>
      </c>
      <c r="D2224" s="278"/>
      <c r="E2224" s="516">
        <v>16.4071</v>
      </c>
      <c r="F2224" s="408">
        <f>IFERROR(E2224*'01 Prod Physique Boites'!H2204,"-")</f>
        <v>0</v>
      </c>
      <c r="G2224" s="409">
        <f>IFERROR(E2224*'01 Prod Physique Boites'!L2204,"-")</f>
        <v>0</v>
      </c>
      <c r="H2224" s="391">
        <v>0</v>
      </c>
      <c r="I2224" s="427">
        <f t="shared" si="1466"/>
        <v>0</v>
      </c>
      <c r="J2224" s="428">
        <f t="shared" si="1467"/>
        <v>0</v>
      </c>
    </row>
    <row r="2225" spans="1:10" ht="23.4" x14ac:dyDescent="0.3">
      <c r="A2225" s="277" t="s">
        <v>111</v>
      </c>
      <c r="B2225" s="923"/>
      <c r="C2225" s="278" t="s">
        <v>130</v>
      </c>
      <c r="D2225" s="278"/>
      <c r="E2225" s="516">
        <v>17.8202</v>
      </c>
      <c r="F2225" s="408">
        <f>IFERROR(E2225*'01 Prod Physique Boites'!H2205,"-")</f>
        <v>0</v>
      </c>
      <c r="G2225" s="409">
        <f>IFERROR(E2225*'01 Prod Physique Boites'!L2205,"-")</f>
        <v>0</v>
      </c>
      <c r="H2225" s="391">
        <v>0</v>
      </c>
      <c r="I2225" s="427">
        <f t="shared" si="1466"/>
        <v>0</v>
      </c>
      <c r="J2225" s="428">
        <f>IFERROR(H2225*(G2225/E2225),"-")</f>
        <v>0</v>
      </c>
    </row>
    <row r="2226" spans="1:10" ht="23.4" x14ac:dyDescent="0.3">
      <c r="A2226" s="277" t="s">
        <v>111</v>
      </c>
      <c r="B2226" s="923"/>
      <c r="C2226" s="278" t="s">
        <v>191</v>
      </c>
      <c r="D2226" s="278" t="s">
        <v>192</v>
      </c>
      <c r="E2226" s="516">
        <v>17.8202</v>
      </c>
      <c r="F2226" s="408">
        <f>IFERROR(E2226*'01 Prod Physique Boites'!H2206,"-")</f>
        <v>0</v>
      </c>
      <c r="G2226" s="409">
        <f>IFERROR(E2226*'01 Prod Physique Boites'!L2206,"-")</f>
        <v>0</v>
      </c>
      <c r="H2226" s="391">
        <v>0</v>
      </c>
      <c r="I2226" s="427">
        <f t="shared" si="1466"/>
        <v>0</v>
      </c>
      <c r="J2226" s="428">
        <f t="shared" ref="J2226:J2228" si="1468">IFERROR(H2226*(G2226/E2226),"-")</f>
        <v>0</v>
      </c>
    </row>
    <row r="2227" spans="1:10" ht="23.4" x14ac:dyDescent="0.3">
      <c r="A2227" s="277" t="s">
        <v>111</v>
      </c>
      <c r="B2227" s="923"/>
      <c r="C2227" s="278" t="s">
        <v>194</v>
      </c>
      <c r="D2227" s="278" t="s">
        <v>193</v>
      </c>
      <c r="E2227" s="516">
        <v>16.7288</v>
      </c>
      <c r="F2227" s="408">
        <f>IFERROR(E2227*'01 Prod Physique Boites'!H2207,"-")</f>
        <v>0</v>
      </c>
      <c r="G2227" s="409">
        <f>IFERROR(E2227*'01 Prod Physique Boites'!L2207,"-")</f>
        <v>0</v>
      </c>
      <c r="H2227" s="391">
        <v>0</v>
      </c>
      <c r="I2227" s="427">
        <f t="shared" si="1466"/>
        <v>0</v>
      </c>
      <c r="J2227" s="428">
        <f t="shared" si="1468"/>
        <v>0</v>
      </c>
    </row>
    <row r="2228" spans="1:10" ht="24" thickBot="1" x14ac:dyDescent="0.35">
      <c r="A2228" s="277" t="s">
        <v>111</v>
      </c>
      <c r="B2228" s="924"/>
      <c r="C2228" s="290" t="s">
        <v>195</v>
      </c>
      <c r="D2228" s="290" t="s">
        <v>115</v>
      </c>
      <c r="E2228" s="512">
        <v>17.8202</v>
      </c>
      <c r="F2228" s="408">
        <f>IFERROR(E2228*'01 Prod Physique Boites'!H2208,"-")</f>
        <v>0</v>
      </c>
      <c r="G2228" s="409">
        <f>IFERROR(E2228*'01 Prod Physique Boites'!L2208,"-")</f>
        <v>0</v>
      </c>
      <c r="H2228" s="391">
        <v>0</v>
      </c>
      <c r="I2228" s="429">
        <f t="shared" si="1466"/>
        <v>0</v>
      </c>
      <c r="J2228" s="430">
        <f t="shared" si="1468"/>
        <v>0</v>
      </c>
    </row>
    <row r="2229" spans="1:10" ht="24" thickBot="1" x14ac:dyDescent="0.35">
      <c r="A2229" s="277" t="s">
        <v>111</v>
      </c>
      <c r="B2229" s="906" t="s">
        <v>29</v>
      </c>
      <c r="C2229" s="907"/>
      <c r="D2229" s="908"/>
      <c r="E2229" s="777"/>
      <c r="F2229" s="778">
        <f t="shared" ref="F2229:G2229" si="1469">SUM(F2222:F2228)</f>
        <v>0</v>
      </c>
      <c r="G2229" s="413">
        <f t="shared" si="1469"/>
        <v>0</v>
      </c>
      <c r="H2229" s="397"/>
      <c r="I2229" s="412">
        <f t="shared" ref="I2229:J2229" si="1470">SUM(I2222:I2228)</f>
        <v>0</v>
      </c>
      <c r="J2229" s="431">
        <f t="shared" si="1470"/>
        <v>0</v>
      </c>
    </row>
    <row r="2230" spans="1:10" ht="23.4" x14ac:dyDescent="0.3">
      <c r="A2230" s="277"/>
      <c r="B2230" s="918" t="s">
        <v>19</v>
      </c>
      <c r="C2230" s="779" t="s">
        <v>260</v>
      </c>
      <c r="D2230" s="785" t="s">
        <v>192</v>
      </c>
      <c r="E2230" s="786">
        <v>12.2659</v>
      </c>
      <c r="F2230" s="787">
        <f>IFERROR(E2230*'01 Prod Physique Boites'!H2210,"-")</f>
        <v>0</v>
      </c>
      <c r="G2230" s="788">
        <f>IFERROR(E2230*'01 Prod Physique Boites'!L2210,"-")</f>
        <v>4024662.5762</v>
      </c>
      <c r="H2230" s="782">
        <v>14.79</v>
      </c>
      <c r="I2230" s="703">
        <f t="shared" ref="I2230:I2232" si="1471">IFERROR(H2230*(F2230/E2230),"-")</f>
        <v>0</v>
      </c>
      <c r="J2230" s="703">
        <f>IFERROR(H2230*(G2230/E2230),"-")</f>
        <v>4852865.22</v>
      </c>
    </row>
    <row r="2231" spans="1:10" ht="23.4" x14ac:dyDescent="0.3">
      <c r="A2231" s="277"/>
      <c r="B2231" s="919"/>
      <c r="C2231" s="780" t="s">
        <v>458</v>
      </c>
      <c r="D2231" s="789"/>
      <c r="E2231" s="762">
        <v>12.2659</v>
      </c>
      <c r="F2231" s="763">
        <f>IFERROR(E2231*'01 Prod Physique Boites'!H2211,"-")</f>
        <v>828978.58559999999</v>
      </c>
      <c r="G2231" s="663">
        <f>IFERROR(E2231*'01 Prod Physique Boites'!L2211,"-")</f>
        <v>8082541.2095999997</v>
      </c>
      <c r="H2231" s="783">
        <v>14.55</v>
      </c>
      <c r="I2231" s="763">
        <f t="shared" si="1471"/>
        <v>983347.20000000007</v>
      </c>
      <c r="J2231" s="763">
        <f>IFERROR(H2231*(G2231/E2231),"-")</f>
        <v>9587635.2000000011</v>
      </c>
    </row>
    <row r="2232" spans="1:10" ht="24" thickBot="1" x14ac:dyDescent="0.35">
      <c r="A2232" s="886" t="s">
        <v>111</v>
      </c>
      <c r="B2232" s="920"/>
      <c r="C2232" s="781" t="s">
        <v>417</v>
      </c>
      <c r="D2232" s="790"/>
      <c r="E2232" s="791">
        <v>0</v>
      </c>
      <c r="F2232" s="792">
        <f>IFERROR(E2232*'01 Prod Physique Boites'!H2212,"-")</f>
        <v>0</v>
      </c>
      <c r="G2232" s="793">
        <f>IFERROR(E2232*'01 Prod Physique Boites'!L2212,"-")</f>
        <v>0</v>
      </c>
      <c r="H2232" s="784">
        <v>0</v>
      </c>
      <c r="I2232" s="432" t="str">
        <f t="shared" si="1471"/>
        <v>-</v>
      </c>
      <c r="J2232" s="433" t="str">
        <f t="shared" ref="J2232" si="1472">IFERROR(I2232*(G2232/F2232),"-")</f>
        <v>-</v>
      </c>
    </row>
    <row r="2233" spans="1:10" ht="24" thickBot="1" x14ac:dyDescent="0.35">
      <c r="A2233" s="277" t="s">
        <v>111</v>
      </c>
      <c r="B2233" s="906" t="s">
        <v>49</v>
      </c>
      <c r="C2233" s="907"/>
      <c r="D2233" s="908"/>
      <c r="E2233" s="396"/>
      <c r="F2233" s="412">
        <f>SUM(F2230:F2232)</f>
        <v>828978.58559999999</v>
      </c>
      <c r="G2233" s="412">
        <f>SUM(G2230:G2232)</f>
        <v>12107203.785799999</v>
      </c>
      <c r="H2233" s="397"/>
      <c r="I2233" s="412">
        <f t="shared" ref="I2233" si="1473">SUM(I2232)</f>
        <v>0</v>
      </c>
      <c r="J2233" s="431">
        <f>SUM(J2230:J2232)</f>
        <v>14440500.420000002</v>
      </c>
    </row>
    <row r="2234" spans="1:10" ht="23.4" x14ac:dyDescent="0.3">
      <c r="A2234" s="277" t="s">
        <v>111</v>
      </c>
      <c r="B2234" s="922" t="s">
        <v>20</v>
      </c>
      <c r="C2234" s="297" t="s">
        <v>370</v>
      </c>
      <c r="D2234" s="297" t="s">
        <v>324</v>
      </c>
      <c r="E2234" s="515">
        <v>26.032900000000001</v>
      </c>
      <c r="F2234" s="408">
        <f>IFERROR(E2234*'01 Prod Physique Boites'!H2214,"-")</f>
        <v>0</v>
      </c>
      <c r="G2234" s="409">
        <f>IFERROR(E2234*'01 Prod Physique Boites'!L2214,"-")</f>
        <v>0</v>
      </c>
      <c r="H2234" s="387">
        <v>36.44</v>
      </c>
      <c r="I2234" s="425">
        <f>IFERROR(H2234*(F2234/E2234),"-")</f>
        <v>0</v>
      </c>
      <c r="J2234" s="426">
        <f t="shared" ref="J2234:J2236" si="1474">IFERROR(H2234*(G2234/E2234),"-")</f>
        <v>0</v>
      </c>
    </row>
    <row r="2235" spans="1:10" ht="23.4" x14ac:dyDescent="0.3">
      <c r="A2235" s="277" t="s">
        <v>111</v>
      </c>
      <c r="B2235" s="923"/>
      <c r="C2235" s="298" t="s">
        <v>122</v>
      </c>
      <c r="D2235" s="298"/>
      <c r="E2235" s="390">
        <v>24.2607</v>
      </c>
      <c r="F2235" s="408">
        <f>IFERROR(E2235*'01 Prod Physique Boites'!H2215,"-")</f>
        <v>0</v>
      </c>
      <c r="G2235" s="409">
        <f>IFERROR(E2235*'01 Prod Physique Boites'!L2215,"-")</f>
        <v>0</v>
      </c>
      <c r="H2235" s="391">
        <v>37.369999999999997</v>
      </c>
      <c r="I2235" s="427">
        <f>IFERROR(H2235*(F2235/E2235),"-")</f>
        <v>0</v>
      </c>
      <c r="J2235" s="428">
        <f t="shared" si="1474"/>
        <v>0</v>
      </c>
    </row>
    <row r="2236" spans="1:10" ht="24" thickBot="1" x14ac:dyDescent="0.35">
      <c r="A2236" s="277" t="s">
        <v>111</v>
      </c>
      <c r="B2236" s="924"/>
      <c r="C2236" s="299" t="s">
        <v>128</v>
      </c>
      <c r="D2236" s="299"/>
      <c r="E2236" s="392">
        <v>26.035799999999998</v>
      </c>
      <c r="F2236" s="408">
        <f>IFERROR(E2236*'01 Prod Physique Boites'!H2216,"-")</f>
        <v>0</v>
      </c>
      <c r="G2236" s="409">
        <f>IFERROR(E2236*'01 Prod Physique Boites'!L2216,"-")</f>
        <v>0</v>
      </c>
      <c r="H2236" s="393">
        <v>37.11</v>
      </c>
      <c r="I2236" s="429">
        <f>IFERROR(H2236*(F2236/E2236),"-")</f>
        <v>0</v>
      </c>
      <c r="J2236" s="430">
        <f t="shared" si="1474"/>
        <v>0</v>
      </c>
    </row>
    <row r="2237" spans="1:10" ht="24" thickBot="1" x14ac:dyDescent="0.35">
      <c r="A2237" s="277" t="s">
        <v>111</v>
      </c>
      <c r="B2237" s="907" t="s">
        <v>50</v>
      </c>
      <c r="C2237" s="907"/>
      <c r="D2237" s="925"/>
      <c r="E2237" s="396"/>
      <c r="F2237" s="412">
        <f t="shared" ref="F2237:G2237" si="1475">SUM(F2234:F2236)</f>
        <v>0</v>
      </c>
      <c r="G2237" s="413">
        <f t="shared" si="1475"/>
        <v>0</v>
      </c>
      <c r="H2237" s="397"/>
      <c r="I2237" s="412">
        <f t="shared" ref="I2237:J2237" si="1476">SUM(I2234:I2236)</f>
        <v>0</v>
      </c>
      <c r="J2237" s="431">
        <f t="shared" si="1476"/>
        <v>0</v>
      </c>
    </row>
    <row r="2238" spans="1:10" ht="24" thickBot="1" x14ac:dyDescent="0.35">
      <c r="A2238" s="277" t="s">
        <v>111</v>
      </c>
      <c r="B2238" s="926" t="s">
        <v>21</v>
      </c>
      <c r="C2238" s="927"/>
      <c r="D2238" s="928"/>
      <c r="E2238" s="399"/>
      <c r="F2238" s="416">
        <f>+F2213+F2221+F2229+F2233+F2237</f>
        <v>3830142.1295999996</v>
      </c>
      <c r="G2238" s="417">
        <f>+G2213+G2221+G2229+G2233+G2237</f>
        <v>47602044.100299999</v>
      </c>
      <c r="H2238" s="400"/>
      <c r="I2238" s="416">
        <f>+I2213+I2221+I2229+I2233+I2237</f>
        <v>4767480</v>
      </c>
      <c r="J2238" s="434">
        <f>+J2213+J2221+J2229+J2233+J2237</f>
        <v>72965575.879999995</v>
      </c>
    </row>
    <row r="2239" spans="1:10" ht="23.4" x14ac:dyDescent="0.3">
      <c r="A2239" s="277" t="s">
        <v>111</v>
      </c>
      <c r="B2239" s="922" t="s">
        <v>22</v>
      </c>
      <c r="C2239" s="272" t="s">
        <v>133</v>
      </c>
      <c r="D2239" s="272"/>
      <c r="E2239" s="386">
        <v>22.820599999999999</v>
      </c>
      <c r="F2239" s="408">
        <f>IFERROR(E2239*'01 Prod Physique Boites'!H2219,"-")</f>
        <v>0</v>
      </c>
      <c r="G2239" s="409">
        <f>IFERROR(E2239*'01 Prod Physique Boites'!L2219,"-")</f>
        <v>0</v>
      </c>
      <c r="H2239" s="387">
        <v>27.5</v>
      </c>
      <c r="I2239" s="425">
        <f>IFERROR(H2239*(F2239/E2239),"-")</f>
        <v>0</v>
      </c>
      <c r="J2239" s="426">
        <f t="shared" ref="J2239:J2242" si="1477">IFERROR(H2239*(G2239/E2239),"-")</f>
        <v>0</v>
      </c>
    </row>
    <row r="2240" spans="1:10" ht="23.4" x14ac:dyDescent="0.3">
      <c r="A2240" s="277" t="s">
        <v>111</v>
      </c>
      <c r="B2240" s="923"/>
      <c r="C2240" s="301" t="s">
        <v>291</v>
      </c>
      <c r="D2240" s="301" t="s">
        <v>196</v>
      </c>
      <c r="E2240" s="390">
        <v>23.570699999999999</v>
      </c>
      <c r="F2240" s="408">
        <f>IFERROR(E2240*'01 Prod Physique Boites'!H2220,"-")</f>
        <v>0</v>
      </c>
      <c r="G2240" s="409">
        <f>IFERROR(E2240*'01 Prod Physique Boites'!L2220,"-")</f>
        <v>0</v>
      </c>
      <c r="H2240" s="391">
        <v>27.5</v>
      </c>
      <c r="I2240" s="427">
        <f>IFERROR(H2240*(F2240/E2240),"-")</f>
        <v>0</v>
      </c>
      <c r="J2240" s="428">
        <f t="shared" si="1477"/>
        <v>0</v>
      </c>
    </row>
    <row r="2241" spans="1:10" ht="23.4" x14ac:dyDescent="0.3">
      <c r="A2241" s="277" t="s">
        <v>111</v>
      </c>
      <c r="B2241" s="923"/>
      <c r="C2241" s="301" t="s">
        <v>473</v>
      </c>
      <c r="D2241" s="301" t="s">
        <v>196</v>
      </c>
      <c r="E2241" s="390">
        <v>22.820599999999999</v>
      </c>
      <c r="F2241" s="408">
        <f>IFERROR(E2241*'01 Prod Physique Boites'!H2221,"-")</f>
        <v>1445913.216</v>
      </c>
      <c r="G2241" s="409">
        <f>IFERROR(E2241*'01 Prod Physique Boites'!L2221,"-")</f>
        <v>10437686.027999999</v>
      </c>
      <c r="H2241" s="391">
        <v>27.5</v>
      </c>
      <c r="I2241" s="427">
        <f>IFERROR(H2241*(F2241/E2241),"-")</f>
        <v>1742400.0000000002</v>
      </c>
      <c r="J2241" s="428">
        <f t="shared" si="1477"/>
        <v>12577950</v>
      </c>
    </row>
    <row r="2242" spans="1:10" ht="24" thickBot="1" x14ac:dyDescent="0.35">
      <c r="A2242" s="277" t="s">
        <v>111</v>
      </c>
      <c r="B2242" s="924"/>
      <c r="C2242" s="282" t="s">
        <v>197</v>
      </c>
      <c r="D2242" s="282" t="s">
        <v>100</v>
      </c>
      <c r="E2242" s="392">
        <v>23.5685</v>
      </c>
      <c r="F2242" s="408">
        <f>IFERROR(E2242*'01 Prod Physique Boites'!H2222,"-")</f>
        <v>0</v>
      </c>
      <c r="G2242" s="409">
        <f>IFERROR(E2242*'01 Prod Physique Boites'!L2222,"-")</f>
        <v>0</v>
      </c>
      <c r="H2242" s="393">
        <v>24</v>
      </c>
      <c r="I2242" s="429">
        <f>IFERROR(H2242*(F2242/E2242),"-")</f>
        <v>0</v>
      </c>
      <c r="J2242" s="430">
        <f t="shared" si="1477"/>
        <v>0</v>
      </c>
    </row>
    <row r="2243" spans="1:10" ht="24" thickBot="1" x14ac:dyDescent="0.35">
      <c r="A2243" s="277" t="s">
        <v>111</v>
      </c>
      <c r="B2243" s="906" t="s">
        <v>51</v>
      </c>
      <c r="C2243" s="907"/>
      <c r="D2243" s="908"/>
      <c r="E2243" s="396"/>
      <c r="F2243" s="412">
        <f t="shared" ref="F2243:G2243" si="1478">SUM(F2239:F2242)</f>
        <v>1445913.216</v>
      </c>
      <c r="G2243" s="413">
        <f t="shared" si="1478"/>
        <v>10437686.027999999</v>
      </c>
      <c r="H2243" s="397"/>
      <c r="I2243" s="412">
        <f t="shared" ref="I2243:J2243" si="1479">SUM(I2239:I2242)</f>
        <v>1742400.0000000002</v>
      </c>
      <c r="J2243" s="431">
        <f t="shared" si="1479"/>
        <v>12577950</v>
      </c>
    </row>
    <row r="2244" spans="1:10" ht="23.4" x14ac:dyDescent="0.3">
      <c r="A2244" s="277" t="s">
        <v>111</v>
      </c>
      <c r="B2244" s="922" t="s">
        <v>23</v>
      </c>
      <c r="C2244" s="302" t="s">
        <v>348</v>
      </c>
      <c r="D2244" s="302" t="s">
        <v>263</v>
      </c>
      <c r="E2244" s="386">
        <v>101.4935</v>
      </c>
      <c r="F2244" s="408">
        <f>IFERROR(E2244*'01 Prod Physique Boites'!H2224,"-")</f>
        <v>0</v>
      </c>
      <c r="G2244" s="409">
        <f>IFERROR(E2244*'01 Prod Physique Boites'!L2224,"-")</f>
        <v>0</v>
      </c>
      <c r="H2244" s="391">
        <v>160.44999999999999</v>
      </c>
      <c r="I2244" s="425">
        <f t="shared" ref="I2244:I2251" si="1480">IFERROR(H2244*(F2244/E2244),"-")</f>
        <v>0</v>
      </c>
      <c r="J2244" s="426">
        <f t="shared" ref="J2244:J2251" si="1481">IFERROR(H2244*(G2244/E2244),"-")</f>
        <v>0</v>
      </c>
    </row>
    <row r="2245" spans="1:10" ht="23.4" x14ac:dyDescent="0.3">
      <c r="A2245" s="277" t="s">
        <v>111</v>
      </c>
      <c r="B2245" s="923"/>
      <c r="C2245" s="278" t="s">
        <v>24</v>
      </c>
      <c r="D2245" s="278" t="s">
        <v>263</v>
      </c>
      <c r="E2245" s="390">
        <v>101.4935</v>
      </c>
      <c r="F2245" s="408">
        <f>IFERROR(E2245*'01 Prod Physique Boites'!H2225,"-")</f>
        <v>0</v>
      </c>
      <c r="G2245" s="409">
        <f>IFERROR(E2245*'01 Prod Physique Boites'!L2225,"-")</f>
        <v>11408275.374</v>
      </c>
      <c r="H2245" s="391">
        <v>160.44999999999999</v>
      </c>
      <c r="I2245" s="427">
        <f t="shared" si="1480"/>
        <v>0</v>
      </c>
      <c r="J2245" s="428">
        <f t="shared" si="1481"/>
        <v>18035221.799999997</v>
      </c>
    </row>
    <row r="2246" spans="1:10" ht="23.4" x14ac:dyDescent="0.3">
      <c r="A2246" s="277" t="s">
        <v>111</v>
      </c>
      <c r="B2246" s="923"/>
      <c r="C2246" s="278" t="s">
        <v>261</v>
      </c>
      <c r="D2246" s="278" t="s">
        <v>263</v>
      </c>
      <c r="E2246" s="390">
        <v>101.4935</v>
      </c>
      <c r="F2246" s="408">
        <f>IFERROR(E2246*'01 Prod Physique Boites'!H2226,"-")</f>
        <v>0</v>
      </c>
      <c r="G2246" s="409">
        <f>IFERROR(E2246*'01 Prod Physique Boites'!L2226,"-")</f>
        <v>1106380.6435</v>
      </c>
      <c r="H2246" s="391">
        <v>160.44999999999999</v>
      </c>
      <c r="I2246" s="427">
        <f t="shared" si="1480"/>
        <v>0</v>
      </c>
      <c r="J2246" s="428">
        <f t="shared" si="1481"/>
        <v>1749065.45</v>
      </c>
    </row>
    <row r="2247" spans="1:10" ht="23.4" x14ac:dyDescent="0.3">
      <c r="A2247" s="277" t="s">
        <v>111</v>
      </c>
      <c r="B2247" s="923"/>
      <c r="C2247" s="278" t="s">
        <v>262</v>
      </c>
      <c r="D2247" s="278" t="s">
        <v>263</v>
      </c>
      <c r="E2247" s="390">
        <v>101.4935</v>
      </c>
      <c r="F2247" s="408">
        <f>IFERROR(E2247*'01 Prod Physique Boites'!H2227,"-")</f>
        <v>0</v>
      </c>
      <c r="G2247" s="409">
        <f>IFERROR(E2247*'01 Prod Physique Boites'!L2227,"-")</f>
        <v>772568.522</v>
      </c>
      <c r="H2247" s="391">
        <v>160.44999999999999</v>
      </c>
      <c r="I2247" s="427">
        <f t="shared" si="1480"/>
        <v>0</v>
      </c>
      <c r="J2247" s="428">
        <f t="shared" si="1481"/>
        <v>1221345.3999999999</v>
      </c>
    </row>
    <row r="2248" spans="1:10" ht="23.4" x14ac:dyDescent="0.3">
      <c r="A2248" s="277" t="s">
        <v>111</v>
      </c>
      <c r="B2248" s="923"/>
      <c r="C2248" s="301" t="s">
        <v>264</v>
      </c>
      <c r="D2248" s="278" t="s">
        <v>263</v>
      </c>
      <c r="E2248" s="390">
        <v>101.4935</v>
      </c>
      <c r="F2248" s="408">
        <f>IFERROR(E2248*'01 Prod Physique Boites'!H2228,"-")</f>
        <v>0</v>
      </c>
      <c r="G2248" s="409">
        <f>IFERROR(E2248*'01 Prod Physique Boites'!L2228,"-")</f>
        <v>0</v>
      </c>
      <c r="H2248" s="391">
        <v>160.44999999999999</v>
      </c>
      <c r="I2248" s="427">
        <f t="shared" si="1480"/>
        <v>0</v>
      </c>
      <c r="J2248" s="428">
        <f t="shared" si="1481"/>
        <v>0</v>
      </c>
    </row>
    <row r="2249" spans="1:10" ht="23.4" x14ac:dyDescent="0.3">
      <c r="A2249" s="277" t="s">
        <v>111</v>
      </c>
      <c r="B2249" s="923"/>
      <c r="C2249" s="301" t="s">
        <v>265</v>
      </c>
      <c r="D2249" s="278" t="s">
        <v>263</v>
      </c>
      <c r="E2249" s="390">
        <v>101.4935</v>
      </c>
      <c r="F2249" s="408">
        <f>IFERROR(E2249*'01 Prod Physique Boites'!H2229,"-")</f>
        <v>0</v>
      </c>
      <c r="G2249" s="409">
        <f>IFERROR(E2249*'01 Prod Physique Boites'!L2229,"-")</f>
        <v>0</v>
      </c>
      <c r="H2249" s="391">
        <v>160.44999999999999</v>
      </c>
      <c r="I2249" s="427">
        <f t="shared" si="1480"/>
        <v>0</v>
      </c>
      <c r="J2249" s="428">
        <f t="shared" si="1481"/>
        <v>0</v>
      </c>
    </row>
    <row r="2250" spans="1:10" ht="23.4" x14ac:dyDescent="0.3">
      <c r="A2250" s="277" t="s">
        <v>111</v>
      </c>
      <c r="B2250" s="923"/>
      <c r="C2250" s="301" t="s">
        <v>266</v>
      </c>
      <c r="D2250" s="278" t="s">
        <v>268</v>
      </c>
      <c r="E2250" s="390">
        <v>101.4935</v>
      </c>
      <c r="F2250" s="408">
        <f>IFERROR(E2250*'01 Prod Physique Boites'!H2230,"-")</f>
        <v>0</v>
      </c>
      <c r="G2250" s="409">
        <f>IFERROR(E2250*'01 Prod Physique Boites'!L2230,"-")</f>
        <v>1057257.7895</v>
      </c>
      <c r="H2250" s="391">
        <v>160.44999999999999</v>
      </c>
      <c r="I2250" s="427">
        <f t="shared" si="1480"/>
        <v>0</v>
      </c>
      <c r="J2250" s="428">
        <f t="shared" si="1481"/>
        <v>1671407.65</v>
      </c>
    </row>
    <row r="2251" spans="1:10" ht="24" thickBot="1" x14ac:dyDescent="0.35">
      <c r="A2251" s="277" t="s">
        <v>111</v>
      </c>
      <c r="B2251" s="924"/>
      <c r="C2251" s="301" t="s">
        <v>267</v>
      </c>
      <c r="D2251" s="278" t="s">
        <v>263</v>
      </c>
      <c r="E2251" s="392">
        <v>101.4935</v>
      </c>
      <c r="F2251" s="408">
        <f>IFERROR(E2251*'01 Prod Physique Boites'!H2231,"-")</f>
        <v>0</v>
      </c>
      <c r="G2251" s="409">
        <f>IFERROR(E2251*'01 Prod Physique Boites'!L2231,"-")</f>
        <v>1420909</v>
      </c>
      <c r="H2251" s="391">
        <v>160.44999999999999</v>
      </c>
      <c r="I2251" s="429">
        <f t="shared" si="1480"/>
        <v>0</v>
      </c>
      <c r="J2251" s="430">
        <f t="shared" si="1481"/>
        <v>2246300</v>
      </c>
    </row>
    <row r="2252" spans="1:10" ht="24" thickBot="1" x14ac:dyDescent="0.35">
      <c r="A2252" s="277" t="s">
        <v>111</v>
      </c>
      <c r="B2252" s="906" t="s">
        <v>52</v>
      </c>
      <c r="C2252" s="907"/>
      <c r="D2252" s="908"/>
      <c r="E2252" s="396"/>
      <c r="F2252" s="412">
        <f t="shared" ref="F2252" si="1482">SUM(F2244:F2251)</f>
        <v>0</v>
      </c>
      <c r="G2252" s="413">
        <f>SUM(G2244:G2251)</f>
        <v>15765391.329</v>
      </c>
      <c r="H2252" s="397"/>
      <c r="I2252" s="412">
        <f t="shared" ref="I2252" si="1483">SUM(I2244:I2251)</f>
        <v>0</v>
      </c>
      <c r="J2252" s="431">
        <f>SUM(J2244:J2251)</f>
        <v>24923340.299999993</v>
      </c>
    </row>
    <row r="2253" spans="1:10" ht="24" thickBot="1" x14ac:dyDescent="0.35">
      <c r="A2253" s="277" t="s">
        <v>111</v>
      </c>
      <c r="B2253" s="926" t="s">
        <v>25</v>
      </c>
      <c r="C2253" s="927"/>
      <c r="D2253" s="928"/>
      <c r="E2253" s="399"/>
      <c r="F2253" s="416">
        <f t="shared" ref="F2253" si="1484">+F2243+F2252</f>
        <v>1445913.216</v>
      </c>
      <c r="G2253" s="417">
        <f>+G2243+G2252</f>
        <v>26203077.357000001</v>
      </c>
      <c r="H2253" s="400"/>
      <c r="I2253" s="416">
        <f t="shared" ref="I2253:J2253" si="1485">+I2243+I2252</f>
        <v>1742400.0000000002</v>
      </c>
      <c r="J2253" s="434">
        <f t="shared" si="1485"/>
        <v>37501290.299999997</v>
      </c>
    </row>
    <row r="2254" spans="1:10" ht="24" thickBot="1" x14ac:dyDescent="0.35">
      <c r="A2254" s="277" t="s">
        <v>111</v>
      </c>
      <c r="B2254" s="900" t="s">
        <v>181</v>
      </c>
      <c r="C2254" s="901"/>
      <c r="D2254" s="902"/>
      <c r="E2254" s="401"/>
      <c r="F2254" s="418">
        <f t="shared" ref="F2254" si="1486">+F2238+F2253</f>
        <v>5276055.3455999997</v>
      </c>
      <c r="G2254" s="419">
        <f>+G2238+G2253</f>
        <v>73805121.457300007</v>
      </c>
      <c r="H2254" s="402"/>
      <c r="I2254" s="418">
        <f t="shared" ref="I2254:J2254" si="1487">+I2238+I2253</f>
        <v>6509880</v>
      </c>
      <c r="J2254" s="435">
        <f t="shared" si="1487"/>
        <v>110466866.17999999</v>
      </c>
    </row>
    <row r="2255" spans="1:10" ht="23.4" x14ac:dyDescent="0.3">
      <c r="A2255" s="271" t="s">
        <v>109</v>
      </c>
      <c r="B2255" s="929" t="s">
        <v>26</v>
      </c>
      <c r="C2255" s="303" t="s">
        <v>334</v>
      </c>
      <c r="D2255" s="305" t="s">
        <v>192</v>
      </c>
      <c r="E2255" s="515">
        <v>13.1272</v>
      </c>
      <c r="F2255" s="408">
        <f>IFERROR(E2255*'01 Prod Physique Boites'!H2235,"-")</f>
        <v>0</v>
      </c>
      <c r="G2255" s="409">
        <f>IFERROR(E2255*'01 Prod Physique Boites'!L2235,"-")</f>
        <v>4229820.1295999996</v>
      </c>
      <c r="H2255" s="387">
        <v>20.76</v>
      </c>
      <c r="I2255" s="425">
        <f t="shared" ref="I2255:I2263" si="1488">IFERROR(H2255*(F2255/E2255),"-")</f>
        <v>0</v>
      </c>
      <c r="J2255" s="662">
        <f t="shared" ref="J2255:J2263" si="1489">IFERROR(H2255*(G2255/E2255),"-")</f>
        <v>6689245.6799999997</v>
      </c>
    </row>
    <row r="2256" spans="1:10" ht="23.4" x14ac:dyDescent="0.3">
      <c r="A2256" s="277" t="s">
        <v>109</v>
      </c>
      <c r="B2256" s="929"/>
      <c r="C2256" s="304" t="s">
        <v>199</v>
      </c>
      <c r="D2256" s="304" t="s">
        <v>115</v>
      </c>
      <c r="E2256" s="516">
        <v>14.608000000000001</v>
      </c>
      <c r="F2256" s="408">
        <f>IFERROR(E2256*'01 Prod Physique Boites'!H2236,"-")</f>
        <v>0</v>
      </c>
      <c r="G2256" s="409">
        <f>IFERROR(E2256*'01 Prod Physique Boites'!L2236,"-")</f>
        <v>0</v>
      </c>
      <c r="H2256" s="391">
        <v>24.93</v>
      </c>
      <c r="I2256" s="427">
        <f t="shared" si="1488"/>
        <v>0</v>
      </c>
      <c r="J2256" s="663">
        <f t="shared" si="1489"/>
        <v>0</v>
      </c>
    </row>
    <row r="2257" spans="1:10" ht="23.4" x14ac:dyDescent="0.3">
      <c r="A2257" s="277" t="s">
        <v>109</v>
      </c>
      <c r="B2257" s="929"/>
      <c r="C2257" s="305" t="s">
        <v>27</v>
      </c>
      <c r="D2257" s="305" t="s">
        <v>394</v>
      </c>
      <c r="E2257" s="512">
        <v>17.8202</v>
      </c>
      <c r="F2257" s="408">
        <f>IFERROR(E2257*'01 Prod Physique Boites'!H2237,"-")</f>
        <v>0</v>
      </c>
      <c r="G2257" s="409">
        <f>IFERROR(E2257*'01 Prod Physique Boites'!L2237,"-")</f>
        <v>354443.77799999999</v>
      </c>
      <c r="H2257" s="391">
        <v>21.22</v>
      </c>
      <c r="I2257" s="427">
        <f t="shared" si="1488"/>
        <v>0</v>
      </c>
      <c r="J2257" s="663">
        <f t="shared" si="1489"/>
        <v>422065.8</v>
      </c>
    </row>
    <row r="2258" spans="1:10" ht="23.4" x14ac:dyDescent="0.3">
      <c r="A2258" s="277" t="s">
        <v>109</v>
      </c>
      <c r="B2258" s="929"/>
      <c r="C2258" s="305" t="s">
        <v>27</v>
      </c>
      <c r="D2258" s="305" t="s">
        <v>259</v>
      </c>
      <c r="E2258" s="512">
        <v>17.8202</v>
      </c>
      <c r="F2258" s="408">
        <f>IFERROR(E2258*'01 Prod Physique Boites'!H2238,"-")</f>
        <v>0</v>
      </c>
      <c r="G2258" s="409">
        <f>IFERROR(E2258*'01 Prod Physique Boites'!L2238,"-")</f>
        <v>1346886.3563999999</v>
      </c>
      <c r="H2258" s="391">
        <v>24.93</v>
      </c>
      <c r="I2258" s="427">
        <f t="shared" si="1488"/>
        <v>0</v>
      </c>
      <c r="J2258" s="663">
        <f t="shared" si="1489"/>
        <v>1884259.26</v>
      </c>
    </row>
    <row r="2259" spans="1:10" ht="23.4" x14ac:dyDescent="0.3">
      <c r="A2259" s="277" t="s">
        <v>109</v>
      </c>
      <c r="B2259" s="929"/>
      <c r="C2259" s="305" t="s">
        <v>27</v>
      </c>
      <c r="D2259" s="305" t="s">
        <v>310</v>
      </c>
      <c r="E2259" s="512">
        <v>17.8202</v>
      </c>
      <c r="F2259" s="408">
        <f>IFERROR(E2259*'01 Prod Physique Boites'!H2239,"-")</f>
        <v>567110.04480000003</v>
      </c>
      <c r="G2259" s="409">
        <f>IFERROR(E2259*'01 Prod Physique Boites'!L2239,"-")</f>
        <v>708887.55599999998</v>
      </c>
      <c r="H2259" s="391">
        <v>24.93</v>
      </c>
      <c r="I2259" s="427">
        <f t="shared" si="1488"/>
        <v>793372.32000000007</v>
      </c>
      <c r="J2259" s="663">
        <f t="shared" si="1489"/>
        <v>991715.4</v>
      </c>
    </row>
    <row r="2260" spans="1:10" ht="23.4" x14ac:dyDescent="0.3">
      <c r="A2260" s="277"/>
      <c r="B2260" s="929"/>
      <c r="C2260" s="305" t="s">
        <v>393</v>
      </c>
      <c r="D2260" s="305" t="s">
        <v>192</v>
      </c>
      <c r="E2260" s="512">
        <v>17.8202</v>
      </c>
      <c r="F2260" s="408">
        <f>IFERROR(E2260*'01 Prod Physique Boites'!H2240,"-")</f>
        <v>0</v>
      </c>
      <c r="G2260" s="409">
        <f>IFERROR(E2260*'01 Prod Physique Boites'!L2240,"-")</f>
        <v>0</v>
      </c>
      <c r="H2260" s="393">
        <v>21.22</v>
      </c>
      <c r="I2260" s="427">
        <f t="shared" si="1488"/>
        <v>0</v>
      </c>
      <c r="J2260" s="664">
        <f t="shared" si="1489"/>
        <v>0</v>
      </c>
    </row>
    <row r="2261" spans="1:10" ht="23.4" x14ac:dyDescent="0.3">
      <c r="A2261" s="277"/>
      <c r="B2261" s="929"/>
      <c r="C2261" s="305" t="s">
        <v>325</v>
      </c>
      <c r="D2261" s="305" t="s">
        <v>101</v>
      </c>
      <c r="E2261" s="512">
        <v>14.608000000000001</v>
      </c>
      <c r="F2261" s="408">
        <f>IFERROR(E2261*'01 Prod Physique Boites'!H2241,"-")</f>
        <v>0</v>
      </c>
      <c r="G2261" s="409">
        <f>IFERROR(E2261*'01 Prod Physique Boites'!L2241,"-")</f>
        <v>116221.24800000001</v>
      </c>
      <c r="H2261" s="393">
        <v>24.93</v>
      </c>
      <c r="I2261" s="429">
        <f t="shared" si="1488"/>
        <v>0</v>
      </c>
      <c r="J2261" s="664">
        <f t="shared" si="1489"/>
        <v>198343.08</v>
      </c>
    </row>
    <row r="2262" spans="1:10" ht="23.4" x14ac:dyDescent="0.3">
      <c r="A2262" s="277"/>
      <c r="B2262" s="929"/>
      <c r="C2262" s="305" t="s">
        <v>325</v>
      </c>
      <c r="D2262" s="305" t="s">
        <v>394</v>
      </c>
      <c r="E2262" s="512">
        <v>14.608000000000001</v>
      </c>
      <c r="F2262" s="408">
        <f>IFERROR(E2262*'01 Prod Physique Boites'!H2242,"-")</f>
        <v>0</v>
      </c>
      <c r="G2262" s="409">
        <f>IFERROR(E2262*'01 Prod Physique Boites'!L2242,"-")</f>
        <v>10401801.696</v>
      </c>
      <c r="H2262" s="393">
        <v>21.22</v>
      </c>
      <c r="I2262" s="429">
        <f t="shared" si="1488"/>
        <v>0</v>
      </c>
      <c r="J2262" s="664">
        <f t="shared" si="1489"/>
        <v>15109955.639999999</v>
      </c>
    </row>
    <row r="2263" spans="1:10" ht="24" thickBot="1" x14ac:dyDescent="0.35">
      <c r="A2263" s="277" t="s">
        <v>109</v>
      </c>
      <c r="B2263" s="929"/>
      <c r="C2263" s="306" t="s">
        <v>326</v>
      </c>
      <c r="D2263" s="305" t="s">
        <v>324</v>
      </c>
      <c r="E2263" s="512">
        <v>12.6997</v>
      </c>
      <c r="F2263" s="408">
        <f>IFERROR(E2263*'01 Prod Physique Boites'!H2243,"-")</f>
        <v>101038.8132</v>
      </c>
      <c r="G2263" s="409">
        <f>IFERROR(E2263*'01 Prod Physique Boites'!L2243,"-")</f>
        <v>202077.62640000001</v>
      </c>
      <c r="H2263" s="393">
        <v>13.25</v>
      </c>
      <c r="I2263" s="429">
        <f t="shared" si="1488"/>
        <v>105417</v>
      </c>
      <c r="J2263" s="664">
        <f t="shared" si="1489"/>
        <v>210834</v>
      </c>
    </row>
    <row r="2264" spans="1:10" ht="24" thickBot="1" x14ac:dyDescent="0.35">
      <c r="A2264" s="277" t="s">
        <v>109</v>
      </c>
      <c r="B2264" s="930"/>
      <c r="C2264" s="307"/>
      <c r="D2264" s="308" t="s">
        <v>55</v>
      </c>
      <c r="E2264" s="396"/>
      <c r="F2264" s="412">
        <f>SUM(F2255:F2263)</f>
        <v>668148.85800000001</v>
      </c>
      <c r="G2264" s="413">
        <f t="shared" ref="G2264" si="1490">SUM(G2255:G2263)</f>
        <v>17360138.3904</v>
      </c>
      <c r="H2264" s="397"/>
      <c r="I2264" s="412">
        <f t="shared" ref="I2264" si="1491">SUM(I2255:I2263)</f>
        <v>898789.32000000007</v>
      </c>
      <c r="J2264" s="431">
        <f>SUM(J2255:J2263)</f>
        <v>25506418.859999999</v>
      </c>
    </row>
    <row r="2265" spans="1:10" ht="23.4" x14ac:dyDescent="0.3">
      <c r="A2265" s="277" t="s">
        <v>109</v>
      </c>
      <c r="B2265" s="931" t="s">
        <v>28</v>
      </c>
      <c r="C2265" s="305" t="s">
        <v>27</v>
      </c>
      <c r="D2265" s="303" t="s">
        <v>310</v>
      </c>
      <c r="E2265" s="515">
        <v>17.8202</v>
      </c>
      <c r="F2265" s="408">
        <f>IFERROR(E2265*'01 Prod Physique Boites'!H2245,"-")</f>
        <v>0</v>
      </c>
      <c r="G2265" s="409">
        <f>IFERROR(E2265*'01 Prod Physique Boites'!L2245,"-")</f>
        <v>2551995.2015999998</v>
      </c>
      <c r="H2265" s="387">
        <v>24.93</v>
      </c>
      <c r="I2265" s="425">
        <f>IFERROR(H2265*(F2265/E2265),"-")</f>
        <v>0</v>
      </c>
      <c r="J2265" s="662">
        <f t="shared" ref="J2265:J2267" si="1492">IFERROR(H2265*(G2265/E2265),"-")</f>
        <v>3570175.44</v>
      </c>
    </row>
    <row r="2266" spans="1:10" ht="23.4" x14ac:dyDescent="0.3">
      <c r="A2266" s="277" t="s">
        <v>109</v>
      </c>
      <c r="B2266" s="929"/>
      <c r="C2266" s="305" t="s">
        <v>27</v>
      </c>
      <c r="D2266" s="305" t="s">
        <v>394</v>
      </c>
      <c r="E2266" s="512">
        <v>17.8202</v>
      </c>
      <c r="F2266" s="408">
        <f>IFERROR(E2266*'01 Prod Physique Boites'!H2246,"-")</f>
        <v>0</v>
      </c>
      <c r="G2266" s="409">
        <f>IFERROR(E2266*'01 Prod Physique Boites'!L2246,"-")</f>
        <v>6876209.2932000002</v>
      </c>
      <c r="H2266" s="391">
        <v>21.22</v>
      </c>
      <c r="I2266" s="427">
        <f>IFERROR(H2266*(F2266/E2266),"-")</f>
        <v>0</v>
      </c>
      <c r="J2266" s="663">
        <f t="shared" si="1492"/>
        <v>8188076.5199999996</v>
      </c>
    </row>
    <row r="2267" spans="1:10" ht="24" thickBot="1" x14ac:dyDescent="0.35">
      <c r="A2267" s="277" t="s">
        <v>109</v>
      </c>
      <c r="B2267" s="929"/>
      <c r="C2267" s="305" t="s">
        <v>27</v>
      </c>
      <c r="D2267" s="306" t="s">
        <v>259</v>
      </c>
      <c r="E2267" s="512">
        <v>17.8202</v>
      </c>
      <c r="F2267" s="408">
        <f>IFERROR(E2267*'01 Prod Physique Boites'!H2247,"-")</f>
        <v>0</v>
      </c>
      <c r="G2267" s="409">
        <f>IFERROR(E2267*'01 Prod Physique Boites'!L2247,"-")</f>
        <v>8081318.1383999996</v>
      </c>
      <c r="H2267" s="391">
        <v>24.93</v>
      </c>
      <c r="I2267" s="429">
        <f>IFERROR(H2267*(F2267/E2267),"-")</f>
        <v>0</v>
      </c>
      <c r="J2267" s="664">
        <f t="shared" si="1492"/>
        <v>11305555.560000001</v>
      </c>
    </row>
    <row r="2268" spans="1:10" ht="24" thickBot="1" x14ac:dyDescent="0.35">
      <c r="A2268" s="277" t="s">
        <v>109</v>
      </c>
      <c r="B2268" s="929"/>
      <c r="C2268" s="310"/>
      <c r="D2268" s="311" t="s">
        <v>55</v>
      </c>
      <c r="E2268" s="403"/>
      <c r="F2268" s="420">
        <f t="shared" ref="F2268:G2268" si="1493">SUM(F2265:F2267)</f>
        <v>0</v>
      </c>
      <c r="G2268" s="421">
        <f t="shared" si="1493"/>
        <v>17509522.633199997</v>
      </c>
      <c r="H2268" s="404"/>
      <c r="I2268" s="420">
        <f t="shared" ref="I2268:J2268" si="1494">SUM(I2265:I2267)</f>
        <v>0</v>
      </c>
      <c r="J2268" s="436">
        <f t="shared" si="1494"/>
        <v>23063807.52</v>
      </c>
    </row>
    <row r="2269" spans="1:10" ht="24" thickBot="1" x14ac:dyDescent="0.35">
      <c r="A2269" s="886" t="s">
        <v>109</v>
      </c>
      <c r="B2269" s="932" t="s">
        <v>171</v>
      </c>
      <c r="C2269" s="933"/>
      <c r="D2269" s="934"/>
      <c r="E2269" s="405"/>
      <c r="F2269" s="422">
        <f t="shared" ref="F2269:G2269" si="1495">+F2264+F2268</f>
        <v>668148.85800000001</v>
      </c>
      <c r="G2269" s="423">
        <f t="shared" si="1495"/>
        <v>34869661.023599997</v>
      </c>
      <c r="H2269" s="406"/>
      <c r="I2269" s="422">
        <f t="shared" ref="I2269:J2269" si="1496">+I2264+I2268</f>
        <v>898789.32000000007</v>
      </c>
      <c r="J2269" s="437">
        <f t="shared" si="1496"/>
        <v>48570226.379999995</v>
      </c>
    </row>
    <row r="2270" spans="1:10" ht="23.4" x14ac:dyDescent="0.3">
      <c r="A2270" s="277" t="s">
        <v>109</v>
      </c>
      <c r="B2270" s="929" t="s">
        <v>30</v>
      </c>
      <c r="C2270" s="309" t="s">
        <v>375</v>
      </c>
      <c r="D2270" s="303" t="s">
        <v>193</v>
      </c>
      <c r="E2270" s="515">
        <v>15.2788</v>
      </c>
      <c r="F2270" s="408">
        <f>IFERROR(E2270*'01 Prod Physique Boites'!H2250,"-")</f>
        <v>0</v>
      </c>
      <c r="G2270" s="409">
        <f>IFERROR(E2270*'01 Prod Physique Boites'!L2250,"-")</f>
        <v>0</v>
      </c>
      <c r="H2270" s="387">
        <v>23.65</v>
      </c>
      <c r="I2270" s="425">
        <f>IFERROR(H2270*(F2270/E2270),"-")</f>
        <v>0</v>
      </c>
      <c r="J2270" s="426">
        <f t="shared" ref="J2270:J2272" si="1497">IFERROR(H2270*(G2270/E2270),"-")</f>
        <v>0</v>
      </c>
    </row>
    <row r="2271" spans="1:10" ht="23.4" x14ac:dyDescent="0.3">
      <c r="A2271" s="277" t="s">
        <v>109</v>
      </c>
      <c r="B2271" s="929"/>
      <c r="C2271" s="309" t="s">
        <v>368</v>
      </c>
      <c r="D2271" s="309" t="s">
        <v>324</v>
      </c>
      <c r="E2271" s="516">
        <v>22.6356</v>
      </c>
      <c r="F2271" s="408">
        <f>IFERROR(E2271*'01 Prod Physique Boites'!H2251,"-")</f>
        <v>0</v>
      </c>
      <c r="G2271" s="409">
        <f>IFERROR(E2271*'01 Prod Physique Boites'!L2251,"-")</f>
        <v>0</v>
      </c>
      <c r="H2271" s="391">
        <v>34.26</v>
      </c>
      <c r="I2271" s="427">
        <f>IFERROR(H2271*(F2271/E2271),"-")</f>
        <v>0</v>
      </c>
      <c r="J2271" s="428">
        <f t="shared" si="1497"/>
        <v>0</v>
      </c>
    </row>
    <row r="2272" spans="1:10" ht="24" thickBot="1" x14ac:dyDescent="0.35">
      <c r="A2272" s="277" t="s">
        <v>109</v>
      </c>
      <c r="B2272" s="929"/>
      <c r="C2272" s="306" t="s">
        <v>327</v>
      </c>
      <c r="D2272" s="306"/>
      <c r="E2272" s="512">
        <v>25.751300000000001</v>
      </c>
      <c r="F2272" s="408">
        <f>IFERROR(E2272*'01 Prod Physique Boites'!H2252,"-")</f>
        <v>867715.80480000004</v>
      </c>
      <c r="G2272" s="409">
        <f>IFERROR(E2272*'01 Prod Physique Boites'!L2252,"-")</f>
        <v>2651353.8480000002</v>
      </c>
      <c r="H2272" s="393">
        <v>37.89</v>
      </c>
      <c r="I2272" s="429">
        <f>IFERROR(H2272*(F2272/E2272),"-")</f>
        <v>1276741.44</v>
      </c>
      <c r="J2272" s="430">
        <f t="shared" si="1497"/>
        <v>3901154.4</v>
      </c>
    </row>
    <row r="2273" spans="1:10" ht="24" thickBot="1" x14ac:dyDescent="0.35">
      <c r="A2273" s="277" t="s">
        <v>109</v>
      </c>
      <c r="B2273" s="929"/>
      <c r="C2273" s="307"/>
      <c r="D2273" s="308" t="s">
        <v>53</v>
      </c>
      <c r="E2273" s="396"/>
      <c r="F2273" s="412">
        <f t="shared" ref="F2273:G2273" si="1498">SUM(F2270:F2272)</f>
        <v>867715.80480000004</v>
      </c>
      <c r="G2273" s="413">
        <f t="shared" si="1498"/>
        <v>2651353.8480000002</v>
      </c>
      <c r="H2273" s="397"/>
      <c r="I2273" s="412">
        <f t="shared" ref="I2273" si="1499">SUM(I2270:I2272)</f>
        <v>1276741.44</v>
      </c>
      <c r="J2273" s="431">
        <f>SUM(J2270:J2272)</f>
        <v>3901154.4</v>
      </c>
    </row>
    <row r="2274" spans="1:10" ht="23.4" x14ac:dyDescent="0.3">
      <c r="A2274" s="277" t="s">
        <v>109</v>
      </c>
      <c r="B2274" s="929"/>
      <c r="C2274" s="303" t="s">
        <v>352</v>
      </c>
      <c r="D2274" s="303"/>
      <c r="E2274" s="515">
        <v>22.094999999999999</v>
      </c>
      <c r="F2274" s="408">
        <f>IFERROR(E2274*'01 Prod Physique Boites'!H2254,"-")</f>
        <v>0</v>
      </c>
      <c r="G2274" s="409">
        <f>IFERROR(E2274*'01 Prod Physique Boites'!L2254,"-")</f>
        <v>0</v>
      </c>
      <c r="H2274" s="387">
        <v>37.11</v>
      </c>
      <c r="I2274" s="425">
        <f>IFERROR(H2274*(F2274/E2274),"-")</f>
        <v>0</v>
      </c>
      <c r="J2274" s="426">
        <f t="shared" ref="J2274:J2276" si="1500">IFERROR(H2274*(G2274/E2274),"-")</f>
        <v>0</v>
      </c>
    </row>
    <row r="2275" spans="1:10" ht="23.4" x14ac:dyDescent="0.3">
      <c r="A2275" s="277" t="s">
        <v>109</v>
      </c>
      <c r="B2275" s="929"/>
      <c r="C2275" s="309" t="s">
        <v>397</v>
      </c>
      <c r="D2275" s="309" t="s">
        <v>259</v>
      </c>
      <c r="E2275" s="516">
        <v>27.917000000000002</v>
      </c>
      <c r="F2275" s="408">
        <f>IFERROR(E2275*'01 Prod Physique Boites'!H2255,"-")</f>
        <v>0</v>
      </c>
      <c r="G2275" s="409">
        <f>IFERROR(E2275*'01 Prod Physique Boites'!L2255,"-")</f>
        <v>13430980.368000001</v>
      </c>
      <c r="H2275" s="391">
        <v>39</v>
      </c>
      <c r="I2275" s="427">
        <f>IFERROR(H2275*(F2275/E2275),"-")</f>
        <v>0</v>
      </c>
      <c r="J2275" s="428">
        <f t="shared" si="1500"/>
        <v>18763056</v>
      </c>
    </row>
    <row r="2276" spans="1:10" ht="24" thickBot="1" x14ac:dyDescent="0.35">
      <c r="A2276" s="277" t="s">
        <v>109</v>
      </c>
      <c r="B2276" s="929"/>
      <c r="C2276" s="306" t="s">
        <v>146</v>
      </c>
      <c r="D2276" s="306"/>
      <c r="E2276" s="512">
        <v>25.4041</v>
      </c>
      <c r="F2276" s="408">
        <f>IFERROR(E2276*'01 Prod Physique Boites'!H2256,"-")</f>
        <v>0</v>
      </c>
      <c r="G2276" s="409">
        <f>IFERROR(E2276*'01 Prod Physique Boites'!L2256,"-")</f>
        <v>0</v>
      </c>
      <c r="H2276" s="393">
        <v>28.21</v>
      </c>
      <c r="I2276" s="429">
        <f>IFERROR(H2276*(F2276/E2276),"-")</f>
        <v>0</v>
      </c>
      <c r="J2276" s="430">
        <f t="shared" si="1500"/>
        <v>0</v>
      </c>
    </row>
    <row r="2277" spans="1:10" ht="24" thickBot="1" x14ac:dyDescent="0.35">
      <c r="A2277" s="277" t="s">
        <v>109</v>
      </c>
      <c r="B2277" s="929"/>
      <c r="C2277" s="310"/>
      <c r="D2277" s="311" t="s">
        <v>54</v>
      </c>
      <c r="E2277" s="403"/>
      <c r="F2277" s="420">
        <f t="shared" ref="F2277:G2277" si="1501">SUM(F2274:F2276)</f>
        <v>0</v>
      </c>
      <c r="G2277" s="421">
        <f t="shared" si="1501"/>
        <v>13430980.368000001</v>
      </c>
      <c r="H2277" s="404"/>
      <c r="I2277" s="420">
        <f t="shared" ref="I2277" si="1502">SUM(I2274:I2276)</f>
        <v>0</v>
      </c>
      <c r="J2277" s="436">
        <f>SUM(J2274:J2276)</f>
        <v>18763056</v>
      </c>
    </row>
    <row r="2278" spans="1:10" ht="24" thickBot="1" x14ac:dyDescent="0.35">
      <c r="A2278" s="277" t="s">
        <v>109</v>
      </c>
      <c r="B2278" s="932" t="s">
        <v>172</v>
      </c>
      <c r="C2278" s="933"/>
      <c r="D2278" s="934"/>
      <c r="E2278" s="405"/>
      <c r="F2278" s="422">
        <f t="shared" ref="F2278:G2278" si="1503">+F2273+F2277</f>
        <v>867715.80480000004</v>
      </c>
      <c r="G2278" s="423">
        <f t="shared" si="1503"/>
        <v>16082334.216000002</v>
      </c>
      <c r="H2278" s="406"/>
      <c r="I2278" s="422">
        <f t="shared" ref="I2278:J2278" si="1504">+I2273+I2277</f>
        <v>1276741.44</v>
      </c>
      <c r="J2278" s="437">
        <f t="shared" si="1504"/>
        <v>22664210.399999999</v>
      </c>
    </row>
    <row r="2279" spans="1:10" ht="24" thickBot="1" x14ac:dyDescent="0.35">
      <c r="A2279" s="277" t="s">
        <v>109</v>
      </c>
      <c r="B2279" s="617" t="s">
        <v>32</v>
      </c>
      <c r="C2279" s="883"/>
      <c r="D2279" s="316"/>
      <c r="E2279" s="517">
        <v>12.2659</v>
      </c>
      <c r="F2279" s="414">
        <f>IFERROR(E2279*'01 Prod Physique Boites'!H2259,"-")</f>
        <v>0</v>
      </c>
      <c r="G2279" s="415">
        <f>IFERROR(E2279*'01 Prod Physique Boites'!L2259,"-")</f>
        <v>0</v>
      </c>
      <c r="H2279" s="398"/>
      <c r="I2279" s="432">
        <f>IFERROR(H2279*(F2279/E2279),"-")</f>
        <v>0</v>
      </c>
      <c r="J2279" s="433">
        <f>IFERROR(H2279*(G2279/E2279),"-")</f>
        <v>0</v>
      </c>
    </row>
    <row r="2280" spans="1:10" ht="24" thickBot="1" x14ac:dyDescent="0.35">
      <c r="A2280" s="277" t="s">
        <v>109</v>
      </c>
      <c r="B2280" s="926" t="s">
        <v>21</v>
      </c>
      <c r="C2280" s="927"/>
      <c r="D2280" s="928"/>
      <c r="E2280" s="399"/>
      <c r="F2280" s="416">
        <f t="shared" ref="F2280" si="1505">+F2269+F2278+F2279</f>
        <v>1535864.6628</v>
      </c>
      <c r="G2280" s="417">
        <f>+G2269+G2278+G2279</f>
        <v>50951995.239600003</v>
      </c>
      <c r="H2280" s="400"/>
      <c r="I2280" s="416">
        <f t="shared" ref="I2280:J2280" si="1506">+I2269+I2278+I2279</f>
        <v>2175530.7599999998</v>
      </c>
      <c r="J2280" s="434">
        <f t="shared" si="1506"/>
        <v>71234436.780000001</v>
      </c>
    </row>
    <row r="2281" spans="1:10" ht="24" thickBot="1" x14ac:dyDescent="0.35">
      <c r="A2281" s="277" t="s">
        <v>109</v>
      </c>
      <c r="B2281" s="900" t="s">
        <v>180</v>
      </c>
      <c r="C2281" s="901"/>
      <c r="D2281" s="902"/>
      <c r="E2281" s="401"/>
      <c r="F2281" s="418">
        <f t="shared" ref="F2281:G2281" si="1507">+F2280</f>
        <v>1535864.6628</v>
      </c>
      <c r="G2281" s="419">
        <f t="shared" si="1507"/>
        <v>50951995.239600003</v>
      </c>
      <c r="H2281" s="402"/>
      <c r="I2281" s="418">
        <f t="shared" ref="I2281:J2281" si="1508">+I2280</f>
        <v>2175530.7599999998</v>
      </c>
      <c r="J2281" s="435">
        <f t="shared" si="1508"/>
        <v>71234436.780000001</v>
      </c>
    </row>
    <row r="2282" spans="1:10" ht="23.4" x14ac:dyDescent="0.3">
      <c r="A2282" s="271" t="s">
        <v>110</v>
      </c>
      <c r="B2282" s="903" t="s">
        <v>33</v>
      </c>
      <c r="C2282" s="317" t="s">
        <v>121</v>
      </c>
      <c r="D2282" s="317"/>
      <c r="E2282" s="513">
        <v>254.89750000000001</v>
      </c>
      <c r="F2282" s="408">
        <f>IFERROR(E2282*'01 Prod Physique Boites'!H2262,"-")</f>
        <v>0</v>
      </c>
      <c r="G2282" s="409">
        <f>IFERROR(E2282*'01 Prod Physique Boites'!L2262,"-")</f>
        <v>0</v>
      </c>
      <c r="H2282" s="387">
        <v>445.38</v>
      </c>
      <c r="I2282" s="425">
        <f>IFERROR(H2282*(F2282/E2282),"-")</f>
        <v>0</v>
      </c>
      <c r="J2282" s="426">
        <f t="shared" ref="J2282:J2284" si="1509">IFERROR(H2282*(G2282/E2282),"-")</f>
        <v>0</v>
      </c>
    </row>
    <row r="2283" spans="1:10" ht="23.4" x14ac:dyDescent="0.3">
      <c r="A2283" s="277" t="s">
        <v>110</v>
      </c>
      <c r="B2283" s="904"/>
      <c r="C2283" s="318" t="s">
        <v>274</v>
      </c>
      <c r="D2283" s="318"/>
      <c r="E2283" s="514">
        <v>246.51390000000001</v>
      </c>
      <c r="F2283" s="408">
        <f>IFERROR(E2283*'01 Prod Physique Boites'!H2263,"-")</f>
        <v>0</v>
      </c>
      <c r="G2283" s="409">
        <f>IFERROR(E2283*'01 Prod Physique Boites'!L2263,"-")</f>
        <v>2287648.9920000001</v>
      </c>
      <c r="H2283" s="391">
        <v>430.02</v>
      </c>
      <c r="I2283" s="427">
        <f>IFERROR(H2283*(F2283/E2283),"-")</f>
        <v>0</v>
      </c>
      <c r="J2283" s="428">
        <f t="shared" si="1509"/>
        <v>3990585.5999999996</v>
      </c>
    </row>
    <row r="2284" spans="1:10" ht="24" thickBot="1" x14ac:dyDescent="0.35">
      <c r="A2284" s="277" t="s">
        <v>110</v>
      </c>
      <c r="B2284" s="905"/>
      <c r="C2284" s="319" t="s">
        <v>34</v>
      </c>
      <c r="D2284" s="319"/>
      <c r="E2284" s="511">
        <v>225.7713</v>
      </c>
      <c r="F2284" s="408">
        <f>IFERROR(E2284*'01 Prod Physique Boites'!H2264,"-")</f>
        <v>0</v>
      </c>
      <c r="G2284" s="409">
        <f>IFERROR(E2284*'01 Prod Physique Boites'!L2264,"-")</f>
        <v>0</v>
      </c>
      <c r="H2284" s="393"/>
      <c r="I2284" s="429">
        <f>IFERROR(H2284*(F2284/E2284),"-")</f>
        <v>0</v>
      </c>
      <c r="J2284" s="430">
        <f t="shared" si="1509"/>
        <v>0</v>
      </c>
    </row>
    <row r="2285" spans="1:10" ht="24" thickBot="1" x14ac:dyDescent="0.35">
      <c r="A2285" s="277" t="s">
        <v>110</v>
      </c>
      <c r="B2285" s="906" t="s">
        <v>35</v>
      </c>
      <c r="C2285" s="907"/>
      <c r="D2285" s="908"/>
      <c r="E2285" s="396"/>
      <c r="F2285" s="412">
        <f t="shared" ref="F2285:G2285" si="1510">SUM(F2282:F2284)</f>
        <v>0</v>
      </c>
      <c r="G2285" s="413">
        <f t="shared" si="1510"/>
        <v>2287648.9920000001</v>
      </c>
      <c r="H2285" s="397"/>
      <c r="I2285" s="412">
        <f t="shared" ref="I2285:J2285" si="1511">SUM(I2282:I2284)</f>
        <v>0</v>
      </c>
      <c r="J2285" s="431">
        <f t="shared" si="1511"/>
        <v>3990585.5999999996</v>
      </c>
    </row>
    <row r="2286" spans="1:10" ht="23.4" x14ac:dyDescent="0.3">
      <c r="A2286" s="277" t="s">
        <v>110</v>
      </c>
      <c r="B2286" s="903" t="s">
        <v>36</v>
      </c>
      <c r="C2286" s="317" t="s">
        <v>121</v>
      </c>
      <c r="D2286" s="317"/>
      <c r="E2286" s="513">
        <v>254.89750000000001</v>
      </c>
      <c r="F2286" s="408">
        <f>IFERROR(E2286*'01 Prod Physique Boites'!H2266,"-")</f>
        <v>0</v>
      </c>
      <c r="G2286" s="409">
        <f>IFERROR(E2286*'01 Prod Physique Boites'!L2266,"-")</f>
        <v>0</v>
      </c>
      <c r="H2286" s="387">
        <v>445.38</v>
      </c>
      <c r="I2286" s="425">
        <f>IFERROR(H2286*(F2286/E2286),"-")</f>
        <v>0</v>
      </c>
      <c r="J2286" s="426">
        <f t="shared" ref="J2286:J2289" si="1512">IFERROR(H2286*(G2286/E2286),"-")</f>
        <v>0</v>
      </c>
    </row>
    <row r="2287" spans="1:10" ht="23.4" x14ac:dyDescent="0.3">
      <c r="A2287" s="277" t="s">
        <v>110</v>
      </c>
      <c r="B2287" s="904"/>
      <c r="C2287" s="318" t="s">
        <v>274</v>
      </c>
      <c r="D2287" s="318"/>
      <c r="E2287" s="514">
        <v>246.51390000000001</v>
      </c>
      <c r="F2287" s="408">
        <f>IFERROR(E2287*'01 Prod Physique Boites'!H2267,"-")</f>
        <v>0</v>
      </c>
      <c r="G2287" s="409">
        <f>IFERROR(E2287*'01 Prod Physique Boites'!L2267,"-")</f>
        <v>16383806.821800001</v>
      </c>
      <c r="H2287" s="391">
        <v>430.02</v>
      </c>
      <c r="I2287" s="427">
        <f>IFERROR(H2287*(F2287/E2287),"-")</f>
        <v>0</v>
      </c>
      <c r="J2287" s="428">
        <f t="shared" si="1512"/>
        <v>28579989.239999998</v>
      </c>
    </row>
    <row r="2288" spans="1:10" ht="23.4" x14ac:dyDescent="0.3">
      <c r="A2288" s="277" t="s">
        <v>110</v>
      </c>
      <c r="B2288" s="904"/>
      <c r="C2288" s="318" t="s">
        <v>201</v>
      </c>
      <c r="D2288" s="318" t="s">
        <v>200</v>
      </c>
      <c r="E2288" s="514">
        <v>254.89750000000001</v>
      </c>
      <c r="F2288" s="408">
        <f>IFERROR(E2288*'01 Prod Physique Boites'!H2268,"-")</f>
        <v>0</v>
      </c>
      <c r="G2288" s="409">
        <f>IFERROR(E2288*'01 Prod Physique Boites'!L2268,"-")</f>
        <v>0</v>
      </c>
      <c r="H2288" s="391"/>
      <c r="I2288" s="427">
        <f>IFERROR(H2288*(F2288/E2288),"-")</f>
        <v>0</v>
      </c>
      <c r="J2288" s="428">
        <f t="shared" si="1512"/>
        <v>0</v>
      </c>
    </row>
    <row r="2289" spans="1:10" ht="24" thickBot="1" x14ac:dyDescent="0.35">
      <c r="A2289" s="277" t="s">
        <v>110</v>
      </c>
      <c r="B2289" s="905"/>
      <c r="C2289" s="319" t="s">
        <v>37</v>
      </c>
      <c r="D2289" s="319"/>
      <c r="E2289" s="511">
        <v>229.99359999999999</v>
      </c>
      <c r="F2289" s="408">
        <f>IFERROR(E2289*'01 Prod Physique Boites'!H2269,"-")</f>
        <v>0</v>
      </c>
      <c r="G2289" s="409">
        <f>IFERROR(E2289*'01 Prod Physique Boites'!L2269,"-")</f>
        <v>0</v>
      </c>
      <c r="H2289" s="393"/>
      <c r="I2289" s="429">
        <f>IFERROR(H2289*(F2289/E2289),"-")</f>
        <v>0</v>
      </c>
      <c r="J2289" s="430">
        <f t="shared" si="1512"/>
        <v>0</v>
      </c>
    </row>
    <row r="2290" spans="1:10" ht="24" thickBot="1" x14ac:dyDescent="0.35">
      <c r="A2290" s="277" t="s">
        <v>110</v>
      </c>
      <c r="B2290" s="906" t="s">
        <v>38</v>
      </c>
      <c r="C2290" s="907"/>
      <c r="D2290" s="908"/>
      <c r="E2290" s="396"/>
      <c r="F2290" s="412">
        <f t="shared" ref="F2290:G2290" si="1513">SUM(F2286:F2289)</f>
        <v>0</v>
      </c>
      <c r="G2290" s="413">
        <f t="shared" si="1513"/>
        <v>16383806.821800001</v>
      </c>
      <c r="H2290" s="397"/>
      <c r="I2290" s="412">
        <f>SUM(I2286:I2289)</f>
        <v>0</v>
      </c>
      <c r="J2290" s="431">
        <f>SUM(J2286:J2289)</f>
        <v>28579989.239999998</v>
      </c>
    </row>
    <row r="2291" spans="1:10" ht="23.4" x14ac:dyDescent="0.3">
      <c r="A2291" s="277" t="s">
        <v>110</v>
      </c>
      <c r="B2291" s="903" t="s">
        <v>39</v>
      </c>
      <c r="C2291" s="320" t="s">
        <v>124</v>
      </c>
      <c r="D2291" s="320"/>
      <c r="E2291" s="513">
        <v>195.2808</v>
      </c>
      <c r="F2291" s="408">
        <f>IFERROR(E2291*'01 Prod Physique Boites'!H2271,"-")</f>
        <v>0</v>
      </c>
      <c r="G2291" s="409">
        <f>IFERROR(E2291*'01 Prod Physique Boites'!L2271,"-")</f>
        <v>0</v>
      </c>
      <c r="H2291" s="387"/>
      <c r="I2291" s="425">
        <f>IFERROR(H2291*(F2291/E2291),"-")</f>
        <v>0</v>
      </c>
      <c r="J2291" s="426">
        <f t="shared" ref="J2291:J2292" si="1514">IFERROR(H2291*(G2291/E2291),"-")</f>
        <v>0</v>
      </c>
    </row>
    <row r="2292" spans="1:10" ht="24" thickBot="1" x14ac:dyDescent="0.35">
      <c r="A2292" s="277" t="s">
        <v>110</v>
      </c>
      <c r="B2292" s="905"/>
      <c r="C2292" s="290" t="s">
        <v>140</v>
      </c>
      <c r="D2292" s="290"/>
      <c r="E2292" s="511">
        <v>189.91890000000001</v>
      </c>
      <c r="F2292" s="408">
        <f>IFERROR(E2292*'01 Prod Physique Boites'!H2272,"-")</f>
        <v>759675.6</v>
      </c>
      <c r="G2292" s="409">
        <f>IFERROR(E2292*'01 Prod Physique Boites'!L2272,"-")</f>
        <v>3895996.3146000002</v>
      </c>
      <c r="H2292" s="393">
        <v>320.35000000000002</v>
      </c>
      <c r="I2292" s="429">
        <f>IFERROR(H2292*(F2292/E2292),"-")</f>
        <v>1281400</v>
      </c>
      <c r="J2292" s="430">
        <f t="shared" si="1514"/>
        <v>6571659.9000000004</v>
      </c>
    </row>
    <row r="2293" spans="1:10" ht="24" thickBot="1" x14ac:dyDescent="0.35">
      <c r="A2293" s="886" t="s">
        <v>110</v>
      </c>
      <c r="B2293" s="906" t="s">
        <v>40</v>
      </c>
      <c r="C2293" s="907"/>
      <c r="D2293" s="908"/>
      <c r="E2293" s="396"/>
      <c r="F2293" s="412">
        <f>SUM(F2291:F2292)</f>
        <v>759675.6</v>
      </c>
      <c r="G2293" s="413">
        <f t="shared" ref="G2293" si="1515">SUM(G2291:G2292)</f>
        <v>3895996.3146000002</v>
      </c>
      <c r="H2293" s="397"/>
      <c r="I2293" s="412">
        <f t="shared" ref="I2293:J2293" si="1516">SUM(I2291:I2292)</f>
        <v>1281400</v>
      </c>
      <c r="J2293" s="431">
        <f t="shared" si="1516"/>
        <v>6571659.9000000004</v>
      </c>
    </row>
    <row r="2294" spans="1:10" ht="23.4" x14ac:dyDescent="0.3">
      <c r="A2294" s="277" t="s">
        <v>110</v>
      </c>
      <c r="B2294" s="903" t="s">
        <v>41</v>
      </c>
      <c r="C2294" s="272" t="s">
        <v>346</v>
      </c>
      <c r="D2294" s="272" t="s">
        <v>263</v>
      </c>
      <c r="E2294" s="515">
        <v>37.248699999999999</v>
      </c>
      <c r="F2294" s="408">
        <f>IFERROR(E2294*'01 Prod Physique Boites'!H2274,"-")</f>
        <v>1314134.1359999999</v>
      </c>
      <c r="G2294" s="409">
        <f>IFERROR(E2294*'01 Prod Physique Boites'!L2274,"-")</f>
        <v>17193254.945999999</v>
      </c>
      <c r="H2294" s="387">
        <v>71.44</v>
      </c>
      <c r="I2294" s="425">
        <f>IFERROR(H2294*(F2294/E2294),"-")</f>
        <v>2520403.1999999997</v>
      </c>
      <c r="J2294" s="426">
        <f>IFERROR(H2294*(G2294/E2294),"-")</f>
        <v>32975275.199999996</v>
      </c>
    </row>
    <row r="2295" spans="1:10" ht="23.4" x14ac:dyDescent="0.3">
      <c r="A2295" s="277" t="s">
        <v>110</v>
      </c>
      <c r="B2295" s="904"/>
      <c r="C2295" s="272" t="s">
        <v>165</v>
      </c>
      <c r="D2295" s="278"/>
      <c r="E2295" s="515">
        <v>37.248699999999999</v>
      </c>
      <c r="F2295" s="408">
        <f>IFERROR(E2295*'01 Prod Physique Boites'!H2275,"-")</f>
        <v>0</v>
      </c>
      <c r="G2295" s="409">
        <f>IFERROR(E2295*'01 Prod Physique Boites'!L2275,"-")</f>
        <v>0</v>
      </c>
      <c r="H2295" s="391"/>
      <c r="I2295" s="427">
        <f>IFERROR(H2295*(F2295/E2295),"-")</f>
        <v>0</v>
      </c>
      <c r="J2295" s="428">
        <f t="shared" ref="J2295:J2298" si="1517">IFERROR(H2295*(G2295/E2295),"-")</f>
        <v>0</v>
      </c>
    </row>
    <row r="2296" spans="1:10" ht="23.4" x14ac:dyDescent="0.3">
      <c r="A2296" s="277" t="s">
        <v>110</v>
      </c>
      <c r="B2296" s="904"/>
      <c r="C2296" s="278" t="s">
        <v>423</v>
      </c>
      <c r="D2296" s="272" t="s">
        <v>263</v>
      </c>
      <c r="E2296" s="515">
        <v>37.248699999999999</v>
      </c>
      <c r="F2296" s="408">
        <f>IFERROR(E2296*'01 Prod Physique Boites'!H2276,"-")</f>
        <v>0</v>
      </c>
      <c r="G2296" s="409">
        <f>IFERROR(E2296*'01 Prod Physique Boites'!L2276,"-")</f>
        <v>1264965.852</v>
      </c>
      <c r="H2296" s="391">
        <v>71.44</v>
      </c>
      <c r="I2296" s="427">
        <f>IFERROR(H2296*(F2296/E2296),"-")</f>
        <v>0</v>
      </c>
      <c r="J2296" s="428">
        <f t="shared" si="1517"/>
        <v>2426102.4</v>
      </c>
    </row>
    <row r="2297" spans="1:10" ht="23.4" x14ac:dyDescent="0.3">
      <c r="A2297" s="277" t="s">
        <v>110</v>
      </c>
      <c r="B2297" s="904"/>
      <c r="C2297" s="278" t="s">
        <v>166</v>
      </c>
      <c r="D2297" s="278"/>
      <c r="E2297" s="516">
        <v>38.466099999999997</v>
      </c>
      <c r="F2297" s="408">
        <f>IFERROR(E2297*'01 Prod Physique Boites'!H2277,"-")</f>
        <v>0</v>
      </c>
      <c r="G2297" s="409">
        <f>IFERROR(E2297*'01 Prod Physique Boites'!L2277,"-")</f>
        <v>0</v>
      </c>
      <c r="H2297" s="391"/>
      <c r="I2297" s="427">
        <f>IFERROR(H2297*(F2297/E2297),"-")</f>
        <v>0</v>
      </c>
      <c r="J2297" s="428">
        <f t="shared" si="1517"/>
        <v>0</v>
      </c>
    </row>
    <row r="2298" spans="1:10" ht="24" thickBot="1" x14ac:dyDescent="0.35">
      <c r="A2298" s="277" t="s">
        <v>110</v>
      </c>
      <c r="B2298" s="905"/>
      <c r="C2298" s="282" t="s">
        <v>167</v>
      </c>
      <c r="D2298" s="282"/>
      <c r="E2298" s="512">
        <v>33.711399999999998</v>
      </c>
      <c r="F2298" s="408">
        <f>IFERROR(E2298*'01 Prod Physique Boites'!H2278,"-")</f>
        <v>0</v>
      </c>
      <c r="G2298" s="409">
        <f>IFERROR(E2298*'01 Prod Physique Boites'!L2278,"-")</f>
        <v>0</v>
      </c>
      <c r="H2298" s="393"/>
      <c r="I2298" s="429">
        <f>IFERROR(H2298*(F2298/E2298),"-")</f>
        <v>0</v>
      </c>
      <c r="J2298" s="430">
        <f t="shared" si="1517"/>
        <v>0</v>
      </c>
    </row>
    <row r="2299" spans="1:10" ht="24" thickBot="1" x14ac:dyDescent="0.35">
      <c r="A2299" s="277" t="s">
        <v>110</v>
      </c>
      <c r="B2299" s="906" t="s">
        <v>42</v>
      </c>
      <c r="C2299" s="907"/>
      <c r="D2299" s="908"/>
      <c r="E2299" s="396"/>
      <c r="F2299" s="412">
        <f>SUM(F2294:F2298)</f>
        <v>1314134.1359999999</v>
      </c>
      <c r="G2299" s="413">
        <f>SUM(G2294:G2298)</f>
        <v>18458220.798</v>
      </c>
      <c r="H2299" s="397"/>
      <c r="I2299" s="412">
        <f>SUM(I2294:I2298)</f>
        <v>2520403.1999999997</v>
      </c>
      <c r="J2299" s="412">
        <f>SUM(J2294:J2298)</f>
        <v>35401377.599999994</v>
      </c>
    </row>
    <row r="2300" spans="1:10" ht="23.4" x14ac:dyDescent="0.3">
      <c r="A2300" s="277" t="s">
        <v>110</v>
      </c>
      <c r="B2300" s="903" t="s">
        <v>43</v>
      </c>
      <c r="C2300" s="272" t="s">
        <v>204</v>
      </c>
      <c r="D2300" s="272" t="s">
        <v>200</v>
      </c>
      <c r="E2300" s="515">
        <v>30.7499</v>
      </c>
      <c r="F2300" s="408">
        <f>IFERROR(E2300*'01 Prod Physique Boites'!H2280,"-")</f>
        <v>0</v>
      </c>
      <c r="G2300" s="409">
        <f>IFERROR(E2300*'01 Prod Physique Boites'!L2280,"-")</f>
        <v>0</v>
      </c>
      <c r="H2300" s="387"/>
      <c r="I2300" s="425">
        <f>IFERROR(H2300*(F2300/E2300),"-")</f>
        <v>0</v>
      </c>
      <c r="J2300" s="426">
        <f>IFERROR(H2300*(G2300/E2300),"-")</f>
        <v>0</v>
      </c>
    </row>
    <row r="2301" spans="1:10" ht="23.4" x14ac:dyDescent="0.3">
      <c r="A2301" s="277" t="s">
        <v>110</v>
      </c>
      <c r="B2301" s="904"/>
      <c r="C2301" s="278" t="s">
        <v>168</v>
      </c>
      <c r="D2301" s="278"/>
      <c r="E2301" s="516">
        <v>28.7</v>
      </c>
      <c r="F2301" s="408">
        <f>IFERROR(E2301*'01 Prod Physique Boites'!H2281,"-")</f>
        <v>0</v>
      </c>
      <c r="G2301" s="409">
        <f>IFERROR(E2301*'01 Prod Physique Boites'!L2281,"-")</f>
        <v>0</v>
      </c>
      <c r="H2301" s="391"/>
      <c r="I2301" s="427">
        <f>IFERROR(H2301*(F2301/E2301),"-")</f>
        <v>0</v>
      </c>
      <c r="J2301" s="428">
        <f t="shared" ref="J2301:J2302" si="1518">IFERROR(H2301*(G2301/E2301),"-")</f>
        <v>0</v>
      </c>
    </row>
    <row r="2302" spans="1:10" ht="24" thickBot="1" x14ac:dyDescent="0.35">
      <c r="A2302" s="277" t="s">
        <v>110</v>
      </c>
      <c r="B2302" s="905"/>
      <c r="C2302" s="282" t="s">
        <v>204</v>
      </c>
      <c r="D2302" s="282" t="s">
        <v>203</v>
      </c>
      <c r="E2302" s="512">
        <v>30.073599999999999</v>
      </c>
      <c r="F2302" s="408">
        <f>IFERROR(E2302*'01 Prod Physique Boites'!H2282,"-")</f>
        <v>0</v>
      </c>
      <c r="G2302" s="409">
        <f>IFERROR(E2302*'01 Prod Physique Boites'!L2282,"-")</f>
        <v>0</v>
      </c>
      <c r="H2302" s="393"/>
      <c r="I2302" s="429">
        <f>IFERROR(H2302*(F2302/E2302),"-")</f>
        <v>0</v>
      </c>
      <c r="J2302" s="430">
        <f t="shared" si="1518"/>
        <v>0</v>
      </c>
    </row>
    <row r="2303" spans="1:10" ht="24" thickBot="1" x14ac:dyDescent="0.35">
      <c r="A2303" s="277" t="s">
        <v>110</v>
      </c>
      <c r="B2303" s="909" t="s">
        <v>44</v>
      </c>
      <c r="C2303" s="910"/>
      <c r="D2303" s="911"/>
      <c r="E2303" s="396"/>
      <c r="F2303" s="412">
        <f t="shared" ref="F2303:G2303" si="1519">SUM(F2300:F2302)</f>
        <v>0</v>
      </c>
      <c r="G2303" s="413">
        <f t="shared" si="1519"/>
        <v>0</v>
      </c>
      <c r="H2303" s="397"/>
      <c r="I2303" s="412">
        <f t="shared" ref="I2303:J2303" si="1520">SUM(I2300:I2302)</f>
        <v>0</v>
      </c>
      <c r="J2303" s="431">
        <f t="shared" si="1520"/>
        <v>0</v>
      </c>
    </row>
    <row r="2304" spans="1:10" ht="23.4" x14ac:dyDescent="0.3">
      <c r="A2304" s="277" t="s">
        <v>110</v>
      </c>
      <c r="B2304" s="903" t="s">
        <v>45</v>
      </c>
      <c r="C2304" s="272" t="s">
        <v>169</v>
      </c>
      <c r="D2304" s="272"/>
      <c r="E2304" s="515">
        <v>36.684899999999999</v>
      </c>
      <c r="F2304" s="408">
        <f>IFERROR(E2304*'01 Prod Physique Boites'!H2284,"-")</f>
        <v>0</v>
      </c>
      <c r="G2304" s="409">
        <f>IFERROR(E2304*'01 Prod Physique Boites'!L2284,"-")</f>
        <v>0</v>
      </c>
      <c r="H2304" s="387"/>
      <c r="I2304" s="388" t="s">
        <v>209</v>
      </c>
      <c r="J2304" s="389" t="s">
        <v>209</v>
      </c>
    </row>
    <row r="2305" spans="1:10" ht="24" thickBot="1" x14ac:dyDescent="0.35">
      <c r="A2305" s="277" t="s">
        <v>110</v>
      </c>
      <c r="B2305" s="905"/>
      <c r="C2305" s="282" t="s">
        <v>170</v>
      </c>
      <c r="D2305" s="282"/>
      <c r="E2305" s="512">
        <v>37.002800000000001</v>
      </c>
      <c r="F2305" s="408">
        <f>IFERROR(E2305*'01 Prod Physique Boites'!H2285,"-")</f>
        <v>0</v>
      </c>
      <c r="G2305" s="409">
        <f>IFERROR(E2305*'01 Prod Physique Boites'!L2285,"-")</f>
        <v>0</v>
      </c>
      <c r="H2305" s="393"/>
      <c r="I2305" s="394" t="s">
        <v>209</v>
      </c>
      <c r="J2305" s="395" t="s">
        <v>209</v>
      </c>
    </row>
    <row r="2306" spans="1:10" ht="24" thickBot="1" x14ac:dyDescent="0.35">
      <c r="A2306" s="277" t="s">
        <v>110</v>
      </c>
      <c r="B2306" s="909" t="s">
        <v>46</v>
      </c>
      <c r="C2306" s="910"/>
      <c r="D2306" s="911"/>
      <c r="E2306" s="396"/>
      <c r="F2306" s="412">
        <f t="shared" ref="F2306:G2306" si="1521">SUM(F2304:F2305)</f>
        <v>0</v>
      </c>
      <c r="G2306" s="413">
        <f t="shared" si="1521"/>
        <v>0</v>
      </c>
      <c r="H2306" s="397"/>
      <c r="I2306" s="412">
        <f t="shared" ref="I2306:J2306" si="1522">SUM(I2304:I2305)</f>
        <v>0</v>
      </c>
      <c r="J2306" s="431">
        <f t="shared" si="1522"/>
        <v>0</v>
      </c>
    </row>
    <row r="2307" spans="1:10" ht="24" thickBot="1" x14ac:dyDescent="0.35">
      <c r="A2307" s="277" t="s">
        <v>110</v>
      </c>
      <c r="B2307" s="912" t="s">
        <v>25</v>
      </c>
      <c r="C2307" s="913"/>
      <c r="D2307" s="914"/>
      <c r="E2307" s="399"/>
      <c r="F2307" s="416">
        <f t="shared" ref="F2307:G2307" si="1523">+F2285+F2290+F2293+F2299+F2303+F2306</f>
        <v>2073809.736</v>
      </c>
      <c r="G2307" s="417">
        <f t="shared" si="1523"/>
        <v>41025672.926399998</v>
      </c>
      <c r="H2307" s="400"/>
      <c r="I2307" s="416">
        <f>+I2285+I2290+I2293+I2299+I2303+I2306</f>
        <v>3801803.1999999997</v>
      </c>
      <c r="J2307" s="434">
        <f>+J2285+J2290+J2293+J2299+J2303+J2306</f>
        <v>74543612.339999989</v>
      </c>
    </row>
    <row r="2308" spans="1:10" ht="24" thickBot="1" x14ac:dyDescent="0.35">
      <c r="A2308" s="324" t="s">
        <v>110</v>
      </c>
      <c r="B2308" s="901" t="s">
        <v>182</v>
      </c>
      <c r="C2308" s="901"/>
      <c r="D2308" s="902"/>
      <c r="E2308" s="401"/>
      <c r="F2308" s="418">
        <f t="shared" ref="F2308:G2308" si="1524">+F2307</f>
        <v>2073809.736</v>
      </c>
      <c r="G2308" s="419">
        <f t="shared" si="1524"/>
        <v>41025672.926399998</v>
      </c>
      <c r="H2308" s="402"/>
      <c r="I2308" s="418">
        <f t="shared" ref="I2308" si="1525">+I2307</f>
        <v>3801803.1999999997</v>
      </c>
      <c r="J2308" s="435">
        <f>+J2307</f>
        <v>74543612.339999989</v>
      </c>
    </row>
    <row r="2309" spans="1:10" ht="24.6" thickBot="1" x14ac:dyDescent="0.35">
      <c r="A2309" s="325"/>
      <c r="B2309" s="915" t="s">
        <v>183</v>
      </c>
      <c r="C2309" s="916"/>
      <c r="D2309" s="917"/>
      <c r="E2309" s="407"/>
      <c r="F2309" s="424">
        <f t="shared" ref="F2309:G2309" si="1526">+F2254+F2281+F2308</f>
        <v>8885729.7444000002</v>
      </c>
      <c r="G2309" s="424">
        <f t="shared" si="1526"/>
        <v>165782789.62330002</v>
      </c>
      <c r="H2309" s="407"/>
      <c r="I2309" s="424">
        <f t="shared" ref="I2309:J2309" si="1527">+I2254+I2281+I2308</f>
        <v>12487213.959999999</v>
      </c>
      <c r="J2309" s="438">
        <f t="shared" si="1527"/>
        <v>256244915.29999995</v>
      </c>
    </row>
    <row r="2310" spans="1:10" ht="23.4" x14ac:dyDescent="0.3">
      <c r="A2310" s="935" t="s">
        <v>1</v>
      </c>
      <c r="B2310" s="938" t="s">
        <v>2</v>
      </c>
      <c r="C2310" s="941" t="s">
        <v>3</v>
      </c>
      <c r="D2310" s="941" t="s">
        <v>93</v>
      </c>
      <c r="E2310" s="965" t="s">
        <v>176</v>
      </c>
      <c r="F2310" s="966"/>
      <c r="G2310" s="966"/>
      <c r="H2310" s="451"/>
      <c r="I2310" s="451"/>
      <c r="J2310" s="452"/>
    </row>
    <row r="2311" spans="1:10" ht="23.4" x14ac:dyDescent="0.3">
      <c r="A2311" s="936"/>
      <c r="B2311" s="939"/>
      <c r="C2311" s="942"/>
      <c r="D2311" s="942"/>
      <c r="E2311" s="967" t="s">
        <v>178</v>
      </c>
      <c r="F2311" s="968"/>
      <c r="G2311" s="969"/>
      <c r="H2311" s="967" t="s">
        <v>177</v>
      </c>
      <c r="I2311" s="968"/>
      <c r="J2311" s="969"/>
    </row>
    <row r="2312" spans="1:10" ht="46.8" x14ac:dyDescent="0.3">
      <c r="A2312" s="937"/>
      <c r="B2312" s="963"/>
      <c r="C2312" s="964"/>
      <c r="D2312" s="964"/>
      <c r="E2312" s="385" t="s">
        <v>179</v>
      </c>
      <c r="F2312" s="892" t="s">
        <v>11</v>
      </c>
      <c r="G2312" s="893" t="s">
        <v>12</v>
      </c>
      <c r="H2312" s="970" t="s">
        <v>179</v>
      </c>
      <c r="I2312" s="972" t="s">
        <v>145</v>
      </c>
      <c r="J2312" s="974" t="s">
        <v>12</v>
      </c>
    </row>
    <row r="2313" spans="1:10" ht="24" thickBot="1" x14ac:dyDescent="0.35">
      <c r="A2313" s="937"/>
      <c r="B2313" s="940"/>
      <c r="C2313" s="943"/>
      <c r="D2313" s="943"/>
      <c r="E2313" s="976">
        <v>44530</v>
      </c>
      <c r="F2313" s="977"/>
      <c r="G2313" s="978"/>
      <c r="H2313" s="971"/>
      <c r="I2313" s="973"/>
      <c r="J2313" s="975"/>
    </row>
    <row r="2314" spans="1:10" ht="23.4" x14ac:dyDescent="0.3">
      <c r="A2314" s="271" t="s">
        <v>111</v>
      </c>
      <c r="B2314" s="922" t="s">
        <v>16</v>
      </c>
      <c r="C2314" s="272" t="s">
        <v>186</v>
      </c>
      <c r="D2314" s="272" t="s">
        <v>184</v>
      </c>
      <c r="E2314" s="515">
        <v>81.360699999999994</v>
      </c>
      <c r="F2314" s="408">
        <f>IFERROR(E2314*'01 Prod Physique Boites'!H2293,"-")</f>
        <v>0</v>
      </c>
      <c r="G2314" s="408">
        <f>IFERROR(E2314*'01 Prod Physique Boites'!L2293,"-")</f>
        <v>0</v>
      </c>
      <c r="H2314" s="387">
        <v>0</v>
      </c>
      <c r="I2314" s="425">
        <f>IFERROR(H2314*(F2314/E2314),"-")</f>
        <v>0</v>
      </c>
      <c r="J2314" s="426">
        <f t="shared" ref="J2314:J2316" si="1528">IFERROR(H2314*(G2314/E2314),"-")</f>
        <v>0</v>
      </c>
    </row>
    <row r="2315" spans="1:10" ht="23.4" x14ac:dyDescent="0.3">
      <c r="A2315" s="277" t="s">
        <v>111</v>
      </c>
      <c r="B2315" s="923"/>
      <c r="C2315" s="278" t="s">
        <v>190</v>
      </c>
      <c r="D2315" s="278" t="s">
        <v>101</v>
      </c>
      <c r="E2315" s="516">
        <v>81.360699999999994</v>
      </c>
      <c r="F2315" s="408">
        <f>IFERROR(E2315*'01 Prod Physique Boites'!H2294,"-")</f>
        <v>0</v>
      </c>
      <c r="G2315" s="408">
        <f>IFERROR(E2315*'01 Prod Physique Boites'!L2294,"-")</f>
        <v>0</v>
      </c>
      <c r="H2315" s="391">
        <v>0</v>
      </c>
      <c r="I2315" s="425">
        <f>IFERROR(H2315*(F2315/E2315),"-")</f>
        <v>0</v>
      </c>
      <c r="J2315" s="426">
        <f t="shared" si="1528"/>
        <v>0</v>
      </c>
    </row>
    <row r="2316" spans="1:10" ht="23.4" x14ac:dyDescent="0.3">
      <c r="A2316" s="277" t="s">
        <v>111</v>
      </c>
      <c r="B2316" s="923"/>
      <c r="C2316" s="278" t="s">
        <v>187</v>
      </c>
      <c r="D2316" s="278" t="s">
        <v>185</v>
      </c>
      <c r="E2316" s="516">
        <v>55.476900000000001</v>
      </c>
      <c r="F2316" s="408">
        <f>IFERROR(E2316*'01 Prod Physique Boites'!H2295,"-")</f>
        <v>0</v>
      </c>
      <c r="G2316" s="408">
        <f>IFERROR(E2316*'01 Prod Physique Boites'!L2295,"-")</f>
        <v>0</v>
      </c>
      <c r="H2316" s="391">
        <v>0</v>
      </c>
      <c r="I2316" s="425">
        <f>IFERROR(H2316*(F2316/E2316),"-")</f>
        <v>0</v>
      </c>
      <c r="J2316" s="426">
        <f t="shared" si="1528"/>
        <v>0</v>
      </c>
    </row>
    <row r="2317" spans="1:10" ht="24" thickBot="1" x14ac:dyDescent="0.35">
      <c r="A2317" s="277" t="s">
        <v>111</v>
      </c>
      <c r="B2317" s="924"/>
      <c r="C2317" s="282" t="s">
        <v>289</v>
      </c>
      <c r="D2317" s="282" t="s">
        <v>256</v>
      </c>
      <c r="E2317" s="512">
        <v>60.703499999999998</v>
      </c>
      <c r="F2317" s="408">
        <f>IFERROR(E2317*'01 Prod Physique Boites'!H2296,"-")</f>
        <v>0</v>
      </c>
      <c r="G2317" s="408">
        <f>IFERROR(E2317*'01 Prod Physique Boites'!L2296,"-")</f>
        <v>6314135.2560000001</v>
      </c>
      <c r="H2317" s="393">
        <v>111.09</v>
      </c>
      <c r="I2317" s="425">
        <f>IFERROR(H2317*(F2317/E2317),"-")</f>
        <v>0</v>
      </c>
      <c r="J2317" s="426">
        <f>IFERROR(H2317*(G2317/E2317),"-")</f>
        <v>11555137.439999999</v>
      </c>
    </row>
    <row r="2318" spans="1:10" ht="24" thickBot="1" x14ac:dyDescent="0.35">
      <c r="A2318" s="277" t="s">
        <v>111</v>
      </c>
      <c r="B2318" s="906" t="s">
        <v>47</v>
      </c>
      <c r="C2318" s="907"/>
      <c r="D2318" s="908"/>
      <c r="E2318" s="396"/>
      <c r="F2318" s="412">
        <f t="shared" ref="F2318" si="1529">SUM(F2314:F2317)</f>
        <v>0</v>
      </c>
      <c r="G2318" s="413">
        <f>SUM(G2314:G2317)</f>
        <v>6314135.2560000001</v>
      </c>
      <c r="H2318" s="397"/>
      <c r="I2318" s="412">
        <f t="shared" ref="I2318:J2318" si="1530">SUM(I2314:I2317)</f>
        <v>0</v>
      </c>
      <c r="J2318" s="431">
        <f t="shared" si="1530"/>
        <v>11555137.439999999</v>
      </c>
    </row>
    <row r="2319" spans="1:10" ht="23.4" x14ac:dyDescent="0.3">
      <c r="A2319" s="277" t="s">
        <v>111</v>
      </c>
      <c r="B2319" s="922" t="s">
        <v>17</v>
      </c>
      <c r="C2319" s="272" t="s">
        <v>331</v>
      </c>
      <c r="D2319" s="272"/>
      <c r="E2319" s="515">
        <v>12.5275</v>
      </c>
      <c r="F2319" s="408">
        <f>IFERROR(E2319*'01 Prod Physique Boites'!H2298,"-")</f>
        <v>0</v>
      </c>
      <c r="G2319" s="408">
        <f>IFERROR(E2319*'01 Prod Physique Boites'!L2298,"-")</f>
        <v>0</v>
      </c>
      <c r="H2319" s="387">
        <v>18.836400000000001</v>
      </c>
      <c r="I2319" s="425">
        <f t="shared" ref="I2319:I2325" si="1531">IFERROR(H2319*(F2319/E2319),"-")</f>
        <v>0</v>
      </c>
      <c r="J2319" s="426">
        <f t="shared" ref="J2319:J2324" si="1532">IFERROR(H2319*(G2319/E2319),"-")</f>
        <v>0</v>
      </c>
    </row>
    <row r="2320" spans="1:10" ht="23.4" x14ac:dyDescent="0.3">
      <c r="A2320" s="277" t="s">
        <v>111</v>
      </c>
      <c r="B2320" s="923"/>
      <c r="C2320" s="278" t="s">
        <v>421</v>
      </c>
      <c r="D2320" s="278" t="s">
        <v>257</v>
      </c>
      <c r="E2320" s="516">
        <v>13.002700000000001</v>
      </c>
      <c r="F2320" s="408">
        <f>IFERROR(E2320*'01 Prod Physique Boites'!H2299,"-")</f>
        <v>0</v>
      </c>
      <c r="G2320" s="408">
        <f>IFERROR(E2320*'01 Prod Physique Boites'!L2299,"-")</f>
        <v>16088487.761300001</v>
      </c>
      <c r="H2320" s="391">
        <v>21.18</v>
      </c>
      <c r="I2320" s="427">
        <f t="shared" si="1531"/>
        <v>0</v>
      </c>
      <c r="J2320" s="428">
        <f t="shared" si="1532"/>
        <v>26206416.419999998</v>
      </c>
    </row>
    <row r="2321" spans="1:10" ht="23.4" x14ac:dyDescent="0.3">
      <c r="A2321" s="277" t="s">
        <v>111</v>
      </c>
      <c r="B2321" s="923"/>
      <c r="C2321" s="278" t="s">
        <v>441</v>
      </c>
      <c r="D2321" s="278" t="s">
        <v>205</v>
      </c>
      <c r="E2321" s="516">
        <v>12.9049</v>
      </c>
      <c r="F2321" s="408">
        <f>IFERROR(E2321*'01 Prod Physique Boites'!H2300,"-")</f>
        <v>0</v>
      </c>
      <c r="G2321" s="408">
        <f>IFERROR(E2321*'01 Prod Physique Boites'!L2300,"-")</f>
        <v>0</v>
      </c>
      <c r="H2321" s="391">
        <v>20.6602</v>
      </c>
      <c r="I2321" s="427">
        <f t="shared" si="1531"/>
        <v>0</v>
      </c>
      <c r="J2321" s="428">
        <f t="shared" si="1532"/>
        <v>0</v>
      </c>
    </row>
    <row r="2322" spans="1:10" ht="23.4" x14ac:dyDescent="0.3">
      <c r="A2322" s="277" t="s">
        <v>111</v>
      </c>
      <c r="B2322" s="923"/>
      <c r="C2322" s="278" t="s">
        <v>330</v>
      </c>
      <c r="D2322" s="278" t="s">
        <v>206</v>
      </c>
      <c r="E2322" s="516">
        <v>13.078200000000001</v>
      </c>
      <c r="F2322" s="408">
        <f>IFERROR(E2322*'01 Prod Physique Boites'!H2301,"-")</f>
        <v>0</v>
      </c>
      <c r="G2322" s="408">
        <f>IFERROR(E2322*'01 Prod Physique Boites'!L2301,"-")</f>
        <v>24011.575200000003</v>
      </c>
      <c r="H2322" s="391">
        <v>20.6</v>
      </c>
      <c r="I2322" s="427">
        <f t="shared" si="1531"/>
        <v>0</v>
      </c>
      <c r="J2322" s="428">
        <f t="shared" si="1532"/>
        <v>37821.600000000006</v>
      </c>
    </row>
    <row r="2323" spans="1:10" ht="23.4" x14ac:dyDescent="0.3">
      <c r="A2323" s="277" t="s">
        <v>111</v>
      </c>
      <c r="B2323" s="923"/>
      <c r="C2323" s="278" t="s">
        <v>377</v>
      </c>
      <c r="D2323" s="278" t="s">
        <v>371</v>
      </c>
      <c r="E2323" s="516">
        <v>13.1958</v>
      </c>
      <c r="F2323" s="408">
        <f>IFERROR(E2323*'01 Prod Physique Boites'!H2302,"-")</f>
        <v>0</v>
      </c>
      <c r="G2323" s="408">
        <f>IFERROR(E2323*'01 Prod Physique Boites'!L2302,"-")</f>
        <v>140007.43799999999</v>
      </c>
      <c r="H2323" s="391">
        <v>21.28</v>
      </c>
      <c r="I2323" s="427">
        <f t="shared" si="1531"/>
        <v>0</v>
      </c>
      <c r="J2323" s="428">
        <f t="shared" si="1532"/>
        <v>225780.80000000002</v>
      </c>
    </row>
    <row r="2324" spans="1:10" ht="23.4" x14ac:dyDescent="0.3">
      <c r="A2324" s="277" t="s">
        <v>111</v>
      </c>
      <c r="B2324" s="923"/>
      <c r="C2324" s="278" t="s">
        <v>443</v>
      </c>
      <c r="D2324" s="278" t="s">
        <v>207</v>
      </c>
      <c r="E2324" s="516">
        <v>12.9049</v>
      </c>
      <c r="F2324" s="408">
        <f>IFERROR(E2324*'01 Prod Physique Boites'!H2303,"-")</f>
        <v>2843207.568</v>
      </c>
      <c r="G2324" s="408">
        <f>IFERROR(E2324*'01 Prod Physique Boites'!L2303,"-")</f>
        <v>14768883.755999999</v>
      </c>
      <c r="H2324" s="812">
        <v>20.5</v>
      </c>
      <c r="I2324" s="427">
        <f t="shared" si="1531"/>
        <v>4516560</v>
      </c>
      <c r="J2324" s="428">
        <f t="shared" si="1532"/>
        <v>23461020</v>
      </c>
    </row>
    <row r="2325" spans="1:10" ht="24" thickBot="1" x14ac:dyDescent="0.35">
      <c r="A2325" s="277" t="s">
        <v>111</v>
      </c>
      <c r="B2325" s="924"/>
      <c r="C2325" s="282" t="s">
        <v>416</v>
      </c>
      <c r="D2325" s="282" t="s">
        <v>189</v>
      </c>
      <c r="E2325" s="512">
        <v>13.6509</v>
      </c>
      <c r="F2325" s="408">
        <f>IFERROR(E2325*'01 Prod Physique Boites'!H2304,"-")</f>
        <v>0</v>
      </c>
      <c r="G2325" s="408">
        <f>IFERROR(E2325*'01 Prod Physique Boites'!L2304,"-")</f>
        <v>1002522.096</v>
      </c>
      <c r="H2325" s="393">
        <v>21.18</v>
      </c>
      <c r="I2325" s="429">
        <f t="shared" si="1531"/>
        <v>0</v>
      </c>
      <c r="J2325" s="430">
        <f>IFERROR(H2325*(G2325/E2325),"-")</f>
        <v>1555459.2</v>
      </c>
    </row>
    <row r="2326" spans="1:10" ht="24" thickBot="1" x14ac:dyDescent="0.35">
      <c r="A2326" s="277" t="s">
        <v>111</v>
      </c>
      <c r="B2326" s="906" t="s">
        <v>48</v>
      </c>
      <c r="C2326" s="907"/>
      <c r="D2326" s="908"/>
      <c r="E2326" s="396"/>
      <c r="F2326" s="412">
        <f t="shared" ref="F2326" si="1533">SUM(F2319:F2325)</f>
        <v>2843207.568</v>
      </c>
      <c r="G2326" s="413">
        <f>SUM(G2319:G2325)</f>
        <v>32023912.626500003</v>
      </c>
      <c r="H2326" s="397"/>
      <c r="I2326" s="412">
        <f t="shared" ref="I2326" si="1534">SUM(I2319:I2325)</f>
        <v>4516560</v>
      </c>
      <c r="J2326" s="431">
        <f>SUM(J2319:J2325)</f>
        <v>51486498.020000003</v>
      </c>
    </row>
    <row r="2327" spans="1:10" ht="23.4" x14ac:dyDescent="0.3">
      <c r="A2327" s="277" t="s">
        <v>111</v>
      </c>
      <c r="B2327" s="922" t="s">
        <v>18</v>
      </c>
      <c r="C2327" s="272" t="s">
        <v>359</v>
      </c>
      <c r="D2327" s="272" t="s">
        <v>99</v>
      </c>
      <c r="E2327" s="515">
        <v>17.8202</v>
      </c>
      <c r="F2327" s="408">
        <f>IFERROR(E2327*'01 Prod Physique Boites'!H2306,"-")</f>
        <v>0</v>
      </c>
      <c r="G2327" s="409">
        <f>IFERROR(E2327*'01 Prod Physique Boites'!L2306,"-")</f>
        <v>0</v>
      </c>
      <c r="H2327" s="387">
        <v>24.93</v>
      </c>
      <c r="I2327" s="425">
        <f t="shared" ref="I2327:I2333" si="1535">IFERROR(H2327*(F2327/E2327),"-")</f>
        <v>0</v>
      </c>
      <c r="J2327" s="426">
        <f t="shared" ref="J2327:J2329" si="1536">IFERROR(H2327*(G2327/E2327),"-")</f>
        <v>0</v>
      </c>
    </row>
    <row r="2328" spans="1:10" ht="23.4" x14ac:dyDescent="0.3">
      <c r="A2328" s="277" t="s">
        <v>111</v>
      </c>
      <c r="B2328" s="923"/>
      <c r="C2328" s="278" t="s">
        <v>138</v>
      </c>
      <c r="D2328" s="278"/>
      <c r="E2328" s="516">
        <v>17.8202</v>
      </c>
      <c r="F2328" s="408">
        <f>IFERROR(E2328*'01 Prod Physique Boites'!H2307,"-")</f>
        <v>0</v>
      </c>
      <c r="G2328" s="409">
        <f>IFERROR(E2328*'01 Prod Physique Boites'!L2307,"-")</f>
        <v>0</v>
      </c>
      <c r="H2328" s="391">
        <v>0</v>
      </c>
      <c r="I2328" s="427">
        <f t="shared" si="1535"/>
        <v>0</v>
      </c>
      <c r="J2328" s="428">
        <f t="shared" si="1536"/>
        <v>0</v>
      </c>
    </row>
    <row r="2329" spans="1:10" ht="23.4" x14ac:dyDescent="0.3">
      <c r="A2329" s="277" t="s">
        <v>111</v>
      </c>
      <c r="B2329" s="923"/>
      <c r="C2329" s="278" t="s">
        <v>123</v>
      </c>
      <c r="D2329" s="278"/>
      <c r="E2329" s="516">
        <v>16.4071</v>
      </c>
      <c r="F2329" s="408">
        <f>IFERROR(E2329*'01 Prod Physique Boites'!H2308,"-")</f>
        <v>0</v>
      </c>
      <c r="G2329" s="409">
        <f>IFERROR(E2329*'01 Prod Physique Boites'!L2308,"-")</f>
        <v>0</v>
      </c>
      <c r="H2329" s="391">
        <v>0</v>
      </c>
      <c r="I2329" s="427">
        <f t="shared" si="1535"/>
        <v>0</v>
      </c>
      <c r="J2329" s="428">
        <f t="shared" si="1536"/>
        <v>0</v>
      </c>
    </row>
    <row r="2330" spans="1:10" ht="23.4" x14ac:dyDescent="0.3">
      <c r="A2330" s="277" t="s">
        <v>111</v>
      </c>
      <c r="B2330" s="923"/>
      <c r="C2330" s="278" t="s">
        <v>130</v>
      </c>
      <c r="D2330" s="278"/>
      <c r="E2330" s="516">
        <v>17.8202</v>
      </c>
      <c r="F2330" s="408">
        <f>IFERROR(E2330*'01 Prod Physique Boites'!H2309,"-")</f>
        <v>0</v>
      </c>
      <c r="G2330" s="409">
        <f>IFERROR(E2330*'01 Prod Physique Boites'!L2309,"-")</f>
        <v>0</v>
      </c>
      <c r="H2330" s="391">
        <v>0</v>
      </c>
      <c r="I2330" s="427">
        <f t="shared" si="1535"/>
        <v>0</v>
      </c>
      <c r="J2330" s="428">
        <f>IFERROR(H2330*(G2330/E2330),"-")</f>
        <v>0</v>
      </c>
    </row>
    <row r="2331" spans="1:10" ht="23.4" x14ac:dyDescent="0.3">
      <c r="A2331" s="277" t="s">
        <v>111</v>
      </c>
      <c r="B2331" s="923"/>
      <c r="C2331" s="278" t="s">
        <v>191</v>
      </c>
      <c r="D2331" s="278" t="s">
        <v>192</v>
      </c>
      <c r="E2331" s="516">
        <v>17.8202</v>
      </c>
      <c r="F2331" s="408">
        <f>IFERROR(E2331*'01 Prod Physique Boites'!H2310,"-")</f>
        <v>0</v>
      </c>
      <c r="G2331" s="409">
        <f>IFERROR(E2331*'01 Prod Physique Boites'!L2310,"-")</f>
        <v>0</v>
      </c>
      <c r="H2331" s="391">
        <v>0</v>
      </c>
      <c r="I2331" s="427">
        <f t="shared" si="1535"/>
        <v>0</v>
      </c>
      <c r="J2331" s="428">
        <f t="shared" ref="J2331:J2333" si="1537">IFERROR(H2331*(G2331/E2331),"-")</f>
        <v>0</v>
      </c>
    </row>
    <row r="2332" spans="1:10" ht="23.4" x14ac:dyDescent="0.3">
      <c r="A2332" s="277" t="s">
        <v>111</v>
      </c>
      <c r="B2332" s="923"/>
      <c r="C2332" s="278" t="s">
        <v>194</v>
      </c>
      <c r="D2332" s="278" t="s">
        <v>193</v>
      </c>
      <c r="E2332" s="516">
        <v>16.7288</v>
      </c>
      <c r="F2332" s="408">
        <f>IFERROR(E2332*'01 Prod Physique Boites'!H2311,"-")</f>
        <v>0</v>
      </c>
      <c r="G2332" s="409">
        <f>IFERROR(E2332*'01 Prod Physique Boites'!L2311,"-")</f>
        <v>0</v>
      </c>
      <c r="H2332" s="391">
        <v>0</v>
      </c>
      <c r="I2332" s="427">
        <f t="shared" si="1535"/>
        <v>0</v>
      </c>
      <c r="J2332" s="428">
        <f t="shared" si="1537"/>
        <v>0</v>
      </c>
    </row>
    <row r="2333" spans="1:10" ht="24" thickBot="1" x14ac:dyDescent="0.35">
      <c r="A2333" s="277" t="s">
        <v>111</v>
      </c>
      <c r="B2333" s="924"/>
      <c r="C2333" s="290" t="s">
        <v>195</v>
      </c>
      <c r="D2333" s="290" t="s">
        <v>115</v>
      </c>
      <c r="E2333" s="512">
        <v>17.8202</v>
      </c>
      <c r="F2333" s="408">
        <f>IFERROR(E2333*'01 Prod Physique Boites'!H2312,"-")</f>
        <v>0</v>
      </c>
      <c r="G2333" s="409">
        <f>IFERROR(E2333*'01 Prod Physique Boites'!L2312,"-")</f>
        <v>0</v>
      </c>
      <c r="H2333" s="391">
        <v>0</v>
      </c>
      <c r="I2333" s="429">
        <f t="shared" si="1535"/>
        <v>0</v>
      </c>
      <c r="J2333" s="430">
        <f t="shared" si="1537"/>
        <v>0</v>
      </c>
    </row>
    <row r="2334" spans="1:10" ht="24" thickBot="1" x14ac:dyDescent="0.35">
      <c r="A2334" s="277" t="s">
        <v>111</v>
      </c>
      <c r="B2334" s="906" t="s">
        <v>29</v>
      </c>
      <c r="C2334" s="907"/>
      <c r="D2334" s="908"/>
      <c r="E2334" s="777"/>
      <c r="F2334" s="778">
        <f t="shared" ref="F2334:G2334" si="1538">SUM(F2327:F2333)</f>
        <v>0</v>
      </c>
      <c r="G2334" s="413">
        <f t="shared" si="1538"/>
        <v>0</v>
      </c>
      <c r="H2334" s="397"/>
      <c r="I2334" s="412">
        <f t="shared" ref="I2334:J2334" si="1539">SUM(I2327:I2333)</f>
        <v>0</v>
      </c>
      <c r="J2334" s="431">
        <f t="shared" si="1539"/>
        <v>0</v>
      </c>
    </row>
    <row r="2335" spans="1:10" ht="23.4" x14ac:dyDescent="0.3">
      <c r="A2335" s="277"/>
      <c r="B2335" s="918" t="s">
        <v>19</v>
      </c>
      <c r="C2335" s="779" t="s">
        <v>260</v>
      </c>
      <c r="D2335" s="785" t="s">
        <v>192</v>
      </c>
      <c r="E2335" s="786">
        <v>12.2659</v>
      </c>
      <c r="F2335" s="787">
        <f>IFERROR(E2335*'01 Prod Physique Boites'!H2314,"-")</f>
        <v>0</v>
      </c>
      <c r="G2335" s="788">
        <f>IFERROR(E2335*'01 Prod Physique Boites'!L2314,"-")</f>
        <v>4024662.5762</v>
      </c>
      <c r="H2335" s="782">
        <v>14.79</v>
      </c>
      <c r="I2335" s="703">
        <f t="shared" ref="I2335:I2337" si="1540">IFERROR(H2335*(F2335/E2335),"-")</f>
        <v>0</v>
      </c>
      <c r="J2335" s="703">
        <f>IFERROR(H2335*(G2335/E2335),"-")</f>
        <v>4852865.22</v>
      </c>
    </row>
    <row r="2336" spans="1:10" ht="23.4" x14ac:dyDescent="0.3">
      <c r="A2336" s="277"/>
      <c r="B2336" s="919"/>
      <c r="C2336" s="780" t="s">
        <v>458</v>
      </c>
      <c r="D2336" s="789"/>
      <c r="E2336" s="762">
        <v>12.2659</v>
      </c>
      <c r="F2336" s="763">
        <f>IFERROR(E2336*'01 Prod Physique Boites'!H2315,"-")</f>
        <v>932600.90879999998</v>
      </c>
      <c r="G2336" s="663">
        <f>IFERROR(E2336*'01 Prod Physique Boites'!L2315,"-")</f>
        <v>9015142.1184</v>
      </c>
      <c r="H2336" s="783">
        <v>14.55</v>
      </c>
      <c r="I2336" s="763">
        <f t="shared" si="1540"/>
        <v>1106265.6000000001</v>
      </c>
      <c r="J2336" s="763">
        <f>IFERROR(H2336*(G2336/E2336),"-")</f>
        <v>10693900.800000001</v>
      </c>
    </row>
    <row r="2337" spans="1:10" ht="24" thickBot="1" x14ac:dyDescent="0.35">
      <c r="A2337" s="894" t="s">
        <v>111</v>
      </c>
      <c r="B2337" s="920"/>
      <c r="C2337" s="781" t="s">
        <v>417</v>
      </c>
      <c r="D2337" s="790"/>
      <c r="E2337" s="791">
        <v>0</v>
      </c>
      <c r="F2337" s="792">
        <f>IFERROR(E2337*'01 Prod Physique Boites'!H2316,"-")</f>
        <v>0</v>
      </c>
      <c r="G2337" s="793">
        <f>IFERROR(E2337*'01 Prod Physique Boites'!L2316,"-")</f>
        <v>0</v>
      </c>
      <c r="H2337" s="784">
        <v>0</v>
      </c>
      <c r="I2337" s="432" t="str">
        <f t="shared" si="1540"/>
        <v>-</v>
      </c>
      <c r="J2337" s="433" t="str">
        <f t="shared" ref="J2337" si="1541">IFERROR(I2337*(G2337/F2337),"-")</f>
        <v>-</v>
      </c>
    </row>
    <row r="2338" spans="1:10" ht="24" thickBot="1" x14ac:dyDescent="0.35">
      <c r="A2338" s="277" t="s">
        <v>111</v>
      </c>
      <c r="B2338" s="906" t="s">
        <v>49</v>
      </c>
      <c r="C2338" s="907"/>
      <c r="D2338" s="908"/>
      <c r="E2338" s="396"/>
      <c r="F2338" s="412">
        <f>SUM(F2335:F2337)</f>
        <v>932600.90879999998</v>
      </c>
      <c r="G2338" s="412">
        <f>SUM(G2335:G2337)</f>
        <v>13039804.694600001</v>
      </c>
      <c r="H2338" s="397"/>
      <c r="I2338" s="412">
        <f t="shared" ref="I2338" si="1542">SUM(I2337)</f>
        <v>0</v>
      </c>
      <c r="J2338" s="431">
        <f>SUM(J2335:J2337)</f>
        <v>15546766.02</v>
      </c>
    </row>
    <row r="2339" spans="1:10" ht="23.4" x14ac:dyDescent="0.3">
      <c r="A2339" s="277" t="s">
        <v>111</v>
      </c>
      <c r="B2339" s="922" t="s">
        <v>20</v>
      </c>
      <c r="C2339" s="297" t="s">
        <v>370</v>
      </c>
      <c r="D2339" s="297" t="s">
        <v>324</v>
      </c>
      <c r="E2339" s="515">
        <v>26.032900000000001</v>
      </c>
      <c r="F2339" s="408">
        <f>IFERROR(E2339*'01 Prod Physique Boites'!H2318,"-")</f>
        <v>0</v>
      </c>
      <c r="G2339" s="409">
        <f>IFERROR(E2339*'01 Prod Physique Boites'!L2318,"-")</f>
        <v>0</v>
      </c>
      <c r="H2339" s="387">
        <v>36.44</v>
      </c>
      <c r="I2339" s="425">
        <f>IFERROR(H2339*(F2339/E2339),"-")</f>
        <v>0</v>
      </c>
      <c r="J2339" s="426">
        <f t="shared" ref="J2339:J2341" si="1543">IFERROR(H2339*(G2339/E2339),"-")</f>
        <v>0</v>
      </c>
    </row>
    <row r="2340" spans="1:10" ht="23.4" x14ac:dyDescent="0.3">
      <c r="A2340" s="277" t="s">
        <v>111</v>
      </c>
      <c r="B2340" s="923"/>
      <c r="C2340" s="298" t="s">
        <v>122</v>
      </c>
      <c r="D2340" s="298"/>
      <c r="E2340" s="390">
        <v>24.2607</v>
      </c>
      <c r="F2340" s="408">
        <f>IFERROR(E2340*'01 Prod Physique Boites'!H2319,"-")</f>
        <v>0</v>
      </c>
      <c r="G2340" s="409">
        <f>IFERROR(E2340*'01 Prod Physique Boites'!L2319,"-")</f>
        <v>0</v>
      </c>
      <c r="H2340" s="391">
        <v>37.369999999999997</v>
      </c>
      <c r="I2340" s="427">
        <f>IFERROR(H2340*(F2340/E2340),"-")</f>
        <v>0</v>
      </c>
      <c r="J2340" s="428">
        <f t="shared" si="1543"/>
        <v>0</v>
      </c>
    </row>
    <row r="2341" spans="1:10" ht="24" thickBot="1" x14ac:dyDescent="0.35">
      <c r="A2341" s="277" t="s">
        <v>111</v>
      </c>
      <c r="B2341" s="924"/>
      <c r="C2341" s="299" t="s">
        <v>128</v>
      </c>
      <c r="D2341" s="299"/>
      <c r="E2341" s="392">
        <v>26.035799999999998</v>
      </c>
      <c r="F2341" s="408">
        <f>IFERROR(E2341*'01 Prod Physique Boites'!H2320,"-")</f>
        <v>0</v>
      </c>
      <c r="G2341" s="409">
        <f>IFERROR(E2341*'01 Prod Physique Boites'!L2320,"-")</f>
        <v>0</v>
      </c>
      <c r="H2341" s="393">
        <v>37.11</v>
      </c>
      <c r="I2341" s="429">
        <f>IFERROR(H2341*(F2341/E2341),"-")</f>
        <v>0</v>
      </c>
      <c r="J2341" s="430">
        <f t="shared" si="1543"/>
        <v>0</v>
      </c>
    </row>
    <row r="2342" spans="1:10" ht="24" thickBot="1" x14ac:dyDescent="0.35">
      <c r="A2342" s="277" t="s">
        <v>111</v>
      </c>
      <c r="B2342" s="907" t="s">
        <v>50</v>
      </c>
      <c r="C2342" s="907"/>
      <c r="D2342" s="925"/>
      <c r="E2342" s="396"/>
      <c r="F2342" s="412">
        <f t="shared" ref="F2342:G2342" si="1544">SUM(F2339:F2341)</f>
        <v>0</v>
      </c>
      <c r="G2342" s="413">
        <f t="shared" si="1544"/>
        <v>0</v>
      </c>
      <c r="H2342" s="397"/>
      <c r="I2342" s="412">
        <f t="shared" ref="I2342:J2342" si="1545">SUM(I2339:I2341)</f>
        <v>0</v>
      </c>
      <c r="J2342" s="431">
        <f t="shared" si="1545"/>
        <v>0</v>
      </c>
    </row>
    <row r="2343" spans="1:10" ht="24" thickBot="1" x14ac:dyDescent="0.35">
      <c r="A2343" s="277" t="s">
        <v>111</v>
      </c>
      <c r="B2343" s="926" t="s">
        <v>21</v>
      </c>
      <c r="C2343" s="927"/>
      <c r="D2343" s="928"/>
      <c r="E2343" s="399"/>
      <c r="F2343" s="416">
        <f>+F2318+F2326+F2334+F2338+F2342</f>
        <v>3775808.4767999998</v>
      </c>
      <c r="G2343" s="417">
        <f>+G2318+G2326+G2334+G2338+G2342</f>
        <v>51377852.577100001</v>
      </c>
      <c r="H2343" s="400"/>
      <c r="I2343" s="416">
        <f>+I2318+I2326+I2334+I2338+I2342</f>
        <v>4516560</v>
      </c>
      <c r="J2343" s="434">
        <f>+J2318+J2326+J2334+J2338+J2342</f>
        <v>78588401.480000004</v>
      </c>
    </row>
    <row r="2344" spans="1:10" ht="23.4" x14ac:dyDescent="0.3">
      <c r="A2344" s="277" t="s">
        <v>111</v>
      </c>
      <c r="B2344" s="922" t="s">
        <v>22</v>
      </c>
      <c r="C2344" s="272" t="s">
        <v>133</v>
      </c>
      <c r="D2344" s="272"/>
      <c r="E2344" s="386">
        <v>22.820599999999999</v>
      </c>
      <c r="F2344" s="408">
        <f>IFERROR(E2344*'01 Prod Physique Boites'!H2323,"-")</f>
        <v>0</v>
      </c>
      <c r="G2344" s="409">
        <f>IFERROR(E2344*'01 Prod Physique Boites'!L2323,"-")</f>
        <v>0</v>
      </c>
      <c r="H2344" s="387">
        <v>27.5</v>
      </c>
      <c r="I2344" s="425">
        <f>IFERROR(H2344*(F2344/E2344),"-")</f>
        <v>0</v>
      </c>
      <c r="J2344" s="426">
        <f t="shared" ref="J2344:J2347" si="1546">IFERROR(H2344*(G2344/E2344),"-")</f>
        <v>0</v>
      </c>
    </row>
    <row r="2345" spans="1:10" ht="23.4" x14ac:dyDescent="0.3">
      <c r="A2345" s="277" t="s">
        <v>111</v>
      </c>
      <c r="B2345" s="923"/>
      <c r="C2345" s="301" t="s">
        <v>291</v>
      </c>
      <c r="D2345" s="301" t="s">
        <v>196</v>
      </c>
      <c r="E2345" s="390">
        <v>23.570699999999999</v>
      </c>
      <c r="F2345" s="408">
        <f>IFERROR(E2345*'01 Prod Physique Boites'!H2324,"-")</f>
        <v>0</v>
      </c>
      <c r="G2345" s="409">
        <f>IFERROR(E2345*'01 Prod Physique Boites'!L2324,"-")</f>
        <v>0</v>
      </c>
      <c r="H2345" s="391">
        <v>27.5</v>
      </c>
      <c r="I2345" s="427">
        <f>IFERROR(H2345*(F2345/E2345),"-")</f>
        <v>0</v>
      </c>
      <c r="J2345" s="428">
        <f t="shared" si="1546"/>
        <v>0</v>
      </c>
    </row>
    <row r="2346" spans="1:10" ht="23.4" x14ac:dyDescent="0.3">
      <c r="A2346" s="277" t="s">
        <v>111</v>
      </c>
      <c r="B2346" s="923"/>
      <c r="C2346" s="301" t="s">
        <v>473</v>
      </c>
      <c r="D2346" s="301" t="s">
        <v>196</v>
      </c>
      <c r="E2346" s="390">
        <v>22.820599999999999</v>
      </c>
      <c r="F2346" s="408">
        <f>IFERROR(E2346*'01 Prod Physique Boites'!H2325,"-")</f>
        <v>1581467.5799999998</v>
      </c>
      <c r="G2346" s="409">
        <f>IFERROR(E2346*'01 Prod Physique Boites'!L2325,"-")</f>
        <v>12019153.607999999</v>
      </c>
      <c r="H2346" s="391">
        <v>27.5</v>
      </c>
      <c r="I2346" s="427">
        <f>IFERROR(H2346*(F2346/E2346),"-")</f>
        <v>1905750</v>
      </c>
      <c r="J2346" s="428">
        <f t="shared" si="1546"/>
        <v>14483700</v>
      </c>
    </row>
    <row r="2347" spans="1:10" ht="24" thickBot="1" x14ac:dyDescent="0.35">
      <c r="A2347" s="277" t="s">
        <v>111</v>
      </c>
      <c r="B2347" s="924"/>
      <c r="C2347" s="282" t="s">
        <v>197</v>
      </c>
      <c r="D2347" s="282" t="s">
        <v>100</v>
      </c>
      <c r="E2347" s="392">
        <v>23.5685</v>
      </c>
      <c r="F2347" s="408">
        <f>IFERROR(E2347*'01 Prod Physique Boites'!H2326,"-")</f>
        <v>0</v>
      </c>
      <c r="G2347" s="409">
        <f>IFERROR(E2347*'01 Prod Physique Boites'!L2326,"-")</f>
        <v>0</v>
      </c>
      <c r="H2347" s="393">
        <v>24</v>
      </c>
      <c r="I2347" s="429">
        <f>IFERROR(H2347*(F2347/E2347),"-")</f>
        <v>0</v>
      </c>
      <c r="J2347" s="430">
        <f t="shared" si="1546"/>
        <v>0</v>
      </c>
    </row>
    <row r="2348" spans="1:10" ht="24" thickBot="1" x14ac:dyDescent="0.35">
      <c r="A2348" s="277" t="s">
        <v>111</v>
      </c>
      <c r="B2348" s="906" t="s">
        <v>51</v>
      </c>
      <c r="C2348" s="907"/>
      <c r="D2348" s="908"/>
      <c r="E2348" s="396"/>
      <c r="F2348" s="412">
        <f t="shared" ref="F2348:G2348" si="1547">SUM(F2344:F2347)</f>
        <v>1581467.5799999998</v>
      </c>
      <c r="G2348" s="413">
        <f t="shared" si="1547"/>
        <v>12019153.607999999</v>
      </c>
      <c r="H2348" s="397"/>
      <c r="I2348" s="412">
        <f t="shared" ref="I2348:J2348" si="1548">SUM(I2344:I2347)</f>
        <v>1905750</v>
      </c>
      <c r="J2348" s="431">
        <f t="shared" si="1548"/>
        <v>14483700</v>
      </c>
    </row>
    <row r="2349" spans="1:10" ht="23.4" x14ac:dyDescent="0.3">
      <c r="A2349" s="277" t="s">
        <v>111</v>
      </c>
      <c r="B2349" s="922" t="s">
        <v>23</v>
      </c>
      <c r="C2349" s="302" t="s">
        <v>348</v>
      </c>
      <c r="D2349" s="302" t="s">
        <v>263</v>
      </c>
      <c r="E2349" s="386">
        <v>101.4935</v>
      </c>
      <c r="F2349" s="408">
        <f>IFERROR(E2349*'01 Prod Physique Boites'!H2328,"-")</f>
        <v>0</v>
      </c>
      <c r="G2349" s="409">
        <f>IFERROR(E2349*'01 Prod Physique Boites'!L2328,"-")</f>
        <v>0</v>
      </c>
      <c r="H2349" s="391">
        <v>160.44999999999999</v>
      </c>
      <c r="I2349" s="425">
        <f t="shared" ref="I2349:I2356" si="1549">IFERROR(H2349*(F2349/E2349),"-")</f>
        <v>0</v>
      </c>
      <c r="J2349" s="426">
        <f t="shared" ref="J2349:J2356" si="1550">IFERROR(H2349*(G2349/E2349),"-")</f>
        <v>0</v>
      </c>
    </row>
    <row r="2350" spans="1:10" ht="23.4" x14ac:dyDescent="0.3">
      <c r="A2350" s="277" t="s">
        <v>111</v>
      </c>
      <c r="B2350" s="923"/>
      <c r="C2350" s="278" t="s">
        <v>24</v>
      </c>
      <c r="D2350" s="278" t="s">
        <v>263</v>
      </c>
      <c r="E2350" s="390">
        <v>101.4935</v>
      </c>
      <c r="F2350" s="408">
        <f>IFERROR(E2350*'01 Prod Physique Boites'!H2329,"-")</f>
        <v>0</v>
      </c>
      <c r="G2350" s="409">
        <f>IFERROR(E2350*'01 Prod Physique Boites'!L2329,"-")</f>
        <v>11408275.374</v>
      </c>
      <c r="H2350" s="391">
        <v>160.44999999999999</v>
      </c>
      <c r="I2350" s="427">
        <f t="shared" si="1549"/>
        <v>0</v>
      </c>
      <c r="J2350" s="428">
        <f t="shared" si="1550"/>
        <v>18035221.799999997</v>
      </c>
    </row>
    <row r="2351" spans="1:10" ht="23.4" x14ac:dyDescent="0.3">
      <c r="A2351" s="277" t="s">
        <v>111</v>
      </c>
      <c r="B2351" s="923"/>
      <c r="C2351" s="278" t="s">
        <v>261</v>
      </c>
      <c r="D2351" s="278" t="s">
        <v>263</v>
      </c>
      <c r="E2351" s="390">
        <v>101.4935</v>
      </c>
      <c r="F2351" s="408">
        <f>IFERROR(E2351*'01 Prod Physique Boites'!H2330,"-")</f>
        <v>0</v>
      </c>
      <c r="G2351" s="409">
        <f>IFERROR(E2351*'01 Prod Physique Boites'!L2330,"-")</f>
        <v>1106380.6435</v>
      </c>
      <c r="H2351" s="391">
        <v>160.44999999999999</v>
      </c>
      <c r="I2351" s="427">
        <f t="shared" si="1549"/>
        <v>0</v>
      </c>
      <c r="J2351" s="428">
        <f t="shared" si="1550"/>
        <v>1749065.45</v>
      </c>
    </row>
    <row r="2352" spans="1:10" ht="23.4" x14ac:dyDescent="0.3">
      <c r="A2352" s="277" t="s">
        <v>111</v>
      </c>
      <c r="B2352" s="923"/>
      <c r="C2352" s="278" t="s">
        <v>262</v>
      </c>
      <c r="D2352" s="278" t="s">
        <v>263</v>
      </c>
      <c r="E2352" s="390">
        <v>101.4935</v>
      </c>
      <c r="F2352" s="408">
        <f>IFERROR(E2352*'01 Prod Physique Boites'!H2331,"-")</f>
        <v>0</v>
      </c>
      <c r="G2352" s="409">
        <f>IFERROR(E2352*'01 Prod Physique Boites'!L2331,"-")</f>
        <v>772568.522</v>
      </c>
      <c r="H2352" s="391">
        <v>160.44999999999999</v>
      </c>
      <c r="I2352" s="427">
        <f t="shared" si="1549"/>
        <v>0</v>
      </c>
      <c r="J2352" s="428">
        <f t="shared" si="1550"/>
        <v>1221345.3999999999</v>
      </c>
    </row>
    <row r="2353" spans="1:10" ht="23.4" x14ac:dyDescent="0.3">
      <c r="A2353" s="277" t="s">
        <v>111</v>
      </c>
      <c r="B2353" s="923"/>
      <c r="C2353" s="301" t="s">
        <v>264</v>
      </c>
      <c r="D2353" s="278" t="s">
        <v>263</v>
      </c>
      <c r="E2353" s="390">
        <v>101.4935</v>
      </c>
      <c r="F2353" s="408">
        <f>IFERROR(E2353*'01 Prod Physique Boites'!H2332,"-")</f>
        <v>0</v>
      </c>
      <c r="G2353" s="409">
        <f>IFERROR(E2353*'01 Prod Physique Boites'!L2332,"-")</f>
        <v>0</v>
      </c>
      <c r="H2353" s="391">
        <v>160.44999999999999</v>
      </c>
      <c r="I2353" s="427">
        <f t="shared" si="1549"/>
        <v>0</v>
      </c>
      <c r="J2353" s="428">
        <f t="shared" si="1550"/>
        <v>0</v>
      </c>
    </row>
    <row r="2354" spans="1:10" ht="23.4" x14ac:dyDescent="0.3">
      <c r="A2354" s="277" t="s">
        <v>111</v>
      </c>
      <c r="B2354" s="923"/>
      <c r="C2354" s="301" t="s">
        <v>265</v>
      </c>
      <c r="D2354" s="278" t="s">
        <v>263</v>
      </c>
      <c r="E2354" s="390">
        <v>101.4935</v>
      </c>
      <c r="F2354" s="408">
        <f>IFERROR(E2354*'01 Prod Physique Boites'!H2333,"-")</f>
        <v>0</v>
      </c>
      <c r="G2354" s="409">
        <f>IFERROR(E2354*'01 Prod Physique Boites'!L2333,"-")</f>
        <v>0</v>
      </c>
      <c r="H2354" s="391">
        <v>160.44999999999999</v>
      </c>
      <c r="I2354" s="427">
        <f t="shared" si="1549"/>
        <v>0</v>
      </c>
      <c r="J2354" s="428">
        <f t="shared" si="1550"/>
        <v>0</v>
      </c>
    </row>
    <row r="2355" spans="1:10" ht="23.4" x14ac:dyDescent="0.3">
      <c r="A2355" s="277" t="s">
        <v>111</v>
      </c>
      <c r="B2355" s="923"/>
      <c r="C2355" s="301" t="s">
        <v>266</v>
      </c>
      <c r="D2355" s="278" t="s">
        <v>268</v>
      </c>
      <c r="E2355" s="390">
        <v>101.4935</v>
      </c>
      <c r="F2355" s="408">
        <f>IFERROR(E2355*'01 Prod Physique Boites'!H2334,"-")</f>
        <v>0</v>
      </c>
      <c r="G2355" s="409">
        <f>IFERROR(E2355*'01 Prod Physique Boites'!L2334,"-")</f>
        <v>1057257.7895</v>
      </c>
      <c r="H2355" s="391">
        <v>160.44999999999999</v>
      </c>
      <c r="I2355" s="427">
        <f t="shared" si="1549"/>
        <v>0</v>
      </c>
      <c r="J2355" s="428">
        <f t="shared" si="1550"/>
        <v>1671407.65</v>
      </c>
    </row>
    <row r="2356" spans="1:10" ht="24" thickBot="1" x14ac:dyDescent="0.35">
      <c r="A2356" s="277" t="s">
        <v>111</v>
      </c>
      <c r="B2356" s="924"/>
      <c r="C2356" s="301" t="s">
        <v>267</v>
      </c>
      <c r="D2356" s="278" t="s">
        <v>263</v>
      </c>
      <c r="E2356" s="392">
        <v>101.4935</v>
      </c>
      <c r="F2356" s="408">
        <f>IFERROR(E2356*'01 Prod Physique Boites'!H2335,"-")</f>
        <v>0</v>
      </c>
      <c r="G2356" s="409">
        <f>IFERROR(E2356*'01 Prod Physique Boites'!L2335,"-")</f>
        <v>1420909</v>
      </c>
      <c r="H2356" s="391">
        <v>160.44999999999999</v>
      </c>
      <c r="I2356" s="429">
        <f t="shared" si="1549"/>
        <v>0</v>
      </c>
      <c r="J2356" s="430">
        <f t="shared" si="1550"/>
        <v>2246300</v>
      </c>
    </row>
    <row r="2357" spans="1:10" ht="24" thickBot="1" x14ac:dyDescent="0.35">
      <c r="A2357" s="277" t="s">
        <v>111</v>
      </c>
      <c r="B2357" s="906" t="s">
        <v>52</v>
      </c>
      <c r="C2357" s="907"/>
      <c r="D2357" s="908"/>
      <c r="E2357" s="396"/>
      <c r="F2357" s="412">
        <f t="shared" ref="F2357" si="1551">SUM(F2349:F2356)</f>
        <v>0</v>
      </c>
      <c r="G2357" s="413">
        <f>SUM(G2349:G2356)</f>
        <v>15765391.329</v>
      </c>
      <c r="H2357" s="397"/>
      <c r="I2357" s="412">
        <f t="shared" ref="I2357" si="1552">SUM(I2349:I2356)</f>
        <v>0</v>
      </c>
      <c r="J2357" s="431">
        <f>SUM(J2349:J2356)</f>
        <v>24923340.299999993</v>
      </c>
    </row>
    <row r="2358" spans="1:10" ht="24" thickBot="1" x14ac:dyDescent="0.35">
      <c r="A2358" s="277" t="s">
        <v>111</v>
      </c>
      <c r="B2358" s="926" t="s">
        <v>25</v>
      </c>
      <c r="C2358" s="927"/>
      <c r="D2358" s="928"/>
      <c r="E2358" s="399"/>
      <c r="F2358" s="416">
        <f t="shared" ref="F2358" si="1553">+F2348+F2357</f>
        <v>1581467.5799999998</v>
      </c>
      <c r="G2358" s="417">
        <f>+G2348+G2357</f>
        <v>27784544.936999999</v>
      </c>
      <c r="H2358" s="400"/>
      <c r="I2358" s="416">
        <f t="shared" ref="I2358:J2358" si="1554">+I2348+I2357</f>
        <v>1905750</v>
      </c>
      <c r="J2358" s="434">
        <f t="shared" si="1554"/>
        <v>39407040.299999997</v>
      </c>
    </row>
    <row r="2359" spans="1:10" ht="24" thickBot="1" x14ac:dyDescent="0.35">
      <c r="A2359" s="277" t="s">
        <v>111</v>
      </c>
      <c r="B2359" s="900" t="s">
        <v>181</v>
      </c>
      <c r="C2359" s="901"/>
      <c r="D2359" s="902"/>
      <c r="E2359" s="401"/>
      <c r="F2359" s="418">
        <f t="shared" ref="F2359" si="1555">+F2343+F2358</f>
        <v>5357276.0567999994</v>
      </c>
      <c r="G2359" s="419">
        <f>+G2343+G2358</f>
        <v>79162397.5141</v>
      </c>
      <c r="H2359" s="402"/>
      <c r="I2359" s="418">
        <f t="shared" ref="I2359:J2359" si="1556">+I2343+I2358</f>
        <v>6422310</v>
      </c>
      <c r="J2359" s="435">
        <f t="shared" si="1556"/>
        <v>117995441.78</v>
      </c>
    </row>
    <row r="2360" spans="1:10" ht="23.4" x14ac:dyDescent="0.3">
      <c r="A2360" s="271" t="s">
        <v>109</v>
      </c>
      <c r="B2360" s="929" t="s">
        <v>26</v>
      </c>
      <c r="C2360" s="303" t="s">
        <v>334</v>
      </c>
      <c r="D2360" s="305" t="s">
        <v>192</v>
      </c>
      <c r="E2360" s="515">
        <v>13.1272</v>
      </c>
      <c r="F2360" s="408">
        <f>IFERROR(E2360*'01 Prod Physique Boites'!H2339,"-")</f>
        <v>0</v>
      </c>
      <c r="G2360" s="409">
        <f>IFERROR(E2360*'01 Prod Physique Boites'!L2339,"-")</f>
        <v>4229820.1295999996</v>
      </c>
      <c r="H2360" s="387">
        <v>20.76</v>
      </c>
      <c r="I2360" s="425">
        <f t="shared" ref="I2360:I2368" si="1557">IFERROR(H2360*(F2360/E2360),"-")</f>
        <v>0</v>
      </c>
      <c r="J2360" s="662">
        <f t="shared" ref="J2360:J2368" si="1558">IFERROR(H2360*(G2360/E2360),"-")</f>
        <v>6689245.6799999997</v>
      </c>
    </row>
    <row r="2361" spans="1:10" ht="23.4" x14ac:dyDescent="0.3">
      <c r="A2361" s="277" t="s">
        <v>109</v>
      </c>
      <c r="B2361" s="929"/>
      <c r="C2361" s="304" t="s">
        <v>199</v>
      </c>
      <c r="D2361" s="304" t="s">
        <v>115</v>
      </c>
      <c r="E2361" s="516">
        <v>14.608000000000001</v>
      </c>
      <c r="F2361" s="408">
        <f>IFERROR(E2361*'01 Prod Physique Boites'!H2340,"-")</f>
        <v>0</v>
      </c>
      <c r="G2361" s="409">
        <f>IFERROR(E2361*'01 Prod Physique Boites'!L2340,"-")</f>
        <v>0</v>
      </c>
      <c r="H2361" s="391">
        <v>24.93</v>
      </c>
      <c r="I2361" s="427">
        <f t="shared" si="1557"/>
        <v>0</v>
      </c>
      <c r="J2361" s="663">
        <f t="shared" si="1558"/>
        <v>0</v>
      </c>
    </row>
    <row r="2362" spans="1:10" ht="23.4" x14ac:dyDescent="0.3">
      <c r="A2362" s="277" t="s">
        <v>109</v>
      </c>
      <c r="B2362" s="929"/>
      <c r="C2362" s="305" t="s">
        <v>27</v>
      </c>
      <c r="D2362" s="305" t="s">
        <v>394</v>
      </c>
      <c r="E2362" s="512">
        <v>17.8202</v>
      </c>
      <c r="F2362" s="408">
        <f>IFERROR(E2362*'01 Prod Physique Boites'!H2341,"-")</f>
        <v>0</v>
      </c>
      <c r="G2362" s="409">
        <f>IFERROR(E2362*'01 Prod Physique Boites'!L2341,"-")</f>
        <v>354443.77799999999</v>
      </c>
      <c r="H2362" s="391">
        <v>21.22</v>
      </c>
      <c r="I2362" s="427">
        <f t="shared" si="1557"/>
        <v>0</v>
      </c>
      <c r="J2362" s="663">
        <f t="shared" si="1558"/>
        <v>422065.8</v>
      </c>
    </row>
    <row r="2363" spans="1:10" ht="23.4" x14ac:dyDescent="0.3">
      <c r="A2363" s="277" t="s">
        <v>109</v>
      </c>
      <c r="B2363" s="929"/>
      <c r="C2363" s="305" t="s">
        <v>27</v>
      </c>
      <c r="D2363" s="305" t="s">
        <v>259</v>
      </c>
      <c r="E2363" s="512">
        <v>17.8202</v>
      </c>
      <c r="F2363" s="408">
        <f>IFERROR(E2363*'01 Prod Physique Boites'!H2342,"-")</f>
        <v>0</v>
      </c>
      <c r="G2363" s="409">
        <f>IFERROR(E2363*'01 Prod Physique Boites'!L2342,"-")</f>
        <v>1346886.3563999999</v>
      </c>
      <c r="H2363" s="391">
        <v>24.93</v>
      </c>
      <c r="I2363" s="427">
        <f t="shared" si="1557"/>
        <v>0</v>
      </c>
      <c r="J2363" s="663">
        <f t="shared" si="1558"/>
        <v>1884259.26</v>
      </c>
    </row>
    <row r="2364" spans="1:10" ht="23.4" x14ac:dyDescent="0.3">
      <c r="A2364" s="277" t="s">
        <v>109</v>
      </c>
      <c r="B2364" s="929"/>
      <c r="C2364" s="305" t="s">
        <v>27</v>
      </c>
      <c r="D2364" s="305" t="s">
        <v>310</v>
      </c>
      <c r="E2364" s="512">
        <v>17.8202</v>
      </c>
      <c r="F2364" s="408">
        <f>IFERROR(E2364*'01 Prod Physique Boites'!H2343,"-")</f>
        <v>0</v>
      </c>
      <c r="G2364" s="409">
        <f>IFERROR(E2364*'01 Prod Physique Boites'!L2343,"-")</f>
        <v>708887.55599999998</v>
      </c>
      <c r="H2364" s="391">
        <v>24.93</v>
      </c>
      <c r="I2364" s="427">
        <f t="shared" si="1557"/>
        <v>0</v>
      </c>
      <c r="J2364" s="663">
        <f t="shared" si="1558"/>
        <v>991715.4</v>
      </c>
    </row>
    <row r="2365" spans="1:10" ht="23.4" x14ac:dyDescent="0.3">
      <c r="A2365" s="277"/>
      <c r="B2365" s="929"/>
      <c r="C2365" s="305" t="s">
        <v>393</v>
      </c>
      <c r="D2365" s="305" t="s">
        <v>192</v>
      </c>
      <c r="E2365" s="512">
        <v>17.8202</v>
      </c>
      <c r="F2365" s="408">
        <f>IFERROR(E2365*'01 Prod Physique Boites'!H2344,"-")</f>
        <v>0</v>
      </c>
      <c r="G2365" s="409">
        <f>IFERROR(E2365*'01 Prod Physique Boites'!L2344,"-")</f>
        <v>0</v>
      </c>
      <c r="H2365" s="393">
        <v>21.22</v>
      </c>
      <c r="I2365" s="427">
        <f t="shared" si="1557"/>
        <v>0</v>
      </c>
      <c r="J2365" s="664">
        <f t="shared" si="1558"/>
        <v>0</v>
      </c>
    </row>
    <row r="2366" spans="1:10" ht="23.4" x14ac:dyDescent="0.3">
      <c r="A2366" s="277"/>
      <c r="B2366" s="929"/>
      <c r="C2366" s="305" t="s">
        <v>325</v>
      </c>
      <c r="D2366" s="305" t="s">
        <v>101</v>
      </c>
      <c r="E2366" s="512">
        <v>14.608000000000001</v>
      </c>
      <c r="F2366" s="408">
        <f>IFERROR(E2366*'01 Prod Physique Boites'!H2345,"-")</f>
        <v>0</v>
      </c>
      <c r="G2366" s="409">
        <f>IFERROR(E2366*'01 Prod Physique Boites'!L2345,"-")</f>
        <v>116221.24800000001</v>
      </c>
      <c r="H2366" s="393">
        <v>24.93</v>
      </c>
      <c r="I2366" s="429">
        <f t="shared" si="1557"/>
        <v>0</v>
      </c>
      <c r="J2366" s="664">
        <f t="shared" si="1558"/>
        <v>198343.08</v>
      </c>
    </row>
    <row r="2367" spans="1:10" ht="23.4" x14ac:dyDescent="0.3">
      <c r="A2367" s="277"/>
      <c r="B2367" s="929"/>
      <c r="C2367" s="305" t="s">
        <v>325</v>
      </c>
      <c r="D2367" s="305" t="s">
        <v>394</v>
      </c>
      <c r="E2367" s="512">
        <v>14.608000000000001</v>
      </c>
      <c r="F2367" s="408">
        <f>IFERROR(E2367*'01 Prod Physique Boites'!H2346,"-")</f>
        <v>0</v>
      </c>
      <c r="G2367" s="409">
        <f>IFERROR(E2367*'01 Prod Physique Boites'!L2346,"-")</f>
        <v>10401801.696</v>
      </c>
      <c r="H2367" s="393">
        <v>21.22</v>
      </c>
      <c r="I2367" s="429">
        <f t="shared" si="1557"/>
        <v>0</v>
      </c>
      <c r="J2367" s="664">
        <f t="shared" si="1558"/>
        <v>15109955.639999999</v>
      </c>
    </row>
    <row r="2368" spans="1:10" ht="24" thickBot="1" x14ac:dyDescent="0.35">
      <c r="A2368" s="277" t="s">
        <v>109</v>
      </c>
      <c r="B2368" s="929"/>
      <c r="C2368" s="306" t="s">
        <v>326</v>
      </c>
      <c r="D2368" s="305" t="s">
        <v>324</v>
      </c>
      <c r="E2368" s="512">
        <v>12.6997</v>
      </c>
      <c r="F2368" s="408">
        <f>IFERROR(E2368*'01 Prod Physique Boites'!H2347,"-")</f>
        <v>202077.62640000001</v>
      </c>
      <c r="G2368" s="409">
        <f>IFERROR(E2368*'01 Prod Physique Boites'!L2347,"-")</f>
        <v>404155.25280000002</v>
      </c>
      <c r="H2368" s="393">
        <v>13.25</v>
      </c>
      <c r="I2368" s="429">
        <f t="shared" si="1557"/>
        <v>210834</v>
      </c>
      <c r="J2368" s="664">
        <f t="shared" si="1558"/>
        <v>421668</v>
      </c>
    </row>
    <row r="2369" spans="1:10" ht="24" thickBot="1" x14ac:dyDescent="0.35">
      <c r="A2369" s="277" t="s">
        <v>109</v>
      </c>
      <c r="B2369" s="930"/>
      <c r="C2369" s="307"/>
      <c r="D2369" s="308" t="s">
        <v>55</v>
      </c>
      <c r="E2369" s="396"/>
      <c r="F2369" s="412">
        <f>SUM(F2360:F2368)</f>
        <v>202077.62640000001</v>
      </c>
      <c r="G2369" s="413">
        <f t="shared" ref="G2369" si="1559">SUM(G2360:G2368)</f>
        <v>17562216.016799998</v>
      </c>
      <c r="H2369" s="397"/>
      <c r="I2369" s="412">
        <f t="shared" ref="I2369" si="1560">SUM(I2360:I2368)</f>
        <v>210834</v>
      </c>
      <c r="J2369" s="431">
        <f>SUM(J2360:J2368)</f>
        <v>25717252.859999999</v>
      </c>
    </row>
    <row r="2370" spans="1:10" ht="23.4" x14ac:dyDescent="0.3">
      <c r="A2370" s="277" t="s">
        <v>109</v>
      </c>
      <c r="B2370" s="931" t="s">
        <v>28</v>
      </c>
      <c r="C2370" s="305" t="s">
        <v>27</v>
      </c>
      <c r="D2370" s="303" t="s">
        <v>310</v>
      </c>
      <c r="E2370" s="515">
        <v>17.8202</v>
      </c>
      <c r="F2370" s="408">
        <f>IFERROR(E2370*'01 Prod Physique Boites'!H2349,"-")</f>
        <v>1630441.3788000001</v>
      </c>
      <c r="G2370" s="409">
        <f>IFERROR(E2370*'01 Prod Physique Boites'!L2349,"-")</f>
        <v>4182436.5803999999</v>
      </c>
      <c r="H2370" s="387">
        <v>24.93</v>
      </c>
      <c r="I2370" s="425">
        <f>IFERROR(H2370*(F2370/E2370),"-")</f>
        <v>2280945.42</v>
      </c>
      <c r="J2370" s="662">
        <f t="shared" ref="J2370:J2372" si="1561">IFERROR(H2370*(G2370/E2370),"-")</f>
        <v>5851120.8600000003</v>
      </c>
    </row>
    <row r="2371" spans="1:10" ht="23.4" x14ac:dyDescent="0.3">
      <c r="A2371" s="277" t="s">
        <v>109</v>
      </c>
      <c r="B2371" s="929"/>
      <c r="C2371" s="305" t="s">
        <v>27</v>
      </c>
      <c r="D2371" s="305" t="s">
        <v>394</v>
      </c>
      <c r="E2371" s="512">
        <v>17.8202</v>
      </c>
      <c r="F2371" s="408">
        <f>IFERROR(E2371*'01 Prod Physique Boites'!H2350,"-")</f>
        <v>0</v>
      </c>
      <c r="G2371" s="409">
        <f>IFERROR(E2371*'01 Prod Physique Boites'!L2350,"-")</f>
        <v>6876209.2932000002</v>
      </c>
      <c r="H2371" s="391">
        <v>21.22</v>
      </c>
      <c r="I2371" s="427">
        <f>IFERROR(H2371*(F2371/E2371),"-")</f>
        <v>0</v>
      </c>
      <c r="J2371" s="663">
        <f t="shared" si="1561"/>
        <v>8188076.5199999996</v>
      </c>
    </row>
    <row r="2372" spans="1:10" ht="24" thickBot="1" x14ac:dyDescent="0.35">
      <c r="A2372" s="277" t="s">
        <v>109</v>
      </c>
      <c r="B2372" s="929"/>
      <c r="C2372" s="305" t="s">
        <v>27</v>
      </c>
      <c r="D2372" s="306" t="s">
        <v>259</v>
      </c>
      <c r="E2372" s="512">
        <v>17.8202</v>
      </c>
      <c r="F2372" s="408">
        <f>IFERROR(E2372*'01 Prod Physique Boites'!H2351,"-")</f>
        <v>70888.755600000004</v>
      </c>
      <c r="G2372" s="409">
        <f>IFERROR(E2372*'01 Prod Physique Boites'!L2351,"-")</f>
        <v>8152206.8940000003</v>
      </c>
      <c r="H2372" s="391">
        <v>24.93</v>
      </c>
      <c r="I2372" s="429">
        <f>IFERROR(H2372*(F2372/E2372),"-")</f>
        <v>99171.540000000008</v>
      </c>
      <c r="J2372" s="664">
        <f t="shared" si="1561"/>
        <v>11404727.1</v>
      </c>
    </row>
    <row r="2373" spans="1:10" ht="24" thickBot="1" x14ac:dyDescent="0.35">
      <c r="A2373" s="277" t="s">
        <v>109</v>
      </c>
      <c r="B2373" s="929"/>
      <c r="C2373" s="310"/>
      <c r="D2373" s="311" t="s">
        <v>55</v>
      </c>
      <c r="E2373" s="403"/>
      <c r="F2373" s="420">
        <f t="shared" ref="F2373:G2373" si="1562">SUM(F2370:F2372)</f>
        <v>1701330.1344000001</v>
      </c>
      <c r="G2373" s="421">
        <f t="shared" si="1562"/>
        <v>19210852.7676</v>
      </c>
      <c r="H2373" s="404"/>
      <c r="I2373" s="420">
        <f t="shared" ref="I2373:J2373" si="1563">SUM(I2370:I2372)</f>
        <v>2380116.96</v>
      </c>
      <c r="J2373" s="436">
        <f t="shared" si="1563"/>
        <v>25443924.479999997</v>
      </c>
    </row>
    <row r="2374" spans="1:10" ht="24" thickBot="1" x14ac:dyDescent="0.35">
      <c r="A2374" s="894" t="s">
        <v>109</v>
      </c>
      <c r="B2374" s="932" t="s">
        <v>171</v>
      </c>
      <c r="C2374" s="933"/>
      <c r="D2374" s="934"/>
      <c r="E2374" s="405"/>
      <c r="F2374" s="422">
        <f t="shared" ref="F2374:G2374" si="1564">+F2369+F2373</f>
        <v>1903407.7608</v>
      </c>
      <c r="G2374" s="423">
        <f t="shared" si="1564"/>
        <v>36773068.784400001</v>
      </c>
      <c r="H2374" s="406"/>
      <c r="I2374" s="422">
        <f t="shared" ref="I2374:J2374" si="1565">+I2369+I2373</f>
        <v>2590950.96</v>
      </c>
      <c r="J2374" s="437">
        <f t="shared" si="1565"/>
        <v>51161177.339999996</v>
      </c>
    </row>
    <row r="2375" spans="1:10" ht="23.4" x14ac:dyDescent="0.3">
      <c r="A2375" s="277" t="s">
        <v>109</v>
      </c>
      <c r="B2375" s="929" t="s">
        <v>30</v>
      </c>
      <c r="C2375" s="309" t="s">
        <v>375</v>
      </c>
      <c r="D2375" s="303" t="s">
        <v>193</v>
      </c>
      <c r="E2375" s="515">
        <v>15.2788</v>
      </c>
      <c r="F2375" s="408">
        <f>IFERROR(E2375*'01 Prod Physique Boites'!H2354,"-")</f>
        <v>0</v>
      </c>
      <c r="G2375" s="409">
        <f>IFERROR(E2375*'01 Prod Physique Boites'!L2354,"-")</f>
        <v>0</v>
      </c>
      <c r="H2375" s="387">
        <v>23.65</v>
      </c>
      <c r="I2375" s="425">
        <f>IFERROR(H2375*(F2375/E2375),"-")</f>
        <v>0</v>
      </c>
      <c r="J2375" s="426">
        <f t="shared" ref="J2375:J2377" si="1566">IFERROR(H2375*(G2375/E2375),"-")</f>
        <v>0</v>
      </c>
    </row>
    <row r="2376" spans="1:10" ht="23.4" x14ac:dyDescent="0.3">
      <c r="A2376" s="277" t="s">
        <v>109</v>
      </c>
      <c r="B2376" s="929"/>
      <c r="C2376" s="309" t="s">
        <v>368</v>
      </c>
      <c r="D2376" s="309" t="s">
        <v>324</v>
      </c>
      <c r="E2376" s="516">
        <v>22.6356</v>
      </c>
      <c r="F2376" s="408">
        <f>IFERROR(E2376*'01 Prod Physique Boites'!H2355,"-")</f>
        <v>0</v>
      </c>
      <c r="G2376" s="409">
        <f>IFERROR(E2376*'01 Prod Physique Boites'!L2355,"-")</f>
        <v>0</v>
      </c>
      <c r="H2376" s="391">
        <v>34.26</v>
      </c>
      <c r="I2376" s="427">
        <f>IFERROR(H2376*(F2376/E2376),"-")</f>
        <v>0</v>
      </c>
      <c r="J2376" s="428">
        <f t="shared" si="1566"/>
        <v>0</v>
      </c>
    </row>
    <row r="2377" spans="1:10" ht="24" thickBot="1" x14ac:dyDescent="0.35">
      <c r="A2377" s="277" t="s">
        <v>109</v>
      </c>
      <c r="B2377" s="929"/>
      <c r="C2377" s="306" t="s">
        <v>327</v>
      </c>
      <c r="D2377" s="306"/>
      <c r="E2377" s="512">
        <v>25.751300000000001</v>
      </c>
      <c r="F2377" s="408">
        <f>IFERROR(E2377*'01 Prod Physique Boites'!H2356,"-")</f>
        <v>1253367.2736</v>
      </c>
      <c r="G2377" s="409">
        <f>IFERROR(E2377*'01 Prod Physique Boites'!L2356,"-")</f>
        <v>3904721.1216000002</v>
      </c>
      <c r="H2377" s="393">
        <v>37.89</v>
      </c>
      <c r="I2377" s="429">
        <f>IFERROR(H2377*(F2377/E2377),"-")</f>
        <v>1844182.08</v>
      </c>
      <c r="J2377" s="430">
        <f t="shared" si="1566"/>
        <v>5745336.4800000004</v>
      </c>
    </row>
    <row r="2378" spans="1:10" ht="24" thickBot="1" x14ac:dyDescent="0.35">
      <c r="A2378" s="277" t="s">
        <v>109</v>
      </c>
      <c r="B2378" s="929"/>
      <c r="C2378" s="307"/>
      <c r="D2378" s="308" t="s">
        <v>53</v>
      </c>
      <c r="E2378" s="396"/>
      <c r="F2378" s="412">
        <f t="shared" ref="F2378:G2378" si="1567">SUM(F2375:F2377)</f>
        <v>1253367.2736</v>
      </c>
      <c r="G2378" s="413">
        <f t="shared" si="1567"/>
        <v>3904721.1216000002</v>
      </c>
      <c r="H2378" s="397"/>
      <c r="I2378" s="412">
        <f t="shared" ref="I2378" si="1568">SUM(I2375:I2377)</f>
        <v>1844182.08</v>
      </c>
      <c r="J2378" s="431">
        <f>SUM(J2375:J2377)</f>
        <v>5745336.4800000004</v>
      </c>
    </row>
    <row r="2379" spans="1:10" ht="23.4" x14ac:dyDescent="0.3">
      <c r="A2379" s="277" t="s">
        <v>109</v>
      </c>
      <c r="B2379" s="929"/>
      <c r="C2379" s="303" t="s">
        <v>352</v>
      </c>
      <c r="D2379" s="303"/>
      <c r="E2379" s="515">
        <v>22.094999999999999</v>
      </c>
      <c r="F2379" s="408">
        <f>IFERROR(E2379*'01 Prod Physique Boites'!H2358,"-")</f>
        <v>0</v>
      </c>
      <c r="G2379" s="409">
        <f>IFERROR(E2379*'01 Prod Physique Boites'!L2358,"-")</f>
        <v>0</v>
      </c>
      <c r="H2379" s="387">
        <v>37.11</v>
      </c>
      <c r="I2379" s="425">
        <f>IFERROR(H2379*(F2379/E2379),"-")</f>
        <v>0</v>
      </c>
      <c r="J2379" s="426">
        <f t="shared" ref="J2379:J2381" si="1569">IFERROR(H2379*(G2379/E2379),"-")</f>
        <v>0</v>
      </c>
    </row>
    <row r="2380" spans="1:10" ht="23.4" x14ac:dyDescent="0.3">
      <c r="A2380" s="277" t="s">
        <v>109</v>
      </c>
      <c r="B2380" s="929"/>
      <c r="C2380" s="309" t="s">
        <v>397</v>
      </c>
      <c r="D2380" s="309" t="s">
        <v>259</v>
      </c>
      <c r="E2380" s="516">
        <v>27.917000000000002</v>
      </c>
      <c r="F2380" s="408">
        <f>IFERROR(E2380*'01 Prod Physique Boites'!H2359,"-")</f>
        <v>0</v>
      </c>
      <c r="G2380" s="409">
        <f>IFERROR(E2380*'01 Prod Physique Boites'!L2359,"-")</f>
        <v>13430980.368000001</v>
      </c>
      <c r="H2380" s="391">
        <v>39</v>
      </c>
      <c r="I2380" s="427">
        <f>IFERROR(H2380*(F2380/E2380),"-")</f>
        <v>0</v>
      </c>
      <c r="J2380" s="428">
        <f t="shared" si="1569"/>
        <v>18763056</v>
      </c>
    </row>
    <row r="2381" spans="1:10" ht="24" thickBot="1" x14ac:dyDescent="0.35">
      <c r="A2381" s="277" t="s">
        <v>109</v>
      </c>
      <c r="B2381" s="929"/>
      <c r="C2381" s="306" t="s">
        <v>146</v>
      </c>
      <c r="D2381" s="306"/>
      <c r="E2381" s="512">
        <v>25.4041</v>
      </c>
      <c r="F2381" s="408">
        <f>IFERROR(E2381*'01 Prod Physique Boites'!H2360,"-")</f>
        <v>0</v>
      </c>
      <c r="G2381" s="409">
        <f>IFERROR(E2381*'01 Prod Physique Boites'!L2360,"-")</f>
        <v>0</v>
      </c>
      <c r="H2381" s="393">
        <v>28.21</v>
      </c>
      <c r="I2381" s="429">
        <f>IFERROR(H2381*(F2381/E2381),"-")</f>
        <v>0</v>
      </c>
      <c r="J2381" s="430">
        <f t="shared" si="1569"/>
        <v>0</v>
      </c>
    </row>
    <row r="2382" spans="1:10" ht="24" thickBot="1" x14ac:dyDescent="0.35">
      <c r="A2382" s="277" t="s">
        <v>109</v>
      </c>
      <c r="B2382" s="929"/>
      <c r="C2382" s="310"/>
      <c r="D2382" s="311" t="s">
        <v>54</v>
      </c>
      <c r="E2382" s="403"/>
      <c r="F2382" s="420">
        <f t="shared" ref="F2382:G2382" si="1570">SUM(F2379:F2381)</f>
        <v>0</v>
      </c>
      <c r="G2382" s="421">
        <f t="shared" si="1570"/>
        <v>13430980.368000001</v>
      </c>
      <c r="H2382" s="404"/>
      <c r="I2382" s="420">
        <f t="shared" ref="I2382" si="1571">SUM(I2379:I2381)</f>
        <v>0</v>
      </c>
      <c r="J2382" s="436">
        <f>SUM(J2379:J2381)</f>
        <v>18763056</v>
      </c>
    </row>
    <row r="2383" spans="1:10" ht="24" thickBot="1" x14ac:dyDescent="0.35">
      <c r="A2383" s="277" t="s">
        <v>109</v>
      </c>
      <c r="B2383" s="932" t="s">
        <v>172</v>
      </c>
      <c r="C2383" s="933"/>
      <c r="D2383" s="934"/>
      <c r="E2383" s="405"/>
      <c r="F2383" s="422">
        <f t="shared" ref="F2383:G2383" si="1572">+F2378+F2382</f>
        <v>1253367.2736</v>
      </c>
      <c r="G2383" s="423">
        <f t="shared" si="1572"/>
        <v>17335701.489600003</v>
      </c>
      <c r="H2383" s="406"/>
      <c r="I2383" s="422">
        <f t="shared" ref="I2383:J2383" si="1573">+I2378+I2382</f>
        <v>1844182.08</v>
      </c>
      <c r="J2383" s="437">
        <f t="shared" si="1573"/>
        <v>24508392.48</v>
      </c>
    </row>
    <row r="2384" spans="1:10" ht="24" thickBot="1" x14ac:dyDescent="0.35">
      <c r="A2384" s="277" t="s">
        <v>109</v>
      </c>
      <c r="B2384" s="617" t="s">
        <v>32</v>
      </c>
      <c r="C2384" s="888"/>
      <c r="D2384" s="316"/>
      <c r="E2384" s="517">
        <v>12.2659</v>
      </c>
      <c r="F2384" s="414">
        <f>IFERROR(E2384*'01 Prod Physique Boites'!H2363,"-")</f>
        <v>0</v>
      </c>
      <c r="G2384" s="415">
        <f>IFERROR(E2384*'01 Prod Physique Boites'!L2363,"-")</f>
        <v>0</v>
      </c>
      <c r="H2384" s="398"/>
      <c r="I2384" s="432">
        <f>IFERROR(H2384*(F2384/E2384),"-")</f>
        <v>0</v>
      </c>
      <c r="J2384" s="433">
        <f>IFERROR(H2384*(G2384/E2384),"-")</f>
        <v>0</v>
      </c>
    </row>
    <row r="2385" spans="1:10" ht="24" thickBot="1" x14ac:dyDescent="0.35">
      <c r="A2385" s="277" t="s">
        <v>109</v>
      </c>
      <c r="B2385" s="926" t="s">
        <v>21</v>
      </c>
      <c r="C2385" s="927"/>
      <c r="D2385" s="928"/>
      <c r="E2385" s="399"/>
      <c r="F2385" s="416">
        <f t="shared" ref="F2385" si="1574">+F2374+F2383+F2384</f>
        <v>3156775.0344000002</v>
      </c>
      <c r="G2385" s="417">
        <f>+G2374+G2383+G2384</f>
        <v>54108770.274000004</v>
      </c>
      <c r="H2385" s="400"/>
      <c r="I2385" s="416">
        <f t="shared" ref="I2385:J2385" si="1575">+I2374+I2383+I2384</f>
        <v>4435133.04</v>
      </c>
      <c r="J2385" s="434">
        <f t="shared" si="1575"/>
        <v>75669569.819999993</v>
      </c>
    </row>
    <row r="2386" spans="1:10" ht="24" thickBot="1" x14ac:dyDescent="0.35">
      <c r="A2386" s="277" t="s">
        <v>109</v>
      </c>
      <c r="B2386" s="900" t="s">
        <v>180</v>
      </c>
      <c r="C2386" s="901"/>
      <c r="D2386" s="902"/>
      <c r="E2386" s="401"/>
      <c r="F2386" s="418">
        <f t="shared" ref="F2386:G2386" si="1576">+F2385</f>
        <v>3156775.0344000002</v>
      </c>
      <c r="G2386" s="419">
        <f t="shared" si="1576"/>
        <v>54108770.274000004</v>
      </c>
      <c r="H2386" s="402"/>
      <c r="I2386" s="418">
        <f t="shared" ref="I2386:J2386" si="1577">+I2385</f>
        <v>4435133.04</v>
      </c>
      <c r="J2386" s="435">
        <f t="shared" si="1577"/>
        <v>75669569.819999993</v>
      </c>
    </row>
    <row r="2387" spans="1:10" ht="23.4" x14ac:dyDescent="0.3">
      <c r="A2387" s="271" t="s">
        <v>110</v>
      </c>
      <c r="B2387" s="903" t="s">
        <v>33</v>
      </c>
      <c r="C2387" s="317" t="s">
        <v>121</v>
      </c>
      <c r="D2387" s="317"/>
      <c r="E2387" s="513">
        <v>254.89750000000001</v>
      </c>
      <c r="F2387" s="408">
        <f>IFERROR(E2387*'01 Prod Physique Boites'!H2366,"-")</f>
        <v>0</v>
      </c>
      <c r="G2387" s="409">
        <f>IFERROR(E2387*'01 Prod Physique Boites'!L2366,"-")</f>
        <v>0</v>
      </c>
      <c r="H2387" s="387">
        <v>445.38</v>
      </c>
      <c r="I2387" s="425">
        <f>IFERROR(H2387*(F2387/E2387),"-")</f>
        <v>0</v>
      </c>
      <c r="J2387" s="426">
        <f t="shared" ref="J2387:J2389" si="1578">IFERROR(H2387*(G2387/E2387),"-")</f>
        <v>0</v>
      </c>
    </row>
    <row r="2388" spans="1:10" ht="23.4" x14ac:dyDescent="0.3">
      <c r="A2388" s="277" t="s">
        <v>110</v>
      </c>
      <c r="B2388" s="904"/>
      <c r="C2388" s="318" t="s">
        <v>274</v>
      </c>
      <c r="D2388" s="318"/>
      <c r="E2388" s="514">
        <v>246.51390000000001</v>
      </c>
      <c r="F2388" s="408">
        <f>IFERROR(E2388*'01 Prod Physique Boites'!H2367,"-")</f>
        <v>0</v>
      </c>
      <c r="G2388" s="409">
        <f>IFERROR(E2388*'01 Prod Physique Boites'!L2367,"-")</f>
        <v>2287648.9920000001</v>
      </c>
      <c r="H2388" s="391">
        <v>430.02</v>
      </c>
      <c r="I2388" s="427">
        <f>IFERROR(H2388*(F2388/E2388),"-")</f>
        <v>0</v>
      </c>
      <c r="J2388" s="428">
        <f t="shared" si="1578"/>
        <v>3990585.5999999996</v>
      </c>
    </row>
    <row r="2389" spans="1:10" ht="24" thickBot="1" x14ac:dyDescent="0.35">
      <c r="A2389" s="277" t="s">
        <v>110</v>
      </c>
      <c r="B2389" s="905"/>
      <c r="C2389" s="319" t="s">
        <v>34</v>
      </c>
      <c r="D2389" s="319"/>
      <c r="E2389" s="511">
        <v>225.7713</v>
      </c>
      <c r="F2389" s="408">
        <f>IFERROR(E2389*'01 Prod Physique Boites'!H2368,"-")</f>
        <v>0</v>
      </c>
      <c r="G2389" s="409">
        <f>IFERROR(E2389*'01 Prod Physique Boites'!L2368,"-")</f>
        <v>0</v>
      </c>
      <c r="H2389" s="393"/>
      <c r="I2389" s="429">
        <f>IFERROR(H2389*(F2389/E2389),"-")</f>
        <v>0</v>
      </c>
      <c r="J2389" s="430">
        <f t="shared" si="1578"/>
        <v>0</v>
      </c>
    </row>
    <row r="2390" spans="1:10" ht="24" thickBot="1" x14ac:dyDescent="0.35">
      <c r="A2390" s="277" t="s">
        <v>110</v>
      </c>
      <c r="B2390" s="906" t="s">
        <v>35</v>
      </c>
      <c r="C2390" s="907"/>
      <c r="D2390" s="908"/>
      <c r="E2390" s="396"/>
      <c r="F2390" s="412">
        <f t="shared" ref="F2390:G2390" si="1579">SUM(F2387:F2389)</f>
        <v>0</v>
      </c>
      <c r="G2390" s="413">
        <f t="shared" si="1579"/>
        <v>2287648.9920000001</v>
      </c>
      <c r="H2390" s="397"/>
      <c r="I2390" s="412">
        <f t="shared" ref="I2390:J2390" si="1580">SUM(I2387:I2389)</f>
        <v>0</v>
      </c>
      <c r="J2390" s="431">
        <f t="shared" si="1580"/>
        <v>3990585.5999999996</v>
      </c>
    </row>
    <row r="2391" spans="1:10" ht="23.4" x14ac:dyDescent="0.3">
      <c r="A2391" s="277" t="s">
        <v>110</v>
      </c>
      <c r="B2391" s="903" t="s">
        <v>36</v>
      </c>
      <c r="C2391" s="317" t="s">
        <v>121</v>
      </c>
      <c r="D2391" s="317"/>
      <c r="E2391" s="513">
        <v>254.89750000000001</v>
      </c>
      <c r="F2391" s="408">
        <f>IFERROR(E2391*'01 Prod Physique Boites'!H2370,"-")</f>
        <v>0</v>
      </c>
      <c r="G2391" s="409">
        <f>IFERROR(E2391*'01 Prod Physique Boites'!L2370,"-")</f>
        <v>0</v>
      </c>
      <c r="H2391" s="387">
        <v>445.38</v>
      </c>
      <c r="I2391" s="425">
        <f>IFERROR(H2391*(F2391/E2391),"-")</f>
        <v>0</v>
      </c>
      <c r="J2391" s="426">
        <f t="shared" ref="J2391:J2394" si="1581">IFERROR(H2391*(G2391/E2391),"-")</f>
        <v>0</v>
      </c>
    </row>
    <row r="2392" spans="1:10" ht="23.4" x14ac:dyDescent="0.3">
      <c r="A2392" s="277" t="s">
        <v>110</v>
      </c>
      <c r="B2392" s="904"/>
      <c r="C2392" s="318" t="s">
        <v>274</v>
      </c>
      <c r="D2392" s="318"/>
      <c r="E2392" s="514">
        <v>246.51390000000001</v>
      </c>
      <c r="F2392" s="408">
        <f>IFERROR(E2392*'01 Prod Physique Boites'!H2371,"-")</f>
        <v>0</v>
      </c>
      <c r="G2392" s="409">
        <f>IFERROR(E2392*'01 Prod Physique Boites'!L2371,"-")</f>
        <v>16383806.821800001</v>
      </c>
      <c r="H2392" s="391">
        <v>430.02</v>
      </c>
      <c r="I2392" s="427">
        <f>IFERROR(H2392*(F2392/E2392),"-")</f>
        <v>0</v>
      </c>
      <c r="J2392" s="428">
        <f t="shared" si="1581"/>
        <v>28579989.239999998</v>
      </c>
    </row>
    <row r="2393" spans="1:10" ht="23.4" x14ac:dyDescent="0.3">
      <c r="A2393" s="277" t="s">
        <v>110</v>
      </c>
      <c r="B2393" s="904"/>
      <c r="C2393" s="318" t="s">
        <v>201</v>
      </c>
      <c r="D2393" s="318" t="s">
        <v>200</v>
      </c>
      <c r="E2393" s="514">
        <v>254.89750000000001</v>
      </c>
      <c r="F2393" s="408">
        <f>IFERROR(E2393*'01 Prod Physique Boites'!H2372,"-")</f>
        <v>0</v>
      </c>
      <c r="G2393" s="409">
        <f>IFERROR(E2393*'01 Prod Physique Boites'!L2372,"-")</f>
        <v>0</v>
      </c>
      <c r="H2393" s="391"/>
      <c r="I2393" s="427">
        <f>IFERROR(H2393*(F2393/E2393),"-")</f>
        <v>0</v>
      </c>
      <c r="J2393" s="428">
        <f t="shared" si="1581"/>
        <v>0</v>
      </c>
    </row>
    <row r="2394" spans="1:10" ht="24" thickBot="1" x14ac:dyDescent="0.35">
      <c r="A2394" s="277" t="s">
        <v>110</v>
      </c>
      <c r="B2394" s="905"/>
      <c r="C2394" s="319" t="s">
        <v>37</v>
      </c>
      <c r="D2394" s="319"/>
      <c r="E2394" s="511">
        <v>229.99359999999999</v>
      </c>
      <c r="F2394" s="408">
        <f>IFERROR(E2394*'01 Prod Physique Boites'!H2373,"-")</f>
        <v>0</v>
      </c>
      <c r="G2394" s="409">
        <f>IFERROR(E2394*'01 Prod Physique Boites'!L2373,"-")</f>
        <v>0</v>
      </c>
      <c r="H2394" s="393"/>
      <c r="I2394" s="429">
        <f>IFERROR(H2394*(F2394/E2394),"-")</f>
        <v>0</v>
      </c>
      <c r="J2394" s="430">
        <f t="shared" si="1581"/>
        <v>0</v>
      </c>
    </row>
    <row r="2395" spans="1:10" ht="24" thickBot="1" x14ac:dyDescent="0.35">
      <c r="A2395" s="277" t="s">
        <v>110</v>
      </c>
      <c r="B2395" s="906" t="s">
        <v>38</v>
      </c>
      <c r="C2395" s="907"/>
      <c r="D2395" s="908"/>
      <c r="E2395" s="396"/>
      <c r="F2395" s="412">
        <f t="shared" ref="F2395:G2395" si="1582">SUM(F2391:F2394)</f>
        <v>0</v>
      </c>
      <c r="G2395" s="413">
        <f t="shared" si="1582"/>
        <v>16383806.821800001</v>
      </c>
      <c r="H2395" s="397"/>
      <c r="I2395" s="412">
        <f>SUM(I2391:I2394)</f>
        <v>0</v>
      </c>
      <c r="J2395" s="431">
        <f>SUM(J2391:J2394)</f>
        <v>28579989.239999998</v>
      </c>
    </row>
    <row r="2396" spans="1:10" ht="23.4" x14ac:dyDescent="0.3">
      <c r="A2396" s="277" t="s">
        <v>110</v>
      </c>
      <c r="B2396" s="903" t="s">
        <v>39</v>
      </c>
      <c r="C2396" s="320" t="s">
        <v>124</v>
      </c>
      <c r="D2396" s="320"/>
      <c r="E2396" s="513">
        <v>195.2808</v>
      </c>
      <c r="F2396" s="408">
        <f>IFERROR(E2396*'01 Prod Physique Boites'!H2375,"-")</f>
        <v>0</v>
      </c>
      <c r="G2396" s="409">
        <f>IFERROR(E2396*'01 Prod Physique Boites'!L2375,"-")</f>
        <v>0</v>
      </c>
      <c r="H2396" s="387"/>
      <c r="I2396" s="425">
        <f>IFERROR(H2396*(F2396/E2396),"-")</f>
        <v>0</v>
      </c>
      <c r="J2396" s="426">
        <f t="shared" ref="J2396:J2397" si="1583">IFERROR(H2396*(G2396/E2396),"-")</f>
        <v>0</v>
      </c>
    </row>
    <row r="2397" spans="1:10" ht="24" thickBot="1" x14ac:dyDescent="0.35">
      <c r="A2397" s="277" t="s">
        <v>110</v>
      </c>
      <c r="B2397" s="905"/>
      <c r="C2397" s="290" t="s">
        <v>140</v>
      </c>
      <c r="D2397" s="290"/>
      <c r="E2397" s="511">
        <v>189.91890000000001</v>
      </c>
      <c r="F2397" s="408">
        <f>IFERROR(E2397*'01 Prod Physique Boites'!H2376,"-")</f>
        <v>1671286.32</v>
      </c>
      <c r="G2397" s="409">
        <f>IFERROR(E2397*'01 Prod Physique Boites'!L2376,"-")</f>
        <v>5567282.6346000005</v>
      </c>
      <c r="H2397" s="393">
        <v>320.35000000000002</v>
      </c>
      <c r="I2397" s="429">
        <f>IFERROR(H2397*(F2397/E2397),"-")</f>
        <v>2819080</v>
      </c>
      <c r="J2397" s="430">
        <f t="shared" si="1583"/>
        <v>9390739.9000000004</v>
      </c>
    </row>
    <row r="2398" spans="1:10" ht="24" thickBot="1" x14ac:dyDescent="0.35">
      <c r="A2398" s="894" t="s">
        <v>110</v>
      </c>
      <c r="B2398" s="906" t="s">
        <v>40</v>
      </c>
      <c r="C2398" s="907"/>
      <c r="D2398" s="908"/>
      <c r="E2398" s="396"/>
      <c r="F2398" s="412">
        <f>SUM(F2396:F2397)</f>
        <v>1671286.32</v>
      </c>
      <c r="G2398" s="413">
        <f t="shared" ref="G2398" si="1584">SUM(G2396:G2397)</f>
        <v>5567282.6346000005</v>
      </c>
      <c r="H2398" s="397"/>
      <c r="I2398" s="412">
        <f t="shared" ref="I2398:J2398" si="1585">SUM(I2396:I2397)</f>
        <v>2819080</v>
      </c>
      <c r="J2398" s="431">
        <f t="shared" si="1585"/>
        <v>9390739.9000000004</v>
      </c>
    </row>
    <row r="2399" spans="1:10" ht="23.4" x14ac:dyDescent="0.3">
      <c r="A2399" s="277" t="s">
        <v>110</v>
      </c>
      <c r="B2399" s="903" t="s">
        <v>41</v>
      </c>
      <c r="C2399" s="272" t="s">
        <v>346</v>
      </c>
      <c r="D2399" s="272" t="s">
        <v>263</v>
      </c>
      <c r="E2399" s="515">
        <v>37.248699999999999</v>
      </c>
      <c r="F2399" s="408">
        <f>IFERROR(E2399*'01 Prod Physique Boites'!H2378,"-")</f>
        <v>1774528.068</v>
      </c>
      <c r="G2399" s="409">
        <f>IFERROR(E2399*'01 Prod Physique Boites'!L2378,"-")</f>
        <v>18967783.013999999</v>
      </c>
      <c r="H2399" s="387">
        <v>71.44</v>
      </c>
      <c r="I2399" s="425">
        <f>IFERROR(H2399*(F2399/E2399),"-")</f>
        <v>3403401.6</v>
      </c>
      <c r="J2399" s="426">
        <f>IFERROR(H2399*(G2399/E2399),"-")</f>
        <v>36378676.799999997</v>
      </c>
    </row>
    <row r="2400" spans="1:10" ht="23.4" x14ac:dyDescent="0.3">
      <c r="A2400" s="277" t="s">
        <v>110</v>
      </c>
      <c r="B2400" s="904"/>
      <c r="C2400" s="272" t="s">
        <v>165</v>
      </c>
      <c r="D2400" s="278"/>
      <c r="E2400" s="515">
        <v>37.248699999999999</v>
      </c>
      <c r="F2400" s="408">
        <f>IFERROR(E2400*'01 Prod Physique Boites'!H2379,"-")</f>
        <v>0</v>
      </c>
      <c r="G2400" s="409">
        <f>IFERROR(E2400*'01 Prod Physique Boites'!L2379,"-")</f>
        <v>0</v>
      </c>
      <c r="H2400" s="391"/>
      <c r="I2400" s="427">
        <f>IFERROR(H2400*(F2400/E2400),"-")</f>
        <v>0</v>
      </c>
      <c r="J2400" s="428">
        <f t="shared" ref="J2400:J2403" si="1586">IFERROR(H2400*(G2400/E2400),"-")</f>
        <v>0</v>
      </c>
    </row>
    <row r="2401" spans="1:10" ht="23.4" x14ac:dyDescent="0.3">
      <c r="A2401" s="277" t="s">
        <v>110</v>
      </c>
      <c r="B2401" s="904"/>
      <c r="C2401" s="278" t="s">
        <v>423</v>
      </c>
      <c r="D2401" s="272" t="s">
        <v>263</v>
      </c>
      <c r="E2401" s="515">
        <v>37.248699999999999</v>
      </c>
      <c r="F2401" s="408">
        <f>IFERROR(E2401*'01 Prod Physique Boites'!H2380,"-")</f>
        <v>0</v>
      </c>
      <c r="G2401" s="409">
        <f>IFERROR(E2401*'01 Prod Physique Boites'!L2380,"-")</f>
        <v>1264965.852</v>
      </c>
      <c r="H2401" s="391">
        <v>71.44</v>
      </c>
      <c r="I2401" s="427">
        <f>IFERROR(H2401*(F2401/E2401),"-")</f>
        <v>0</v>
      </c>
      <c r="J2401" s="428">
        <f t="shared" si="1586"/>
        <v>2426102.4</v>
      </c>
    </row>
    <row r="2402" spans="1:10" ht="23.4" x14ac:dyDescent="0.3">
      <c r="A2402" s="277" t="s">
        <v>110</v>
      </c>
      <c r="B2402" s="904"/>
      <c r="C2402" s="278" t="s">
        <v>166</v>
      </c>
      <c r="D2402" s="278"/>
      <c r="E2402" s="516">
        <v>38.466099999999997</v>
      </c>
      <c r="F2402" s="408">
        <f>IFERROR(E2402*'01 Prod Physique Boites'!H2381,"-")</f>
        <v>0</v>
      </c>
      <c r="G2402" s="409">
        <f>IFERROR(E2402*'01 Prod Physique Boites'!L2381,"-")</f>
        <v>0</v>
      </c>
      <c r="H2402" s="391"/>
      <c r="I2402" s="427">
        <f>IFERROR(H2402*(F2402/E2402),"-")</f>
        <v>0</v>
      </c>
      <c r="J2402" s="428">
        <f t="shared" si="1586"/>
        <v>0</v>
      </c>
    </row>
    <row r="2403" spans="1:10" ht="24" thickBot="1" x14ac:dyDescent="0.35">
      <c r="A2403" s="277" t="s">
        <v>110</v>
      </c>
      <c r="B2403" s="905"/>
      <c r="C2403" s="282" t="s">
        <v>167</v>
      </c>
      <c r="D2403" s="282"/>
      <c r="E2403" s="512">
        <v>33.711399999999998</v>
      </c>
      <c r="F2403" s="408">
        <f>IFERROR(E2403*'01 Prod Physique Boites'!H2382,"-")</f>
        <v>0</v>
      </c>
      <c r="G2403" s="409">
        <f>IFERROR(E2403*'01 Prod Physique Boites'!L2382,"-")</f>
        <v>0</v>
      </c>
      <c r="H2403" s="393"/>
      <c r="I2403" s="429">
        <f>IFERROR(H2403*(F2403/E2403),"-")</f>
        <v>0</v>
      </c>
      <c r="J2403" s="430">
        <f t="shared" si="1586"/>
        <v>0</v>
      </c>
    </row>
    <row r="2404" spans="1:10" ht="24" thickBot="1" x14ac:dyDescent="0.35">
      <c r="A2404" s="277" t="s">
        <v>110</v>
      </c>
      <c r="B2404" s="906" t="s">
        <v>42</v>
      </c>
      <c r="C2404" s="907"/>
      <c r="D2404" s="908"/>
      <c r="E2404" s="396"/>
      <c r="F2404" s="412">
        <f>SUM(F2399:F2403)</f>
        <v>1774528.068</v>
      </c>
      <c r="G2404" s="413">
        <f>SUM(G2399:G2403)</f>
        <v>20232748.865999997</v>
      </c>
      <c r="H2404" s="397"/>
      <c r="I2404" s="412">
        <f>SUM(I2399:I2403)</f>
        <v>3403401.6</v>
      </c>
      <c r="J2404" s="412">
        <f>SUM(J2399:J2403)</f>
        <v>38804779.199999996</v>
      </c>
    </row>
    <row r="2405" spans="1:10" ht="23.4" x14ac:dyDescent="0.3">
      <c r="A2405" s="277" t="s">
        <v>110</v>
      </c>
      <c r="B2405" s="903" t="s">
        <v>43</v>
      </c>
      <c r="C2405" s="272" t="s">
        <v>204</v>
      </c>
      <c r="D2405" s="272" t="s">
        <v>200</v>
      </c>
      <c r="E2405" s="515">
        <v>30.7499</v>
      </c>
      <c r="F2405" s="408">
        <f>IFERROR(E2405*'01 Prod Physique Boites'!H2384,"-")</f>
        <v>0</v>
      </c>
      <c r="G2405" s="409">
        <f>IFERROR(E2405*'01 Prod Physique Boites'!L2384,"-")</f>
        <v>0</v>
      </c>
      <c r="H2405" s="387"/>
      <c r="I2405" s="425">
        <f>IFERROR(H2405*(F2405/E2405),"-")</f>
        <v>0</v>
      </c>
      <c r="J2405" s="426">
        <f>IFERROR(H2405*(G2405/E2405),"-")</f>
        <v>0</v>
      </c>
    </row>
    <row r="2406" spans="1:10" ht="23.4" x14ac:dyDescent="0.3">
      <c r="A2406" s="277" t="s">
        <v>110</v>
      </c>
      <c r="B2406" s="904"/>
      <c r="C2406" s="278" t="s">
        <v>168</v>
      </c>
      <c r="D2406" s="278"/>
      <c r="E2406" s="516">
        <v>28.7</v>
      </c>
      <c r="F2406" s="408">
        <f>IFERROR(E2406*'01 Prod Physique Boites'!H2385,"-")</f>
        <v>0</v>
      </c>
      <c r="G2406" s="409">
        <f>IFERROR(E2406*'01 Prod Physique Boites'!L2385,"-")</f>
        <v>0</v>
      </c>
      <c r="H2406" s="391"/>
      <c r="I2406" s="427">
        <f>IFERROR(H2406*(F2406/E2406),"-")</f>
        <v>0</v>
      </c>
      <c r="J2406" s="428">
        <f t="shared" ref="J2406:J2407" si="1587">IFERROR(H2406*(G2406/E2406),"-")</f>
        <v>0</v>
      </c>
    </row>
    <row r="2407" spans="1:10" ht="24" thickBot="1" x14ac:dyDescent="0.35">
      <c r="A2407" s="277" t="s">
        <v>110</v>
      </c>
      <c r="B2407" s="905"/>
      <c r="C2407" s="282" t="s">
        <v>204</v>
      </c>
      <c r="D2407" s="282" t="s">
        <v>203</v>
      </c>
      <c r="E2407" s="512">
        <v>30.073599999999999</v>
      </c>
      <c r="F2407" s="408">
        <f>IFERROR(E2407*'01 Prod Physique Boites'!H2386,"-")</f>
        <v>0</v>
      </c>
      <c r="G2407" s="409">
        <f>IFERROR(E2407*'01 Prod Physique Boites'!L2386,"-")</f>
        <v>0</v>
      </c>
      <c r="H2407" s="393"/>
      <c r="I2407" s="429">
        <f>IFERROR(H2407*(F2407/E2407),"-")</f>
        <v>0</v>
      </c>
      <c r="J2407" s="430">
        <f t="shared" si="1587"/>
        <v>0</v>
      </c>
    </row>
    <row r="2408" spans="1:10" ht="24" thickBot="1" x14ac:dyDescent="0.35">
      <c r="A2408" s="277" t="s">
        <v>110</v>
      </c>
      <c r="B2408" s="909" t="s">
        <v>44</v>
      </c>
      <c r="C2408" s="910"/>
      <c r="D2408" s="911"/>
      <c r="E2408" s="396"/>
      <c r="F2408" s="412">
        <f t="shared" ref="F2408:G2408" si="1588">SUM(F2405:F2407)</f>
        <v>0</v>
      </c>
      <c r="G2408" s="413">
        <f t="shared" si="1588"/>
        <v>0</v>
      </c>
      <c r="H2408" s="397"/>
      <c r="I2408" s="412">
        <f t="shared" ref="I2408:J2408" si="1589">SUM(I2405:I2407)</f>
        <v>0</v>
      </c>
      <c r="J2408" s="431">
        <f t="shared" si="1589"/>
        <v>0</v>
      </c>
    </row>
    <row r="2409" spans="1:10" ht="23.4" x14ac:dyDescent="0.3">
      <c r="A2409" s="277" t="s">
        <v>110</v>
      </c>
      <c r="B2409" s="903" t="s">
        <v>45</v>
      </c>
      <c r="C2409" s="272" t="s">
        <v>169</v>
      </c>
      <c r="D2409" s="272"/>
      <c r="E2409" s="515">
        <v>36.684899999999999</v>
      </c>
      <c r="F2409" s="408">
        <f>IFERROR(E2409*'01 Prod Physique Boites'!H2388,"-")</f>
        <v>0</v>
      </c>
      <c r="G2409" s="409">
        <f>IFERROR(E2409*'01 Prod Physique Boites'!L2388,"-")</f>
        <v>0</v>
      </c>
      <c r="H2409" s="387"/>
      <c r="I2409" s="388" t="s">
        <v>209</v>
      </c>
      <c r="J2409" s="389" t="s">
        <v>209</v>
      </c>
    </row>
    <row r="2410" spans="1:10" ht="24" thickBot="1" x14ac:dyDescent="0.35">
      <c r="A2410" s="277" t="s">
        <v>110</v>
      </c>
      <c r="B2410" s="905"/>
      <c r="C2410" s="282" t="s">
        <v>170</v>
      </c>
      <c r="D2410" s="282"/>
      <c r="E2410" s="512">
        <v>37.002800000000001</v>
      </c>
      <c r="F2410" s="408">
        <f>IFERROR(E2410*'01 Prod Physique Boites'!H2389,"-")</f>
        <v>0</v>
      </c>
      <c r="G2410" s="409">
        <f>IFERROR(E2410*'01 Prod Physique Boites'!L2389,"-")</f>
        <v>0</v>
      </c>
      <c r="H2410" s="393"/>
      <c r="I2410" s="394" t="s">
        <v>209</v>
      </c>
      <c r="J2410" s="395" t="s">
        <v>209</v>
      </c>
    </row>
    <row r="2411" spans="1:10" ht="24" thickBot="1" x14ac:dyDescent="0.35">
      <c r="A2411" s="277" t="s">
        <v>110</v>
      </c>
      <c r="B2411" s="909" t="s">
        <v>46</v>
      </c>
      <c r="C2411" s="910"/>
      <c r="D2411" s="911"/>
      <c r="E2411" s="396"/>
      <c r="F2411" s="412">
        <f t="shared" ref="F2411:G2411" si="1590">SUM(F2409:F2410)</f>
        <v>0</v>
      </c>
      <c r="G2411" s="413">
        <f t="shared" si="1590"/>
        <v>0</v>
      </c>
      <c r="H2411" s="397"/>
      <c r="I2411" s="412">
        <f t="shared" ref="I2411:J2411" si="1591">SUM(I2409:I2410)</f>
        <v>0</v>
      </c>
      <c r="J2411" s="431">
        <f t="shared" si="1591"/>
        <v>0</v>
      </c>
    </row>
    <row r="2412" spans="1:10" ht="24" thickBot="1" x14ac:dyDescent="0.35">
      <c r="A2412" s="277" t="s">
        <v>110</v>
      </c>
      <c r="B2412" s="912" t="s">
        <v>25</v>
      </c>
      <c r="C2412" s="913"/>
      <c r="D2412" s="914"/>
      <c r="E2412" s="399"/>
      <c r="F2412" s="416">
        <f t="shared" ref="F2412:G2412" si="1592">+F2390+F2395+F2398+F2404+F2408+F2411</f>
        <v>3445814.3880000003</v>
      </c>
      <c r="G2412" s="417">
        <f t="shared" si="1592"/>
        <v>44471487.314399995</v>
      </c>
      <c r="H2412" s="400"/>
      <c r="I2412" s="416">
        <f>+I2390+I2395+I2398+I2404+I2408+I2411</f>
        <v>6222481.5999999996</v>
      </c>
      <c r="J2412" s="434">
        <f>+J2390+J2395+J2398+J2404+J2408+J2411</f>
        <v>80766093.939999998</v>
      </c>
    </row>
    <row r="2413" spans="1:10" ht="24" thickBot="1" x14ac:dyDescent="0.35">
      <c r="A2413" s="324" t="s">
        <v>110</v>
      </c>
      <c r="B2413" s="901" t="s">
        <v>182</v>
      </c>
      <c r="C2413" s="901"/>
      <c r="D2413" s="902"/>
      <c r="E2413" s="401"/>
      <c r="F2413" s="418">
        <f t="shared" ref="F2413:G2413" si="1593">+F2412</f>
        <v>3445814.3880000003</v>
      </c>
      <c r="G2413" s="419">
        <f t="shared" si="1593"/>
        <v>44471487.314399995</v>
      </c>
      <c r="H2413" s="402"/>
      <c r="I2413" s="418">
        <f t="shared" ref="I2413" si="1594">+I2412</f>
        <v>6222481.5999999996</v>
      </c>
      <c r="J2413" s="435">
        <f>+J2412</f>
        <v>80766093.939999998</v>
      </c>
    </row>
    <row r="2414" spans="1:10" ht="24.6" thickBot="1" x14ac:dyDescent="0.35">
      <c r="A2414" s="325"/>
      <c r="B2414" s="915" t="s">
        <v>183</v>
      </c>
      <c r="C2414" s="916"/>
      <c r="D2414" s="917"/>
      <c r="E2414" s="407"/>
      <c r="F2414" s="424">
        <f t="shared" ref="F2414:G2414" si="1595">+F2359+F2386+F2413</f>
        <v>11959865.4792</v>
      </c>
      <c r="G2414" s="424">
        <f t="shared" si="1595"/>
        <v>177742655.10249999</v>
      </c>
      <c r="H2414" s="407"/>
      <c r="I2414" s="424">
        <f t="shared" ref="I2414:J2414" si="1596">+I2359+I2386+I2413</f>
        <v>17079924.640000001</v>
      </c>
      <c r="J2414" s="438">
        <f t="shared" si="1596"/>
        <v>274431105.53999996</v>
      </c>
    </row>
  </sheetData>
  <mergeCells count="1149">
    <mergeCell ref="B2281:D2281"/>
    <mergeCell ref="B2282:B2284"/>
    <mergeCell ref="B2285:D2285"/>
    <mergeCell ref="B2286:B2289"/>
    <mergeCell ref="B2290:D2290"/>
    <mergeCell ref="B2291:B2292"/>
    <mergeCell ref="B2293:D2293"/>
    <mergeCell ref="B2294:B2298"/>
    <mergeCell ref="B2299:D2299"/>
    <mergeCell ref="B2300:B2302"/>
    <mergeCell ref="B2303:D2303"/>
    <mergeCell ref="B2304:B2305"/>
    <mergeCell ref="B2306:D2306"/>
    <mergeCell ref="B2307:D2307"/>
    <mergeCell ref="B2308:D2308"/>
    <mergeCell ref="B2309:D2309"/>
    <mergeCell ref="B2230:B2232"/>
    <mergeCell ref="B2233:D2233"/>
    <mergeCell ref="B2234:B2236"/>
    <mergeCell ref="B2237:D2237"/>
    <mergeCell ref="B2238:D2238"/>
    <mergeCell ref="B2239:B2242"/>
    <mergeCell ref="B2243:D2243"/>
    <mergeCell ref="B2244:B2251"/>
    <mergeCell ref="B2252:D2252"/>
    <mergeCell ref="B2253:D2253"/>
    <mergeCell ref="B2254:D2254"/>
    <mergeCell ref="B2255:B2264"/>
    <mergeCell ref="B2265:B2268"/>
    <mergeCell ref="B2269:D2269"/>
    <mergeCell ref="B2270:B2277"/>
    <mergeCell ref="B2278:D2278"/>
    <mergeCell ref="B2280:D2280"/>
    <mergeCell ref="A2205:A2208"/>
    <mergeCell ref="B2205:B2208"/>
    <mergeCell ref="C2205:C2208"/>
    <mergeCell ref="D2205:D2208"/>
    <mergeCell ref="E2205:G2205"/>
    <mergeCell ref="E2206:G2206"/>
    <mergeCell ref="H2206:J2206"/>
    <mergeCell ref="H2207:H2208"/>
    <mergeCell ref="I2207:I2208"/>
    <mergeCell ref="J2207:J2208"/>
    <mergeCell ref="E2208:G2208"/>
    <mergeCell ref="B2209:B2212"/>
    <mergeCell ref="B2213:D2213"/>
    <mergeCell ref="B2214:B2220"/>
    <mergeCell ref="B2221:D2221"/>
    <mergeCell ref="B2222:B2228"/>
    <mergeCell ref="B2229:D2229"/>
    <mergeCell ref="B2202:D2202"/>
    <mergeCell ref="B2203:D2203"/>
    <mergeCell ref="B2204:D2204"/>
    <mergeCell ref="B2185:D2185"/>
    <mergeCell ref="B2186:B2187"/>
    <mergeCell ref="B2188:D2188"/>
    <mergeCell ref="B2189:B2193"/>
    <mergeCell ref="B2194:D2194"/>
    <mergeCell ref="B2195:B2197"/>
    <mergeCell ref="B2198:D2198"/>
    <mergeCell ref="B2199:B2200"/>
    <mergeCell ref="B2201:D2201"/>
    <mergeCell ref="B2160:B2163"/>
    <mergeCell ref="B2164:D2164"/>
    <mergeCell ref="B2165:B2172"/>
    <mergeCell ref="B2173:D2173"/>
    <mergeCell ref="B2175:D2175"/>
    <mergeCell ref="B2176:D2176"/>
    <mergeCell ref="B2177:B2179"/>
    <mergeCell ref="B2180:D2180"/>
    <mergeCell ref="B2181:B2184"/>
    <mergeCell ref="B2132:D2132"/>
    <mergeCell ref="B2133:D2133"/>
    <mergeCell ref="B2134:B2137"/>
    <mergeCell ref="B2138:D2138"/>
    <mergeCell ref="B2139:B2146"/>
    <mergeCell ref="B2147:D2147"/>
    <mergeCell ref="B2148:D2148"/>
    <mergeCell ref="B2149:D2149"/>
    <mergeCell ref="B2150:B2159"/>
    <mergeCell ref="B2104:B2107"/>
    <mergeCell ref="B2108:D2108"/>
    <mergeCell ref="B2109:B2115"/>
    <mergeCell ref="B2116:D2116"/>
    <mergeCell ref="B2117:B2123"/>
    <mergeCell ref="B2124:D2124"/>
    <mergeCell ref="B2125:B2127"/>
    <mergeCell ref="B2128:D2128"/>
    <mergeCell ref="B2129:B2131"/>
    <mergeCell ref="A2100:A2103"/>
    <mergeCell ref="B2100:B2103"/>
    <mergeCell ref="C2100:C2103"/>
    <mergeCell ref="D2100:D2103"/>
    <mergeCell ref="E2100:G2100"/>
    <mergeCell ref="E2101:G2101"/>
    <mergeCell ref="H2101:J2101"/>
    <mergeCell ref="H2102:H2103"/>
    <mergeCell ref="I2102:I2103"/>
    <mergeCell ref="J2102:J2103"/>
    <mergeCell ref="E2103:G2103"/>
    <mergeCell ref="B2089:D2089"/>
    <mergeCell ref="B2090:B2092"/>
    <mergeCell ref="B2093:D2093"/>
    <mergeCell ref="B2094:B2095"/>
    <mergeCell ref="B2096:D2096"/>
    <mergeCell ref="B2097:D2097"/>
    <mergeCell ref="B2098:D2098"/>
    <mergeCell ref="B2099:D2099"/>
    <mergeCell ref="B2070:D2070"/>
    <mergeCell ref="B2071:D2071"/>
    <mergeCell ref="B2072:B2074"/>
    <mergeCell ref="B2075:D2075"/>
    <mergeCell ref="B2076:B2079"/>
    <mergeCell ref="B2080:D2080"/>
    <mergeCell ref="B2081:B2082"/>
    <mergeCell ref="B2083:D2083"/>
    <mergeCell ref="B2084:B2088"/>
    <mergeCell ref="B2034:B2041"/>
    <mergeCell ref="B2042:D2042"/>
    <mergeCell ref="B2043:D2043"/>
    <mergeCell ref="B2044:D2044"/>
    <mergeCell ref="B2045:B2054"/>
    <mergeCell ref="B2055:B2058"/>
    <mergeCell ref="B2059:D2059"/>
    <mergeCell ref="B2060:B2067"/>
    <mergeCell ref="B2068:D2068"/>
    <mergeCell ref="B2012:B2018"/>
    <mergeCell ref="B2019:D2019"/>
    <mergeCell ref="B2020:B2022"/>
    <mergeCell ref="B2023:D2023"/>
    <mergeCell ref="B2024:B2026"/>
    <mergeCell ref="B2027:D2027"/>
    <mergeCell ref="B2028:D2028"/>
    <mergeCell ref="B2029:B2032"/>
    <mergeCell ref="B2033:D2033"/>
    <mergeCell ref="H1996:J1996"/>
    <mergeCell ref="H1997:H1998"/>
    <mergeCell ref="I1997:I1998"/>
    <mergeCell ref="J1997:J1998"/>
    <mergeCell ref="E1998:G1998"/>
    <mergeCell ref="B1999:B2002"/>
    <mergeCell ref="B2003:D2003"/>
    <mergeCell ref="B2004:B2010"/>
    <mergeCell ref="B2011:D2011"/>
    <mergeCell ref="B1992:D1992"/>
    <mergeCell ref="B1993:D1993"/>
    <mergeCell ref="B1994:D1994"/>
    <mergeCell ref="A1995:A1998"/>
    <mergeCell ref="B1995:B1998"/>
    <mergeCell ref="C1995:C1998"/>
    <mergeCell ref="D1995:D1998"/>
    <mergeCell ref="E1995:G1995"/>
    <mergeCell ref="E1996:G1996"/>
    <mergeCell ref="B1975:D1975"/>
    <mergeCell ref="B1976:B1977"/>
    <mergeCell ref="B1978:D1978"/>
    <mergeCell ref="B1979:B1983"/>
    <mergeCell ref="B1984:D1984"/>
    <mergeCell ref="B1985:B1987"/>
    <mergeCell ref="B1988:D1988"/>
    <mergeCell ref="B1989:B1990"/>
    <mergeCell ref="B1991:D1991"/>
    <mergeCell ref="B1950:B1953"/>
    <mergeCell ref="B1954:D1954"/>
    <mergeCell ref="B1955:B1962"/>
    <mergeCell ref="B1963:D1963"/>
    <mergeCell ref="B1965:D1965"/>
    <mergeCell ref="B1966:D1966"/>
    <mergeCell ref="B1967:B1969"/>
    <mergeCell ref="B1970:D1970"/>
    <mergeCell ref="B1971:B1974"/>
    <mergeCell ref="B1922:D1922"/>
    <mergeCell ref="B1923:D1923"/>
    <mergeCell ref="B1924:B1927"/>
    <mergeCell ref="B1928:D1928"/>
    <mergeCell ref="B1929:B1936"/>
    <mergeCell ref="B1937:D1937"/>
    <mergeCell ref="B1938:D1938"/>
    <mergeCell ref="B1939:D1939"/>
    <mergeCell ref="B1940:B1949"/>
    <mergeCell ref="B1894:B1897"/>
    <mergeCell ref="B1898:D1898"/>
    <mergeCell ref="B1899:B1905"/>
    <mergeCell ref="B1906:D1906"/>
    <mergeCell ref="B1907:B1913"/>
    <mergeCell ref="B1914:D1914"/>
    <mergeCell ref="B1915:B1917"/>
    <mergeCell ref="B1918:D1918"/>
    <mergeCell ref="B1919:B1921"/>
    <mergeCell ref="A1890:A1893"/>
    <mergeCell ref="B1890:B1893"/>
    <mergeCell ref="C1890:C1893"/>
    <mergeCell ref="D1890:D1893"/>
    <mergeCell ref="E1890:G1890"/>
    <mergeCell ref="E1891:G1891"/>
    <mergeCell ref="H1891:J1891"/>
    <mergeCell ref="H1892:H1893"/>
    <mergeCell ref="I1892:I1893"/>
    <mergeCell ref="J1892:J1893"/>
    <mergeCell ref="E1893:G1893"/>
    <mergeCell ref="B1834:D1834"/>
    <mergeCell ref="B1835:B1844"/>
    <mergeCell ref="B1789:B1792"/>
    <mergeCell ref="B1793:D1793"/>
    <mergeCell ref="B1794:B1800"/>
    <mergeCell ref="B1801:D1801"/>
    <mergeCell ref="B1802:B1808"/>
    <mergeCell ref="B1809:D1809"/>
    <mergeCell ref="B1810:B1812"/>
    <mergeCell ref="B1813:D1813"/>
    <mergeCell ref="B1814:B1816"/>
    <mergeCell ref="B1887:D1887"/>
    <mergeCell ref="B1888:D1888"/>
    <mergeCell ref="B1889:D1889"/>
    <mergeCell ref="B1870:D1870"/>
    <mergeCell ref="B1871:B1872"/>
    <mergeCell ref="B1873:D1873"/>
    <mergeCell ref="B1874:B1878"/>
    <mergeCell ref="B1879:D1879"/>
    <mergeCell ref="B1880:B1882"/>
    <mergeCell ref="B1883:D1883"/>
    <mergeCell ref="B1884:B1885"/>
    <mergeCell ref="B1886:D1886"/>
    <mergeCell ref="B1845:B1848"/>
    <mergeCell ref="B1849:D1849"/>
    <mergeCell ref="B1850:B1857"/>
    <mergeCell ref="B1858:D1858"/>
    <mergeCell ref="B1860:D1860"/>
    <mergeCell ref="B1861:D1861"/>
    <mergeCell ref="B1862:B1864"/>
    <mergeCell ref="B1865:D1865"/>
    <mergeCell ref="B1866:B1869"/>
    <mergeCell ref="B1817:D1817"/>
    <mergeCell ref="B1818:D1818"/>
    <mergeCell ref="B1819:B1822"/>
    <mergeCell ref="B1823:D1823"/>
    <mergeCell ref="B1824:B1831"/>
    <mergeCell ref="B1832:D1832"/>
    <mergeCell ref="B1833:D1833"/>
    <mergeCell ref="B1761:B1764"/>
    <mergeCell ref="B1782:D1782"/>
    <mergeCell ref="B1783:D1783"/>
    <mergeCell ref="B1784:D1784"/>
    <mergeCell ref="B1765:D1765"/>
    <mergeCell ref="B1766:B1767"/>
    <mergeCell ref="B1768:D1768"/>
    <mergeCell ref="B1769:B1773"/>
    <mergeCell ref="B1774:D1774"/>
    <mergeCell ref="B1775:B1777"/>
    <mergeCell ref="B1778:D1778"/>
    <mergeCell ref="B1779:B1780"/>
    <mergeCell ref="B1781:D1781"/>
    <mergeCell ref="A1785:A1788"/>
    <mergeCell ref="B1785:B1788"/>
    <mergeCell ref="C1785:C1788"/>
    <mergeCell ref="D1785:D1788"/>
    <mergeCell ref="E1785:G1785"/>
    <mergeCell ref="E1786:G1786"/>
    <mergeCell ref="H1786:J1786"/>
    <mergeCell ref="H1787:H1788"/>
    <mergeCell ref="I1787:I1788"/>
    <mergeCell ref="J1787:J1788"/>
    <mergeCell ref="E1788:G1788"/>
    <mergeCell ref="B1677:D1677"/>
    <mergeCell ref="B1678:D1678"/>
    <mergeCell ref="B1679:D1679"/>
    <mergeCell ref="B1660:D1660"/>
    <mergeCell ref="B1661:B1662"/>
    <mergeCell ref="B1663:D1663"/>
    <mergeCell ref="B1664:B1668"/>
    <mergeCell ref="B1669:D1669"/>
    <mergeCell ref="B1670:B1672"/>
    <mergeCell ref="B1673:D1673"/>
    <mergeCell ref="B1674:B1675"/>
    <mergeCell ref="B1676:D1676"/>
    <mergeCell ref="B1684:B1687"/>
    <mergeCell ref="B1688:D1688"/>
    <mergeCell ref="B1689:B1695"/>
    <mergeCell ref="B1696:D1696"/>
    <mergeCell ref="B1697:B1703"/>
    <mergeCell ref="B1704:D1704"/>
    <mergeCell ref="B1705:B1707"/>
    <mergeCell ref="B1708:D1708"/>
    <mergeCell ref="B1709:B1711"/>
    <mergeCell ref="E1575:G1575"/>
    <mergeCell ref="E1576:G1576"/>
    <mergeCell ref="H1576:J1576"/>
    <mergeCell ref="H1577:H1578"/>
    <mergeCell ref="I1577:I1578"/>
    <mergeCell ref="J1577:J1578"/>
    <mergeCell ref="E1578:G1578"/>
    <mergeCell ref="B1635:B1638"/>
    <mergeCell ref="B1639:D1639"/>
    <mergeCell ref="B1640:B1647"/>
    <mergeCell ref="B1648:D1648"/>
    <mergeCell ref="B1650:D1650"/>
    <mergeCell ref="B1651:D1651"/>
    <mergeCell ref="B1652:B1654"/>
    <mergeCell ref="B1655:D1655"/>
    <mergeCell ref="B1656:B1659"/>
    <mergeCell ref="B1607:D1607"/>
    <mergeCell ref="B1608:D1608"/>
    <mergeCell ref="B1609:B1612"/>
    <mergeCell ref="B1613:D1613"/>
    <mergeCell ref="B1614:B1621"/>
    <mergeCell ref="B1622:D1622"/>
    <mergeCell ref="B1623:D1623"/>
    <mergeCell ref="B1624:D1624"/>
    <mergeCell ref="B1625:B1634"/>
    <mergeCell ref="B1373:D1373"/>
    <mergeCell ref="B1374:B1380"/>
    <mergeCell ref="B1381:D1381"/>
    <mergeCell ref="B1382:B1388"/>
    <mergeCell ref="B1389:D1389"/>
    <mergeCell ref="B1390:B1392"/>
    <mergeCell ref="B1393:D1393"/>
    <mergeCell ref="B1394:B1396"/>
    <mergeCell ref="B1467:D1467"/>
    <mergeCell ref="B1468:D1468"/>
    <mergeCell ref="B1469:D1469"/>
    <mergeCell ref="B1450:D1450"/>
    <mergeCell ref="B1451:B1452"/>
    <mergeCell ref="B1453:D1453"/>
    <mergeCell ref="B1454:B1458"/>
    <mergeCell ref="B1459:D1459"/>
    <mergeCell ref="B1460:B1462"/>
    <mergeCell ref="B1463:D1463"/>
    <mergeCell ref="B1464:B1465"/>
    <mergeCell ref="B1466:D1466"/>
    <mergeCell ref="B1425:B1428"/>
    <mergeCell ref="B1429:D1429"/>
    <mergeCell ref="B1430:B1437"/>
    <mergeCell ref="B1438:D1438"/>
    <mergeCell ref="B1440:D1440"/>
    <mergeCell ref="B1441:D1441"/>
    <mergeCell ref="B1442:B1444"/>
    <mergeCell ref="B1445:D1445"/>
    <mergeCell ref="B1446:B1449"/>
    <mergeCell ref="H1366:J1366"/>
    <mergeCell ref="H1367:H1368"/>
    <mergeCell ref="I1367:I1368"/>
    <mergeCell ref="J1367:J1368"/>
    <mergeCell ref="E1368:G1368"/>
    <mergeCell ref="B1047:D1047"/>
    <mergeCell ref="B1048:D1048"/>
    <mergeCell ref="B1049:D1049"/>
    <mergeCell ref="B1030:D1030"/>
    <mergeCell ref="B1031:B1032"/>
    <mergeCell ref="B1033:D1033"/>
    <mergeCell ref="B1034:B1038"/>
    <mergeCell ref="B1039:D1039"/>
    <mergeCell ref="B1040:B1042"/>
    <mergeCell ref="B1043:D1043"/>
    <mergeCell ref="B1044:B1045"/>
    <mergeCell ref="B1046:D1046"/>
    <mergeCell ref="E1050:G1050"/>
    <mergeCell ref="E1051:G1051"/>
    <mergeCell ref="H1051:J1051"/>
    <mergeCell ref="H1052:H1053"/>
    <mergeCell ref="I1052:I1053"/>
    <mergeCell ref="J1052:J1053"/>
    <mergeCell ref="E1053:G1053"/>
    <mergeCell ref="B1054:B1057"/>
    <mergeCell ref="B1058:D1058"/>
    <mergeCell ref="B1066:D1066"/>
    <mergeCell ref="B1067:B1073"/>
    <mergeCell ref="B1074:D1074"/>
    <mergeCell ref="B1075:B1077"/>
    <mergeCell ref="B1078:D1078"/>
    <mergeCell ref="B1079:B1081"/>
    <mergeCell ref="B1005:B1008"/>
    <mergeCell ref="B1009:D1009"/>
    <mergeCell ref="B1010:B1017"/>
    <mergeCell ref="B1018:D1018"/>
    <mergeCell ref="B1020:D1020"/>
    <mergeCell ref="B1021:D1021"/>
    <mergeCell ref="B1022:B1024"/>
    <mergeCell ref="B1025:D1025"/>
    <mergeCell ref="B1026:B1029"/>
    <mergeCell ref="B977:D977"/>
    <mergeCell ref="B978:D978"/>
    <mergeCell ref="B979:B982"/>
    <mergeCell ref="B983:D983"/>
    <mergeCell ref="B984:B991"/>
    <mergeCell ref="B992:D992"/>
    <mergeCell ref="B993:D993"/>
    <mergeCell ref="B994:D994"/>
    <mergeCell ref="B995:B1004"/>
    <mergeCell ref="B949:B952"/>
    <mergeCell ref="B953:D953"/>
    <mergeCell ref="B954:B960"/>
    <mergeCell ref="B961:D961"/>
    <mergeCell ref="B962:B968"/>
    <mergeCell ref="B969:D969"/>
    <mergeCell ref="B970:B972"/>
    <mergeCell ref="B973:D973"/>
    <mergeCell ref="B974:B976"/>
    <mergeCell ref="A945:A948"/>
    <mergeCell ref="B945:B948"/>
    <mergeCell ref="C945:C948"/>
    <mergeCell ref="D945:D948"/>
    <mergeCell ref="E945:G945"/>
    <mergeCell ref="E946:G946"/>
    <mergeCell ref="H946:J946"/>
    <mergeCell ref="H947:H948"/>
    <mergeCell ref="I947:I948"/>
    <mergeCell ref="J947:J948"/>
    <mergeCell ref="E948:G948"/>
    <mergeCell ref="B942:D942"/>
    <mergeCell ref="B943:D943"/>
    <mergeCell ref="B944:D944"/>
    <mergeCell ref="B925:D925"/>
    <mergeCell ref="B926:B927"/>
    <mergeCell ref="B928:D928"/>
    <mergeCell ref="B929:B933"/>
    <mergeCell ref="B934:D934"/>
    <mergeCell ref="B935:B937"/>
    <mergeCell ref="B938:D938"/>
    <mergeCell ref="B939:B940"/>
    <mergeCell ref="B941:D941"/>
    <mergeCell ref="B900:B903"/>
    <mergeCell ref="B904:D904"/>
    <mergeCell ref="B905:B912"/>
    <mergeCell ref="B913:D913"/>
    <mergeCell ref="B915:D915"/>
    <mergeCell ref="B916:D916"/>
    <mergeCell ref="B917:B919"/>
    <mergeCell ref="B920:D920"/>
    <mergeCell ref="B921:B924"/>
    <mergeCell ref="B872:D872"/>
    <mergeCell ref="B873:D873"/>
    <mergeCell ref="B874:B877"/>
    <mergeCell ref="B878:D878"/>
    <mergeCell ref="B879:B886"/>
    <mergeCell ref="B887:D887"/>
    <mergeCell ref="B888:D888"/>
    <mergeCell ref="B889:D889"/>
    <mergeCell ref="B890:B899"/>
    <mergeCell ref="B845:B848"/>
    <mergeCell ref="B849:D849"/>
    <mergeCell ref="B850:B856"/>
    <mergeCell ref="B857:D857"/>
    <mergeCell ref="B858:B864"/>
    <mergeCell ref="B865:D865"/>
    <mergeCell ref="B866:B867"/>
    <mergeCell ref="B868:D868"/>
    <mergeCell ref="B869:B871"/>
    <mergeCell ref="A841:A844"/>
    <mergeCell ref="B841:B844"/>
    <mergeCell ref="C841:C844"/>
    <mergeCell ref="D841:D844"/>
    <mergeCell ref="E841:G841"/>
    <mergeCell ref="E842:G842"/>
    <mergeCell ref="H842:J842"/>
    <mergeCell ref="H843:H844"/>
    <mergeCell ref="I843:I844"/>
    <mergeCell ref="J843:J844"/>
    <mergeCell ref="E844:G844"/>
    <mergeCell ref="B838:D838"/>
    <mergeCell ref="B839:D839"/>
    <mergeCell ref="B840:D840"/>
    <mergeCell ref="B821:D821"/>
    <mergeCell ref="B822:B823"/>
    <mergeCell ref="B824:D824"/>
    <mergeCell ref="B825:B829"/>
    <mergeCell ref="B830:D830"/>
    <mergeCell ref="B831:B833"/>
    <mergeCell ref="B834:D834"/>
    <mergeCell ref="B835:B836"/>
    <mergeCell ref="B837:D837"/>
    <mergeCell ref="B796:B799"/>
    <mergeCell ref="B800:D800"/>
    <mergeCell ref="B801:B808"/>
    <mergeCell ref="B809:D809"/>
    <mergeCell ref="B811:D811"/>
    <mergeCell ref="B812:D812"/>
    <mergeCell ref="B813:B815"/>
    <mergeCell ref="B816:D816"/>
    <mergeCell ref="B817:B820"/>
    <mergeCell ref="B768:D768"/>
    <mergeCell ref="B769:D769"/>
    <mergeCell ref="B770:B773"/>
    <mergeCell ref="B774:D774"/>
    <mergeCell ref="B775:B782"/>
    <mergeCell ref="B783:D783"/>
    <mergeCell ref="B784:D784"/>
    <mergeCell ref="B785:D785"/>
    <mergeCell ref="B786:B795"/>
    <mergeCell ref="B713:B716"/>
    <mergeCell ref="B741:B744"/>
    <mergeCell ref="B745:D745"/>
    <mergeCell ref="B746:B752"/>
    <mergeCell ref="B753:D753"/>
    <mergeCell ref="B754:B760"/>
    <mergeCell ref="B761:D761"/>
    <mergeCell ref="B762:B763"/>
    <mergeCell ref="B764:D764"/>
    <mergeCell ref="B765:B767"/>
    <mergeCell ref="A737:A740"/>
    <mergeCell ref="B737:B740"/>
    <mergeCell ref="C737:C740"/>
    <mergeCell ref="D737:D740"/>
    <mergeCell ref="E737:G737"/>
    <mergeCell ref="E738:G738"/>
    <mergeCell ref="H738:J738"/>
    <mergeCell ref="H739:H740"/>
    <mergeCell ref="I739:I740"/>
    <mergeCell ref="J739:J740"/>
    <mergeCell ref="E740:G740"/>
    <mergeCell ref="A425:A428"/>
    <mergeCell ref="B425:B428"/>
    <mergeCell ref="C425:C428"/>
    <mergeCell ref="D425:D428"/>
    <mergeCell ref="E425:G425"/>
    <mergeCell ref="E426:G426"/>
    <mergeCell ref="H426:J426"/>
    <mergeCell ref="H427:H428"/>
    <mergeCell ref="I427:I428"/>
    <mergeCell ref="J427:J428"/>
    <mergeCell ref="E428:G428"/>
    <mergeCell ref="B664:D664"/>
    <mergeCell ref="B665:D665"/>
    <mergeCell ref="B666:B669"/>
    <mergeCell ref="B670:D670"/>
    <mergeCell ref="B671:B678"/>
    <mergeCell ref="B679:D679"/>
    <mergeCell ref="B637:B640"/>
    <mergeCell ref="B641:D641"/>
    <mergeCell ref="B642:B648"/>
    <mergeCell ref="B649:D649"/>
    <mergeCell ref="B650:B656"/>
    <mergeCell ref="B657:D657"/>
    <mergeCell ref="B658:B659"/>
    <mergeCell ref="B660:D660"/>
    <mergeCell ref="B661:B663"/>
    <mergeCell ref="E633:G633"/>
    <mergeCell ref="E634:G634"/>
    <mergeCell ref="H634:J634"/>
    <mergeCell ref="H635:H636"/>
    <mergeCell ref="I635:I636"/>
    <mergeCell ref="J635:J636"/>
    <mergeCell ref="E636:G636"/>
    <mergeCell ref="B424:D424"/>
    <mergeCell ref="B408:D408"/>
    <mergeCell ref="B409:B413"/>
    <mergeCell ref="B414:D414"/>
    <mergeCell ref="B415:B417"/>
    <mergeCell ref="B418:D418"/>
    <mergeCell ref="B419:B420"/>
    <mergeCell ref="B421:D421"/>
    <mergeCell ref="B422:D422"/>
    <mergeCell ref="B423:D423"/>
    <mergeCell ref="B385:B392"/>
    <mergeCell ref="B393:D393"/>
    <mergeCell ref="B395:D395"/>
    <mergeCell ref="B396:D396"/>
    <mergeCell ref="B397:B399"/>
    <mergeCell ref="B400:D400"/>
    <mergeCell ref="B401:B404"/>
    <mergeCell ref="B405:D405"/>
    <mergeCell ref="B406:B407"/>
    <mergeCell ref="B429:B432"/>
    <mergeCell ref="B433:D433"/>
    <mergeCell ref="B434:B440"/>
    <mergeCell ref="B441:D441"/>
    <mergeCell ref="B442:B448"/>
    <mergeCell ref="B449:D449"/>
    <mergeCell ref="B450:B451"/>
    <mergeCell ref="B452:D452"/>
    <mergeCell ref="B453:B455"/>
    <mergeCell ref="B456:D456"/>
    <mergeCell ref="B457:D457"/>
    <mergeCell ref="B458:B461"/>
    <mergeCell ref="B354:B357"/>
    <mergeCell ref="B358:D358"/>
    <mergeCell ref="B359:B366"/>
    <mergeCell ref="B367:D367"/>
    <mergeCell ref="B368:D368"/>
    <mergeCell ref="B369:D369"/>
    <mergeCell ref="B370:B379"/>
    <mergeCell ref="B380:B383"/>
    <mergeCell ref="B384:D384"/>
    <mergeCell ref="B330:B336"/>
    <mergeCell ref="B337:D337"/>
    <mergeCell ref="B338:B344"/>
    <mergeCell ref="B345:D345"/>
    <mergeCell ref="B346:B347"/>
    <mergeCell ref="B348:D348"/>
    <mergeCell ref="B349:B351"/>
    <mergeCell ref="B352:D352"/>
    <mergeCell ref="B353:D353"/>
    <mergeCell ref="E321:G321"/>
    <mergeCell ref="E322:G322"/>
    <mergeCell ref="H322:J322"/>
    <mergeCell ref="H323:H324"/>
    <mergeCell ref="I323:I324"/>
    <mergeCell ref="J323:J324"/>
    <mergeCell ref="E324:G324"/>
    <mergeCell ref="B325:B328"/>
    <mergeCell ref="B329:D329"/>
    <mergeCell ref="B242:B243"/>
    <mergeCell ref="A321:A324"/>
    <mergeCell ref="B321:B324"/>
    <mergeCell ref="C321:C324"/>
    <mergeCell ref="D321:D324"/>
    <mergeCell ref="A217:A220"/>
    <mergeCell ref="B217:B220"/>
    <mergeCell ref="C217:C220"/>
    <mergeCell ref="D217:D220"/>
    <mergeCell ref="B250:B253"/>
    <mergeCell ref="B254:D254"/>
    <mergeCell ref="B255:B262"/>
    <mergeCell ref="B263:D263"/>
    <mergeCell ref="B264:D264"/>
    <mergeCell ref="B241:D241"/>
    <mergeCell ref="B244:D244"/>
    <mergeCell ref="B245:B247"/>
    <mergeCell ref="B248:D248"/>
    <mergeCell ref="B234:B240"/>
    <mergeCell ref="B200:D200"/>
    <mergeCell ref="B201:B205"/>
    <mergeCell ref="B214:D214"/>
    <mergeCell ref="B215:D215"/>
    <mergeCell ref="B160:D160"/>
    <mergeCell ref="B161:D161"/>
    <mergeCell ref="B162:B171"/>
    <mergeCell ref="B172:B175"/>
    <mergeCell ref="B176:D176"/>
    <mergeCell ref="B177:B184"/>
    <mergeCell ref="B185:D185"/>
    <mergeCell ref="B187:D187"/>
    <mergeCell ref="B188:D188"/>
    <mergeCell ref="B216:D216"/>
    <mergeCell ref="B206:D206"/>
    <mergeCell ref="B207:B209"/>
    <mergeCell ref="B210:D210"/>
    <mergeCell ref="B211:B212"/>
    <mergeCell ref="B213:D213"/>
    <mergeCell ref="E114:G114"/>
    <mergeCell ref="E115:G115"/>
    <mergeCell ref="H115:J115"/>
    <mergeCell ref="H116:H117"/>
    <mergeCell ref="I116:I117"/>
    <mergeCell ref="J116:J117"/>
    <mergeCell ref="E117:G117"/>
    <mergeCell ref="B118:B121"/>
    <mergeCell ref="B122:D122"/>
    <mergeCell ref="A114:A117"/>
    <mergeCell ref="B114:B117"/>
    <mergeCell ref="C114:C117"/>
    <mergeCell ref="D114:D117"/>
    <mergeCell ref="B85:D85"/>
    <mergeCell ref="B95:B96"/>
    <mergeCell ref="B97:D97"/>
    <mergeCell ref="B98:B102"/>
    <mergeCell ref="B103:D103"/>
    <mergeCell ref="B104:B106"/>
    <mergeCell ref="B107:D107"/>
    <mergeCell ref="B108:B109"/>
    <mergeCell ref="B110:D110"/>
    <mergeCell ref="B111:D111"/>
    <mergeCell ref="B112:D112"/>
    <mergeCell ref="B113:D113"/>
    <mergeCell ref="B90:B93"/>
    <mergeCell ref="B94:D94"/>
    <mergeCell ref="B15:B18"/>
    <mergeCell ref="B19:D19"/>
    <mergeCell ref="B20:B26"/>
    <mergeCell ref="B27:D27"/>
    <mergeCell ref="B28:B34"/>
    <mergeCell ref="B35:D35"/>
    <mergeCell ref="B89:D89"/>
    <mergeCell ref="B123:B129"/>
    <mergeCell ref="B130:D130"/>
    <mergeCell ref="B37:D37"/>
    <mergeCell ref="B38:B40"/>
    <mergeCell ref="B41:D41"/>
    <mergeCell ref="B42:D42"/>
    <mergeCell ref="B43:B46"/>
    <mergeCell ref="B47:D47"/>
    <mergeCell ref="B48:B55"/>
    <mergeCell ref="B56:D56"/>
    <mergeCell ref="B57:D57"/>
    <mergeCell ref="B58:D58"/>
    <mergeCell ref="B59:B68"/>
    <mergeCell ref="B69:B72"/>
    <mergeCell ref="B73:D73"/>
    <mergeCell ref="B74:B81"/>
    <mergeCell ref="B82:D82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84:D84"/>
    <mergeCell ref="B221:B224"/>
    <mergeCell ref="B225:D225"/>
    <mergeCell ref="B226:B232"/>
    <mergeCell ref="B233:D233"/>
    <mergeCell ref="H218:J218"/>
    <mergeCell ref="H219:H220"/>
    <mergeCell ref="I219:I220"/>
    <mergeCell ref="J219:J220"/>
    <mergeCell ref="E220:G220"/>
    <mergeCell ref="B150:D150"/>
    <mergeCell ref="B151:B158"/>
    <mergeCell ref="B159:D159"/>
    <mergeCell ref="E217:G217"/>
    <mergeCell ref="E218:G218"/>
    <mergeCell ref="B131:B137"/>
    <mergeCell ref="B138:D138"/>
    <mergeCell ref="B140:D140"/>
    <mergeCell ref="B141:B143"/>
    <mergeCell ref="B144:D144"/>
    <mergeCell ref="B145:D145"/>
    <mergeCell ref="B146:B149"/>
    <mergeCell ref="B86:B88"/>
    <mergeCell ref="B249:D249"/>
    <mergeCell ref="B289:D289"/>
    <mergeCell ref="B291:D291"/>
    <mergeCell ref="B292:D292"/>
    <mergeCell ref="B293:B295"/>
    <mergeCell ref="B296:D296"/>
    <mergeCell ref="B265:D265"/>
    <mergeCell ref="B266:B275"/>
    <mergeCell ref="B276:B279"/>
    <mergeCell ref="B280:D280"/>
    <mergeCell ref="B281:B288"/>
    <mergeCell ref="B318:D318"/>
    <mergeCell ref="B319:D319"/>
    <mergeCell ref="B320:D320"/>
    <mergeCell ref="B310:D310"/>
    <mergeCell ref="B311:B313"/>
    <mergeCell ref="B314:D314"/>
    <mergeCell ref="B315:B316"/>
    <mergeCell ref="B317:D317"/>
    <mergeCell ref="B297:B300"/>
    <mergeCell ref="B301:D301"/>
    <mergeCell ref="B302:B303"/>
    <mergeCell ref="B304:D304"/>
    <mergeCell ref="B305:B309"/>
    <mergeCell ref="B189:B191"/>
    <mergeCell ref="B192:D192"/>
    <mergeCell ref="B193:B196"/>
    <mergeCell ref="B197:D197"/>
    <mergeCell ref="B198:B199"/>
    <mergeCell ref="B462:D462"/>
    <mergeCell ref="B463:B470"/>
    <mergeCell ref="B471:D471"/>
    <mergeCell ref="B472:D472"/>
    <mergeCell ref="B473:D473"/>
    <mergeCell ref="B474:B483"/>
    <mergeCell ref="B484:B487"/>
    <mergeCell ref="B488:D488"/>
    <mergeCell ref="B489:B496"/>
    <mergeCell ref="B497:D497"/>
    <mergeCell ref="B499:D499"/>
    <mergeCell ref="B500:D500"/>
    <mergeCell ref="B501:B503"/>
    <mergeCell ref="B504:D504"/>
    <mergeCell ref="B505:B508"/>
    <mergeCell ref="B526:D526"/>
    <mergeCell ref="B527:D527"/>
    <mergeCell ref="B528:D528"/>
    <mergeCell ref="B509:D509"/>
    <mergeCell ref="B510:B511"/>
    <mergeCell ref="B512:D512"/>
    <mergeCell ref="B513:B517"/>
    <mergeCell ref="B518:D518"/>
    <mergeCell ref="B519:B521"/>
    <mergeCell ref="B522:D522"/>
    <mergeCell ref="B523:B524"/>
    <mergeCell ref="B525:D525"/>
    <mergeCell ref="A529:A532"/>
    <mergeCell ref="B529:B532"/>
    <mergeCell ref="C529:C532"/>
    <mergeCell ref="D529:D532"/>
    <mergeCell ref="E529:G529"/>
    <mergeCell ref="E530:G530"/>
    <mergeCell ref="H530:J530"/>
    <mergeCell ref="H531:H532"/>
    <mergeCell ref="I531:I532"/>
    <mergeCell ref="J531:J532"/>
    <mergeCell ref="E532:G532"/>
    <mergeCell ref="B533:B536"/>
    <mergeCell ref="B537:D537"/>
    <mergeCell ref="B538:B544"/>
    <mergeCell ref="B545:D545"/>
    <mergeCell ref="B546:B552"/>
    <mergeCell ref="B553:D553"/>
    <mergeCell ref="B554:B555"/>
    <mergeCell ref="B556:D556"/>
    <mergeCell ref="B557:B559"/>
    <mergeCell ref="B560:D560"/>
    <mergeCell ref="B561:D561"/>
    <mergeCell ref="B562:B565"/>
    <mergeCell ref="B566:D566"/>
    <mergeCell ref="B567:B574"/>
    <mergeCell ref="B575:D575"/>
    <mergeCell ref="B576:D576"/>
    <mergeCell ref="B577:D577"/>
    <mergeCell ref="B578:B587"/>
    <mergeCell ref="B588:B591"/>
    <mergeCell ref="B592:D592"/>
    <mergeCell ref="B593:B600"/>
    <mergeCell ref="B601:D601"/>
    <mergeCell ref="B603:D603"/>
    <mergeCell ref="B604:D604"/>
    <mergeCell ref="B605:B607"/>
    <mergeCell ref="B608:D608"/>
    <mergeCell ref="B609:B612"/>
    <mergeCell ref="B630:D630"/>
    <mergeCell ref="B631:D631"/>
    <mergeCell ref="B632:D632"/>
    <mergeCell ref="B613:D613"/>
    <mergeCell ref="B614:B615"/>
    <mergeCell ref="B616:D616"/>
    <mergeCell ref="B617:B621"/>
    <mergeCell ref="B622:D622"/>
    <mergeCell ref="B623:B625"/>
    <mergeCell ref="B626:D626"/>
    <mergeCell ref="B627:B628"/>
    <mergeCell ref="B629:D629"/>
    <mergeCell ref="A1050:A1053"/>
    <mergeCell ref="B1050:B1053"/>
    <mergeCell ref="C1050:C1053"/>
    <mergeCell ref="D1050:D1053"/>
    <mergeCell ref="A633:A636"/>
    <mergeCell ref="B633:B636"/>
    <mergeCell ref="C633:C636"/>
    <mergeCell ref="D633:D636"/>
    <mergeCell ref="B680:D680"/>
    <mergeCell ref="B681:D681"/>
    <mergeCell ref="B682:B691"/>
    <mergeCell ref="B734:D734"/>
    <mergeCell ref="B735:D735"/>
    <mergeCell ref="B736:D736"/>
    <mergeCell ref="B717:D717"/>
    <mergeCell ref="B718:B719"/>
    <mergeCell ref="B1059:B1065"/>
    <mergeCell ref="B720:D720"/>
    <mergeCell ref="B721:B725"/>
    <mergeCell ref="B726:D726"/>
    <mergeCell ref="B727:B729"/>
    <mergeCell ref="B730:D730"/>
    <mergeCell ref="B731:B732"/>
    <mergeCell ref="B733:D733"/>
    <mergeCell ref="B692:B695"/>
    <mergeCell ref="B696:D696"/>
    <mergeCell ref="B697:B704"/>
    <mergeCell ref="B705:D705"/>
    <mergeCell ref="B707:D707"/>
    <mergeCell ref="B708:D708"/>
    <mergeCell ref="B709:B711"/>
    <mergeCell ref="B712:D712"/>
    <mergeCell ref="B1082:D1082"/>
    <mergeCell ref="B1083:D1083"/>
    <mergeCell ref="B1084:B1087"/>
    <mergeCell ref="B1088:D1088"/>
    <mergeCell ref="B1089:B1096"/>
    <mergeCell ref="B1097:D1097"/>
    <mergeCell ref="B1098:D1098"/>
    <mergeCell ref="B1099:D1099"/>
    <mergeCell ref="B1100:B1109"/>
    <mergeCell ref="B1110:B1113"/>
    <mergeCell ref="B1114:D1114"/>
    <mergeCell ref="B1115:B1122"/>
    <mergeCell ref="B1123:D1123"/>
    <mergeCell ref="B1125:D1125"/>
    <mergeCell ref="B1126:D1126"/>
    <mergeCell ref="B1127:B1129"/>
    <mergeCell ref="B1130:D1130"/>
    <mergeCell ref="B1131:B1134"/>
    <mergeCell ref="B1152:D1152"/>
    <mergeCell ref="B1153:D1153"/>
    <mergeCell ref="B1154:D1154"/>
    <mergeCell ref="B1135:D1135"/>
    <mergeCell ref="B1136:B1137"/>
    <mergeCell ref="B1138:D1138"/>
    <mergeCell ref="B1139:B1143"/>
    <mergeCell ref="B1144:D1144"/>
    <mergeCell ref="B1145:B1147"/>
    <mergeCell ref="B1148:D1148"/>
    <mergeCell ref="B1149:B1150"/>
    <mergeCell ref="B1151:D1151"/>
    <mergeCell ref="A1155:A1158"/>
    <mergeCell ref="B1155:B1158"/>
    <mergeCell ref="C1155:C1158"/>
    <mergeCell ref="D1155:D1158"/>
    <mergeCell ref="E1155:G1155"/>
    <mergeCell ref="E1156:G1156"/>
    <mergeCell ref="H1156:J1156"/>
    <mergeCell ref="H1157:H1158"/>
    <mergeCell ref="I1157:I1158"/>
    <mergeCell ref="J1157:J1158"/>
    <mergeCell ref="E1158:G1158"/>
    <mergeCell ref="B1159:B1162"/>
    <mergeCell ref="B1163:D1163"/>
    <mergeCell ref="B1164:B1170"/>
    <mergeCell ref="B1171:D1171"/>
    <mergeCell ref="B1172:B1178"/>
    <mergeCell ref="B1179:D1179"/>
    <mergeCell ref="B1180:B1182"/>
    <mergeCell ref="B1183:D1183"/>
    <mergeCell ref="B1184:B1186"/>
    <mergeCell ref="B1187:D1187"/>
    <mergeCell ref="B1188:D1188"/>
    <mergeCell ref="B1189:B1192"/>
    <mergeCell ref="B1193:D1193"/>
    <mergeCell ref="B1194:B1201"/>
    <mergeCell ref="B1202:D1202"/>
    <mergeCell ref="B1203:D1203"/>
    <mergeCell ref="B1204:D1204"/>
    <mergeCell ref="B1205:B1214"/>
    <mergeCell ref="B1215:B1218"/>
    <mergeCell ref="B1219:D1219"/>
    <mergeCell ref="B1220:B1227"/>
    <mergeCell ref="B1228:D1228"/>
    <mergeCell ref="B1230:D1230"/>
    <mergeCell ref="B1231:D1231"/>
    <mergeCell ref="B1232:B1234"/>
    <mergeCell ref="B1235:D1235"/>
    <mergeCell ref="B1236:B1239"/>
    <mergeCell ref="B1257:D1257"/>
    <mergeCell ref="B1258:D1258"/>
    <mergeCell ref="B1259:D1259"/>
    <mergeCell ref="B1240:D1240"/>
    <mergeCell ref="B1241:B1242"/>
    <mergeCell ref="B1243:D1243"/>
    <mergeCell ref="B1244:B1248"/>
    <mergeCell ref="B1249:D1249"/>
    <mergeCell ref="B1250:B1252"/>
    <mergeCell ref="B1253:D1253"/>
    <mergeCell ref="B1254:B1255"/>
    <mergeCell ref="B1256:D1256"/>
    <mergeCell ref="A1260:A1263"/>
    <mergeCell ref="B1260:B1263"/>
    <mergeCell ref="C1260:C1263"/>
    <mergeCell ref="D1260:D1263"/>
    <mergeCell ref="E1260:G1260"/>
    <mergeCell ref="E1261:G1261"/>
    <mergeCell ref="H1261:J1261"/>
    <mergeCell ref="H1262:H1263"/>
    <mergeCell ref="I1262:I1263"/>
    <mergeCell ref="J1262:J1263"/>
    <mergeCell ref="E1263:G1263"/>
    <mergeCell ref="B1264:B1267"/>
    <mergeCell ref="B1268:D1268"/>
    <mergeCell ref="B1269:B1275"/>
    <mergeCell ref="B1276:D1276"/>
    <mergeCell ref="B1277:B1283"/>
    <mergeCell ref="B1284:D1284"/>
    <mergeCell ref="B1285:B1287"/>
    <mergeCell ref="B1288:D1288"/>
    <mergeCell ref="B1289:B1291"/>
    <mergeCell ref="B1292:D1292"/>
    <mergeCell ref="B1293:D1293"/>
    <mergeCell ref="B1294:B1297"/>
    <mergeCell ref="B1298:D1298"/>
    <mergeCell ref="B1299:B1306"/>
    <mergeCell ref="B1307:D1307"/>
    <mergeCell ref="B1308:D1308"/>
    <mergeCell ref="B1309:D1309"/>
    <mergeCell ref="B1310:B1319"/>
    <mergeCell ref="B1320:B1323"/>
    <mergeCell ref="B1324:D1324"/>
    <mergeCell ref="B1325:B1332"/>
    <mergeCell ref="B1333:D1333"/>
    <mergeCell ref="B1335:D1335"/>
    <mergeCell ref="B1336:D1336"/>
    <mergeCell ref="B1337:B1339"/>
    <mergeCell ref="B1340:D1340"/>
    <mergeCell ref="B1341:B1344"/>
    <mergeCell ref="B1362:D1362"/>
    <mergeCell ref="B1363:D1363"/>
    <mergeCell ref="B1364:D1364"/>
    <mergeCell ref="B1345:D1345"/>
    <mergeCell ref="B1346:B1347"/>
    <mergeCell ref="B1348:D1348"/>
    <mergeCell ref="B1349:B1353"/>
    <mergeCell ref="B1354:D1354"/>
    <mergeCell ref="B1355:B1357"/>
    <mergeCell ref="B1358:D1358"/>
    <mergeCell ref="B1359:B1360"/>
    <mergeCell ref="B1361:D1361"/>
    <mergeCell ref="A1470:A1473"/>
    <mergeCell ref="B1470:B1473"/>
    <mergeCell ref="C1470:C1473"/>
    <mergeCell ref="D1470:D1473"/>
    <mergeCell ref="E1470:G1470"/>
    <mergeCell ref="E1471:G1471"/>
    <mergeCell ref="A1365:A1368"/>
    <mergeCell ref="B1365:B1368"/>
    <mergeCell ref="C1365:C1368"/>
    <mergeCell ref="D1365:D1368"/>
    <mergeCell ref="E1365:G1365"/>
    <mergeCell ref="E1366:G1366"/>
    <mergeCell ref="B1397:D1397"/>
    <mergeCell ref="B1398:D1398"/>
    <mergeCell ref="B1399:B1402"/>
    <mergeCell ref="B1403:D1403"/>
    <mergeCell ref="B1404:B1411"/>
    <mergeCell ref="B1412:D1412"/>
    <mergeCell ref="B1413:D1413"/>
    <mergeCell ref="B1414:D1414"/>
    <mergeCell ref="B1415:B1424"/>
    <mergeCell ref="B1369:B1372"/>
    <mergeCell ref="H1471:J1471"/>
    <mergeCell ref="H1472:H1473"/>
    <mergeCell ref="I1472:I1473"/>
    <mergeCell ref="J1472:J1473"/>
    <mergeCell ref="E1473:G1473"/>
    <mergeCell ref="B1474:B1477"/>
    <mergeCell ref="B1478:D1478"/>
    <mergeCell ref="B1479:B1485"/>
    <mergeCell ref="B1486:D1486"/>
    <mergeCell ref="B1487:B1493"/>
    <mergeCell ref="B1494:D1494"/>
    <mergeCell ref="B1495:B1497"/>
    <mergeCell ref="B1498:D1498"/>
    <mergeCell ref="B1499:B1501"/>
    <mergeCell ref="B1502:D1502"/>
    <mergeCell ref="B1503:D1503"/>
    <mergeCell ref="B1504:B1507"/>
    <mergeCell ref="A1575:A1578"/>
    <mergeCell ref="B1575:B1578"/>
    <mergeCell ref="B1508:D1508"/>
    <mergeCell ref="B1509:B1516"/>
    <mergeCell ref="B1517:D1517"/>
    <mergeCell ref="B1518:D1518"/>
    <mergeCell ref="B1519:D1519"/>
    <mergeCell ref="B1520:B1529"/>
    <mergeCell ref="B1530:B1533"/>
    <mergeCell ref="B1534:D1534"/>
    <mergeCell ref="B1535:B1542"/>
    <mergeCell ref="B1543:D1543"/>
    <mergeCell ref="B1545:D1545"/>
    <mergeCell ref="B1546:D1546"/>
    <mergeCell ref="B1547:B1549"/>
    <mergeCell ref="B1550:D1550"/>
    <mergeCell ref="B1551:B1554"/>
    <mergeCell ref="B1572:D1572"/>
    <mergeCell ref="B1573:D1573"/>
    <mergeCell ref="C1575:C1578"/>
    <mergeCell ref="D1575:D1578"/>
    <mergeCell ref="A1680:A1683"/>
    <mergeCell ref="B1680:B1683"/>
    <mergeCell ref="C1680:C1683"/>
    <mergeCell ref="D1680:D1683"/>
    <mergeCell ref="E1680:G1680"/>
    <mergeCell ref="E1681:G1681"/>
    <mergeCell ref="H1681:J1681"/>
    <mergeCell ref="H1682:H1683"/>
    <mergeCell ref="I1682:I1683"/>
    <mergeCell ref="J1682:J1683"/>
    <mergeCell ref="E1683:G1683"/>
    <mergeCell ref="B1579:B1582"/>
    <mergeCell ref="B1583:D1583"/>
    <mergeCell ref="B1584:B1590"/>
    <mergeCell ref="B1591:D1591"/>
    <mergeCell ref="B1592:B1598"/>
    <mergeCell ref="B1599:D1599"/>
    <mergeCell ref="B1600:B1602"/>
    <mergeCell ref="B1603:D1603"/>
    <mergeCell ref="B1604:B1606"/>
    <mergeCell ref="B1714:B1717"/>
    <mergeCell ref="B1718:D1718"/>
    <mergeCell ref="B1719:B1726"/>
    <mergeCell ref="B1727:D1727"/>
    <mergeCell ref="B1728:D1728"/>
    <mergeCell ref="B1729:D1729"/>
    <mergeCell ref="B1730:B1739"/>
    <mergeCell ref="B1740:B1743"/>
    <mergeCell ref="B1744:D1744"/>
    <mergeCell ref="B1745:B1752"/>
    <mergeCell ref="B1753:D1753"/>
    <mergeCell ref="B1755:D1755"/>
    <mergeCell ref="B1756:D1756"/>
    <mergeCell ref="B1757:B1759"/>
    <mergeCell ref="B1760:D1760"/>
    <mergeCell ref="B1574:D1574"/>
    <mergeCell ref="B1555:D1555"/>
    <mergeCell ref="B1556:B1557"/>
    <mergeCell ref="B1558:D1558"/>
    <mergeCell ref="B1559:B1563"/>
    <mergeCell ref="B1564:D1564"/>
    <mergeCell ref="B1565:B1567"/>
    <mergeCell ref="B1568:D1568"/>
    <mergeCell ref="B1569:B1570"/>
    <mergeCell ref="B1571:D1571"/>
    <mergeCell ref="B1712:D1712"/>
    <mergeCell ref="B1713:D1713"/>
    <mergeCell ref="B2385:D2385"/>
    <mergeCell ref="A2310:A2313"/>
    <mergeCell ref="B2310:B2313"/>
    <mergeCell ref="C2310:C2313"/>
    <mergeCell ref="D2310:D2313"/>
    <mergeCell ref="E2310:G2310"/>
    <mergeCell ref="E2311:G2311"/>
    <mergeCell ref="H2311:J2311"/>
    <mergeCell ref="H2312:H2313"/>
    <mergeCell ref="I2312:I2313"/>
    <mergeCell ref="J2312:J2313"/>
    <mergeCell ref="E2313:G2313"/>
    <mergeCell ref="B2314:B2317"/>
    <mergeCell ref="B2318:D2318"/>
    <mergeCell ref="B2319:B2325"/>
    <mergeCell ref="B2326:D2326"/>
    <mergeCell ref="B2327:B2333"/>
    <mergeCell ref="B2334:D2334"/>
    <mergeCell ref="B2386:D2386"/>
    <mergeCell ref="B2387:B2389"/>
    <mergeCell ref="B2390:D2390"/>
    <mergeCell ref="B2391:B2394"/>
    <mergeCell ref="B2395:D2395"/>
    <mergeCell ref="B2396:B2397"/>
    <mergeCell ref="B2398:D2398"/>
    <mergeCell ref="B2399:B2403"/>
    <mergeCell ref="B2404:D2404"/>
    <mergeCell ref="B2405:B2407"/>
    <mergeCell ref="B2408:D2408"/>
    <mergeCell ref="B2409:B2410"/>
    <mergeCell ref="B2411:D2411"/>
    <mergeCell ref="B2412:D2412"/>
    <mergeCell ref="B2413:D2413"/>
    <mergeCell ref="B2414:D2414"/>
    <mergeCell ref="B2335:B2337"/>
    <mergeCell ref="B2338:D2338"/>
    <mergeCell ref="B2339:B2341"/>
    <mergeCell ref="B2342:D2342"/>
    <mergeCell ref="B2343:D2343"/>
    <mergeCell ref="B2344:B2347"/>
    <mergeCell ref="B2348:D2348"/>
    <mergeCell ref="B2349:B2356"/>
    <mergeCell ref="B2357:D2357"/>
    <mergeCell ref="B2358:D2358"/>
    <mergeCell ref="B2359:D2359"/>
    <mergeCell ref="B2360:B2369"/>
    <mergeCell ref="B2370:B2373"/>
    <mergeCell ref="B2374:D2374"/>
    <mergeCell ref="B2375:B2382"/>
    <mergeCell ref="B2383:D2383"/>
  </mergeCells>
  <pageMargins left="0.19685039370078741" right="0.19685039370078741" top="0.19685039370078741" bottom="0.19685039370078741" header="0.19685039370078741" footer="0.19685039370078741"/>
  <pageSetup paperSize="9" scale="31" orientation="portrait" verticalDpi="300" r:id="rId1"/>
  <rowBreaks count="23" manualBreakCount="23">
    <brk id="10" max="9" man="1"/>
    <brk id="113" max="9" man="1"/>
    <brk id="216" max="9" man="1"/>
    <brk id="320" max="9" man="1"/>
    <brk id="424" max="9" man="1"/>
    <brk id="528" max="9" man="1"/>
    <brk id="632" max="9" man="1"/>
    <brk id="736" max="9" man="1"/>
    <brk id="840" max="9" man="1"/>
    <brk id="944" max="9" man="1"/>
    <brk id="1049" max="9" man="1"/>
    <brk id="1154" max="9" man="1"/>
    <brk id="1259" max="9" man="1"/>
    <brk id="1364" max="9" man="1"/>
    <brk id="1469" max="9" man="1"/>
    <brk id="1574" max="9" man="1"/>
    <brk id="1679" max="9" man="1"/>
    <brk id="1784" max="9" man="1"/>
    <brk id="1889" max="9" man="1"/>
    <brk id="1994" max="9" man="1"/>
    <brk id="2099" max="9" man="1"/>
    <brk id="2204" max="9" man="1"/>
    <brk id="2309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7:Q1317"/>
  <sheetViews>
    <sheetView view="pageBreakPreview" topLeftCell="A1259" zoomScale="50" zoomScaleNormal="70" zoomScaleSheetLayoutView="50" workbookViewId="0">
      <selection activeCell="G1269" sqref="G1269"/>
    </sheetView>
  </sheetViews>
  <sheetFormatPr defaultColWidth="9.109375" defaultRowHeight="13.8" x14ac:dyDescent="0.3"/>
  <cols>
    <col min="1" max="1" width="10.109375" style="229" customWidth="1"/>
    <col min="2" max="2" width="25" style="269" customWidth="1"/>
    <col min="3" max="3" width="70.5546875" style="269" customWidth="1"/>
    <col min="4" max="4" width="15.6640625" style="222" customWidth="1"/>
    <col min="5" max="5" width="18" style="222" customWidth="1"/>
    <col min="6" max="6" width="15.6640625" style="223" customWidth="1"/>
    <col min="7" max="7" width="17.44140625" style="222" customWidth="1"/>
    <col min="8" max="8" width="15.6640625" style="222" customWidth="1"/>
    <col min="9" max="9" width="18.44140625" style="224" customWidth="1"/>
    <col min="10" max="10" width="19" style="223" bestFit="1" customWidth="1"/>
    <col min="11" max="11" width="19.109375" style="222" customWidth="1"/>
    <col min="12" max="12" width="15.6640625" style="222" customWidth="1"/>
    <col min="13" max="13" width="14.6640625" style="224" customWidth="1"/>
    <col min="14" max="14" width="17.5546875" style="224" customWidth="1"/>
    <col min="15" max="15" width="14.6640625" style="229" customWidth="1"/>
    <col min="16" max="17" width="33.109375" style="229" customWidth="1"/>
    <col min="18" max="16384" width="9.109375" style="229"/>
  </cols>
  <sheetData>
    <row r="7" spans="1:17" ht="67.2" customHeight="1" x14ac:dyDescent="0.3">
      <c r="A7" s="220" t="s">
        <v>0</v>
      </c>
    </row>
    <row r="9" spans="1:17" ht="81" customHeight="1" x14ac:dyDescent="0.3">
      <c r="A9" s="961" t="s">
        <v>410</v>
      </c>
      <c r="B9" s="961"/>
      <c r="C9" s="961"/>
      <c r="D9" s="961"/>
      <c r="E9" s="961"/>
      <c r="F9" s="961"/>
      <c r="G9" s="961"/>
      <c r="H9" s="961"/>
      <c r="I9" s="961"/>
      <c r="J9" s="961"/>
      <c r="K9" s="961"/>
      <c r="L9" s="961"/>
      <c r="M9" s="961"/>
      <c r="N9" s="961"/>
      <c r="O9" s="961"/>
      <c r="P9" s="961"/>
      <c r="Q9" s="961"/>
    </row>
    <row r="10" spans="1:17" ht="24.6" customHeight="1" thickBot="1" x14ac:dyDescent="0.35">
      <c r="A10" s="230"/>
      <c r="B10" s="230"/>
      <c r="C10" s="230"/>
      <c r="D10" s="232"/>
      <c r="E10" s="232"/>
      <c r="F10" s="232"/>
      <c r="G10" s="270"/>
      <c r="H10" s="270"/>
      <c r="I10" s="234"/>
      <c r="J10" s="232"/>
      <c r="K10" s="232"/>
      <c r="L10" s="232"/>
      <c r="M10" s="234"/>
      <c r="N10" s="234"/>
    </row>
    <row r="11" spans="1:17" ht="23.4" x14ac:dyDescent="0.3">
      <c r="A11" s="935" t="s">
        <v>1</v>
      </c>
      <c r="B11" s="938" t="s">
        <v>2</v>
      </c>
      <c r="C11" s="941" t="s">
        <v>3</v>
      </c>
      <c r="D11" s="944" t="s">
        <v>4</v>
      </c>
      <c r="E11" s="945"/>
      <c r="F11" s="945"/>
      <c r="G11" s="945"/>
      <c r="H11" s="945"/>
      <c r="I11" s="945"/>
      <c r="J11" s="945"/>
      <c r="K11" s="945"/>
      <c r="L11" s="945"/>
      <c r="M11" s="945"/>
      <c r="N11" s="946"/>
      <c r="O11" s="965" t="s">
        <v>176</v>
      </c>
      <c r="P11" s="966"/>
      <c r="Q11" s="990"/>
    </row>
    <row r="12" spans="1:17" ht="23.4" x14ac:dyDescent="0.3">
      <c r="A12" s="936"/>
      <c r="B12" s="939"/>
      <c r="C12" s="942"/>
      <c r="D12" s="947" t="s">
        <v>7</v>
      </c>
      <c r="E12" s="949" t="s">
        <v>116</v>
      </c>
      <c r="F12" s="991" t="s">
        <v>411</v>
      </c>
      <c r="G12" s="952"/>
      <c r="H12" s="952"/>
      <c r="I12" s="953"/>
      <c r="J12" s="954" t="s">
        <v>8</v>
      </c>
      <c r="K12" s="955"/>
      <c r="L12" s="956"/>
      <c r="M12" s="957" t="s">
        <v>174</v>
      </c>
      <c r="N12" s="959" t="s">
        <v>173</v>
      </c>
      <c r="O12" s="967" t="s">
        <v>178</v>
      </c>
      <c r="P12" s="968"/>
      <c r="Q12" s="969"/>
    </row>
    <row r="13" spans="1:17" ht="47.4" thickBot="1" x14ac:dyDescent="0.35">
      <c r="A13" s="937"/>
      <c r="B13" s="940"/>
      <c r="C13" s="943"/>
      <c r="D13" s="948"/>
      <c r="E13" s="950"/>
      <c r="F13" s="462" t="s">
        <v>13</v>
      </c>
      <c r="G13" s="463" t="s">
        <v>14</v>
      </c>
      <c r="H13" s="463" t="s">
        <v>15</v>
      </c>
      <c r="I13" s="464" t="s">
        <v>175</v>
      </c>
      <c r="J13" s="462" t="s">
        <v>13</v>
      </c>
      <c r="K13" s="463" t="s">
        <v>14</v>
      </c>
      <c r="L13" s="465" t="s">
        <v>15</v>
      </c>
      <c r="M13" s="958"/>
      <c r="N13" s="960"/>
      <c r="O13" s="453" t="s">
        <v>179</v>
      </c>
      <c r="P13" s="454" t="s">
        <v>11</v>
      </c>
      <c r="Q13" s="455" t="s">
        <v>12</v>
      </c>
    </row>
    <row r="14" spans="1:17" ht="23.4" x14ac:dyDescent="0.3">
      <c r="A14" s="271" t="s">
        <v>111</v>
      </c>
      <c r="B14" s="445"/>
      <c r="C14" s="272" t="s">
        <v>272</v>
      </c>
      <c r="D14" s="273"/>
      <c r="E14" s="274"/>
      <c r="F14" s="338">
        <f>+G14+H14</f>
        <v>0</v>
      </c>
      <c r="G14" s="275">
        <v>0</v>
      </c>
      <c r="H14" s="275">
        <v>0</v>
      </c>
      <c r="I14" s="357" t="str">
        <f>IFERROR(F14/#REF!,"-")</f>
        <v>-</v>
      </c>
      <c r="J14" s="338">
        <f>+K14+L14</f>
        <v>0</v>
      </c>
      <c r="K14" s="275">
        <f>G14</f>
        <v>0</v>
      </c>
      <c r="L14" s="275">
        <f>H14</f>
        <v>0</v>
      </c>
      <c r="M14" s="342" t="str">
        <f>IFERROR(J14/D14,"-")</f>
        <v>-</v>
      </c>
      <c r="N14" s="349" t="str">
        <f t="shared" ref="N14:N15" si="0">IFERROR(L14/J14,"-")</f>
        <v>-</v>
      </c>
      <c r="O14" s="518">
        <v>1.5669</v>
      </c>
      <c r="P14" s="408">
        <f>+O14*G14</f>
        <v>0</v>
      </c>
      <c r="Q14" s="457">
        <f>+O14*K14</f>
        <v>0</v>
      </c>
    </row>
    <row r="15" spans="1:17" ht="23.4" x14ac:dyDescent="0.3">
      <c r="A15" s="277" t="s">
        <v>111</v>
      </c>
      <c r="B15" s="444"/>
      <c r="C15" s="278" t="s">
        <v>271</v>
      </c>
      <c r="D15" s="279"/>
      <c r="E15" s="280"/>
      <c r="F15" s="339">
        <f t="shared" ref="F15:F18" si="1">+G15+H15</f>
        <v>0</v>
      </c>
      <c r="G15" s="281">
        <v>0</v>
      </c>
      <c r="H15" s="281">
        <v>0</v>
      </c>
      <c r="I15" s="358" t="str">
        <f>IFERROR(F15/#REF!,"-")</f>
        <v>-</v>
      </c>
      <c r="J15" s="339">
        <f t="shared" ref="J15:J18" si="2">+K15+L15</f>
        <v>0</v>
      </c>
      <c r="K15" s="281">
        <f t="shared" ref="K15:K18" si="3">G15</f>
        <v>0</v>
      </c>
      <c r="L15" s="281">
        <f t="shared" ref="L15:L18" si="4">H15</f>
        <v>0</v>
      </c>
      <c r="M15" s="343" t="str">
        <f t="shared" ref="M15:M18" si="5">IFERROR(J15/D15,"-")</f>
        <v>-</v>
      </c>
      <c r="N15" s="268" t="str">
        <f t="shared" si="0"/>
        <v>-</v>
      </c>
      <c r="O15" s="519">
        <v>2.3978999999999999</v>
      </c>
      <c r="P15" s="410">
        <f t="shared" ref="P15:P18" si="6">+O15*G15</f>
        <v>0</v>
      </c>
      <c r="Q15" s="459">
        <f t="shared" ref="Q15:Q18" si="7">+O15*K15</f>
        <v>0</v>
      </c>
    </row>
    <row r="16" spans="1:17" ht="23.4" x14ac:dyDescent="0.3">
      <c r="A16" s="277" t="s">
        <v>111</v>
      </c>
      <c r="B16" s="444"/>
      <c r="C16" s="278" t="s">
        <v>273</v>
      </c>
      <c r="D16" s="279"/>
      <c r="E16" s="280"/>
      <c r="F16" s="339">
        <f t="shared" si="1"/>
        <v>0</v>
      </c>
      <c r="G16" s="281">
        <v>0</v>
      </c>
      <c r="H16" s="281">
        <v>0</v>
      </c>
      <c r="I16" s="358" t="str">
        <f>IFERROR(F16/#REF!,"-")</f>
        <v>-</v>
      </c>
      <c r="J16" s="339">
        <f t="shared" si="2"/>
        <v>0</v>
      </c>
      <c r="K16" s="281">
        <f t="shared" si="3"/>
        <v>0</v>
      </c>
      <c r="L16" s="251">
        <f t="shared" si="4"/>
        <v>0</v>
      </c>
      <c r="M16" s="343" t="str">
        <f t="shared" si="5"/>
        <v>-</v>
      </c>
      <c r="N16" s="268" t="str">
        <f>IFERROR(L16/J16,"-")</f>
        <v>-</v>
      </c>
      <c r="O16" s="519">
        <v>4.0426000000000002</v>
      </c>
      <c r="P16" s="410">
        <f t="shared" si="6"/>
        <v>0</v>
      </c>
      <c r="Q16" s="459">
        <f t="shared" si="7"/>
        <v>0</v>
      </c>
    </row>
    <row r="17" spans="1:17" ht="23.4" x14ac:dyDescent="0.3">
      <c r="A17" s="277"/>
      <c r="B17" s="461"/>
      <c r="C17" s="278" t="s">
        <v>372</v>
      </c>
      <c r="D17" s="283"/>
      <c r="E17" s="284"/>
      <c r="F17" s="339">
        <f t="shared" si="1"/>
        <v>54796</v>
      </c>
      <c r="G17" s="285">
        <v>53600</v>
      </c>
      <c r="H17" s="285">
        <v>1196</v>
      </c>
      <c r="I17" s="358" t="str">
        <f>IFERROR(F17/#REF!,"-")</f>
        <v>-</v>
      </c>
      <c r="J17" s="339">
        <f t="shared" si="2"/>
        <v>54796</v>
      </c>
      <c r="K17" s="281">
        <f t="shared" si="3"/>
        <v>53600</v>
      </c>
      <c r="L17" s="286">
        <f t="shared" si="4"/>
        <v>1196</v>
      </c>
      <c r="M17" s="343" t="str">
        <f t="shared" si="5"/>
        <v>-</v>
      </c>
      <c r="N17" s="268">
        <f>IFERROR(L17/J17,"-")</f>
        <v>2.1826410686911452E-2</v>
      </c>
      <c r="O17" s="520">
        <v>12.284700000000001</v>
      </c>
      <c r="P17" s="410">
        <f t="shared" si="6"/>
        <v>658459.92000000004</v>
      </c>
      <c r="Q17" s="459">
        <f t="shared" si="7"/>
        <v>658459.92000000004</v>
      </c>
    </row>
    <row r="18" spans="1:17" ht="24" thickBot="1" x14ac:dyDescent="0.35">
      <c r="A18" s="277" t="s">
        <v>111</v>
      </c>
      <c r="B18" s="461"/>
      <c r="C18" s="278" t="s">
        <v>361</v>
      </c>
      <c r="D18" s="283"/>
      <c r="E18" s="284"/>
      <c r="F18" s="340">
        <f t="shared" si="1"/>
        <v>0</v>
      </c>
      <c r="G18" s="285">
        <v>0</v>
      </c>
      <c r="H18" s="285">
        <v>0</v>
      </c>
      <c r="I18" s="359" t="str">
        <f>IFERROR(F18/#REF!,"-")</f>
        <v>-</v>
      </c>
      <c r="J18" s="340">
        <f t="shared" si="2"/>
        <v>0</v>
      </c>
      <c r="K18" s="281">
        <f t="shared" si="3"/>
        <v>0</v>
      </c>
      <c r="L18" s="286">
        <f t="shared" si="4"/>
        <v>0</v>
      </c>
      <c r="M18" s="344" t="str">
        <f t="shared" si="5"/>
        <v>-</v>
      </c>
      <c r="N18" s="350" t="str">
        <f t="shared" ref="N18:N30" si="8">IFERROR(L18/J18,"-")</f>
        <v>-</v>
      </c>
      <c r="O18" s="520">
        <v>4.6797000000000004</v>
      </c>
      <c r="P18" s="411">
        <f t="shared" si="6"/>
        <v>0</v>
      </c>
      <c r="Q18" s="460">
        <f t="shared" si="7"/>
        <v>0</v>
      </c>
    </row>
    <row r="19" spans="1:17" ht="24" thickBot="1" x14ac:dyDescent="0.35">
      <c r="A19" s="277" t="s">
        <v>111</v>
      </c>
      <c r="B19" s="906" t="s">
        <v>21</v>
      </c>
      <c r="C19" s="907"/>
      <c r="D19" s="326">
        <f>SUM(D14:D18)</f>
        <v>0</v>
      </c>
      <c r="E19" s="289">
        <v>15000</v>
      </c>
      <c r="F19" s="326">
        <f>SUM(F14:F18)</f>
        <v>54796</v>
      </c>
      <c r="G19" s="327">
        <f>SUM(G14:G18)</f>
        <v>53600</v>
      </c>
      <c r="H19" s="327">
        <f>SUM(H14:H18)</f>
        <v>1196</v>
      </c>
      <c r="I19" s="351" t="str">
        <f>IFERROR(F19/#REF!,"-")</f>
        <v>-</v>
      </c>
      <c r="J19" s="326">
        <f>SUM(J14:J18)</f>
        <v>54796</v>
      </c>
      <c r="K19" s="327">
        <f>SUM(K14:K18)</f>
        <v>53600</v>
      </c>
      <c r="L19" s="328">
        <f>SUM(L14:L18)</f>
        <v>1196</v>
      </c>
      <c r="M19" s="345" t="str">
        <f>IFERROR(J19/D19,"-")</f>
        <v>-</v>
      </c>
      <c r="N19" s="351">
        <f t="shared" si="8"/>
        <v>2.1826410686911452E-2</v>
      </c>
      <c r="O19" s="397"/>
      <c r="P19" s="412">
        <f>SUM(P14:P18)</f>
        <v>658459.92000000004</v>
      </c>
      <c r="Q19" s="431">
        <f>SUM(Q14:Q18)</f>
        <v>658459.92000000004</v>
      </c>
    </row>
    <row r="20" spans="1:17" ht="23.4" x14ac:dyDescent="0.3">
      <c r="A20" s="277" t="s">
        <v>111</v>
      </c>
      <c r="B20" s="445"/>
      <c r="C20" s="272" t="s">
        <v>270</v>
      </c>
      <c r="D20" s="273"/>
      <c r="E20" s="274"/>
      <c r="F20" s="338">
        <f t="shared" ref="F20:F26" si="9">+G20+H20</f>
        <v>0</v>
      </c>
      <c r="G20" s="275">
        <v>0</v>
      </c>
      <c r="H20" s="275">
        <v>0</v>
      </c>
      <c r="I20" s="357" t="str">
        <f>IFERROR(F20/#REF!,"-")</f>
        <v>-</v>
      </c>
      <c r="J20" s="338">
        <f t="shared" ref="J20:J26" si="10">+K20+L20</f>
        <v>0</v>
      </c>
      <c r="K20" s="275">
        <f t="shared" ref="K20:K26" si="11">G20</f>
        <v>0</v>
      </c>
      <c r="L20" s="276">
        <f t="shared" ref="L20:L26" si="12">H20</f>
        <v>0</v>
      </c>
      <c r="M20" s="342" t="str">
        <f t="shared" ref="M20:M28" si="13">IFERROR(J20/D20,"-")</f>
        <v>-</v>
      </c>
      <c r="N20" s="352" t="str">
        <f t="shared" si="8"/>
        <v>-</v>
      </c>
      <c r="O20" s="518">
        <v>18.2316</v>
      </c>
      <c r="P20" s="408">
        <f t="shared" ref="P20:P26" si="14">+O20*G20</f>
        <v>0</v>
      </c>
      <c r="Q20" s="457">
        <f t="shared" ref="Q20:Q26" si="15">+O20*K20</f>
        <v>0</v>
      </c>
    </row>
    <row r="21" spans="1:17" ht="23.4" x14ac:dyDescent="0.3">
      <c r="A21" s="277" t="s">
        <v>111</v>
      </c>
      <c r="B21" s="444"/>
      <c r="C21" s="278" t="s">
        <v>92</v>
      </c>
      <c r="D21" s="279"/>
      <c r="E21" s="280"/>
      <c r="F21" s="339">
        <f t="shared" si="9"/>
        <v>0</v>
      </c>
      <c r="G21" s="281">
        <v>0</v>
      </c>
      <c r="H21" s="281">
        <v>0</v>
      </c>
      <c r="I21" s="358" t="str">
        <f>IFERROR(F21/#REF!,"-")</f>
        <v>-</v>
      </c>
      <c r="J21" s="339">
        <f t="shared" si="10"/>
        <v>0</v>
      </c>
      <c r="K21" s="281">
        <f t="shared" si="11"/>
        <v>0</v>
      </c>
      <c r="L21" s="251">
        <f t="shared" si="12"/>
        <v>0</v>
      </c>
      <c r="M21" s="343" t="str">
        <f t="shared" si="13"/>
        <v>-</v>
      </c>
      <c r="N21" s="264" t="str">
        <f t="shared" si="8"/>
        <v>-</v>
      </c>
      <c r="O21" s="519">
        <v>0</v>
      </c>
      <c r="P21" s="410">
        <f t="shared" si="14"/>
        <v>0</v>
      </c>
      <c r="Q21" s="459">
        <f t="shared" si="15"/>
        <v>0</v>
      </c>
    </row>
    <row r="22" spans="1:17" ht="23.4" x14ac:dyDescent="0.3">
      <c r="A22" s="277" t="s">
        <v>111</v>
      </c>
      <c r="B22" s="444"/>
      <c r="C22" s="278" t="s">
        <v>340</v>
      </c>
      <c r="D22" s="279"/>
      <c r="E22" s="280"/>
      <c r="F22" s="339">
        <f t="shared" si="9"/>
        <v>0</v>
      </c>
      <c r="G22" s="281">
        <v>0</v>
      </c>
      <c r="H22" s="281">
        <v>0</v>
      </c>
      <c r="I22" s="358" t="str">
        <f>IFERROR(F22/#REF!,"-")</f>
        <v>-</v>
      </c>
      <c r="J22" s="339">
        <f t="shared" si="10"/>
        <v>0</v>
      </c>
      <c r="K22" s="281">
        <f t="shared" si="11"/>
        <v>0</v>
      </c>
      <c r="L22" s="251">
        <f t="shared" si="12"/>
        <v>0</v>
      </c>
      <c r="M22" s="343" t="str">
        <f t="shared" si="13"/>
        <v>-</v>
      </c>
      <c r="N22" s="264" t="str">
        <f t="shared" si="8"/>
        <v>-</v>
      </c>
      <c r="O22" s="519">
        <v>5.7342000000000004</v>
      </c>
      <c r="P22" s="410">
        <f t="shared" si="14"/>
        <v>0</v>
      </c>
      <c r="Q22" s="459">
        <f t="shared" si="15"/>
        <v>0</v>
      </c>
    </row>
    <row r="23" spans="1:17" ht="23.4" x14ac:dyDescent="0.3">
      <c r="A23" s="277" t="s">
        <v>111</v>
      </c>
      <c r="B23" s="444"/>
      <c r="C23" s="278" t="s">
        <v>363</v>
      </c>
      <c r="D23" s="279"/>
      <c r="E23" s="280"/>
      <c r="F23" s="339">
        <f t="shared" si="9"/>
        <v>0</v>
      </c>
      <c r="G23" s="281">
        <v>0</v>
      </c>
      <c r="H23" s="281">
        <v>0</v>
      </c>
      <c r="I23" s="358" t="str">
        <f>IFERROR(F23/#REF!,"-")</f>
        <v>-</v>
      </c>
      <c r="J23" s="339">
        <f t="shared" si="10"/>
        <v>0</v>
      </c>
      <c r="K23" s="281">
        <f t="shared" si="11"/>
        <v>0</v>
      </c>
      <c r="L23" s="251">
        <f t="shared" si="12"/>
        <v>0</v>
      </c>
      <c r="M23" s="343" t="str">
        <f t="shared" si="13"/>
        <v>-</v>
      </c>
      <c r="N23" s="264" t="str">
        <f t="shared" si="8"/>
        <v>-</v>
      </c>
      <c r="O23" s="519"/>
      <c r="P23" s="410">
        <f t="shared" si="14"/>
        <v>0</v>
      </c>
      <c r="Q23" s="459">
        <f t="shared" si="15"/>
        <v>0</v>
      </c>
    </row>
    <row r="24" spans="1:17" ht="23.4" x14ac:dyDescent="0.3">
      <c r="A24" s="277" t="s">
        <v>111</v>
      </c>
      <c r="B24" s="444"/>
      <c r="C24" s="278" t="s">
        <v>373</v>
      </c>
      <c r="D24" s="279"/>
      <c r="E24" s="280"/>
      <c r="F24" s="339">
        <f t="shared" si="9"/>
        <v>36158</v>
      </c>
      <c r="G24" s="281">
        <v>36000</v>
      </c>
      <c r="H24" s="281">
        <v>158</v>
      </c>
      <c r="I24" s="358" t="str">
        <f>IFERROR(F24/#REF!,"-")</f>
        <v>-</v>
      </c>
      <c r="J24" s="339">
        <f t="shared" si="10"/>
        <v>36158</v>
      </c>
      <c r="K24" s="281">
        <f t="shared" si="11"/>
        <v>36000</v>
      </c>
      <c r="L24" s="251">
        <f t="shared" si="12"/>
        <v>158</v>
      </c>
      <c r="M24" s="343" t="str">
        <f t="shared" si="13"/>
        <v>-</v>
      </c>
      <c r="N24" s="264">
        <f t="shared" si="8"/>
        <v>4.3697107140881685E-3</v>
      </c>
      <c r="O24" s="519">
        <v>12.029500000000001</v>
      </c>
      <c r="P24" s="410">
        <f t="shared" si="14"/>
        <v>433062</v>
      </c>
      <c r="Q24" s="459">
        <f t="shared" si="15"/>
        <v>433062</v>
      </c>
    </row>
    <row r="25" spans="1:17" ht="23.4" x14ac:dyDescent="0.3">
      <c r="A25" s="277" t="s">
        <v>111</v>
      </c>
      <c r="B25" s="444"/>
      <c r="C25" s="278"/>
      <c r="D25" s="279"/>
      <c r="E25" s="280"/>
      <c r="F25" s="339">
        <f t="shared" si="9"/>
        <v>0</v>
      </c>
      <c r="G25" s="281">
        <v>0</v>
      </c>
      <c r="H25" s="281">
        <v>0</v>
      </c>
      <c r="I25" s="358" t="str">
        <f>IFERROR(F25/#REF!,"-")</f>
        <v>-</v>
      </c>
      <c r="J25" s="339">
        <f t="shared" si="10"/>
        <v>0</v>
      </c>
      <c r="K25" s="281">
        <f t="shared" si="11"/>
        <v>0</v>
      </c>
      <c r="L25" s="251">
        <f t="shared" si="12"/>
        <v>0</v>
      </c>
      <c r="M25" s="343" t="str">
        <f t="shared" si="13"/>
        <v>-</v>
      </c>
      <c r="N25" s="264" t="str">
        <f t="shared" si="8"/>
        <v>-</v>
      </c>
      <c r="O25" s="519"/>
      <c r="P25" s="410">
        <f t="shared" si="14"/>
        <v>0</v>
      </c>
      <c r="Q25" s="459">
        <f t="shared" si="15"/>
        <v>0</v>
      </c>
    </row>
    <row r="26" spans="1:17" ht="24" thickBot="1" x14ac:dyDescent="0.35">
      <c r="A26" s="277" t="s">
        <v>111</v>
      </c>
      <c r="B26" s="461"/>
      <c r="C26" s="282"/>
      <c r="D26" s="283">
        <v>0</v>
      </c>
      <c r="E26" s="284"/>
      <c r="F26" s="340">
        <f t="shared" si="9"/>
        <v>0</v>
      </c>
      <c r="G26" s="285">
        <v>0</v>
      </c>
      <c r="H26" s="285">
        <v>0</v>
      </c>
      <c r="I26" s="359" t="str">
        <f>IFERROR(F26/#REF!,"-")</f>
        <v>-</v>
      </c>
      <c r="J26" s="340">
        <f t="shared" si="10"/>
        <v>0</v>
      </c>
      <c r="K26" s="285">
        <f t="shared" si="11"/>
        <v>0</v>
      </c>
      <c r="L26" s="286">
        <f t="shared" si="12"/>
        <v>0</v>
      </c>
      <c r="M26" s="344" t="str">
        <f t="shared" si="13"/>
        <v>-</v>
      </c>
      <c r="N26" s="353" t="str">
        <f t="shared" si="8"/>
        <v>-</v>
      </c>
      <c r="O26" s="520"/>
      <c r="P26" s="411">
        <f t="shared" si="14"/>
        <v>0</v>
      </c>
      <c r="Q26" s="460">
        <f t="shared" si="15"/>
        <v>0</v>
      </c>
    </row>
    <row r="27" spans="1:17" ht="24" thickBot="1" x14ac:dyDescent="0.35">
      <c r="A27" s="277" t="s">
        <v>111</v>
      </c>
      <c r="B27" s="906" t="s">
        <v>25</v>
      </c>
      <c r="C27" s="907"/>
      <c r="D27" s="326">
        <f t="shared" ref="D27" si="16">SUM(D20:D26)</f>
        <v>0</v>
      </c>
      <c r="E27" s="289">
        <v>100000</v>
      </c>
      <c r="F27" s="326">
        <f>SUM(F20:F26)</f>
        <v>36158</v>
      </c>
      <c r="G27" s="327">
        <f t="shared" ref="G27:H27" si="17">SUM(G20:G26)</f>
        <v>36000</v>
      </c>
      <c r="H27" s="327">
        <f t="shared" si="17"/>
        <v>158</v>
      </c>
      <c r="I27" s="351" t="str">
        <f>IFERROR(F27/#REF!,"-")</f>
        <v>-</v>
      </c>
      <c r="J27" s="326">
        <f t="shared" ref="J27:L27" si="18">SUM(J20:J26)</f>
        <v>36158</v>
      </c>
      <c r="K27" s="327">
        <f t="shared" si="18"/>
        <v>36000</v>
      </c>
      <c r="L27" s="328">
        <f t="shared" si="18"/>
        <v>158</v>
      </c>
      <c r="M27" s="345" t="str">
        <f t="shared" si="13"/>
        <v>-</v>
      </c>
      <c r="N27" s="351">
        <f t="shared" si="8"/>
        <v>4.3697107140881685E-3</v>
      </c>
      <c r="O27" s="397"/>
      <c r="P27" s="412">
        <f t="shared" ref="P27:Q27" si="19">SUM(P20:P26)</f>
        <v>433062</v>
      </c>
      <c r="Q27" s="431">
        <f t="shared" si="19"/>
        <v>433062</v>
      </c>
    </row>
    <row r="28" spans="1:17" ht="24" thickBot="1" x14ac:dyDescent="0.35">
      <c r="A28" s="277" t="s">
        <v>111</v>
      </c>
      <c r="B28" s="985" t="s">
        <v>181</v>
      </c>
      <c r="C28" s="986"/>
      <c r="D28" s="332">
        <f>+D19+D27</f>
        <v>0</v>
      </c>
      <c r="E28" s="333">
        <f t="shared" ref="E28:H28" si="20">+E19+E27</f>
        <v>115000</v>
      </c>
      <c r="F28" s="332">
        <f t="shared" si="20"/>
        <v>90954</v>
      </c>
      <c r="G28" s="330">
        <f t="shared" si="20"/>
        <v>89600</v>
      </c>
      <c r="H28" s="330">
        <f t="shared" si="20"/>
        <v>1354</v>
      </c>
      <c r="I28" s="355" t="str">
        <f>IFERROR(F28/#REF!,"-")</f>
        <v>-</v>
      </c>
      <c r="J28" s="332">
        <f t="shared" ref="J28:L28" si="21">+J19+J27</f>
        <v>90954</v>
      </c>
      <c r="K28" s="330">
        <f t="shared" si="21"/>
        <v>89600</v>
      </c>
      <c r="L28" s="331">
        <f t="shared" si="21"/>
        <v>1354</v>
      </c>
      <c r="M28" s="347" t="str">
        <f t="shared" si="13"/>
        <v>-</v>
      </c>
      <c r="N28" s="355">
        <f t="shared" si="8"/>
        <v>1.4886645996877543E-2</v>
      </c>
      <c r="O28" s="400"/>
      <c r="P28" s="416">
        <f t="shared" ref="P28:Q28" si="22">+P19+P27</f>
        <v>1091521.92</v>
      </c>
      <c r="Q28" s="434">
        <f t="shared" si="22"/>
        <v>1091521.92</v>
      </c>
    </row>
    <row r="29" spans="1:17" ht="23.4" x14ac:dyDescent="0.3">
      <c r="A29" s="244" t="s">
        <v>109</v>
      </c>
      <c r="B29" s="599"/>
      <c r="C29" s="600" t="s">
        <v>314</v>
      </c>
      <c r="D29" s="540"/>
      <c r="E29" s="470"/>
      <c r="F29" s="468">
        <f>+G29+H29</f>
        <v>0</v>
      </c>
      <c r="G29" s="469">
        <v>0</v>
      </c>
      <c r="H29" s="469">
        <v>0</v>
      </c>
      <c r="I29" s="544" t="str">
        <f>IFERROR(F29/#REF!,"-")</f>
        <v>-</v>
      </c>
      <c r="J29" s="468">
        <f>+K29+L29</f>
        <v>0</v>
      </c>
      <c r="K29" s="469">
        <f t="shared" ref="K29:K35" si="23">G29</f>
        <v>0</v>
      </c>
      <c r="L29" s="247">
        <f t="shared" ref="L29:L35" si="24">H29</f>
        <v>0</v>
      </c>
      <c r="M29" s="604" t="str">
        <f>IFERROR(J29/D29,"-")</f>
        <v>-</v>
      </c>
      <c r="N29" s="546" t="str">
        <f t="shared" si="8"/>
        <v>-</v>
      </c>
      <c r="O29" s="648">
        <v>4.8285999999999998</v>
      </c>
      <c r="P29" s="547">
        <f t="shared" ref="P29:P35" si="25">+O29*G29</f>
        <v>0</v>
      </c>
      <c r="Q29" s="548">
        <f>+O29*K29</f>
        <v>0</v>
      </c>
    </row>
    <row r="30" spans="1:17" ht="23.4" x14ac:dyDescent="0.3">
      <c r="A30" s="248" t="s">
        <v>109</v>
      </c>
      <c r="B30" s="601"/>
      <c r="C30" s="278" t="s">
        <v>315</v>
      </c>
      <c r="D30" s="279"/>
      <c r="E30" s="442"/>
      <c r="F30" s="339">
        <f t="shared" ref="F30:F35" si="26">+G30+H30</f>
        <v>0</v>
      </c>
      <c r="G30" s="281">
        <v>0</v>
      </c>
      <c r="H30" s="281">
        <v>0</v>
      </c>
      <c r="I30" s="358" t="str">
        <f>IFERROR(F30/#REF!,"-")</f>
        <v>-</v>
      </c>
      <c r="J30" s="339">
        <f t="shared" ref="J30:J35" si="27">+K30+L30</f>
        <v>0</v>
      </c>
      <c r="K30" s="281">
        <f t="shared" si="23"/>
        <v>0</v>
      </c>
      <c r="L30" s="251">
        <f t="shared" si="24"/>
        <v>0</v>
      </c>
      <c r="M30" s="343" t="str">
        <f t="shared" ref="M30:M32" si="28">IFERROR(J30/D30,"-")</f>
        <v>-</v>
      </c>
      <c r="N30" s="268" t="str">
        <f t="shared" si="8"/>
        <v>-</v>
      </c>
      <c r="O30" s="649">
        <v>1.4086000000000001</v>
      </c>
      <c r="P30" s="410">
        <f t="shared" si="25"/>
        <v>0</v>
      </c>
      <c r="Q30" s="459">
        <f t="shared" ref="Q30:Q35" si="29">+O30*K30</f>
        <v>0</v>
      </c>
    </row>
    <row r="31" spans="1:17" ht="23.4" x14ac:dyDescent="0.3">
      <c r="A31" s="248" t="s">
        <v>109</v>
      </c>
      <c r="B31" s="601"/>
      <c r="C31" s="278" t="s">
        <v>367</v>
      </c>
      <c r="D31" s="279"/>
      <c r="E31" s="442"/>
      <c r="F31" s="339">
        <f t="shared" si="26"/>
        <v>101250</v>
      </c>
      <c r="G31" s="281">
        <v>100000</v>
      </c>
      <c r="H31" s="281">
        <v>1250</v>
      </c>
      <c r="I31" s="358" t="str">
        <f>IFERROR(F31/#REF!,"-")</f>
        <v>-</v>
      </c>
      <c r="J31" s="339">
        <f t="shared" si="27"/>
        <v>101250</v>
      </c>
      <c r="K31" s="281">
        <f t="shared" si="23"/>
        <v>100000</v>
      </c>
      <c r="L31" s="251">
        <f t="shared" si="24"/>
        <v>1250</v>
      </c>
      <c r="M31" s="343" t="str">
        <f t="shared" si="28"/>
        <v>-</v>
      </c>
      <c r="N31" s="268">
        <f>IFERROR(L31/J31,"-")</f>
        <v>1.2345679012345678E-2</v>
      </c>
      <c r="O31" s="649">
        <v>2.2141000000000002</v>
      </c>
      <c r="P31" s="410">
        <f t="shared" si="25"/>
        <v>221410.00000000003</v>
      </c>
      <c r="Q31" s="459">
        <f t="shared" si="29"/>
        <v>221410.00000000003</v>
      </c>
    </row>
    <row r="32" spans="1:17" ht="23.4" x14ac:dyDescent="0.3">
      <c r="A32" s="248" t="s">
        <v>109</v>
      </c>
      <c r="B32" s="602"/>
      <c r="C32" s="278" t="s">
        <v>399</v>
      </c>
      <c r="D32" s="283"/>
      <c r="E32" s="541"/>
      <c r="F32" s="340">
        <f t="shared" si="26"/>
        <v>0</v>
      </c>
      <c r="G32" s="285">
        <v>0</v>
      </c>
      <c r="H32" s="285">
        <v>0</v>
      </c>
      <c r="I32" s="359" t="str">
        <f>IFERROR(F32/#REF!,"-")</f>
        <v>-</v>
      </c>
      <c r="J32" s="339">
        <f t="shared" si="27"/>
        <v>0</v>
      </c>
      <c r="K32" s="285">
        <f>G32</f>
        <v>0</v>
      </c>
      <c r="L32" s="286">
        <f t="shared" si="24"/>
        <v>0</v>
      </c>
      <c r="M32" s="344" t="str">
        <f t="shared" si="28"/>
        <v>-</v>
      </c>
      <c r="N32" s="350" t="str">
        <f t="shared" ref="N32:N39" si="30">IFERROR(L32/J32,"-")</f>
        <v>-</v>
      </c>
      <c r="O32" s="650">
        <v>2.6406000000000001</v>
      </c>
      <c r="P32" s="411">
        <f t="shared" si="25"/>
        <v>0</v>
      </c>
      <c r="Q32" s="460">
        <f t="shared" si="29"/>
        <v>0</v>
      </c>
    </row>
    <row r="33" spans="1:17" ht="23.4" x14ac:dyDescent="0.3">
      <c r="A33" s="248" t="s">
        <v>109</v>
      </c>
      <c r="B33" s="446"/>
      <c r="C33" s="647" t="s">
        <v>398</v>
      </c>
      <c r="D33" s="521"/>
      <c r="E33" s="542"/>
      <c r="F33" s="339">
        <f t="shared" si="26"/>
        <v>0</v>
      </c>
      <c r="G33" s="561">
        <v>0</v>
      </c>
      <c r="H33" s="561">
        <v>0</v>
      </c>
      <c r="I33" s="358" t="str">
        <f>IFERROR(F33/#REF!,"-")</f>
        <v>-</v>
      </c>
      <c r="J33" s="339">
        <f t="shared" si="27"/>
        <v>0</v>
      </c>
      <c r="K33" s="285">
        <f t="shared" si="23"/>
        <v>0</v>
      </c>
      <c r="L33" s="286">
        <f t="shared" si="24"/>
        <v>0</v>
      </c>
      <c r="M33" s="522"/>
      <c r="N33" s="268" t="str">
        <f t="shared" si="30"/>
        <v>-</v>
      </c>
      <c r="O33" s="553">
        <v>4.4065000000000003</v>
      </c>
      <c r="P33" s="410">
        <f t="shared" si="25"/>
        <v>0</v>
      </c>
      <c r="Q33" s="459">
        <f t="shared" si="29"/>
        <v>0</v>
      </c>
    </row>
    <row r="34" spans="1:17" ht="23.4" x14ac:dyDescent="0.3">
      <c r="A34" s="248" t="s">
        <v>109</v>
      </c>
      <c r="B34" s="603"/>
      <c r="C34" s="272"/>
      <c r="D34" s="273"/>
      <c r="E34" s="441"/>
      <c r="F34" s="338">
        <f t="shared" si="26"/>
        <v>0</v>
      </c>
      <c r="G34" s="275"/>
      <c r="H34" s="275"/>
      <c r="I34" s="357" t="str">
        <f>IFERROR(F34/#REF!,"-")</f>
        <v>-</v>
      </c>
      <c r="J34" s="339">
        <f t="shared" si="27"/>
        <v>0</v>
      </c>
      <c r="K34" s="285">
        <f t="shared" si="23"/>
        <v>0</v>
      </c>
      <c r="L34" s="286">
        <f t="shared" si="24"/>
        <v>0</v>
      </c>
      <c r="M34" s="342" t="str">
        <f t="shared" ref="M34:M35" si="31">IFERROR(J34/D34,"-")</f>
        <v>-</v>
      </c>
      <c r="N34" s="352" t="str">
        <f t="shared" si="30"/>
        <v>-</v>
      </c>
      <c r="O34" s="456"/>
      <c r="P34" s="408">
        <f t="shared" si="25"/>
        <v>0</v>
      </c>
      <c r="Q34" s="457">
        <f t="shared" si="29"/>
        <v>0</v>
      </c>
    </row>
    <row r="35" spans="1:17" ht="24" thickBot="1" x14ac:dyDescent="0.35">
      <c r="A35" s="248" t="s">
        <v>109</v>
      </c>
      <c r="B35" s="601"/>
      <c r="C35" s="278"/>
      <c r="D35" s="279"/>
      <c r="E35" s="442"/>
      <c r="F35" s="339">
        <f t="shared" si="26"/>
        <v>0</v>
      </c>
      <c r="G35" s="281"/>
      <c r="H35" s="281"/>
      <c r="I35" s="358" t="str">
        <f>IFERROR(F35/#REF!,"-")</f>
        <v>-</v>
      </c>
      <c r="J35" s="339">
        <f t="shared" si="27"/>
        <v>0</v>
      </c>
      <c r="K35" s="281">
        <f t="shared" si="23"/>
        <v>0</v>
      </c>
      <c r="L35" s="251">
        <f t="shared" si="24"/>
        <v>0</v>
      </c>
      <c r="M35" s="343" t="str">
        <f t="shared" si="31"/>
        <v>-</v>
      </c>
      <c r="N35" s="264" t="str">
        <f t="shared" si="30"/>
        <v>-</v>
      </c>
      <c r="O35" s="458"/>
      <c r="P35" s="410">
        <f t="shared" si="25"/>
        <v>0</v>
      </c>
      <c r="Q35" s="459">
        <f t="shared" si="29"/>
        <v>0</v>
      </c>
    </row>
    <row r="36" spans="1:17" ht="24" thickBot="1" x14ac:dyDescent="0.35">
      <c r="A36" s="277" t="s">
        <v>109</v>
      </c>
      <c r="B36" s="987" t="s">
        <v>21</v>
      </c>
      <c r="C36" s="925"/>
      <c r="D36" s="326">
        <v>0</v>
      </c>
      <c r="E36" s="289">
        <v>15000</v>
      </c>
      <c r="F36" s="326">
        <f>SUM(F29:F35)</f>
        <v>101250</v>
      </c>
      <c r="G36" s="327">
        <f t="shared" ref="G36:H36" si="32">SUM(G29:G35)</f>
        <v>100000</v>
      </c>
      <c r="H36" s="327">
        <f t="shared" si="32"/>
        <v>1250</v>
      </c>
      <c r="I36" s="351" t="str">
        <f>IFERROR(F36/#REF!,"-")</f>
        <v>-</v>
      </c>
      <c r="J36" s="326">
        <f t="shared" ref="J36" si="33">SUM(J29:J35)</f>
        <v>101250</v>
      </c>
      <c r="K36" s="327">
        <f>SUM(K29:K35)</f>
        <v>100000</v>
      </c>
      <c r="L36" s="327">
        <f>SUM(L29:L35)</f>
        <v>1250</v>
      </c>
      <c r="M36" s="345" t="str">
        <f>IFERROR(J36/D36,"-")</f>
        <v>-</v>
      </c>
      <c r="N36" s="351">
        <f t="shared" si="30"/>
        <v>1.2345679012345678E-2</v>
      </c>
      <c r="O36" s="397"/>
      <c r="P36" s="412">
        <f>SUM(P29:P35)</f>
        <v>221410.00000000003</v>
      </c>
      <c r="Q36" s="431">
        <f>SUM(Q29:Q35)</f>
        <v>221410.00000000003</v>
      </c>
    </row>
    <row r="37" spans="1:17" ht="24" thickBot="1" x14ac:dyDescent="0.35">
      <c r="A37" s="277" t="s">
        <v>109</v>
      </c>
      <c r="B37" s="988" t="s">
        <v>275</v>
      </c>
      <c r="C37" s="989"/>
      <c r="D37" s="524">
        <f>+D33+D36</f>
        <v>0</v>
      </c>
      <c r="E37" s="538">
        <f>+E33+E36</f>
        <v>15000</v>
      </c>
      <c r="F37" s="524">
        <f>+F33+F36</f>
        <v>101250</v>
      </c>
      <c r="G37" s="526">
        <f>+G33+G36</f>
        <v>100000</v>
      </c>
      <c r="H37" s="526">
        <f>+H33+H36</f>
        <v>1250</v>
      </c>
      <c r="I37" s="527" t="str">
        <f>IFERROR(F37/#REF!,"-")</f>
        <v>-</v>
      </c>
      <c r="J37" s="524">
        <f>+J33+J36</f>
        <v>101250</v>
      </c>
      <c r="K37" s="526">
        <f>+K36</f>
        <v>100000</v>
      </c>
      <c r="L37" s="526">
        <f>+L36</f>
        <v>1250</v>
      </c>
      <c r="M37" s="528" t="str">
        <f t="shared" ref="M37" si="34">IFERROR(J37/D37,"-")</f>
        <v>-</v>
      </c>
      <c r="N37" s="527">
        <f t="shared" si="30"/>
        <v>1.2345679012345678E-2</v>
      </c>
      <c r="O37" s="529"/>
      <c r="P37" s="530">
        <f>+P36</f>
        <v>221410.00000000003</v>
      </c>
      <c r="Q37" s="530">
        <f>+Q36</f>
        <v>221410.00000000003</v>
      </c>
    </row>
    <row r="38" spans="1:17" ht="23.4" x14ac:dyDescent="0.4">
      <c r="A38" s="244" t="s">
        <v>109</v>
      </c>
      <c r="B38" s="979" t="s">
        <v>277</v>
      </c>
      <c r="C38" s="555" t="s">
        <v>74</v>
      </c>
      <c r="D38" s="540"/>
      <c r="E38" s="470"/>
      <c r="F38" s="468">
        <f>+G38+H38</f>
        <v>0</v>
      </c>
      <c r="G38" s="469">
        <v>0</v>
      </c>
      <c r="H38" s="469">
        <v>0</v>
      </c>
      <c r="I38" s="544" t="str">
        <f>IFERROR(F38/#REF!,"-")</f>
        <v>-</v>
      </c>
      <c r="J38" s="468">
        <f>+K38+L38</f>
        <v>0</v>
      </c>
      <c r="K38" s="469">
        <f t="shared" ref="K38:K66" si="35">G38</f>
        <v>0</v>
      </c>
      <c r="L38" s="246">
        <f t="shared" ref="L38:L66" si="36">H38</f>
        <v>0</v>
      </c>
      <c r="M38" s="263" t="str">
        <f>IFERROR(J38/D38,"-")</f>
        <v>-</v>
      </c>
      <c r="N38" s="546" t="str">
        <f t="shared" si="30"/>
        <v>-</v>
      </c>
      <c r="O38" s="551">
        <v>32.946300000000001</v>
      </c>
      <c r="P38" s="547">
        <f t="shared" ref="P38:P66" si="37">+O38*G38</f>
        <v>0</v>
      </c>
      <c r="Q38" s="548">
        <f t="shared" ref="Q38:Q66" si="38">+O38*K38</f>
        <v>0</v>
      </c>
    </row>
    <row r="39" spans="1:17" ht="23.4" x14ac:dyDescent="0.4">
      <c r="A39" s="248" t="s">
        <v>109</v>
      </c>
      <c r="B39" s="980"/>
      <c r="C39" s="556" t="s">
        <v>75</v>
      </c>
      <c r="D39" s="523"/>
      <c r="E39" s="442"/>
      <c r="F39" s="339">
        <f t="shared" ref="F39:F66" si="39">+G39+H39</f>
        <v>0</v>
      </c>
      <c r="G39" s="281">
        <v>0</v>
      </c>
      <c r="H39" s="281">
        <v>0</v>
      </c>
      <c r="I39" s="358" t="str">
        <f>IFERROR(F39/#REF!,"-")</f>
        <v>-</v>
      </c>
      <c r="J39" s="339">
        <f t="shared" ref="J39:J66" si="40">+K39+L39</f>
        <v>0</v>
      </c>
      <c r="K39" s="281">
        <f t="shared" si="35"/>
        <v>0</v>
      </c>
      <c r="L39" s="250">
        <f t="shared" si="36"/>
        <v>0</v>
      </c>
      <c r="M39" s="265" t="str">
        <f t="shared" ref="M39:M41" si="41">IFERROR(J39/D39,"-")</f>
        <v>-</v>
      </c>
      <c r="N39" s="268" t="str">
        <f t="shared" si="30"/>
        <v>-</v>
      </c>
      <c r="O39" s="519">
        <v>35.398400000000002</v>
      </c>
      <c r="P39" s="410">
        <f t="shared" si="37"/>
        <v>0</v>
      </c>
      <c r="Q39" s="459">
        <f t="shared" si="38"/>
        <v>0</v>
      </c>
    </row>
    <row r="40" spans="1:17" ht="24" thickBot="1" x14ac:dyDescent="0.45">
      <c r="A40" s="248" t="s">
        <v>109</v>
      </c>
      <c r="B40" s="980"/>
      <c r="C40" s="556" t="s">
        <v>76</v>
      </c>
      <c r="D40" s="279"/>
      <c r="E40" s="442"/>
      <c r="F40" s="339">
        <f t="shared" si="39"/>
        <v>5000</v>
      </c>
      <c r="G40" s="281">
        <v>5000</v>
      </c>
      <c r="H40" s="281">
        <v>0</v>
      </c>
      <c r="I40" s="358" t="str">
        <f>IFERROR(F40/#REF!,"-")</f>
        <v>-</v>
      </c>
      <c r="J40" s="339">
        <f t="shared" si="40"/>
        <v>5000</v>
      </c>
      <c r="K40" s="281">
        <f t="shared" si="35"/>
        <v>5000</v>
      </c>
      <c r="L40" s="250">
        <f t="shared" si="36"/>
        <v>0</v>
      </c>
      <c r="M40" s="265" t="str">
        <f t="shared" si="41"/>
        <v>-</v>
      </c>
      <c r="N40" s="268">
        <f>IFERROR(L40/J40,"-")</f>
        <v>0</v>
      </c>
      <c r="O40" s="519">
        <v>32.946300000000001</v>
      </c>
      <c r="P40" s="410">
        <f t="shared" si="37"/>
        <v>164731.5</v>
      </c>
      <c r="Q40" s="459">
        <f t="shared" si="38"/>
        <v>164731.5</v>
      </c>
    </row>
    <row r="41" spans="1:17" ht="23.4" x14ac:dyDescent="0.4">
      <c r="A41" s="248" t="s">
        <v>109</v>
      </c>
      <c r="B41" s="979" t="s">
        <v>278</v>
      </c>
      <c r="C41" s="558" t="s">
        <v>78</v>
      </c>
      <c r="D41" s="279"/>
      <c r="E41" s="541"/>
      <c r="F41" s="340">
        <f t="shared" si="39"/>
        <v>2882</v>
      </c>
      <c r="G41" s="281">
        <v>2400</v>
      </c>
      <c r="H41" s="281">
        <v>482</v>
      </c>
      <c r="I41" s="358" t="str">
        <f>IFERROR(F41/#REF!,"-")</f>
        <v>-</v>
      </c>
      <c r="J41" s="339">
        <f t="shared" si="40"/>
        <v>2882</v>
      </c>
      <c r="K41" s="281">
        <f t="shared" si="35"/>
        <v>2400</v>
      </c>
      <c r="L41" s="250">
        <f t="shared" si="36"/>
        <v>482</v>
      </c>
      <c r="M41" s="265" t="str">
        <f t="shared" si="41"/>
        <v>-</v>
      </c>
      <c r="N41" s="268">
        <f t="shared" ref="N41" si="42">IFERROR(L41/J41,"-")</f>
        <v>0.16724496877168632</v>
      </c>
      <c r="O41" s="519">
        <v>55.4758</v>
      </c>
      <c r="P41" s="410">
        <f t="shared" si="37"/>
        <v>133141.92000000001</v>
      </c>
      <c r="Q41" s="459">
        <f t="shared" si="38"/>
        <v>133141.92000000001</v>
      </c>
    </row>
    <row r="42" spans="1:17" ht="23.4" x14ac:dyDescent="0.4">
      <c r="A42" s="248" t="s">
        <v>109</v>
      </c>
      <c r="B42" s="980"/>
      <c r="C42" s="558" t="s">
        <v>75</v>
      </c>
      <c r="D42" s="279"/>
      <c r="E42" s="542"/>
      <c r="F42" s="340">
        <f t="shared" si="39"/>
        <v>0</v>
      </c>
      <c r="G42" s="281"/>
      <c r="H42" s="281"/>
      <c r="I42" s="358" t="str">
        <f>IFERROR(F42/#REF!,"-")</f>
        <v>-</v>
      </c>
      <c r="J42" s="339">
        <f t="shared" si="40"/>
        <v>0</v>
      </c>
      <c r="K42" s="281">
        <f t="shared" si="35"/>
        <v>0</v>
      </c>
      <c r="L42" s="250">
        <f t="shared" si="36"/>
        <v>0</v>
      </c>
      <c r="M42" s="522"/>
      <c r="N42" s="378"/>
      <c r="O42" s="553">
        <v>58.836300000000001</v>
      </c>
      <c r="P42" s="410">
        <f t="shared" si="37"/>
        <v>0</v>
      </c>
      <c r="Q42" s="459">
        <f t="shared" si="38"/>
        <v>0</v>
      </c>
    </row>
    <row r="43" spans="1:17" ht="24" thickBot="1" x14ac:dyDescent="0.45">
      <c r="A43" s="248" t="s">
        <v>109</v>
      </c>
      <c r="B43" s="981"/>
      <c r="C43" s="558" t="s">
        <v>142</v>
      </c>
      <c r="D43" s="279"/>
      <c r="E43" s="441"/>
      <c r="F43" s="340">
        <f t="shared" si="39"/>
        <v>0</v>
      </c>
      <c r="G43" s="281">
        <v>0</v>
      </c>
      <c r="H43" s="281">
        <v>0</v>
      </c>
      <c r="I43" s="358" t="str">
        <f>IFERROR(F43/#REF!,"-")</f>
        <v>-</v>
      </c>
      <c r="J43" s="339">
        <f t="shared" si="40"/>
        <v>0</v>
      </c>
      <c r="K43" s="281">
        <f t="shared" si="35"/>
        <v>0</v>
      </c>
      <c r="L43" s="250">
        <f t="shared" si="36"/>
        <v>0</v>
      </c>
      <c r="M43" s="265" t="str">
        <f t="shared" ref="M43:M69" si="43">IFERROR(J43/D43,"-")</f>
        <v>-</v>
      </c>
      <c r="N43" s="264" t="str">
        <f t="shared" ref="N43:N68" si="44">IFERROR(L43/J43,"-")</f>
        <v>-</v>
      </c>
      <c r="O43" s="519">
        <v>53.515999999999998</v>
      </c>
      <c r="P43" s="410">
        <f t="shared" si="37"/>
        <v>0</v>
      </c>
      <c r="Q43" s="459">
        <f t="shared" si="38"/>
        <v>0</v>
      </c>
    </row>
    <row r="44" spans="1:17" ht="23.4" x14ac:dyDescent="0.4">
      <c r="A44" s="248" t="s">
        <v>109</v>
      </c>
      <c r="B44" s="979" t="s">
        <v>79</v>
      </c>
      <c r="C44" s="556" t="s">
        <v>80</v>
      </c>
      <c r="D44" s="279"/>
      <c r="E44" s="442"/>
      <c r="F44" s="339">
        <f t="shared" si="39"/>
        <v>0</v>
      </c>
      <c r="G44" s="281">
        <v>0</v>
      </c>
      <c r="H44" s="281">
        <v>0</v>
      </c>
      <c r="I44" s="358" t="str">
        <f>IFERROR(F44/#REF!,"-")</f>
        <v>-</v>
      </c>
      <c r="J44" s="339">
        <f t="shared" si="40"/>
        <v>0</v>
      </c>
      <c r="K44" s="281">
        <f t="shared" si="35"/>
        <v>0</v>
      </c>
      <c r="L44" s="250">
        <f t="shared" si="36"/>
        <v>0</v>
      </c>
      <c r="M44" s="265" t="str">
        <f t="shared" si="43"/>
        <v>-</v>
      </c>
      <c r="N44" s="264" t="str">
        <f t="shared" si="44"/>
        <v>-</v>
      </c>
      <c r="O44" s="519">
        <v>25.687200000000001</v>
      </c>
      <c r="P44" s="410">
        <f t="shared" si="37"/>
        <v>0</v>
      </c>
      <c r="Q44" s="459">
        <f t="shared" si="38"/>
        <v>0</v>
      </c>
    </row>
    <row r="45" spans="1:17" ht="24" thickBot="1" x14ac:dyDescent="0.45">
      <c r="A45" s="248" t="s">
        <v>109</v>
      </c>
      <c r="B45" s="981"/>
      <c r="C45" s="556" t="s">
        <v>125</v>
      </c>
      <c r="D45" s="279"/>
      <c r="E45" s="442"/>
      <c r="F45" s="339">
        <f t="shared" si="39"/>
        <v>0</v>
      </c>
      <c r="G45" s="281">
        <v>0</v>
      </c>
      <c r="H45" s="281">
        <v>0</v>
      </c>
      <c r="I45" s="358" t="str">
        <f>IFERROR(F45/#REF!,"-")</f>
        <v>-</v>
      </c>
      <c r="J45" s="339">
        <f t="shared" si="40"/>
        <v>0</v>
      </c>
      <c r="K45" s="281">
        <f t="shared" si="35"/>
        <v>0</v>
      </c>
      <c r="L45" s="250">
        <f t="shared" si="36"/>
        <v>0</v>
      </c>
      <c r="M45" s="265" t="str">
        <f t="shared" si="43"/>
        <v>-</v>
      </c>
      <c r="N45" s="264" t="str">
        <f t="shared" si="44"/>
        <v>-</v>
      </c>
      <c r="O45" s="519">
        <v>25.033899999999999</v>
      </c>
      <c r="P45" s="410">
        <f t="shared" si="37"/>
        <v>0</v>
      </c>
      <c r="Q45" s="459">
        <f t="shared" si="38"/>
        <v>0</v>
      </c>
    </row>
    <row r="46" spans="1:17" ht="23.4" x14ac:dyDescent="0.4">
      <c r="A46" s="248"/>
      <c r="B46" s="979" t="s">
        <v>81</v>
      </c>
      <c r="C46" s="556" t="s">
        <v>82</v>
      </c>
      <c r="D46" s="279"/>
      <c r="E46" s="442"/>
      <c r="F46" s="339">
        <f t="shared" si="39"/>
        <v>0</v>
      </c>
      <c r="G46" s="281">
        <v>0</v>
      </c>
      <c r="H46" s="281">
        <v>0</v>
      </c>
      <c r="I46" s="358" t="str">
        <f>IFERROR(F46/#REF!,"-")</f>
        <v>-</v>
      </c>
      <c r="J46" s="339">
        <f t="shared" si="40"/>
        <v>0</v>
      </c>
      <c r="K46" s="281">
        <f t="shared" si="35"/>
        <v>0</v>
      </c>
      <c r="L46" s="250">
        <f t="shared" si="36"/>
        <v>0</v>
      </c>
      <c r="M46" s="265" t="str">
        <f t="shared" si="43"/>
        <v>-</v>
      </c>
      <c r="N46" s="264" t="str">
        <f t="shared" si="44"/>
        <v>-</v>
      </c>
      <c r="O46" s="519">
        <v>41.992699999999999</v>
      </c>
      <c r="P46" s="410">
        <f t="shared" si="37"/>
        <v>0</v>
      </c>
      <c r="Q46" s="459">
        <f t="shared" si="38"/>
        <v>0</v>
      </c>
    </row>
    <row r="47" spans="1:17" ht="24" thickBot="1" x14ac:dyDescent="0.45">
      <c r="A47" s="248"/>
      <c r="B47" s="980"/>
      <c r="C47" s="556" t="s">
        <v>364</v>
      </c>
      <c r="D47" s="279"/>
      <c r="E47" s="442"/>
      <c r="F47" s="339">
        <f t="shared" si="39"/>
        <v>0</v>
      </c>
      <c r="G47" s="281">
        <v>0</v>
      </c>
      <c r="H47" s="281">
        <v>0</v>
      </c>
      <c r="I47" s="358" t="str">
        <f>IFERROR(F47/#REF!,"-")</f>
        <v>-</v>
      </c>
      <c r="J47" s="339">
        <f t="shared" si="40"/>
        <v>0</v>
      </c>
      <c r="K47" s="281">
        <f t="shared" si="35"/>
        <v>0</v>
      </c>
      <c r="L47" s="250">
        <f t="shared" si="36"/>
        <v>0</v>
      </c>
      <c r="M47" s="265" t="str">
        <f t="shared" si="43"/>
        <v>-</v>
      </c>
      <c r="N47" s="264" t="str">
        <f t="shared" si="44"/>
        <v>-</v>
      </c>
      <c r="O47" s="519">
        <v>41.992699999999999</v>
      </c>
      <c r="P47" s="410">
        <f t="shared" si="37"/>
        <v>0</v>
      </c>
      <c r="Q47" s="459">
        <f t="shared" si="38"/>
        <v>0</v>
      </c>
    </row>
    <row r="48" spans="1:17" ht="24" thickBot="1" x14ac:dyDescent="0.45">
      <c r="A48" s="248"/>
      <c r="B48" s="559" t="s">
        <v>83</v>
      </c>
      <c r="C48" s="556" t="s">
        <v>84</v>
      </c>
      <c r="D48" s="279"/>
      <c r="E48" s="442"/>
      <c r="F48" s="339">
        <f t="shared" si="39"/>
        <v>0</v>
      </c>
      <c r="G48" s="281">
        <v>0</v>
      </c>
      <c r="H48" s="281">
        <v>0</v>
      </c>
      <c r="I48" s="358" t="str">
        <f>IFERROR(F48/#REF!,"-")</f>
        <v>-</v>
      </c>
      <c r="J48" s="339">
        <f t="shared" si="40"/>
        <v>0</v>
      </c>
      <c r="K48" s="281">
        <f t="shared" si="35"/>
        <v>0</v>
      </c>
      <c r="L48" s="250">
        <f t="shared" si="36"/>
        <v>0</v>
      </c>
      <c r="M48" s="265" t="str">
        <f t="shared" si="43"/>
        <v>-</v>
      </c>
      <c r="N48" s="264" t="str">
        <f t="shared" si="44"/>
        <v>-</v>
      </c>
      <c r="O48" s="519">
        <v>4.3535000000000004</v>
      </c>
      <c r="P48" s="410">
        <f t="shared" si="37"/>
        <v>0</v>
      </c>
      <c r="Q48" s="459">
        <f t="shared" si="38"/>
        <v>0</v>
      </c>
    </row>
    <row r="49" spans="1:17" ht="23.4" x14ac:dyDescent="0.4">
      <c r="A49" s="248"/>
      <c r="B49" s="979" t="s">
        <v>280</v>
      </c>
      <c r="C49" s="556" t="s">
        <v>80</v>
      </c>
      <c r="D49" s="279"/>
      <c r="E49" s="442"/>
      <c r="F49" s="339">
        <f t="shared" si="39"/>
        <v>0</v>
      </c>
      <c r="G49" s="281">
        <v>0</v>
      </c>
      <c r="H49" s="281">
        <v>0</v>
      </c>
      <c r="I49" s="358" t="str">
        <f>IFERROR(F49/#REF!,"-")</f>
        <v>-</v>
      </c>
      <c r="J49" s="339">
        <f t="shared" si="40"/>
        <v>0</v>
      </c>
      <c r="K49" s="281">
        <f t="shared" si="35"/>
        <v>0</v>
      </c>
      <c r="L49" s="250">
        <f t="shared" si="36"/>
        <v>0</v>
      </c>
      <c r="M49" s="265" t="str">
        <f t="shared" si="43"/>
        <v>-</v>
      </c>
      <c r="N49" s="264" t="str">
        <f t="shared" si="44"/>
        <v>-</v>
      </c>
      <c r="O49" s="519">
        <v>4.6184000000000003</v>
      </c>
      <c r="P49" s="410">
        <f t="shared" si="37"/>
        <v>0</v>
      </c>
      <c r="Q49" s="459">
        <f t="shared" si="38"/>
        <v>0</v>
      </c>
    </row>
    <row r="50" spans="1:17" ht="23.4" x14ac:dyDescent="0.4">
      <c r="A50" s="248"/>
      <c r="B50" s="980"/>
      <c r="C50" s="556" t="s">
        <v>407</v>
      </c>
      <c r="D50" s="279"/>
      <c r="E50" s="442"/>
      <c r="F50" s="339">
        <f t="shared" si="39"/>
        <v>26600</v>
      </c>
      <c r="G50" s="281">
        <v>26400</v>
      </c>
      <c r="H50" s="281">
        <v>200</v>
      </c>
      <c r="I50" s="358" t="str">
        <f>IFERROR(F50/#REF!,"-")</f>
        <v>-</v>
      </c>
      <c r="J50" s="339">
        <f t="shared" si="40"/>
        <v>26600</v>
      </c>
      <c r="K50" s="281">
        <f t="shared" si="35"/>
        <v>26400</v>
      </c>
      <c r="L50" s="250">
        <f t="shared" si="36"/>
        <v>200</v>
      </c>
      <c r="M50" s="265" t="str">
        <f t="shared" si="43"/>
        <v>-</v>
      </c>
      <c r="N50" s="264">
        <f t="shared" si="44"/>
        <v>7.5187969924812026E-3</v>
      </c>
      <c r="O50" s="519">
        <v>4.6184000000000003</v>
      </c>
      <c r="P50" s="410">
        <f t="shared" si="37"/>
        <v>121925.76000000001</v>
      </c>
      <c r="Q50" s="459">
        <f t="shared" si="38"/>
        <v>121925.76000000001</v>
      </c>
    </row>
    <row r="51" spans="1:17" ht="23.4" x14ac:dyDescent="0.4">
      <c r="A51" s="248"/>
      <c r="B51" s="980"/>
      <c r="C51" s="556" t="s">
        <v>279</v>
      </c>
      <c r="D51" s="279"/>
      <c r="E51" s="442"/>
      <c r="F51" s="339">
        <f t="shared" si="39"/>
        <v>0</v>
      </c>
      <c r="G51" s="281">
        <v>0</v>
      </c>
      <c r="H51" s="281">
        <v>0</v>
      </c>
      <c r="I51" s="358" t="str">
        <f>IFERROR(F51/#REF!,"-")</f>
        <v>-</v>
      </c>
      <c r="J51" s="339">
        <f t="shared" si="40"/>
        <v>0</v>
      </c>
      <c r="K51" s="281">
        <f t="shared" si="35"/>
        <v>0</v>
      </c>
      <c r="L51" s="250">
        <f t="shared" si="36"/>
        <v>0</v>
      </c>
      <c r="M51" s="265" t="str">
        <f t="shared" si="43"/>
        <v>-</v>
      </c>
      <c r="N51" s="264" t="str">
        <f t="shared" si="44"/>
        <v>-</v>
      </c>
      <c r="O51" s="519">
        <v>4.6184000000000003</v>
      </c>
      <c r="P51" s="410">
        <f t="shared" si="37"/>
        <v>0</v>
      </c>
      <c r="Q51" s="459">
        <f t="shared" si="38"/>
        <v>0</v>
      </c>
    </row>
    <row r="52" spans="1:17" ht="23.4" x14ac:dyDescent="0.4">
      <c r="A52" s="248"/>
      <c r="B52" s="980"/>
      <c r="C52" s="556" t="s">
        <v>132</v>
      </c>
      <c r="D52" s="279"/>
      <c r="E52" s="442"/>
      <c r="F52" s="339">
        <f t="shared" si="39"/>
        <v>0</v>
      </c>
      <c r="G52" s="281">
        <v>0</v>
      </c>
      <c r="H52" s="281">
        <v>0</v>
      </c>
      <c r="I52" s="358" t="str">
        <f>IFERROR(F52/#REF!,"-")</f>
        <v>-</v>
      </c>
      <c r="J52" s="339">
        <f t="shared" si="40"/>
        <v>0</v>
      </c>
      <c r="K52" s="281">
        <f t="shared" si="35"/>
        <v>0</v>
      </c>
      <c r="L52" s="250">
        <f t="shared" si="36"/>
        <v>0</v>
      </c>
      <c r="M52" s="265" t="str">
        <f t="shared" si="43"/>
        <v>-</v>
      </c>
      <c r="N52" s="264" t="str">
        <f t="shared" si="44"/>
        <v>-</v>
      </c>
      <c r="O52" s="519">
        <v>4.7636000000000003</v>
      </c>
      <c r="P52" s="410">
        <f t="shared" si="37"/>
        <v>0</v>
      </c>
      <c r="Q52" s="459">
        <f t="shared" si="38"/>
        <v>0</v>
      </c>
    </row>
    <row r="53" spans="1:17" ht="24" thickBot="1" x14ac:dyDescent="0.45">
      <c r="A53" s="248"/>
      <c r="B53" s="981"/>
      <c r="C53" s="556" t="s">
        <v>86</v>
      </c>
      <c r="D53" s="279"/>
      <c r="E53" s="442"/>
      <c r="F53" s="339">
        <f t="shared" si="39"/>
        <v>0</v>
      </c>
      <c r="G53" s="281">
        <v>0</v>
      </c>
      <c r="H53" s="281">
        <v>0</v>
      </c>
      <c r="I53" s="358" t="str">
        <f>IFERROR(F53/#REF!,"-")</f>
        <v>-</v>
      </c>
      <c r="J53" s="339">
        <f t="shared" si="40"/>
        <v>0</v>
      </c>
      <c r="K53" s="281">
        <f t="shared" si="35"/>
        <v>0</v>
      </c>
      <c r="L53" s="250">
        <f t="shared" si="36"/>
        <v>0</v>
      </c>
      <c r="M53" s="265" t="str">
        <f t="shared" si="43"/>
        <v>-</v>
      </c>
      <c r="N53" s="264" t="str">
        <f t="shared" si="44"/>
        <v>-</v>
      </c>
      <c r="O53" s="519">
        <v>4.8738000000000001</v>
      </c>
      <c r="P53" s="410">
        <f t="shared" si="37"/>
        <v>0</v>
      </c>
      <c r="Q53" s="459">
        <f t="shared" si="38"/>
        <v>0</v>
      </c>
    </row>
    <row r="54" spans="1:17" ht="24" thickBot="1" x14ac:dyDescent="0.45">
      <c r="A54" s="248"/>
      <c r="B54" s="559" t="s">
        <v>281</v>
      </c>
      <c r="C54" s="556" t="s">
        <v>132</v>
      </c>
      <c r="D54" s="279"/>
      <c r="E54" s="442"/>
      <c r="F54" s="339">
        <f t="shared" si="39"/>
        <v>0</v>
      </c>
      <c r="G54" s="281">
        <v>0</v>
      </c>
      <c r="H54" s="281">
        <v>0</v>
      </c>
      <c r="I54" s="358" t="str">
        <f>IFERROR(F54/#REF!,"-")</f>
        <v>-</v>
      </c>
      <c r="J54" s="339">
        <f t="shared" si="40"/>
        <v>0</v>
      </c>
      <c r="K54" s="281">
        <f t="shared" si="35"/>
        <v>0</v>
      </c>
      <c r="L54" s="250">
        <f t="shared" si="36"/>
        <v>0</v>
      </c>
      <c r="M54" s="265" t="str">
        <f t="shared" si="43"/>
        <v>-</v>
      </c>
      <c r="N54" s="264" t="str">
        <f t="shared" si="44"/>
        <v>-</v>
      </c>
      <c r="O54" s="519">
        <v>4.8738000000000001</v>
      </c>
      <c r="P54" s="410">
        <f t="shared" si="37"/>
        <v>0</v>
      </c>
      <c r="Q54" s="459">
        <f t="shared" si="38"/>
        <v>0</v>
      </c>
    </row>
    <row r="55" spans="1:17" ht="23.4" x14ac:dyDescent="0.4">
      <c r="A55" s="248"/>
      <c r="B55" s="979" t="s">
        <v>283</v>
      </c>
      <c r="C55" s="556" t="s">
        <v>80</v>
      </c>
      <c r="D55" s="279"/>
      <c r="E55" s="442"/>
      <c r="F55" s="339">
        <f t="shared" si="39"/>
        <v>33946</v>
      </c>
      <c r="G55" s="281">
        <v>33500</v>
      </c>
      <c r="H55" s="281">
        <v>446</v>
      </c>
      <c r="I55" s="358" t="str">
        <f>IFERROR(F55/#REF!,"-")</f>
        <v>-</v>
      </c>
      <c r="J55" s="339">
        <f t="shared" si="40"/>
        <v>33946</v>
      </c>
      <c r="K55" s="281">
        <f t="shared" si="35"/>
        <v>33500</v>
      </c>
      <c r="L55" s="281">
        <f t="shared" si="36"/>
        <v>446</v>
      </c>
      <c r="M55" s="265" t="str">
        <f t="shared" si="43"/>
        <v>-</v>
      </c>
      <c r="N55" s="264">
        <f t="shared" si="44"/>
        <v>1.3138514110646321E-2</v>
      </c>
      <c r="O55" s="519">
        <v>4.9344999999999999</v>
      </c>
      <c r="P55" s="410">
        <f t="shared" si="37"/>
        <v>165305.75</v>
      </c>
      <c r="Q55" s="459">
        <f t="shared" si="38"/>
        <v>165305.75</v>
      </c>
    </row>
    <row r="56" spans="1:17" ht="23.4" x14ac:dyDescent="0.4">
      <c r="A56" s="248"/>
      <c r="B56" s="980"/>
      <c r="C56" s="556" t="s">
        <v>143</v>
      </c>
      <c r="D56" s="279"/>
      <c r="E56" s="442"/>
      <c r="F56" s="339">
        <f t="shared" si="39"/>
        <v>0</v>
      </c>
      <c r="G56" s="281">
        <v>0</v>
      </c>
      <c r="H56" s="281">
        <v>0</v>
      </c>
      <c r="I56" s="358" t="str">
        <f>IFERROR(F56/#REF!,"-")</f>
        <v>-</v>
      </c>
      <c r="J56" s="339">
        <f t="shared" si="40"/>
        <v>0</v>
      </c>
      <c r="K56" s="281">
        <f t="shared" si="35"/>
        <v>0</v>
      </c>
      <c r="L56" s="250">
        <f t="shared" si="36"/>
        <v>0</v>
      </c>
      <c r="M56" s="265" t="str">
        <f t="shared" si="43"/>
        <v>-</v>
      </c>
      <c r="N56" s="264" t="str">
        <f t="shared" si="44"/>
        <v>-</v>
      </c>
      <c r="O56" s="519">
        <v>4.9344999999999999</v>
      </c>
      <c r="P56" s="410">
        <f t="shared" si="37"/>
        <v>0</v>
      </c>
      <c r="Q56" s="459">
        <f t="shared" si="38"/>
        <v>0</v>
      </c>
    </row>
    <row r="57" spans="1:17" ht="23.4" x14ac:dyDescent="0.4">
      <c r="A57" s="248"/>
      <c r="B57" s="980"/>
      <c r="C57" s="556" t="s">
        <v>137</v>
      </c>
      <c r="D57" s="279"/>
      <c r="E57" s="442"/>
      <c r="F57" s="339">
        <f t="shared" si="39"/>
        <v>0</v>
      </c>
      <c r="G57" s="281">
        <v>0</v>
      </c>
      <c r="H57" s="281">
        <v>0</v>
      </c>
      <c r="I57" s="358" t="str">
        <f>IFERROR(F57/#REF!,"-")</f>
        <v>-</v>
      </c>
      <c r="J57" s="339">
        <f t="shared" si="40"/>
        <v>0</v>
      </c>
      <c r="K57" s="281">
        <f t="shared" si="35"/>
        <v>0</v>
      </c>
      <c r="L57" s="250">
        <f t="shared" si="36"/>
        <v>0</v>
      </c>
      <c r="M57" s="265" t="str">
        <f t="shared" si="43"/>
        <v>-</v>
      </c>
      <c r="N57" s="264" t="str">
        <f t="shared" si="44"/>
        <v>-</v>
      </c>
      <c r="O57" s="519">
        <v>4.9344999999999999</v>
      </c>
      <c r="P57" s="410">
        <f t="shared" si="37"/>
        <v>0</v>
      </c>
      <c r="Q57" s="459">
        <f t="shared" si="38"/>
        <v>0</v>
      </c>
    </row>
    <row r="58" spans="1:17" ht="24" thickBot="1" x14ac:dyDescent="0.45">
      <c r="A58" s="248"/>
      <c r="B58" s="981"/>
      <c r="C58" s="556" t="s">
        <v>282</v>
      </c>
      <c r="D58" s="279"/>
      <c r="E58" s="442"/>
      <c r="F58" s="339">
        <f t="shared" si="39"/>
        <v>0</v>
      </c>
      <c r="G58" s="281">
        <v>0</v>
      </c>
      <c r="H58" s="281">
        <v>0</v>
      </c>
      <c r="I58" s="358" t="str">
        <f>IFERROR(F58/#REF!,"-")</f>
        <v>-</v>
      </c>
      <c r="J58" s="339">
        <f t="shared" si="40"/>
        <v>0</v>
      </c>
      <c r="K58" s="281">
        <f t="shared" si="35"/>
        <v>0</v>
      </c>
      <c r="L58" s="250">
        <f t="shared" si="36"/>
        <v>0</v>
      </c>
      <c r="M58" s="265" t="str">
        <f t="shared" si="43"/>
        <v>-</v>
      </c>
      <c r="N58" s="264" t="str">
        <f t="shared" si="44"/>
        <v>-</v>
      </c>
      <c r="O58" s="519">
        <v>5.5069999999999997</v>
      </c>
      <c r="P58" s="410">
        <f t="shared" si="37"/>
        <v>0</v>
      </c>
      <c r="Q58" s="459">
        <f t="shared" si="38"/>
        <v>0</v>
      </c>
    </row>
    <row r="59" spans="1:17" ht="23.4" x14ac:dyDescent="0.4">
      <c r="A59" s="248"/>
      <c r="B59" s="979" t="s">
        <v>288</v>
      </c>
      <c r="C59" s="556" t="s">
        <v>284</v>
      </c>
      <c r="D59" s="279"/>
      <c r="E59" s="442"/>
      <c r="F59" s="339">
        <f t="shared" si="39"/>
        <v>0</v>
      </c>
      <c r="G59" s="281">
        <v>0</v>
      </c>
      <c r="H59" s="281">
        <v>0</v>
      </c>
      <c r="I59" s="358" t="str">
        <f>IFERROR(F59/#REF!,"-")</f>
        <v>-</v>
      </c>
      <c r="J59" s="339">
        <f t="shared" si="40"/>
        <v>0</v>
      </c>
      <c r="K59" s="281">
        <f t="shared" si="35"/>
        <v>0</v>
      </c>
      <c r="L59" s="250">
        <f t="shared" si="36"/>
        <v>0</v>
      </c>
      <c r="M59" s="265" t="str">
        <f t="shared" si="43"/>
        <v>-</v>
      </c>
      <c r="N59" s="264" t="str">
        <f t="shared" si="44"/>
        <v>-</v>
      </c>
      <c r="O59" s="519">
        <v>5.6550000000000002</v>
      </c>
      <c r="P59" s="410">
        <f t="shared" si="37"/>
        <v>0</v>
      </c>
      <c r="Q59" s="459">
        <f t="shared" si="38"/>
        <v>0</v>
      </c>
    </row>
    <row r="60" spans="1:17" ht="23.4" x14ac:dyDescent="0.4">
      <c r="A60" s="248"/>
      <c r="B60" s="980"/>
      <c r="C60" s="556" t="s">
        <v>285</v>
      </c>
      <c r="D60" s="279"/>
      <c r="E60" s="442"/>
      <c r="F60" s="339">
        <f t="shared" si="39"/>
        <v>0</v>
      </c>
      <c r="G60" s="281">
        <v>0</v>
      </c>
      <c r="H60" s="281">
        <v>0</v>
      </c>
      <c r="I60" s="358" t="str">
        <f>IFERROR(F60/#REF!,"-")</f>
        <v>-</v>
      </c>
      <c r="J60" s="339">
        <f t="shared" si="40"/>
        <v>0</v>
      </c>
      <c r="K60" s="281">
        <f t="shared" si="35"/>
        <v>0</v>
      </c>
      <c r="L60" s="250">
        <f t="shared" si="36"/>
        <v>0</v>
      </c>
      <c r="M60" s="265" t="str">
        <f t="shared" si="43"/>
        <v>-</v>
      </c>
      <c r="N60" s="264" t="str">
        <f t="shared" si="44"/>
        <v>-</v>
      </c>
      <c r="O60" s="519">
        <v>5.6550000000000002</v>
      </c>
      <c r="P60" s="410">
        <f t="shared" si="37"/>
        <v>0</v>
      </c>
      <c r="Q60" s="459">
        <f t="shared" si="38"/>
        <v>0</v>
      </c>
    </row>
    <row r="61" spans="1:17" ht="23.4" x14ac:dyDescent="0.4">
      <c r="A61" s="248"/>
      <c r="B61" s="980"/>
      <c r="C61" s="556" t="s">
        <v>374</v>
      </c>
      <c r="D61" s="279"/>
      <c r="E61" s="442"/>
      <c r="F61" s="339">
        <f t="shared" si="39"/>
        <v>19785</v>
      </c>
      <c r="G61" s="281">
        <v>19700</v>
      </c>
      <c r="H61" s="281">
        <v>85</v>
      </c>
      <c r="I61" s="358" t="str">
        <f>IFERROR(F61/#REF!,"-")</f>
        <v>-</v>
      </c>
      <c r="J61" s="339">
        <f t="shared" si="40"/>
        <v>19785</v>
      </c>
      <c r="K61" s="281">
        <f t="shared" si="35"/>
        <v>19700</v>
      </c>
      <c r="L61" s="250">
        <f t="shared" si="36"/>
        <v>85</v>
      </c>
      <c r="M61" s="265" t="str">
        <f t="shared" si="43"/>
        <v>-</v>
      </c>
      <c r="N61" s="264">
        <f t="shared" si="44"/>
        <v>4.2961839777609298E-3</v>
      </c>
      <c r="O61" s="519">
        <v>5.6550000000000002</v>
      </c>
      <c r="P61" s="410">
        <f t="shared" si="37"/>
        <v>111403.5</v>
      </c>
      <c r="Q61" s="459">
        <f t="shared" si="38"/>
        <v>111403.5</v>
      </c>
    </row>
    <row r="62" spans="1:17" ht="23.4" x14ac:dyDescent="0.4">
      <c r="A62" s="248"/>
      <c r="B62" s="980"/>
      <c r="C62" s="556" t="s">
        <v>286</v>
      </c>
      <c r="D62" s="279"/>
      <c r="E62" s="442"/>
      <c r="F62" s="339">
        <f t="shared" si="39"/>
        <v>0</v>
      </c>
      <c r="G62" s="281">
        <v>0</v>
      </c>
      <c r="H62" s="281">
        <v>0</v>
      </c>
      <c r="I62" s="358" t="str">
        <f>IFERROR(F62/#REF!,"-")</f>
        <v>-</v>
      </c>
      <c r="J62" s="339">
        <f t="shared" si="40"/>
        <v>0</v>
      </c>
      <c r="K62" s="281">
        <f t="shared" si="35"/>
        <v>0</v>
      </c>
      <c r="L62" s="250">
        <f t="shared" si="36"/>
        <v>0</v>
      </c>
      <c r="M62" s="265" t="str">
        <f t="shared" si="43"/>
        <v>-</v>
      </c>
      <c r="N62" s="264" t="str">
        <f t="shared" si="44"/>
        <v>-</v>
      </c>
      <c r="O62" s="519">
        <v>5.6550000000000002</v>
      </c>
      <c r="P62" s="410">
        <f t="shared" si="37"/>
        <v>0</v>
      </c>
      <c r="Q62" s="459">
        <f t="shared" si="38"/>
        <v>0</v>
      </c>
    </row>
    <row r="63" spans="1:17" ht="23.4" x14ac:dyDescent="0.4">
      <c r="A63" s="248" t="s">
        <v>109</v>
      </c>
      <c r="B63" s="980"/>
      <c r="C63" s="556" t="s">
        <v>287</v>
      </c>
      <c r="D63" s="279"/>
      <c r="E63" s="442"/>
      <c r="F63" s="339">
        <f t="shared" si="39"/>
        <v>0</v>
      </c>
      <c r="G63" s="281">
        <v>0</v>
      </c>
      <c r="H63" s="281">
        <v>0</v>
      </c>
      <c r="I63" s="358" t="str">
        <f>IFERROR(F63/#REF!,"-")</f>
        <v>-</v>
      </c>
      <c r="J63" s="339">
        <f t="shared" si="40"/>
        <v>0</v>
      </c>
      <c r="K63" s="281">
        <f t="shared" si="35"/>
        <v>0</v>
      </c>
      <c r="L63" s="250">
        <f t="shared" si="36"/>
        <v>0</v>
      </c>
      <c r="M63" s="265" t="str">
        <f t="shared" si="43"/>
        <v>-</v>
      </c>
      <c r="N63" s="264" t="str">
        <f t="shared" si="44"/>
        <v>-</v>
      </c>
      <c r="O63" s="519">
        <v>3.2963</v>
      </c>
      <c r="P63" s="410">
        <f t="shared" si="37"/>
        <v>0</v>
      </c>
      <c r="Q63" s="459">
        <f t="shared" si="38"/>
        <v>0</v>
      </c>
    </row>
    <row r="64" spans="1:17" ht="24" thickBot="1" x14ac:dyDescent="0.45">
      <c r="A64" s="248" t="s">
        <v>109</v>
      </c>
      <c r="B64" s="981"/>
      <c r="C64" s="556" t="s">
        <v>282</v>
      </c>
      <c r="D64" s="279"/>
      <c r="E64" s="442"/>
      <c r="F64" s="339">
        <f t="shared" si="39"/>
        <v>0</v>
      </c>
      <c r="G64" s="281">
        <v>0</v>
      </c>
      <c r="H64" s="281">
        <v>0</v>
      </c>
      <c r="I64" s="358" t="str">
        <f>IFERROR(F64/#REF!,"-")</f>
        <v>-</v>
      </c>
      <c r="J64" s="339">
        <f t="shared" si="40"/>
        <v>0</v>
      </c>
      <c r="K64" s="281">
        <f t="shared" si="35"/>
        <v>0</v>
      </c>
      <c r="L64" s="250">
        <f t="shared" si="36"/>
        <v>0</v>
      </c>
      <c r="M64" s="265" t="str">
        <f t="shared" si="43"/>
        <v>-</v>
      </c>
      <c r="N64" s="264" t="str">
        <f t="shared" si="44"/>
        <v>-</v>
      </c>
      <c r="O64" s="519">
        <v>3.2963</v>
      </c>
      <c r="P64" s="410">
        <f t="shared" si="37"/>
        <v>0</v>
      </c>
      <c r="Q64" s="459">
        <f t="shared" si="38"/>
        <v>0</v>
      </c>
    </row>
    <row r="65" spans="1:17" ht="23.4" x14ac:dyDescent="0.4">
      <c r="A65" s="248" t="s">
        <v>109</v>
      </c>
      <c r="B65" s="560"/>
      <c r="C65" s="557" t="s">
        <v>92</v>
      </c>
      <c r="D65" s="523"/>
      <c r="E65" s="442"/>
      <c r="F65" s="339">
        <f t="shared" si="39"/>
        <v>0</v>
      </c>
      <c r="G65" s="281">
        <v>0</v>
      </c>
      <c r="H65" s="281">
        <v>0</v>
      </c>
      <c r="I65" s="358" t="str">
        <f>IFERROR(F65/#REF!,"-")</f>
        <v>-</v>
      </c>
      <c r="J65" s="339">
        <f t="shared" si="40"/>
        <v>0</v>
      </c>
      <c r="K65" s="281">
        <f t="shared" si="35"/>
        <v>0</v>
      </c>
      <c r="L65" s="250">
        <f t="shared" si="36"/>
        <v>0</v>
      </c>
      <c r="M65" s="265" t="str">
        <f t="shared" si="43"/>
        <v>-</v>
      </c>
      <c r="N65" s="264" t="str">
        <f t="shared" si="44"/>
        <v>-</v>
      </c>
      <c r="O65" s="519">
        <v>2.3201000000000001</v>
      </c>
      <c r="P65" s="410">
        <f t="shared" si="37"/>
        <v>0</v>
      </c>
      <c r="Q65" s="459">
        <f t="shared" si="38"/>
        <v>0</v>
      </c>
    </row>
    <row r="66" spans="1:17" ht="24" thickBot="1" x14ac:dyDescent="0.35">
      <c r="A66" s="248" t="s">
        <v>109</v>
      </c>
      <c r="B66" s="537"/>
      <c r="C66" s="554"/>
      <c r="D66" s="543"/>
      <c r="E66" s="473"/>
      <c r="F66" s="471">
        <f t="shared" si="39"/>
        <v>0</v>
      </c>
      <c r="G66" s="472"/>
      <c r="H66" s="472"/>
      <c r="I66" s="545" t="str">
        <f>IFERROR(F66/#REF!,"-")</f>
        <v>-</v>
      </c>
      <c r="J66" s="471">
        <f t="shared" si="40"/>
        <v>0</v>
      </c>
      <c r="K66" s="472">
        <f t="shared" si="35"/>
        <v>0</v>
      </c>
      <c r="L66" s="257">
        <f t="shared" si="36"/>
        <v>0</v>
      </c>
      <c r="M66" s="267" t="str">
        <f t="shared" si="43"/>
        <v>-</v>
      </c>
      <c r="N66" s="266" t="str">
        <f t="shared" si="44"/>
        <v>-</v>
      </c>
      <c r="O66" s="552"/>
      <c r="P66" s="549">
        <f t="shared" si="37"/>
        <v>0</v>
      </c>
      <c r="Q66" s="550">
        <f t="shared" si="38"/>
        <v>0</v>
      </c>
    </row>
    <row r="67" spans="1:17" ht="24" thickBot="1" x14ac:dyDescent="0.35">
      <c r="A67" s="277" t="s">
        <v>109</v>
      </c>
      <c r="B67" s="982" t="s">
        <v>25</v>
      </c>
      <c r="C67" s="983"/>
      <c r="D67" s="525">
        <f t="shared" ref="D67" si="45">SUM(D43:D66)</f>
        <v>0</v>
      </c>
      <c r="E67" s="539">
        <v>100000</v>
      </c>
      <c r="F67" s="525">
        <f>SUM(F43:F66)</f>
        <v>80331</v>
      </c>
      <c r="G67" s="531">
        <f t="shared" ref="G67:H67" si="46">SUM(G43:G66)</f>
        <v>79600</v>
      </c>
      <c r="H67" s="531">
        <f t="shared" si="46"/>
        <v>731</v>
      </c>
      <c r="I67" s="532" t="str">
        <f>IFERROR(F67/#REF!,"-")</f>
        <v>-</v>
      </c>
      <c r="J67" s="525">
        <f t="shared" ref="J67" si="47">SUM(J43:J66)</f>
        <v>80331</v>
      </c>
      <c r="K67" s="531">
        <f>SUM(K38:K66)</f>
        <v>87000</v>
      </c>
      <c r="L67" s="533">
        <f t="shared" ref="L67" si="48">SUM(L43:L66)</f>
        <v>731</v>
      </c>
      <c r="M67" s="534" t="str">
        <f t="shared" si="43"/>
        <v>-</v>
      </c>
      <c r="N67" s="532">
        <f t="shared" si="44"/>
        <v>9.0998493732183088E-3</v>
      </c>
      <c r="O67" s="535"/>
      <c r="P67" s="536">
        <f>SUM(P38:P66)</f>
        <v>696508.43</v>
      </c>
      <c r="Q67" s="536">
        <f>SUM(Q38:Q66)</f>
        <v>696508.43</v>
      </c>
    </row>
    <row r="68" spans="1:17" ht="24" thickBot="1" x14ac:dyDescent="0.35">
      <c r="A68" s="324" t="s">
        <v>109</v>
      </c>
      <c r="B68" s="984" t="s">
        <v>276</v>
      </c>
      <c r="C68" s="927"/>
      <c r="D68" s="332">
        <f>+D42+D67</f>
        <v>0</v>
      </c>
      <c r="E68" s="333">
        <f>+E42+E67</f>
        <v>100000</v>
      </c>
      <c r="F68" s="332">
        <f>+F42+F67</f>
        <v>80331</v>
      </c>
      <c r="G68" s="330">
        <f>+G42+G67</f>
        <v>79600</v>
      </c>
      <c r="H68" s="330">
        <f>+H42+H67</f>
        <v>731</v>
      </c>
      <c r="I68" s="355" t="str">
        <f>IFERROR(F68/#REF!,"-")</f>
        <v>-</v>
      </c>
      <c r="J68" s="332">
        <f>+J42+J67</f>
        <v>80331</v>
      </c>
      <c r="K68" s="330">
        <f>K67</f>
        <v>87000</v>
      </c>
      <c r="L68" s="331">
        <f>+L42+L67</f>
        <v>731</v>
      </c>
      <c r="M68" s="347" t="str">
        <f t="shared" si="43"/>
        <v>-</v>
      </c>
      <c r="N68" s="355">
        <f t="shared" si="44"/>
        <v>9.0998493732183088E-3</v>
      </c>
      <c r="O68" s="400"/>
      <c r="P68" s="416">
        <f>+P42+P67</f>
        <v>696508.43</v>
      </c>
      <c r="Q68" s="434">
        <f>Q67</f>
        <v>696508.43</v>
      </c>
    </row>
    <row r="69" spans="1:17" ht="24.6" thickBot="1" x14ac:dyDescent="0.35">
      <c r="A69" s="325"/>
      <c r="B69" s="915" t="s">
        <v>183</v>
      </c>
      <c r="C69" s="916"/>
      <c r="D69" s="380">
        <f>+D68+D37+D28</f>
        <v>0</v>
      </c>
      <c r="E69" s="380">
        <f>+E68+E37+E28</f>
        <v>230000</v>
      </c>
      <c r="F69" s="380">
        <f>+F68+F37+F28</f>
        <v>272535</v>
      </c>
      <c r="G69" s="380">
        <f>+G68+G37+G28</f>
        <v>269200</v>
      </c>
      <c r="H69" s="380">
        <f>+H68+H37+H28</f>
        <v>3335</v>
      </c>
      <c r="I69" s="381" t="str">
        <f>IFERROR(F69/#REF!,"-")</f>
        <v>-</v>
      </c>
      <c r="J69" s="380">
        <f>+J68+J37+J28</f>
        <v>272535</v>
      </c>
      <c r="K69" s="380">
        <f>+K68+K37+K28</f>
        <v>276600</v>
      </c>
      <c r="L69" s="380">
        <f>+L68+L37+L28</f>
        <v>3335</v>
      </c>
      <c r="M69" s="381" t="str">
        <f t="shared" si="43"/>
        <v>-</v>
      </c>
      <c r="N69" s="381">
        <f>IFERROR(L69/J69,"-")</f>
        <v>1.2236960390408572E-2</v>
      </c>
      <c r="O69" s="407"/>
      <c r="P69" s="424">
        <f>+P68+P37+P28</f>
        <v>2009440.35</v>
      </c>
      <c r="Q69" s="424">
        <f>+Q68+Q37+Q28</f>
        <v>2009440.35</v>
      </c>
    </row>
    <row r="70" spans="1:17" ht="23.4" x14ac:dyDescent="0.3">
      <c r="A70" s="935" t="s">
        <v>1</v>
      </c>
      <c r="B70" s="938" t="s">
        <v>2</v>
      </c>
      <c r="C70" s="941" t="s">
        <v>3</v>
      </c>
      <c r="D70" s="944" t="s">
        <v>4</v>
      </c>
      <c r="E70" s="945"/>
      <c r="F70" s="945"/>
      <c r="G70" s="945"/>
      <c r="H70" s="945"/>
      <c r="I70" s="945"/>
      <c r="J70" s="945"/>
      <c r="K70" s="945"/>
      <c r="L70" s="945"/>
      <c r="M70" s="945"/>
      <c r="N70" s="946"/>
      <c r="O70" s="965" t="s">
        <v>176</v>
      </c>
      <c r="P70" s="966"/>
      <c r="Q70" s="990"/>
    </row>
    <row r="71" spans="1:17" ht="23.4" x14ac:dyDescent="0.3">
      <c r="A71" s="936"/>
      <c r="B71" s="939"/>
      <c r="C71" s="942"/>
      <c r="D71" s="947" t="s">
        <v>7</v>
      </c>
      <c r="E71" s="949" t="s">
        <v>116</v>
      </c>
      <c r="F71" s="991" t="s">
        <v>418</v>
      </c>
      <c r="G71" s="952"/>
      <c r="H71" s="952"/>
      <c r="I71" s="953"/>
      <c r="J71" s="954" t="s">
        <v>8</v>
      </c>
      <c r="K71" s="955"/>
      <c r="L71" s="956"/>
      <c r="M71" s="957" t="s">
        <v>174</v>
      </c>
      <c r="N71" s="959" t="s">
        <v>173</v>
      </c>
      <c r="O71" s="967" t="s">
        <v>178</v>
      </c>
      <c r="P71" s="968"/>
      <c r="Q71" s="969"/>
    </row>
    <row r="72" spans="1:17" ht="47.4" thickBot="1" x14ac:dyDescent="0.35">
      <c r="A72" s="937"/>
      <c r="B72" s="940"/>
      <c r="C72" s="943"/>
      <c r="D72" s="948"/>
      <c r="E72" s="950"/>
      <c r="F72" s="462" t="s">
        <v>13</v>
      </c>
      <c r="G72" s="463" t="s">
        <v>14</v>
      </c>
      <c r="H72" s="463" t="s">
        <v>15</v>
      </c>
      <c r="I72" s="464" t="s">
        <v>175</v>
      </c>
      <c r="J72" s="462" t="s">
        <v>13</v>
      </c>
      <c r="K72" s="463" t="s">
        <v>14</v>
      </c>
      <c r="L72" s="465" t="s">
        <v>15</v>
      </c>
      <c r="M72" s="958"/>
      <c r="N72" s="960"/>
      <c r="O72" s="453" t="s">
        <v>179</v>
      </c>
      <c r="P72" s="454" t="s">
        <v>11</v>
      </c>
      <c r="Q72" s="455" t="s">
        <v>12</v>
      </c>
    </row>
    <row r="73" spans="1:17" ht="23.4" x14ac:dyDescent="0.3">
      <c r="A73" s="271" t="s">
        <v>111</v>
      </c>
      <c r="B73" s="445"/>
      <c r="C73" s="272" t="s">
        <v>272</v>
      </c>
      <c r="D73" s="273"/>
      <c r="E73" s="274"/>
      <c r="F73" s="338">
        <f>+G73+H73</f>
        <v>46080</v>
      </c>
      <c r="G73" s="275">
        <v>41440</v>
      </c>
      <c r="H73" s="275">
        <v>4640</v>
      </c>
      <c r="I73" s="357" t="str">
        <f>IFERROR(F73/#REF!,"-")</f>
        <v>-</v>
      </c>
      <c r="J73" s="468">
        <f>+K73+L73</f>
        <v>46080</v>
      </c>
      <c r="K73" s="469">
        <f>+G73+K14</f>
        <v>41440</v>
      </c>
      <c r="L73" s="470">
        <f>+H73+L14</f>
        <v>4640</v>
      </c>
      <c r="M73" s="342" t="str">
        <f>IFERROR(J73/D73,"-")</f>
        <v>-</v>
      </c>
      <c r="N73" s="349">
        <f t="shared" ref="N73:N74" si="49">IFERROR(L73/J73,"-")</f>
        <v>0.10069444444444445</v>
      </c>
      <c r="O73" s="518">
        <v>1.5669</v>
      </c>
      <c r="P73" s="408">
        <f>+O73*G73</f>
        <v>64932.335999999996</v>
      </c>
      <c r="Q73" s="457">
        <f>+O73*K73</f>
        <v>64932.335999999996</v>
      </c>
    </row>
    <row r="74" spans="1:17" ht="23.4" x14ac:dyDescent="0.3">
      <c r="A74" s="277" t="s">
        <v>111</v>
      </c>
      <c r="B74" s="444"/>
      <c r="C74" s="278" t="s">
        <v>271</v>
      </c>
      <c r="D74" s="279"/>
      <c r="E74" s="280"/>
      <c r="F74" s="339">
        <f t="shared" ref="F74:F77" si="50">+G74+H74</f>
        <v>0</v>
      </c>
      <c r="G74" s="281">
        <v>0</v>
      </c>
      <c r="H74" s="281">
        <v>0</v>
      </c>
      <c r="I74" s="358" t="str">
        <f>IFERROR(F74/#REF!,"-")</f>
        <v>-</v>
      </c>
      <c r="J74" s="339">
        <f t="shared" ref="J74:J77" si="51">+K74+L74</f>
        <v>0</v>
      </c>
      <c r="K74" s="281">
        <f t="shared" ref="K74:L74" si="52">+G74+K15</f>
        <v>0</v>
      </c>
      <c r="L74" s="442">
        <f t="shared" si="52"/>
        <v>0</v>
      </c>
      <c r="M74" s="343" t="str">
        <f t="shared" ref="M74:M77" si="53">IFERROR(J74/D74,"-")</f>
        <v>-</v>
      </c>
      <c r="N74" s="268" t="str">
        <f t="shared" si="49"/>
        <v>-</v>
      </c>
      <c r="O74" s="519">
        <v>2.3978999999999999</v>
      </c>
      <c r="P74" s="410">
        <f t="shared" ref="P74:P77" si="54">+O74*G74</f>
        <v>0</v>
      </c>
      <c r="Q74" s="459">
        <f t="shared" ref="Q74:Q77" si="55">+O74*K74</f>
        <v>0</v>
      </c>
    </row>
    <row r="75" spans="1:17" ht="23.4" x14ac:dyDescent="0.3">
      <c r="A75" s="277" t="s">
        <v>111</v>
      </c>
      <c r="B75" s="444"/>
      <c r="C75" s="278" t="s">
        <v>273</v>
      </c>
      <c r="D75" s="279"/>
      <c r="E75" s="280"/>
      <c r="F75" s="339">
        <f t="shared" si="50"/>
        <v>0</v>
      </c>
      <c r="G75" s="281">
        <v>0</v>
      </c>
      <c r="H75" s="281">
        <v>0</v>
      </c>
      <c r="I75" s="358" t="str">
        <f>IFERROR(F75/#REF!,"-")</f>
        <v>-</v>
      </c>
      <c r="J75" s="339">
        <f t="shared" si="51"/>
        <v>0</v>
      </c>
      <c r="K75" s="281">
        <f t="shared" ref="K75:L75" si="56">+G75+K16</f>
        <v>0</v>
      </c>
      <c r="L75" s="251">
        <f t="shared" si="56"/>
        <v>0</v>
      </c>
      <c r="M75" s="343" t="str">
        <f t="shared" si="53"/>
        <v>-</v>
      </c>
      <c r="N75" s="268" t="str">
        <f>IFERROR(L75/J75,"-")</f>
        <v>-</v>
      </c>
      <c r="O75" s="519">
        <v>4.0426000000000002</v>
      </c>
      <c r="P75" s="410">
        <f t="shared" si="54"/>
        <v>0</v>
      </c>
      <c r="Q75" s="459">
        <f t="shared" si="55"/>
        <v>0</v>
      </c>
    </row>
    <row r="76" spans="1:17" ht="23.4" x14ac:dyDescent="0.3">
      <c r="A76" s="277"/>
      <c r="B76" s="461"/>
      <c r="C76" s="278" t="s">
        <v>372</v>
      </c>
      <c r="D76" s="283"/>
      <c r="E76" s="284"/>
      <c r="F76" s="339">
        <f t="shared" si="50"/>
        <v>56284</v>
      </c>
      <c r="G76" s="285">
        <v>55000</v>
      </c>
      <c r="H76" s="285">
        <v>1284</v>
      </c>
      <c r="I76" s="358" t="str">
        <f>IFERROR(F76/#REF!,"-")</f>
        <v>-</v>
      </c>
      <c r="J76" s="339">
        <f t="shared" si="51"/>
        <v>111080</v>
      </c>
      <c r="K76" s="281">
        <f t="shared" ref="K76:L76" si="57">+G76+K17</f>
        <v>108600</v>
      </c>
      <c r="L76" s="286">
        <f t="shared" si="57"/>
        <v>2480</v>
      </c>
      <c r="M76" s="343" t="str">
        <f t="shared" si="53"/>
        <v>-</v>
      </c>
      <c r="N76" s="268">
        <f>IFERROR(L76/J76,"-")</f>
        <v>2.2326251350378107E-2</v>
      </c>
      <c r="O76" s="520">
        <v>12.284700000000001</v>
      </c>
      <c r="P76" s="410">
        <f t="shared" si="54"/>
        <v>675658.5</v>
      </c>
      <c r="Q76" s="459">
        <f t="shared" si="55"/>
        <v>1334118.4200000002</v>
      </c>
    </row>
    <row r="77" spans="1:17" ht="24" thickBot="1" x14ac:dyDescent="0.35">
      <c r="A77" s="277" t="s">
        <v>111</v>
      </c>
      <c r="B77" s="461"/>
      <c r="C77" s="278" t="s">
        <v>361</v>
      </c>
      <c r="D77" s="283"/>
      <c r="E77" s="284"/>
      <c r="F77" s="340">
        <f t="shared" si="50"/>
        <v>0</v>
      </c>
      <c r="G77" s="285">
        <v>0</v>
      </c>
      <c r="H77" s="285">
        <v>0</v>
      </c>
      <c r="I77" s="359" t="str">
        <f>IFERROR(F77/#REF!,"-")</f>
        <v>-</v>
      </c>
      <c r="J77" s="471">
        <f t="shared" si="51"/>
        <v>0</v>
      </c>
      <c r="K77" s="472">
        <f t="shared" ref="K77:L77" si="58">+G77+K18</f>
        <v>0</v>
      </c>
      <c r="L77" s="258">
        <f t="shared" si="58"/>
        <v>0</v>
      </c>
      <c r="M77" s="344" t="str">
        <f t="shared" si="53"/>
        <v>-</v>
      </c>
      <c r="N77" s="350" t="str">
        <f t="shared" ref="N77:N89" si="59">IFERROR(L77/J77,"-")</f>
        <v>-</v>
      </c>
      <c r="O77" s="520">
        <v>4.6797000000000004</v>
      </c>
      <c r="P77" s="411">
        <f t="shared" si="54"/>
        <v>0</v>
      </c>
      <c r="Q77" s="460">
        <f t="shared" si="55"/>
        <v>0</v>
      </c>
    </row>
    <row r="78" spans="1:17" ht="24" thickBot="1" x14ac:dyDescent="0.35">
      <c r="A78" s="277" t="s">
        <v>111</v>
      </c>
      <c r="B78" s="906" t="s">
        <v>21</v>
      </c>
      <c r="C78" s="907"/>
      <c r="D78" s="326">
        <f>SUM(D73:D77)</f>
        <v>0</v>
      </c>
      <c r="E78" s="289">
        <v>15000</v>
      </c>
      <c r="F78" s="326">
        <f>SUM(F73:F77)</f>
        <v>102364</v>
      </c>
      <c r="G78" s="327">
        <f>SUM(G73:G77)</f>
        <v>96440</v>
      </c>
      <c r="H78" s="327">
        <f>SUM(H73:H77)</f>
        <v>5924</v>
      </c>
      <c r="I78" s="351" t="str">
        <f>IFERROR(F78/#REF!,"-")</f>
        <v>-</v>
      </c>
      <c r="J78" s="326">
        <f>SUM(J73:J77)</f>
        <v>157160</v>
      </c>
      <c r="K78" s="327">
        <f>SUM(K73:K77)</f>
        <v>150040</v>
      </c>
      <c r="L78" s="328">
        <f>SUM(L73:L77)</f>
        <v>7120</v>
      </c>
      <c r="M78" s="345" t="str">
        <f>IFERROR(J78/D78,"-")</f>
        <v>-</v>
      </c>
      <c r="N78" s="351">
        <f t="shared" si="59"/>
        <v>4.5304148638330363E-2</v>
      </c>
      <c r="O78" s="397"/>
      <c r="P78" s="412">
        <f>SUM(P73:P77)</f>
        <v>740590.83600000001</v>
      </c>
      <c r="Q78" s="431">
        <f>SUM(Q73:Q77)</f>
        <v>1399050.7560000001</v>
      </c>
    </row>
    <row r="79" spans="1:17" ht="23.4" x14ac:dyDescent="0.3">
      <c r="A79" s="277" t="s">
        <v>111</v>
      </c>
      <c r="B79" s="445"/>
      <c r="C79" s="272" t="s">
        <v>270</v>
      </c>
      <c r="D79" s="273"/>
      <c r="E79" s="274"/>
      <c r="F79" s="338">
        <f t="shared" ref="F79:F85" si="60">+G79+H79</f>
        <v>0</v>
      </c>
      <c r="G79" s="275">
        <v>0</v>
      </c>
      <c r="H79" s="275">
        <v>0</v>
      </c>
      <c r="I79" s="357" t="str">
        <f>IFERROR(F79/#REF!,"-")</f>
        <v>-</v>
      </c>
      <c r="J79" s="338">
        <f t="shared" ref="J79:J85" si="61">+K79+L79</f>
        <v>0</v>
      </c>
      <c r="K79" s="275">
        <f t="shared" ref="K79:L79" si="62">+G79+K20</f>
        <v>0</v>
      </c>
      <c r="L79" s="276">
        <f t="shared" si="62"/>
        <v>0</v>
      </c>
      <c r="M79" s="342" t="str">
        <f t="shared" ref="M79:M87" si="63">IFERROR(J79/D79,"-")</f>
        <v>-</v>
      </c>
      <c r="N79" s="352" t="str">
        <f t="shared" si="59"/>
        <v>-</v>
      </c>
      <c r="O79" s="518">
        <v>18.2316</v>
      </c>
      <c r="P79" s="408">
        <f t="shared" ref="P79:P85" si="64">+O79*G79</f>
        <v>0</v>
      </c>
      <c r="Q79" s="457">
        <f t="shared" ref="Q79:Q85" si="65">+O79*K79</f>
        <v>0</v>
      </c>
    </row>
    <row r="80" spans="1:17" ht="23.4" x14ac:dyDescent="0.3">
      <c r="A80" s="277" t="s">
        <v>111</v>
      </c>
      <c r="B80" s="444"/>
      <c r="C80" s="278" t="s">
        <v>92</v>
      </c>
      <c r="D80" s="279"/>
      <c r="E80" s="280"/>
      <c r="F80" s="339">
        <f t="shared" si="60"/>
        <v>0</v>
      </c>
      <c r="G80" s="281">
        <v>0</v>
      </c>
      <c r="H80" s="281">
        <v>0</v>
      </c>
      <c r="I80" s="358" t="str">
        <f>IFERROR(F80/#REF!,"-")</f>
        <v>-</v>
      </c>
      <c r="J80" s="339">
        <f t="shared" si="61"/>
        <v>0</v>
      </c>
      <c r="K80" s="281">
        <f t="shared" ref="K80:L80" si="66">+G80+K21</f>
        <v>0</v>
      </c>
      <c r="L80" s="251">
        <f t="shared" si="66"/>
        <v>0</v>
      </c>
      <c r="M80" s="343" t="str">
        <f t="shared" si="63"/>
        <v>-</v>
      </c>
      <c r="N80" s="264" t="str">
        <f t="shared" si="59"/>
        <v>-</v>
      </c>
      <c r="O80" s="519">
        <v>0</v>
      </c>
      <c r="P80" s="410">
        <f t="shared" si="64"/>
        <v>0</v>
      </c>
      <c r="Q80" s="459">
        <f t="shared" si="65"/>
        <v>0</v>
      </c>
    </row>
    <row r="81" spans="1:17" ht="23.4" x14ac:dyDescent="0.3">
      <c r="A81" s="277" t="s">
        <v>111</v>
      </c>
      <c r="B81" s="444"/>
      <c r="C81" s="278" t="s">
        <v>340</v>
      </c>
      <c r="D81" s="279"/>
      <c r="E81" s="280"/>
      <c r="F81" s="339">
        <f t="shared" si="60"/>
        <v>0</v>
      </c>
      <c r="G81" s="281">
        <v>0</v>
      </c>
      <c r="H81" s="281">
        <v>0</v>
      </c>
      <c r="I81" s="358" t="str">
        <f>IFERROR(F81/#REF!,"-")</f>
        <v>-</v>
      </c>
      <c r="J81" s="339">
        <f t="shared" si="61"/>
        <v>0</v>
      </c>
      <c r="K81" s="281">
        <f t="shared" ref="K81:L81" si="67">+G81+K22</f>
        <v>0</v>
      </c>
      <c r="L81" s="251">
        <f t="shared" si="67"/>
        <v>0</v>
      </c>
      <c r="M81" s="343" t="str">
        <f t="shared" si="63"/>
        <v>-</v>
      </c>
      <c r="N81" s="264" t="str">
        <f t="shared" si="59"/>
        <v>-</v>
      </c>
      <c r="O81" s="519">
        <v>5.7342000000000004</v>
      </c>
      <c r="P81" s="410">
        <f t="shared" si="64"/>
        <v>0</v>
      </c>
      <c r="Q81" s="459">
        <f t="shared" si="65"/>
        <v>0</v>
      </c>
    </row>
    <row r="82" spans="1:17" ht="23.4" x14ac:dyDescent="0.3">
      <c r="A82" s="277" t="s">
        <v>111</v>
      </c>
      <c r="B82" s="444"/>
      <c r="C82" s="278" t="s">
        <v>363</v>
      </c>
      <c r="D82" s="279"/>
      <c r="E82" s="280"/>
      <c r="F82" s="339">
        <f t="shared" si="60"/>
        <v>0</v>
      </c>
      <c r="G82" s="281">
        <v>0</v>
      </c>
      <c r="H82" s="281">
        <v>0</v>
      </c>
      <c r="I82" s="358" t="str">
        <f>IFERROR(F82/#REF!,"-")</f>
        <v>-</v>
      </c>
      <c r="J82" s="339">
        <f t="shared" si="61"/>
        <v>0</v>
      </c>
      <c r="K82" s="281">
        <f t="shared" ref="K82:L82" si="68">+G82+K23</f>
        <v>0</v>
      </c>
      <c r="L82" s="251">
        <f t="shared" si="68"/>
        <v>0</v>
      </c>
      <c r="M82" s="343" t="str">
        <f t="shared" si="63"/>
        <v>-</v>
      </c>
      <c r="N82" s="264" t="str">
        <f t="shared" si="59"/>
        <v>-</v>
      </c>
      <c r="O82" s="519"/>
      <c r="P82" s="410">
        <f t="shared" si="64"/>
        <v>0</v>
      </c>
      <c r="Q82" s="459">
        <f t="shared" si="65"/>
        <v>0</v>
      </c>
    </row>
    <row r="83" spans="1:17" ht="23.4" x14ac:dyDescent="0.3">
      <c r="A83" s="277" t="s">
        <v>111</v>
      </c>
      <c r="B83" s="444"/>
      <c r="C83" s="278" t="s">
        <v>373</v>
      </c>
      <c r="D83" s="279"/>
      <c r="E83" s="280"/>
      <c r="F83" s="339">
        <f t="shared" si="60"/>
        <v>27147</v>
      </c>
      <c r="G83" s="281">
        <v>27000</v>
      </c>
      <c r="H83" s="281">
        <v>147</v>
      </c>
      <c r="I83" s="358" t="str">
        <f>IFERROR(F83/#REF!,"-")</f>
        <v>-</v>
      </c>
      <c r="J83" s="339">
        <f t="shared" si="61"/>
        <v>63305</v>
      </c>
      <c r="K83" s="281">
        <f t="shared" ref="K83:L83" si="69">+G83+K24</f>
        <v>63000</v>
      </c>
      <c r="L83" s="251">
        <f t="shared" si="69"/>
        <v>305</v>
      </c>
      <c r="M83" s="343" t="str">
        <f t="shared" si="63"/>
        <v>-</v>
      </c>
      <c r="N83" s="264">
        <f t="shared" si="59"/>
        <v>4.8179448700734536E-3</v>
      </c>
      <c r="O83" s="519">
        <v>12.029500000000001</v>
      </c>
      <c r="P83" s="410">
        <f t="shared" si="64"/>
        <v>324796.5</v>
      </c>
      <c r="Q83" s="459">
        <f t="shared" si="65"/>
        <v>757858.5</v>
      </c>
    </row>
    <row r="84" spans="1:17" ht="23.4" x14ac:dyDescent="0.3">
      <c r="A84" s="277" t="s">
        <v>111</v>
      </c>
      <c r="B84" s="444"/>
      <c r="C84" s="278"/>
      <c r="D84" s="279"/>
      <c r="E84" s="280"/>
      <c r="F84" s="339">
        <f t="shared" si="60"/>
        <v>0</v>
      </c>
      <c r="G84" s="281">
        <v>0</v>
      </c>
      <c r="H84" s="281">
        <v>0</v>
      </c>
      <c r="I84" s="358" t="str">
        <f>IFERROR(F84/#REF!,"-")</f>
        <v>-</v>
      </c>
      <c r="J84" s="339">
        <f t="shared" si="61"/>
        <v>0</v>
      </c>
      <c r="K84" s="281">
        <f t="shared" ref="K84:L84" si="70">+G84+K25</f>
        <v>0</v>
      </c>
      <c r="L84" s="251">
        <f t="shared" si="70"/>
        <v>0</v>
      </c>
      <c r="M84" s="343" t="str">
        <f t="shared" si="63"/>
        <v>-</v>
      </c>
      <c r="N84" s="264" t="str">
        <f t="shared" si="59"/>
        <v>-</v>
      </c>
      <c r="O84" s="519"/>
      <c r="P84" s="410">
        <f t="shared" si="64"/>
        <v>0</v>
      </c>
      <c r="Q84" s="459">
        <f t="shared" si="65"/>
        <v>0</v>
      </c>
    </row>
    <row r="85" spans="1:17" ht="24" thickBot="1" x14ac:dyDescent="0.35">
      <c r="A85" s="277" t="s">
        <v>111</v>
      </c>
      <c r="B85" s="461"/>
      <c r="C85" s="282"/>
      <c r="D85" s="283">
        <v>0</v>
      </c>
      <c r="E85" s="284"/>
      <c r="F85" s="340">
        <f t="shared" si="60"/>
        <v>0</v>
      </c>
      <c r="G85" s="285">
        <v>0</v>
      </c>
      <c r="H85" s="285">
        <v>0</v>
      </c>
      <c r="I85" s="359" t="str">
        <f>IFERROR(F85/#REF!,"-")</f>
        <v>-</v>
      </c>
      <c r="J85" s="340">
        <f t="shared" si="61"/>
        <v>0</v>
      </c>
      <c r="K85" s="285">
        <f t="shared" ref="K85:L85" si="71">+G85+K26</f>
        <v>0</v>
      </c>
      <c r="L85" s="286">
        <f t="shared" si="71"/>
        <v>0</v>
      </c>
      <c r="M85" s="344" t="str">
        <f t="shared" si="63"/>
        <v>-</v>
      </c>
      <c r="N85" s="353" t="str">
        <f t="shared" si="59"/>
        <v>-</v>
      </c>
      <c r="O85" s="520"/>
      <c r="P85" s="411">
        <f t="shared" si="64"/>
        <v>0</v>
      </c>
      <c r="Q85" s="460">
        <f t="shared" si="65"/>
        <v>0</v>
      </c>
    </row>
    <row r="86" spans="1:17" ht="24" thickBot="1" x14ac:dyDescent="0.35">
      <c r="A86" s="277" t="s">
        <v>111</v>
      </c>
      <c r="B86" s="906" t="s">
        <v>25</v>
      </c>
      <c r="C86" s="907"/>
      <c r="D86" s="326">
        <f t="shared" ref="D86" si="72">SUM(D79:D85)</f>
        <v>0</v>
      </c>
      <c r="E86" s="289">
        <v>100000</v>
      </c>
      <c r="F86" s="326">
        <f>SUM(F79:F85)</f>
        <v>27147</v>
      </c>
      <c r="G86" s="327">
        <f t="shared" ref="G86:H86" si="73">SUM(G79:G85)</f>
        <v>27000</v>
      </c>
      <c r="H86" s="327">
        <f t="shared" si="73"/>
        <v>147</v>
      </c>
      <c r="I86" s="351" t="str">
        <f>IFERROR(F86/#REF!,"-")</f>
        <v>-</v>
      </c>
      <c r="J86" s="326">
        <f t="shared" ref="J86:L86" si="74">SUM(J79:J85)</f>
        <v>63305</v>
      </c>
      <c r="K86" s="327">
        <f t="shared" si="74"/>
        <v>63000</v>
      </c>
      <c r="L86" s="328">
        <f t="shared" si="74"/>
        <v>305</v>
      </c>
      <c r="M86" s="345" t="str">
        <f t="shared" si="63"/>
        <v>-</v>
      </c>
      <c r="N86" s="351">
        <f t="shared" si="59"/>
        <v>4.8179448700734536E-3</v>
      </c>
      <c r="O86" s="397"/>
      <c r="P86" s="412">
        <f t="shared" ref="P86:Q86" si="75">SUM(P79:P85)</f>
        <v>324796.5</v>
      </c>
      <c r="Q86" s="431">
        <f t="shared" si="75"/>
        <v>757858.5</v>
      </c>
    </row>
    <row r="87" spans="1:17" ht="24" thickBot="1" x14ac:dyDescent="0.35">
      <c r="A87" s="277" t="s">
        <v>111</v>
      </c>
      <c r="B87" s="985" t="s">
        <v>181</v>
      </c>
      <c r="C87" s="986"/>
      <c r="D87" s="332">
        <f>+D78+D86</f>
        <v>0</v>
      </c>
      <c r="E87" s="333">
        <f t="shared" ref="E87:H87" si="76">+E78+E86</f>
        <v>115000</v>
      </c>
      <c r="F87" s="332">
        <f t="shared" si="76"/>
        <v>129511</v>
      </c>
      <c r="G87" s="330">
        <f t="shared" si="76"/>
        <v>123440</v>
      </c>
      <c r="H87" s="330">
        <f t="shared" si="76"/>
        <v>6071</v>
      </c>
      <c r="I87" s="355" t="str">
        <f>IFERROR(F87/#REF!,"-")</f>
        <v>-</v>
      </c>
      <c r="J87" s="332">
        <f t="shared" ref="J87:L87" si="77">+J78+J86</f>
        <v>220465</v>
      </c>
      <c r="K87" s="330">
        <f t="shared" si="77"/>
        <v>213040</v>
      </c>
      <c r="L87" s="331">
        <f t="shared" si="77"/>
        <v>7425</v>
      </c>
      <c r="M87" s="347" t="str">
        <f t="shared" si="63"/>
        <v>-</v>
      </c>
      <c r="N87" s="355">
        <f t="shared" si="59"/>
        <v>3.367881523144263E-2</v>
      </c>
      <c r="O87" s="400"/>
      <c r="P87" s="416">
        <f t="shared" ref="P87:Q87" si="78">+P78+P86</f>
        <v>1065387.3360000001</v>
      </c>
      <c r="Q87" s="434">
        <f t="shared" si="78"/>
        <v>2156909.2560000001</v>
      </c>
    </row>
    <row r="88" spans="1:17" ht="23.4" x14ac:dyDescent="0.3">
      <c r="A88" s="244" t="s">
        <v>109</v>
      </c>
      <c r="B88" s="599"/>
      <c r="C88" s="600" t="s">
        <v>314</v>
      </c>
      <c r="D88" s="540"/>
      <c r="E88" s="470"/>
      <c r="F88" s="468">
        <f>+G88+H88</f>
        <v>0</v>
      </c>
      <c r="G88" s="469">
        <v>0</v>
      </c>
      <c r="H88" s="469">
        <v>0</v>
      </c>
      <c r="I88" s="544" t="str">
        <f>IFERROR(F88/#REF!,"-")</f>
        <v>-</v>
      </c>
      <c r="J88" s="468">
        <f>+K88+L88</f>
        <v>0</v>
      </c>
      <c r="K88" s="469">
        <f t="shared" ref="K88:L88" si="79">+G88+K29</f>
        <v>0</v>
      </c>
      <c r="L88" s="247">
        <f t="shared" si="79"/>
        <v>0</v>
      </c>
      <c r="M88" s="604" t="str">
        <f>IFERROR(J88/D88,"-")</f>
        <v>-</v>
      </c>
      <c r="N88" s="546" t="str">
        <f t="shared" si="59"/>
        <v>-</v>
      </c>
      <c r="O88" s="648">
        <v>4.8285999999999998</v>
      </c>
      <c r="P88" s="547">
        <f t="shared" ref="P88:P94" si="80">+O88*G88</f>
        <v>0</v>
      </c>
      <c r="Q88" s="548">
        <f>+O88*K88</f>
        <v>0</v>
      </c>
    </row>
    <row r="89" spans="1:17" ht="23.4" x14ac:dyDescent="0.3">
      <c r="A89" s="248" t="s">
        <v>109</v>
      </c>
      <c r="B89" s="601"/>
      <c r="C89" s="278" t="s">
        <v>315</v>
      </c>
      <c r="D89" s="279"/>
      <c r="E89" s="442"/>
      <c r="F89" s="339">
        <f t="shared" ref="F89:F94" si="81">+G89+H89</f>
        <v>0</v>
      </c>
      <c r="G89" s="281">
        <v>0</v>
      </c>
      <c r="H89" s="281">
        <v>0</v>
      </c>
      <c r="I89" s="358" t="str">
        <f>IFERROR(F89/#REF!,"-")</f>
        <v>-</v>
      </c>
      <c r="J89" s="339">
        <f t="shared" ref="J89:J94" si="82">+K89+L89</f>
        <v>0</v>
      </c>
      <c r="K89" s="281">
        <f t="shared" ref="K89:L89" si="83">+G89+K30</f>
        <v>0</v>
      </c>
      <c r="L89" s="251">
        <f t="shared" si="83"/>
        <v>0</v>
      </c>
      <c r="M89" s="343" t="str">
        <f t="shared" ref="M89:M91" si="84">IFERROR(J89/D89,"-")</f>
        <v>-</v>
      </c>
      <c r="N89" s="268" t="str">
        <f t="shared" si="59"/>
        <v>-</v>
      </c>
      <c r="O89" s="649">
        <v>1.4086000000000001</v>
      </c>
      <c r="P89" s="410">
        <f t="shared" si="80"/>
        <v>0</v>
      </c>
      <c r="Q89" s="459">
        <f t="shared" ref="Q89:Q94" si="85">+O89*K89</f>
        <v>0</v>
      </c>
    </row>
    <row r="90" spans="1:17" ht="23.4" x14ac:dyDescent="0.3">
      <c r="A90" s="248" t="s">
        <v>109</v>
      </c>
      <c r="B90" s="601"/>
      <c r="C90" s="278" t="s">
        <v>367</v>
      </c>
      <c r="D90" s="279"/>
      <c r="E90" s="442"/>
      <c r="F90" s="339">
        <f t="shared" si="81"/>
        <v>128170</v>
      </c>
      <c r="G90" s="281">
        <v>126750</v>
      </c>
      <c r="H90" s="281">
        <v>1420</v>
      </c>
      <c r="I90" s="358" t="str">
        <f>IFERROR(F90/#REF!,"-")</f>
        <v>-</v>
      </c>
      <c r="J90" s="339">
        <f t="shared" si="82"/>
        <v>229420</v>
      </c>
      <c r="K90" s="281">
        <f t="shared" ref="K90:L90" si="86">+G90+K31</f>
        <v>226750</v>
      </c>
      <c r="L90" s="251">
        <f t="shared" si="86"/>
        <v>2670</v>
      </c>
      <c r="M90" s="343" t="str">
        <f t="shared" si="84"/>
        <v>-</v>
      </c>
      <c r="N90" s="268">
        <f>IFERROR(L90/J90,"-")</f>
        <v>1.1638043762531601E-2</v>
      </c>
      <c r="O90" s="649">
        <v>2.2141000000000002</v>
      </c>
      <c r="P90" s="410">
        <f t="shared" si="80"/>
        <v>280637.17500000005</v>
      </c>
      <c r="Q90" s="459">
        <f t="shared" si="85"/>
        <v>502047.17500000005</v>
      </c>
    </row>
    <row r="91" spans="1:17" ht="23.4" x14ac:dyDescent="0.3">
      <c r="A91" s="248" t="s">
        <v>109</v>
      </c>
      <c r="B91" s="602"/>
      <c r="C91" s="278" t="s">
        <v>399</v>
      </c>
      <c r="D91" s="283"/>
      <c r="E91" s="541"/>
      <c r="F91" s="340">
        <f t="shared" si="81"/>
        <v>0</v>
      </c>
      <c r="G91" s="285">
        <v>0</v>
      </c>
      <c r="H91" s="285">
        <v>0</v>
      </c>
      <c r="I91" s="359" t="str">
        <f>IFERROR(F91/#REF!,"-")</f>
        <v>-</v>
      </c>
      <c r="J91" s="339">
        <f t="shared" si="82"/>
        <v>0</v>
      </c>
      <c r="K91" s="285">
        <f t="shared" ref="K91:L91" si="87">+G91+K32</f>
        <v>0</v>
      </c>
      <c r="L91" s="286">
        <f t="shared" si="87"/>
        <v>0</v>
      </c>
      <c r="M91" s="344" t="str">
        <f t="shared" si="84"/>
        <v>-</v>
      </c>
      <c r="N91" s="350" t="str">
        <f t="shared" ref="N91:N98" si="88">IFERROR(L91/J91,"-")</f>
        <v>-</v>
      </c>
      <c r="O91" s="650">
        <v>2.6406000000000001</v>
      </c>
      <c r="P91" s="411">
        <f t="shared" si="80"/>
        <v>0</v>
      </c>
      <c r="Q91" s="460">
        <f t="shared" si="85"/>
        <v>0</v>
      </c>
    </row>
    <row r="92" spans="1:17" ht="23.4" x14ac:dyDescent="0.3">
      <c r="A92" s="248" t="s">
        <v>109</v>
      </c>
      <c r="B92" s="446"/>
      <c r="C92" s="647" t="s">
        <v>398</v>
      </c>
      <c r="D92" s="521"/>
      <c r="E92" s="542"/>
      <c r="F92" s="339">
        <f t="shared" si="81"/>
        <v>0</v>
      </c>
      <c r="G92" s="561">
        <v>0</v>
      </c>
      <c r="H92" s="561">
        <v>0</v>
      </c>
      <c r="I92" s="358" t="str">
        <f>IFERROR(F92/#REF!,"-")</f>
        <v>-</v>
      </c>
      <c r="J92" s="339">
        <f t="shared" si="82"/>
        <v>0</v>
      </c>
      <c r="K92" s="285">
        <f t="shared" ref="K92:L92" si="89">+G92+K33</f>
        <v>0</v>
      </c>
      <c r="L92" s="286">
        <f t="shared" si="89"/>
        <v>0</v>
      </c>
      <c r="M92" s="522"/>
      <c r="N92" s="268" t="str">
        <f t="shared" si="88"/>
        <v>-</v>
      </c>
      <c r="O92" s="553">
        <v>4.4065000000000003</v>
      </c>
      <c r="P92" s="410">
        <f t="shared" si="80"/>
        <v>0</v>
      </c>
      <c r="Q92" s="459">
        <f t="shared" si="85"/>
        <v>0</v>
      </c>
    </row>
    <row r="93" spans="1:17" ht="23.4" x14ac:dyDescent="0.3">
      <c r="A93" s="248" t="s">
        <v>109</v>
      </c>
      <c r="B93" s="603"/>
      <c r="C93" s="272"/>
      <c r="D93" s="273"/>
      <c r="E93" s="441"/>
      <c r="F93" s="338">
        <f t="shared" si="81"/>
        <v>0</v>
      </c>
      <c r="G93" s="275"/>
      <c r="H93" s="275"/>
      <c r="I93" s="357" t="str">
        <f>IFERROR(F93/#REF!,"-")</f>
        <v>-</v>
      </c>
      <c r="J93" s="339">
        <f t="shared" si="82"/>
        <v>0</v>
      </c>
      <c r="K93" s="285">
        <f t="shared" ref="K93:L93" si="90">+G93+K34</f>
        <v>0</v>
      </c>
      <c r="L93" s="286">
        <f t="shared" si="90"/>
        <v>0</v>
      </c>
      <c r="M93" s="342" t="str">
        <f t="shared" ref="M93:M94" si="91">IFERROR(J93/D93,"-")</f>
        <v>-</v>
      </c>
      <c r="N93" s="352" t="str">
        <f t="shared" si="88"/>
        <v>-</v>
      </c>
      <c r="O93" s="456"/>
      <c r="P93" s="408">
        <f t="shared" si="80"/>
        <v>0</v>
      </c>
      <c r="Q93" s="457">
        <f t="shared" si="85"/>
        <v>0</v>
      </c>
    </row>
    <row r="94" spans="1:17" ht="24" thickBot="1" x14ac:dyDescent="0.35">
      <c r="A94" s="248" t="s">
        <v>109</v>
      </c>
      <c r="B94" s="601"/>
      <c r="C94" s="278"/>
      <c r="D94" s="279"/>
      <c r="E94" s="442"/>
      <c r="F94" s="339">
        <f t="shared" si="81"/>
        <v>0</v>
      </c>
      <c r="G94" s="281"/>
      <c r="H94" s="281"/>
      <c r="I94" s="358" t="str">
        <f>IFERROR(F94/#REF!,"-")</f>
        <v>-</v>
      </c>
      <c r="J94" s="339">
        <f t="shared" si="82"/>
        <v>0</v>
      </c>
      <c r="K94" s="281">
        <f t="shared" ref="K94:L94" si="92">+G94+K35</f>
        <v>0</v>
      </c>
      <c r="L94" s="251">
        <f t="shared" si="92"/>
        <v>0</v>
      </c>
      <c r="M94" s="343" t="str">
        <f t="shared" si="91"/>
        <v>-</v>
      </c>
      <c r="N94" s="264" t="str">
        <f t="shared" si="88"/>
        <v>-</v>
      </c>
      <c r="O94" s="458"/>
      <c r="P94" s="410">
        <f t="shared" si="80"/>
        <v>0</v>
      </c>
      <c r="Q94" s="459">
        <f t="shared" si="85"/>
        <v>0</v>
      </c>
    </row>
    <row r="95" spans="1:17" ht="24" thickBot="1" x14ac:dyDescent="0.35">
      <c r="A95" s="277" t="s">
        <v>109</v>
      </c>
      <c r="B95" s="987" t="s">
        <v>21</v>
      </c>
      <c r="C95" s="925"/>
      <c r="D95" s="326">
        <v>0</v>
      </c>
      <c r="E95" s="289">
        <v>15000</v>
      </c>
      <c r="F95" s="326">
        <f>SUM(F88:F94)</f>
        <v>128170</v>
      </c>
      <c r="G95" s="327">
        <f t="shared" ref="G95:H95" si="93">SUM(G88:G94)</f>
        <v>126750</v>
      </c>
      <c r="H95" s="327">
        <f t="shared" si="93"/>
        <v>1420</v>
      </c>
      <c r="I95" s="351" t="str">
        <f>IFERROR(F95/#REF!,"-")</f>
        <v>-</v>
      </c>
      <c r="J95" s="326">
        <f t="shared" ref="J95" si="94">SUM(J88:J94)</f>
        <v>229420</v>
      </c>
      <c r="K95" s="327">
        <f>SUM(K88:K94)</f>
        <v>226750</v>
      </c>
      <c r="L95" s="327">
        <f>SUM(L88:L94)</f>
        <v>2670</v>
      </c>
      <c r="M95" s="345" t="str">
        <f>IFERROR(J95/D95,"-")</f>
        <v>-</v>
      </c>
      <c r="N95" s="351">
        <f t="shared" si="88"/>
        <v>1.1638043762531601E-2</v>
      </c>
      <c r="O95" s="397"/>
      <c r="P95" s="412">
        <f>SUM(P88:P94)</f>
        <v>280637.17500000005</v>
      </c>
      <c r="Q95" s="431">
        <f>SUM(Q88:Q94)</f>
        <v>502047.17500000005</v>
      </c>
    </row>
    <row r="96" spans="1:17" ht="24" thickBot="1" x14ac:dyDescent="0.35">
      <c r="A96" s="277" t="s">
        <v>109</v>
      </c>
      <c r="B96" s="988" t="s">
        <v>275</v>
      </c>
      <c r="C96" s="989"/>
      <c r="D96" s="524">
        <f>+D92+D95</f>
        <v>0</v>
      </c>
      <c r="E96" s="538">
        <f>+E92+E95</f>
        <v>15000</v>
      </c>
      <c r="F96" s="524">
        <f>+F92+F95</f>
        <v>128170</v>
      </c>
      <c r="G96" s="526">
        <f>+G92+G95</f>
        <v>126750</v>
      </c>
      <c r="H96" s="526">
        <f>+H92+H95</f>
        <v>1420</v>
      </c>
      <c r="I96" s="527" t="str">
        <f>IFERROR(F96/#REF!,"-")</f>
        <v>-</v>
      </c>
      <c r="J96" s="524">
        <f>+J92+J95</f>
        <v>229420</v>
      </c>
      <c r="K96" s="526">
        <f>+K95</f>
        <v>226750</v>
      </c>
      <c r="L96" s="526">
        <f>+L95</f>
        <v>2670</v>
      </c>
      <c r="M96" s="528" t="str">
        <f t="shared" ref="M96" si="95">IFERROR(J96/D96,"-")</f>
        <v>-</v>
      </c>
      <c r="N96" s="527">
        <f t="shared" si="88"/>
        <v>1.1638043762531601E-2</v>
      </c>
      <c r="O96" s="529"/>
      <c r="P96" s="530">
        <f>+P95</f>
        <v>280637.17500000005</v>
      </c>
      <c r="Q96" s="530">
        <f>+Q95</f>
        <v>502047.17500000005</v>
      </c>
    </row>
    <row r="97" spans="1:17" ht="23.4" x14ac:dyDescent="0.4">
      <c r="A97" s="244" t="s">
        <v>109</v>
      </c>
      <c r="B97" s="979" t="s">
        <v>277</v>
      </c>
      <c r="C97" s="555" t="s">
        <v>74</v>
      </c>
      <c r="D97" s="540"/>
      <c r="E97" s="470"/>
      <c r="F97" s="468">
        <f>+G97+H97</f>
        <v>0</v>
      </c>
      <c r="G97" s="469">
        <v>0</v>
      </c>
      <c r="H97" s="469">
        <v>0</v>
      </c>
      <c r="I97" s="544" t="str">
        <f>IFERROR(F97/#REF!,"-")</f>
        <v>-</v>
      </c>
      <c r="J97" s="468">
        <f>+K97+L97</f>
        <v>0</v>
      </c>
      <c r="K97" s="469">
        <f t="shared" ref="K97:L97" si="96">+G97+K38</f>
        <v>0</v>
      </c>
      <c r="L97" s="246">
        <f t="shared" si="96"/>
        <v>0</v>
      </c>
      <c r="M97" s="263" t="str">
        <f>IFERROR(J97/D97,"-")</f>
        <v>-</v>
      </c>
      <c r="N97" s="546" t="str">
        <f t="shared" si="88"/>
        <v>-</v>
      </c>
      <c r="O97" s="551">
        <v>32.946300000000001</v>
      </c>
      <c r="P97" s="547">
        <f t="shared" ref="P97:P125" si="97">+O97*G97</f>
        <v>0</v>
      </c>
      <c r="Q97" s="548">
        <f t="shared" ref="Q97:Q125" si="98">+O97*K97</f>
        <v>0</v>
      </c>
    </row>
    <row r="98" spans="1:17" ht="23.4" x14ac:dyDescent="0.4">
      <c r="A98" s="248" t="s">
        <v>109</v>
      </c>
      <c r="B98" s="980"/>
      <c r="C98" s="556" t="s">
        <v>75</v>
      </c>
      <c r="D98" s="523"/>
      <c r="E98" s="442"/>
      <c r="F98" s="339">
        <f t="shared" ref="F98:F125" si="99">+G98+H98</f>
        <v>0</v>
      </c>
      <c r="G98" s="281">
        <v>0</v>
      </c>
      <c r="H98" s="281">
        <v>0</v>
      </c>
      <c r="I98" s="358" t="str">
        <f>IFERROR(F98/#REF!,"-")</f>
        <v>-</v>
      </c>
      <c r="J98" s="339">
        <f t="shared" ref="J98:J125" si="100">+K98+L98</f>
        <v>0</v>
      </c>
      <c r="K98" s="281">
        <f t="shared" ref="K98:L98" si="101">+G98+K39</f>
        <v>0</v>
      </c>
      <c r="L98" s="250">
        <f t="shared" si="101"/>
        <v>0</v>
      </c>
      <c r="M98" s="265" t="str">
        <f t="shared" ref="M98:M100" si="102">IFERROR(J98/D98,"-")</f>
        <v>-</v>
      </c>
      <c r="N98" s="268" t="str">
        <f t="shared" si="88"/>
        <v>-</v>
      </c>
      <c r="O98" s="519">
        <v>35.398400000000002</v>
      </c>
      <c r="P98" s="410">
        <f t="shared" si="97"/>
        <v>0</v>
      </c>
      <c r="Q98" s="459">
        <f t="shared" si="98"/>
        <v>0</v>
      </c>
    </row>
    <row r="99" spans="1:17" ht="24" thickBot="1" x14ac:dyDescent="0.45">
      <c r="A99" s="248" t="s">
        <v>109</v>
      </c>
      <c r="B99" s="980"/>
      <c r="C99" s="556" t="s">
        <v>76</v>
      </c>
      <c r="D99" s="279"/>
      <c r="E99" s="442"/>
      <c r="F99" s="339">
        <f t="shared" si="99"/>
        <v>0</v>
      </c>
      <c r="G99" s="281">
        <v>0</v>
      </c>
      <c r="H99" s="281">
        <v>0</v>
      </c>
      <c r="I99" s="358" t="str">
        <f>IFERROR(F99/#REF!,"-")</f>
        <v>-</v>
      </c>
      <c r="J99" s="339">
        <f t="shared" si="100"/>
        <v>5000</v>
      </c>
      <c r="K99" s="281">
        <f t="shared" ref="K99:L99" si="103">+G99+K40</f>
        <v>5000</v>
      </c>
      <c r="L99" s="250">
        <f t="shared" si="103"/>
        <v>0</v>
      </c>
      <c r="M99" s="265" t="str">
        <f t="shared" si="102"/>
        <v>-</v>
      </c>
      <c r="N99" s="268">
        <f>IFERROR(L99/J99,"-")</f>
        <v>0</v>
      </c>
      <c r="O99" s="519">
        <v>32.946300000000001</v>
      </c>
      <c r="P99" s="410">
        <f t="shared" si="97"/>
        <v>0</v>
      </c>
      <c r="Q99" s="459">
        <f t="shared" si="98"/>
        <v>164731.5</v>
      </c>
    </row>
    <row r="100" spans="1:17" ht="23.4" x14ac:dyDescent="0.4">
      <c r="A100" s="248" t="s">
        <v>109</v>
      </c>
      <c r="B100" s="979" t="s">
        <v>278</v>
      </c>
      <c r="C100" s="558" t="s">
        <v>78</v>
      </c>
      <c r="D100" s="279"/>
      <c r="E100" s="541"/>
      <c r="F100" s="340">
        <f t="shared" si="99"/>
        <v>5366</v>
      </c>
      <c r="G100" s="281">
        <v>4800</v>
      </c>
      <c r="H100" s="281">
        <v>566</v>
      </c>
      <c r="I100" s="358" t="str">
        <f>IFERROR(F100/#REF!,"-")</f>
        <v>-</v>
      </c>
      <c r="J100" s="339">
        <f t="shared" si="100"/>
        <v>8248</v>
      </c>
      <c r="K100" s="281">
        <f t="shared" ref="K100:L100" si="104">+G100+K41</f>
        <v>7200</v>
      </c>
      <c r="L100" s="250">
        <f t="shared" si="104"/>
        <v>1048</v>
      </c>
      <c r="M100" s="265" t="str">
        <f t="shared" si="102"/>
        <v>-</v>
      </c>
      <c r="N100" s="268">
        <f t="shared" ref="N100" si="105">IFERROR(L100/J100,"-")</f>
        <v>0.1270611057225994</v>
      </c>
      <c r="O100" s="519">
        <v>55.4758</v>
      </c>
      <c r="P100" s="410">
        <f t="shared" si="97"/>
        <v>266283.84000000003</v>
      </c>
      <c r="Q100" s="459">
        <f t="shared" si="98"/>
        <v>399425.76</v>
      </c>
    </row>
    <row r="101" spans="1:17" ht="23.4" x14ac:dyDescent="0.4">
      <c r="A101" s="248" t="s">
        <v>109</v>
      </c>
      <c r="B101" s="980"/>
      <c r="C101" s="558" t="s">
        <v>75</v>
      </c>
      <c r="D101" s="279"/>
      <c r="E101" s="542"/>
      <c r="F101" s="340">
        <f t="shared" si="99"/>
        <v>0</v>
      </c>
      <c r="G101" s="281"/>
      <c r="H101" s="281"/>
      <c r="I101" s="358" t="str">
        <f>IFERROR(F101/#REF!,"-")</f>
        <v>-</v>
      </c>
      <c r="J101" s="339">
        <f t="shared" si="100"/>
        <v>0</v>
      </c>
      <c r="K101" s="281">
        <f t="shared" ref="K101:L101" si="106">+G101+K42</f>
        <v>0</v>
      </c>
      <c r="L101" s="250">
        <f t="shared" si="106"/>
        <v>0</v>
      </c>
      <c r="M101" s="522"/>
      <c r="N101" s="378"/>
      <c r="O101" s="553">
        <v>58.836300000000001</v>
      </c>
      <c r="P101" s="410">
        <f t="shared" si="97"/>
        <v>0</v>
      </c>
      <c r="Q101" s="459">
        <f t="shared" si="98"/>
        <v>0</v>
      </c>
    </row>
    <row r="102" spans="1:17" ht="24" thickBot="1" x14ac:dyDescent="0.45">
      <c r="A102" s="248" t="s">
        <v>109</v>
      </c>
      <c r="B102" s="981"/>
      <c r="C102" s="558" t="s">
        <v>142</v>
      </c>
      <c r="D102" s="279"/>
      <c r="E102" s="441"/>
      <c r="F102" s="340">
        <f t="shared" si="99"/>
        <v>0</v>
      </c>
      <c r="G102" s="281">
        <v>0</v>
      </c>
      <c r="H102" s="281">
        <v>0</v>
      </c>
      <c r="I102" s="358" t="str">
        <f>IFERROR(F102/#REF!,"-")</f>
        <v>-</v>
      </c>
      <c r="J102" s="339">
        <f t="shared" si="100"/>
        <v>0</v>
      </c>
      <c r="K102" s="281">
        <f t="shared" ref="K102:L102" si="107">+G102+K43</f>
        <v>0</v>
      </c>
      <c r="L102" s="250">
        <f t="shared" si="107"/>
        <v>0</v>
      </c>
      <c r="M102" s="265" t="str">
        <f t="shared" ref="M102:M128" si="108">IFERROR(J102/D102,"-")</f>
        <v>-</v>
      </c>
      <c r="N102" s="264" t="str">
        <f t="shared" ref="N102:N127" si="109">IFERROR(L102/J102,"-")</f>
        <v>-</v>
      </c>
      <c r="O102" s="519">
        <v>53.515999999999998</v>
      </c>
      <c r="P102" s="410">
        <f t="shared" si="97"/>
        <v>0</v>
      </c>
      <c r="Q102" s="459">
        <f t="shared" si="98"/>
        <v>0</v>
      </c>
    </row>
    <row r="103" spans="1:17" ht="23.4" x14ac:dyDescent="0.4">
      <c r="A103" s="248" t="s">
        <v>109</v>
      </c>
      <c r="B103" s="979" t="s">
        <v>79</v>
      </c>
      <c r="C103" s="556" t="s">
        <v>80</v>
      </c>
      <c r="D103" s="279"/>
      <c r="E103" s="442"/>
      <c r="F103" s="339">
        <f t="shared" si="99"/>
        <v>0</v>
      </c>
      <c r="G103" s="281">
        <v>0</v>
      </c>
      <c r="H103" s="281">
        <v>0</v>
      </c>
      <c r="I103" s="358" t="str">
        <f>IFERROR(F103/#REF!,"-")</f>
        <v>-</v>
      </c>
      <c r="J103" s="339">
        <f t="shared" si="100"/>
        <v>0</v>
      </c>
      <c r="K103" s="281">
        <f t="shared" ref="K103:L103" si="110">+G103+K44</f>
        <v>0</v>
      </c>
      <c r="L103" s="250">
        <f t="shared" si="110"/>
        <v>0</v>
      </c>
      <c r="M103" s="265" t="str">
        <f t="shared" si="108"/>
        <v>-</v>
      </c>
      <c r="N103" s="264" t="str">
        <f t="shared" si="109"/>
        <v>-</v>
      </c>
      <c r="O103" s="519">
        <v>25.687200000000001</v>
      </c>
      <c r="P103" s="410">
        <f t="shared" si="97"/>
        <v>0</v>
      </c>
      <c r="Q103" s="459">
        <f t="shared" si="98"/>
        <v>0</v>
      </c>
    </row>
    <row r="104" spans="1:17" ht="24" thickBot="1" x14ac:dyDescent="0.45">
      <c r="A104" s="248" t="s">
        <v>109</v>
      </c>
      <c r="B104" s="981"/>
      <c r="C104" s="556" t="s">
        <v>125</v>
      </c>
      <c r="D104" s="279"/>
      <c r="E104" s="442"/>
      <c r="F104" s="339">
        <f t="shared" si="99"/>
        <v>0</v>
      </c>
      <c r="G104" s="281">
        <v>0</v>
      </c>
      <c r="H104" s="281">
        <v>0</v>
      </c>
      <c r="I104" s="358" t="str">
        <f>IFERROR(F104/#REF!,"-")</f>
        <v>-</v>
      </c>
      <c r="J104" s="339">
        <f t="shared" si="100"/>
        <v>0</v>
      </c>
      <c r="K104" s="281">
        <f t="shared" ref="K104:L104" si="111">+G104+K45</f>
        <v>0</v>
      </c>
      <c r="L104" s="250">
        <f t="shared" si="111"/>
        <v>0</v>
      </c>
      <c r="M104" s="265" t="str">
        <f t="shared" si="108"/>
        <v>-</v>
      </c>
      <c r="N104" s="264" t="str">
        <f t="shared" si="109"/>
        <v>-</v>
      </c>
      <c r="O104" s="519">
        <v>25.033899999999999</v>
      </c>
      <c r="P104" s="410">
        <f t="shared" si="97"/>
        <v>0</v>
      </c>
      <c r="Q104" s="459">
        <f t="shared" si="98"/>
        <v>0</v>
      </c>
    </row>
    <row r="105" spans="1:17" ht="23.4" x14ac:dyDescent="0.4">
      <c r="A105" s="248"/>
      <c r="B105" s="979" t="s">
        <v>81</v>
      </c>
      <c r="C105" s="556" t="s">
        <v>82</v>
      </c>
      <c r="D105" s="279"/>
      <c r="E105" s="442"/>
      <c r="F105" s="339">
        <f t="shared" si="99"/>
        <v>0</v>
      </c>
      <c r="G105" s="281">
        <v>0</v>
      </c>
      <c r="H105" s="281">
        <v>0</v>
      </c>
      <c r="I105" s="358" t="str">
        <f>IFERROR(F105/#REF!,"-")</f>
        <v>-</v>
      </c>
      <c r="J105" s="339">
        <f t="shared" si="100"/>
        <v>0</v>
      </c>
      <c r="K105" s="281">
        <f t="shared" ref="K105:L105" si="112">+G105+K46</f>
        <v>0</v>
      </c>
      <c r="L105" s="250">
        <f t="shared" si="112"/>
        <v>0</v>
      </c>
      <c r="M105" s="265" t="str">
        <f t="shared" si="108"/>
        <v>-</v>
      </c>
      <c r="N105" s="264" t="str">
        <f t="shared" si="109"/>
        <v>-</v>
      </c>
      <c r="O105" s="519">
        <v>41.992699999999999</v>
      </c>
      <c r="P105" s="410">
        <f t="shared" si="97"/>
        <v>0</v>
      </c>
      <c r="Q105" s="459">
        <f t="shared" si="98"/>
        <v>0</v>
      </c>
    </row>
    <row r="106" spans="1:17" ht="24" thickBot="1" x14ac:dyDescent="0.45">
      <c r="A106" s="248"/>
      <c r="B106" s="980"/>
      <c r="C106" s="556" t="s">
        <v>364</v>
      </c>
      <c r="D106" s="279"/>
      <c r="E106" s="442"/>
      <c r="F106" s="339">
        <f t="shared" si="99"/>
        <v>0</v>
      </c>
      <c r="G106" s="281">
        <v>0</v>
      </c>
      <c r="H106" s="281">
        <v>0</v>
      </c>
      <c r="I106" s="358" t="str">
        <f>IFERROR(F106/#REF!,"-")</f>
        <v>-</v>
      </c>
      <c r="J106" s="339">
        <f t="shared" si="100"/>
        <v>0</v>
      </c>
      <c r="K106" s="281">
        <f t="shared" ref="K106:L106" si="113">+G106+K47</f>
        <v>0</v>
      </c>
      <c r="L106" s="250">
        <f t="shared" si="113"/>
        <v>0</v>
      </c>
      <c r="M106" s="265" t="str">
        <f t="shared" si="108"/>
        <v>-</v>
      </c>
      <c r="N106" s="264" t="str">
        <f t="shared" si="109"/>
        <v>-</v>
      </c>
      <c r="O106" s="519">
        <v>41.992699999999999</v>
      </c>
      <c r="P106" s="410">
        <f t="shared" si="97"/>
        <v>0</v>
      </c>
      <c r="Q106" s="459">
        <f t="shared" si="98"/>
        <v>0</v>
      </c>
    </row>
    <row r="107" spans="1:17" ht="24" thickBot="1" x14ac:dyDescent="0.45">
      <c r="A107" s="248"/>
      <c r="B107" s="559" t="s">
        <v>83</v>
      </c>
      <c r="C107" s="556" t="s">
        <v>84</v>
      </c>
      <c r="D107" s="279"/>
      <c r="E107" s="442"/>
      <c r="F107" s="339">
        <f t="shared" si="99"/>
        <v>0</v>
      </c>
      <c r="G107" s="281">
        <v>0</v>
      </c>
      <c r="H107" s="281">
        <v>0</v>
      </c>
      <c r="I107" s="358" t="str">
        <f>IFERROR(F107/#REF!,"-")</f>
        <v>-</v>
      </c>
      <c r="J107" s="339">
        <f t="shared" si="100"/>
        <v>0</v>
      </c>
      <c r="K107" s="281">
        <f t="shared" ref="K107:L107" si="114">+G107+K48</f>
        <v>0</v>
      </c>
      <c r="L107" s="250">
        <f t="shared" si="114"/>
        <v>0</v>
      </c>
      <c r="M107" s="265" t="str">
        <f t="shared" si="108"/>
        <v>-</v>
      </c>
      <c r="N107" s="264" t="str">
        <f t="shared" si="109"/>
        <v>-</v>
      </c>
      <c r="O107" s="519">
        <v>4.3535000000000004</v>
      </c>
      <c r="P107" s="410">
        <f t="shared" si="97"/>
        <v>0</v>
      </c>
      <c r="Q107" s="459">
        <f t="shared" si="98"/>
        <v>0</v>
      </c>
    </row>
    <row r="108" spans="1:17" ht="23.4" x14ac:dyDescent="0.4">
      <c r="A108" s="248"/>
      <c r="B108" s="979" t="s">
        <v>280</v>
      </c>
      <c r="C108" s="556" t="s">
        <v>80</v>
      </c>
      <c r="D108" s="279"/>
      <c r="E108" s="442"/>
      <c r="F108" s="339">
        <f t="shared" si="99"/>
        <v>0</v>
      </c>
      <c r="G108" s="281">
        <v>0</v>
      </c>
      <c r="H108" s="281">
        <v>0</v>
      </c>
      <c r="I108" s="358" t="str">
        <f>IFERROR(F108/#REF!,"-")</f>
        <v>-</v>
      </c>
      <c r="J108" s="339">
        <f t="shared" si="100"/>
        <v>0</v>
      </c>
      <c r="K108" s="281">
        <f t="shared" ref="K108:L108" si="115">+G108+K49</f>
        <v>0</v>
      </c>
      <c r="L108" s="250">
        <f t="shared" si="115"/>
        <v>0</v>
      </c>
      <c r="M108" s="265" t="str">
        <f t="shared" si="108"/>
        <v>-</v>
      </c>
      <c r="N108" s="264" t="str">
        <f t="shared" si="109"/>
        <v>-</v>
      </c>
      <c r="O108" s="519">
        <v>4.6184000000000003</v>
      </c>
      <c r="P108" s="410">
        <f t="shared" si="97"/>
        <v>0</v>
      </c>
      <c r="Q108" s="459">
        <f t="shared" si="98"/>
        <v>0</v>
      </c>
    </row>
    <row r="109" spans="1:17" ht="23.4" x14ac:dyDescent="0.4">
      <c r="A109" s="248"/>
      <c r="B109" s="980"/>
      <c r="C109" s="556" t="s">
        <v>407</v>
      </c>
      <c r="D109" s="279"/>
      <c r="E109" s="442"/>
      <c r="F109" s="339">
        <f t="shared" si="99"/>
        <v>24430</v>
      </c>
      <c r="G109" s="281">
        <v>24200</v>
      </c>
      <c r="H109" s="281">
        <v>230</v>
      </c>
      <c r="I109" s="358" t="str">
        <f>IFERROR(F109/#REF!,"-")</f>
        <v>-</v>
      </c>
      <c r="J109" s="339">
        <f t="shared" si="100"/>
        <v>51030</v>
      </c>
      <c r="K109" s="281">
        <f t="shared" ref="K109:L109" si="116">+G109+K50</f>
        <v>50600</v>
      </c>
      <c r="L109" s="250">
        <f t="shared" si="116"/>
        <v>430</v>
      </c>
      <c r="M109" s="265" t="str">
        <f t="shared" si="108"/>
        <v>-</v>
      </c>
      <c r="N109" s="264">
        <f t="shared" si="109"/>
        <v>8.426415833823241E-3</v>
      </c>
      <c r="O109" s="519">
        <v>4.6184000000000003</v>
      </c>
      <c r="P109" s="410">
        <f t="shared" si="97"/>
        <v>111765.28000000001</v>
      </c>
      <c r="Q109" s="459">
        <f t="shared" si="98"/>
        <v>233691.04</v>
      </c>
    </row>
    <row r="110" spans="1:17" ht="23.4" x14ac:dyDescent="0.4">
      <c r="A110" s="248"/>
      <c r="B110" s="980"/>
      <c r="C110" s="556" t="s">
        <v>279</v>
      </c>
      <c r="D110" s="279"/>
      <c r="E110" s="442"/>
      <c r="F110" s="339">
        <f t="shared" si="99"/>
        <v>0</v>
      </c>
      <c r="G110" s="281">
        <v>0</v>
      </c>
      <c r="H110" s="281">
        <v>0</v>
      </c>
      <c r="I110" s="358" t="str">
        <f>IFERROR(F110/#REF!,"-")</f>
        <v>-</v>
      </c>
      <c r="J110" s="339">
        <f t="shared" si="100"/>
        <v>0</v>
      </c>
      <c r="K110" s="281">
        <f t="shared" ref="K110:L110" si="117">+G110+K51</f>
        <v>0</v>
      </c>
      <c r="L110" s="250">
        <f t="shared" si="117"/>
        <v>0</v>
      </c>
      <c r="M110" s="265" t="str">
        <f t="shared" si="108"/>
        <v>-</v>
      </c>
      <c r="N110" s="264" t="str">
        <f t="shared" si="109"/>
        <v>-</v>
      </c>
      <c r="O110" s="519">
        <v>4.6184000000000003</v>
      </c>
      <c r="P110" s="410">
        <f t="shared" si="97"/>
        <v>0</v>
      </c>
      <c r="Q110" s="459">
        <f t="shared" si="98"/>
        <v>0</v>
      </c>
    </row>
    <row r="111" spans="1:17" ht="23.4" x14ac:dyDescent="0.4">
      <c r="A111" s="248"/>
      <c r="B111" s="980"/>
      <c r="C111" s="556" t="s">
        <v>132</v>
      </c>
      <c r="D111" s="279"/>
      <c r="E111" s="442"/>
      <c r="F111" s="339">
        <f t="shared" si="99"/>
        <v>0</v>
      </c>
      <c r="G111" s="281">
        <v>0</v>
      </c>
      <c r="H111" s="281">
        <v>0</v>
      </c>
      <c r="I111" s="358" t="str">
        <f>IFERROR(F111/#REF!,"-")</f>
        <v>-</v>
      </c>
      <c r="J111" s="339">
        <f t="shared" si="100"/>
        <v>0</v>
      </c>
      <c r="K111" s="281">
        <f t="shared" ref="K111:L111" si="118">+G111+K52</f>
        <v>0</v>
      </c>
      <c r="L111" s="250">
        <f t="shared" si="118"/>
        <v>0</v>
      </c>
      <c r="M111" s="265" t="str">
        <f t="shared" si="108"/>
        <v>-</v>
      </c>
      <c r="N111" s="264" t="str">
        <f t="shared" si="109"/>
        <v>-</v>
      </c>
      <c r="O111" s="519">
        <v>4.7636000000000003</v>
      </c>
      <c r="P111" s="410">
        <f t="shared" si="97"/>
        <v>0</v>
      </c>
      <c r="Q111" s="459">
        <f t="shared" si="98"/>
        <v>0</v>
      </c>
    </row>
    <row r="112" spans="1:17" ht="24" thickBot="1" x14ac:dyDescent="0.45">
      <c r="A112" s="248"/>
      <c r="B112" s="981"/>
      <c r="C112" s="556" t="s">
        <v>86</v>
      </c>
      <c r="D112" s="279"/>
      <c r="E112" s="442"/>
      <c r="F112" s="339">
        <f t="shared" si="99"/>
        <v>0</v>
      </c>
      <c r="G112" s="281">
        <v>0</v>
      </c>
      <c r="H112" s="281">
        <v>0</v>
      </c>
      <c r="I112" s="358" t="str">
        <f>IFERROR(F112/#REF!,"-")</f>
        <v>-</v>
      </c>
      <c r="J112" s="339">
        <f t="shared" si="100"/>
        <v>0</v>
      </c>
      <c r="K112" s="281">
        <f t="shared" ref="K112:L112" si="119">+G112+K53</f>
        <v>0</v>
      </c>
      <c r="L112" s="250">
        <f t="shared" si="119"/>
        <v>0</v>
      </c>
      <c r="M112" s="265" t="str">
        <f t="shared" si="108"/>
        <v>-</v>
      </c>
      <c r="N112" s="264" t="str">
        <f t="shared" si="109"/>
        <v>-</v>
      </c>
      <c r="O112" s="519">
        <v>4.8738000000000001</v>
      </c>
      <c r="P112" s="410">
        <f t="shared" si="97"/>
        <v>0</v>
      </c>
      <c r="Q112" s="459">
        <f t="shared" si="98"/>
        <v>0</v>
      </c>
    </row>
    <row r="113" spans="1:17" ht="24" thickBot="1" x14ac:dyDescent="0.45">
      <c r="A113" s="248"/>
      <c r="B113" s="559" t="s">
        <v>281</v>
      </c>
      <c r="C113" s="556" t="s">
        <v>132</v>
      </c>
      <c r="D113" s="279"/>
      <c r="E113" s="442"/>
      <c r="F113" s="339">
        <f t="shared" si="99"/>
        <v>0</v>
      </c>
      <c r="G113" s="281">
        <v>0</v>
      </c>
      <c r="H113" s="281">
        <v>0</v>
      </c>
      <c r="I113" s="358" t="str">
        <f>IFERROR(F113/#REF!,"-")</f>
        <v>-</v>
      </c>
      <c r="J113" s="339">
        <f t="shared" si="100"/>
        <v>0</v>
      </c>
      <c r="K113" s="281">
        <f t="shared" ref="K113:L113" si="120">+G113+K54</f>
        <v>0</v>
      </c>
      <c r="L113" s="250">
        <f t="shared" si="120"/>
        <v>0</v>
      </c>
      <c r="M113" s="265" t="str">
        <f t="shared" si="108"/>
        <v>-</v>
      </c>
      <c r="N113" s="264" t="str">
        <f t="shared" si="109"/>
        <v>-</v>
      </c>
      <c r="O113" s="519">
        <v>4.8738000000000001</v>
      </c>
      <c r="P113" s="410">
        <f t="shared" si="97"/>
        <v>0</v>
      </c>
      <c r="Q113" s="459">
        <f t="shared" si="98"/>
        <v>0</v>
      </c>
    </row>
    <row r="114" spans="1:17" ht="23.4" x14ac:dyDescent="0.4">
      <c r="A114" s="248"/>
      <c r="B114" s="979" t="s">
        <v>283</v>
      </c>
      <c r="C114" s="556" t="s">
        <v>80</v>
      </c>
      <c r="D114" s="279"/>
      <c r="E114" s="442"/>
      <c r="F114" s="339">
        <f t="shared" si="99"/>
        <v>26230</v>
      </c>
      <c r="G114" s="281">
        <v>25650</v>
      </c>
      <c r="H114" s="281">
        <v>580</v>
      </c>
      <c r="I114" s="358" t="str">
        <f>IFERROR(F114/#REF!,"-")</f>
        <v>-</v>
      </c>
      <c r="J114" s="339">
        <f t="shared" si="100"/>
        <v>60176</v>
      </c>
      <c r="K114" s="281">
        <f t="shared" ref="K114:L114" si="121">+G114+K55</f>
        <v>59150</v>
      </c>
      <c r="L114" s="281">
        <f t="shared" si="121"/>
        <v>1026</v>
      </c>
      <c r="M114" s="265" t="str">
        <f t="shared" si="108"/>
        <v>-</v>
      </c>
      <c r="N114" s="264">
        <f t="shared" si="109"/>
        <v>1.7049986705663388E-2</v>
      </c>
      <c r="O114" s="519">
        <v>4.9344999999999999</v>
      </c>
      <c r="P114" s="410">
        <f t="shared" si="97"/>
        <v>126569.925</v>
      </c>
      <c r="Q114" s="459">
        <f t="shared" si="98"/>
        <v>291875.67499999999</v>
      </c>
    </row>
    <row r="115" spans="1:17" ht="23.4" x14ac:dyDescent="0.4">
      <c r="A115" s="248"/>
      <c r="B115" s="980"/>
      <c r="C115" s="556" t="s">
        <v>143</v>
      </c>
      <c r="D115" s="279"/>
      <c r="E115" s="442"/>
      <c r="F115" s="339">
        <f t="shared" si="99"/>
        <v>0</v>
      </c>
      <c r="G115" s="281">
        <v>0</v>
      </c>
      <c r="H115" s="281">
        <v>0</v>
      </c>
      <c r="I115" s="358" t="str">
        <f>IFERROR(F115/#REF!,"-")</f>
        <v>-</v>
      </c>
      <c r="J115" s="339">
        <f t="shared" si="100"/>
        <v>0</v>
      </c>
      <c r="K115" s="281">
        <f t="shared" ref="K115:L115" si="122">+G115+K56</f>
        <v>0</v>
      </c>
      <c r="L115" s="250">
        <f t="shared" si="122"/>
        <v>0</v>
      </c>
      <c r="M115" s="265" t="str">
        <f t="shared" si="108"/>
        <v>-</v>
      </c>
      <c r="N115" s="264" t="str">
        <f t="shared" si="109"/>
        <v>-</v>
      </c>
      <c r="O115" s="519">
        <v>4.9344999999999999</v>
      </c>
      <c r="P115" s="410">
        <f t="shared" si="97"/>
        <v>0</v>
      </c>
      <c r="Q115" s="459">
        <f t="shared" si="98"/>
        <v>0</v>
      </c>
    </row>
    <row r="116" spans="1:17" ht="23.4" x14ac:dyDescent="0.4">
      <c r="A116" s="248"/>
      <c r="B116" s="980"/>
      <c r="C116" s="556" t="s">
        <v>137</v>
      </c>
      <c r="D116" s="279"/>
      <c r="E116" s="442"/>
      <c r="F116" s="339">
        <f t="shared" si="99"/>
        <v>0</v>
      </c>
      <c r="G116" s="281">
        <v>0</v>
      </c>
      <c r="H116" s="281">
        <v>0</v>
      </c>
      <c r="I116" s="358" t="str">
        <f>IFERROR(F116/#REF!,"-")</f>
        <v>-</v>
      </c>
      <c r="J116" s="339">
        <f t="shared" si="100"/>
        <v>0</v>
      </c>
      <c r="K116" s="281">
        <f t="shared" ref="K116:L116" si="123">+G116+K57</f>
        <v>0</v>
      </c>
      <c r="L116" s="250">
        <f t="shared" si="123"/>
        <v>0</v>
      </c>
      <c r="M116" s="265" t="str">
        <f t="shared" si="108"/>
        <v>-</v>
      </c>
      <c r="N116" s="264" t="str">
        <f t="shared" si="109"/>
        <v>-</v>
      </c>
      <c r="O116" s="519">
        <v>4.9344999999999999</v>
      </c>
      <c r="P116" s="410">
        <f t="shared" si="97"/>
        <v>0</v>
      </c>
      <c r="Q116" s="459">
        <f t="shared" si="98"/>
        <v>0</v>
      </c>
    </row>
    <row r="117" spans="1:17" ht="24" thickBot="1" x14ac:dyDescent="0.45">
      <c r="A117" s="248"/>
      <c r="B117" s="981"/>
      <c r="C117" s="556" t="s">
        <v>282</v>
      </c>
      <c r="D117" s="279"/>
      <c r="E117" s="442"/>
      <c r="F117" s="339">
        <f t="shared" si="99"/>
        <v>0</v>
      </c>
      <c r="G117" s="281">
        <v>0</v>
      </c>
      <c r="H117" s="281">
        <v>0</v>
      </c>
      <c r="I117" s="358" t="str">
        <f>IFERROR(F117/#REF!,"-")</f>
        <v>-</v>
      </c>
      <c r="J117" s="339">
        <f t="shared" si="100"/>
        <v>0</v>
      </c>
      <c r="K117" s="281">
        <f t="shared" ref="K117:L117" si="124">+G117+K58</f>
        <v>0</v>
      </c>
      <c r="L117" s="250">
        <f t="shared" si="124"/>
        <v>0</v>
      </c>
      <c r="M117" s="265" t="str">
        <f t="shared" si="108"/>
        <v>-</v>
      </c>
      <c r="N117" s="264" t="str">
        <f t="shared" si="109"/>
        <v>-</v>
      </c>
      <c r="O117" s="519">
        <v>5.5069999999999997</v>
      </c>
      <c r="P117" s="410">
        <f t="shared" si="97"/>
        <v>0</v>
      </c>
      <c r="Q117" s="459">
        <f t="shared" si="98"/>
        <v>0</v>
      </c>
    </row>
    <row r="118" spans="1:17" ht="23.4" x14ac:dyDescent="0.4">
      <c r="A118" s="248"/>
      <c r="B118" s="979" t="s">
        <v>288</v>
      </c>
      <c r="C118" s="556" t="s">
        <v>284</v>
      </c>
      <c r="D118" s="279"/>
      <c r="E118" s="442"/>
      <c r="F118" s="339">
        <f t="shared" si="99"/>
        <v>0</v>
      </c>
      <c r="G118" s="281">
        <v>0</v>
      </c>
      <c r="H118" s="281">
        <v>0</v>
      </c>
      <c r="I118" s="358" t="str">
        <f>IFERROR(F118/#REF!,"-")</f>
        <v>-</v>
      </c>
      <c r="J118" s="339">
        <f t="shared" si="100"/>
        <v>0</v>
      </c>
      <c r="K118" s="281">
        <f t="shared" ref="K118:L118" si="125">+G118+K59</f>
        <v>0</v>
      </c>
      <c r="L118" s="250">
        <f t="shared" si="125"/>
        <v>0</v>
      </c>
      <c r="M118" s="265" t="str">
        <f t="shared" si="108"/>
        <v>-</v>
      </c>
      <c r="N118" s="264" t="str">
        <f t="shared" si="109"/>
        <v>-</v>
      </c>
      <c r="O118" s="519">
        <v>5.6550000000000002</v>
      </c>
      <c r="P118" s="410">
        <f t="shared" si="97"/>
        <v>0</v>
      </c>
      <c r="Q118" s="459">
        <f t="shared" si="98"/>
        <v>0</v>
      </c>
    </row>
    <row r="119" spans="1:17" ht="23.4" x14ac:dyDescent="0.4">
      <c r="A119" s="248"/>
      <c r="B119" s="980"/>
      <c r="C119" s="556" t="s">
        <v>285</v>
      </c>
      <c r="D119" s="279"/>
      <c r="E119" s="442"/>
      <c r="F119" s="339">
        <f t="shared" si="99"/>
        <v>0</v>
      </c>
      <c r="G119" s="281">
        <v>0</v>
      </c>
      <c r="H119" s="281">
        <v>0</v>
      </c>
      <c r="I119" s="358" t="str">
        <f>IFERROR(F119/#REF!,"-")</f>
        <v>-</v>
      </c>
      <c r="J119" s="339">
        <f t="shared" si="100"/>
        <v>0</v>
      </c>
      <c r="K119" s="281">
        <f t="shared" ref="K119:L119" si="126">+G119+K60</f>
        <v>0</v>
      </c>
      <c r="L119" s="250">
        <f t="shared" si="126"/>
        <v>0</v>
      </c>
      <c r="M119" s="265" t="str">
        <f t="shared" si="108"/>
        <v>-</v>
      </c>
      <c r="N119" s="264" t="str">
        <f t="shared" si="109"/>
        <v>-</v>
      </c>
      <c r="O119" s="519">
        <v>5.6550000000000002</v>
      </c>
      <c r="P119" s="410">
        <f t="shared" si="97"/>
        <v>0</v>
      </c>
      <c r="Q119" s="459">
        <f t="shared" si="98"/>
        <v>0</v>
      </c>
    </row>
    <row r="120" spans="1:17" ht="23.4" x14ac:dyDescent="0.4">
      <c r="A120" s="248"/>
      <c r="B120" s="980"/>
      <c r="C120" s="556" t="s">
        <v>374</v>
      </c>
      <c r="D120" s="279"/>
      <c r="E120" s="442"/>
      <c r="F120" s="339">
        <f t="shared" si="99"/>
        <v>19285</v>
      </c>
      <c r="G120" s="281">
        <v>19200</v>
      </c>
      <c r="H120" s="281">
        <v>85</v>
      </c>
      <c r="I120" s="358" t="str">
        <f>IFERROR(F120/#REF!,"-")</f>
        <v>-</v>
      </c>
      <c r="J120" s="339">
        <f t="shared" si="100"/>
        <v>39070</v>
      </c>
      <c r="K120" s="281">
        <f t="shared" ref="K120:L120" si="127">+G120+K61</f>
        <v>38900</v>
      </c>
      <c r="L120" s="250">
        <f t="shared" si="127"/>
        <v>170</v>
      </c>
      <c r="M120" s="265" t="str">
        <f t="shared" si="108"/>
        <v>-</v>
      </c>
      <c r="N120" s="264">
        <f t="shared" si="109"/>
        <v>4.3511645764013306E-3</v>
      </c>
      <c r="O120" s="519">
        <v>5.6550000000000002</v>
      </c>
      <c r="P120" s="410">
        <f t="shared" si="97"/>
        <v>108576</v>
      </c>
      <c r="Q120" s="459">
        <f t="shared" si="98"/>
        <v>219979.5</v>
      </c>
    </row>
    <row r="121" spans="1:17" ht="23.4" x14ac:dyDescent="0.4">
      <c r="A121" s="248"/>
      <c r="B121" s="980"/>
      <c r="C121" s="556" t="s">
        <v>286</v>
      </c>
      <c r="D121" s="279"/>
      <c r="E121" s="442"/>
      <c r="F121" s="339">
        <f t="shared" si="99"/>
        <v>0</v>
      </c>
      <c r="G121" s="281">
        <v>0</v>
      </c>
      <c r="H121" s="281">
        <v>0</v>
      </c>
      <c r="I121" s="358" t="str">
        <f>IFERROR(F121/#REF!,"-")</f>
        <v>-</v>
      </c>
      <c r="J121" s="339">
        <f t="shared" si="100"/>
        <v>0</v>
      </c>
      <c r="K121" s="281">
        <f t="shared" ref="K121:L121" si="128">+G121+K62</f>
        <v>0</v>
      </c>
      <c r="L121" s="250">
        <f t="shared" si="128"/>
        <v>0</v>
      </c>
      <c r="M121" s="265" t="str">
        <f t="shared" si="108"/>
        <v>-</v>
      </c>
      <c r="N121" s="264" t="str">
        <f t="shared" si="109"/>
        <v>-</v>
      </c>
      <c r="O121" s="519">
        <v>5.6550000000000002</v>
      </c>
      <c r="P121" s="410">
        <f t="shared" si="97"/>
        <v>0</v>
      </c>
      <c r="Q121" s="459">
        <f t="shared" si="98"/>
        <v>0</v>
      </c>
    </row>
    <row r="122" spans="1:17" ht="23.4" x14ac:dyDescent="0.4">
      <c r="A122" s="248" t="s">
        <v>109</v>
      </c>
      <c r="B122" s="980"/>
      <c r="C122" s="556" t="s">
        <v>287</v>
      </c>
      <c r="D122" s="279"/>
      <c r="E122" s="442"/>
      <c r="F122" s="339">
        <f t="shared" si="99"/>
        <v>0</v>
      </c>
      <c r="G122" s="281">
        <v>0</v>
      </c>
      <c r="H122" s="281">
        <v>0</v>
      </c>
      <c r="I122" s="358" t="str">
        <f>IFERROR(F122/#REF!,"-")</f>
        <v>-</v>
      </c>
      <c r="J122" s="339">
        <f t="shared" si="100"/>
        <v>0</v>
      </c>
      <c r="K122" s="281">
        <f t="shared" ref="K122:L122" si="129">+G122+K63</f>
        <v>0</v>
      </c>
      <c r="L122" s="250">
        <f t="shared" si="129"/>
        <v>0</v>
      </c>
      <c r="M122" s="265" t="str">
        <f t="shared" si="108"/>
        <v>-</v>
      </c>
      <c r="N122" s="264" t="str">
        <f t="shared" si="109"/>
        <v>-</v>
      </c>
      <c r="O122" s="519">
        <v>3.2963</v>
      </c>
      <c r="P122" s="410">
        <f t="shared" si="97"/>
        <v>0</v>
      </c>
      <c r="Q122" s="459">
        <f t="shared" si="98"/>
        <v>0</v>
      </c>
    </row>
    <row r="123" spans="1:17" ht="24" thickBot="1" x14ac:dyDescent="0.45">
      <c r="A123" s="248" t="s">
        <v>109</v>
      </c>
      <c r="B123" s="981"/>
      <c r="C123" s="556" t="s">
        <v>282</v>
      </c>
      <c r="D123" s="279"/>
      <c r="E123" s="442"/>
      <c r="F123" s="339">
        <f t="shared" si="99"/>
        <v>0</v>
      </c>
      <c r="G123" s="281">
        <v>0</v>
      </c>
      <c r="H123" s="281">
        <v>0</v>
      </c>
      <c r="I123" s="358" t="str">
        <f>IFERROR(F123/#REF!,"-")</f>
        <v>-</v>
      </c>
      <c r="J123" s="339">
        <f t="shared" si="100"/>
        <v>0</v>
      </c>
      <c r="K123" s="281">
        <f t="shared" ref="K123:L123" si="130">+G123+K64</f>
        <v>0</v>
      </c>
      <c r="L123" s="250">
        <f t="shared" si="130"/>
        <v>0</v>
      </c>
      <c r="M123" s="265" t="str">
        <f t="shared" si="108"/>
        <v>-</v>
      </c>
      <c r="N123" s="264" t="str">
        <f t="shared" si="109"/>
        <v>-</v>
      </c>
      <c r="O123" s="519">
        <v>3.2963</v>
      </c>
      <c r="P123" s="410">
        <f t="shared" si="97"/>
        <v>0</v>
      </c>
      <c r="Q123" s="459">
        <f t="shared" si="98"/>
        <v>0</v>
      </c>
    </row>
    <row r="124" spans="1:17" ht="23.4" x14ac:dyDescent="0.4">
      <c r="A124" s="248" t="s">
        <v>109</v>
      </c>
      <c r="B124" s="560"/>
      <c r="C124" s="557" t="s">
        <v>92</v>
      </c>
      <c r="D124" s="523"/>
      <c r="E124" s="442"/>
      <c r="F124" s="339">
        <f t="shared" si="99"/>
        <v>0</v>
      </c>
      <c r="G124" s="281">
        <v>0</v>
      </c>
      <c r="H124" s="281">
        <v>0</v>
      </c>
      <c r="I124" s="358" t="str">
        <f>IFERROR(F124/#REF!,"-")</f>
        <v>-</v>
      </c>
      <c r="J124" s="339">
        <f t="shared" si="100"/>
        <v>0</v>
      </c>
      <c r="K124" s="281">
        <f t="shared" ref="K124:L124" si="131">+G124+K65</f>
        <v>0</v>
      </c>
      <c r="L124" s="250">
        <f t="shared" si="131"/>
        <v>0</v>
      </c>
      <c r="M124" s="265" t="str">
        <f t="shared" si="108"/>
        <v>-</v>
      </c>
      <c r="N124" s="264" t="str">
        <f t="shared" si="109"/>
        <v>-</v>
      </c>
      <c r="O124" s="519">
        <v>2.3201000000000001</v>
      </c>
      <c r="P124" s="410">
        <f t="shared" si="97"/>
        <v>0</v>
      </c>
      <c r="Q124" s="459">
        <f t="shared" si="98"/>
        <v>0</v>
      </c>
    </row>
    <row r="125" spans="1:17" ht="24" thickBot="1" x14ac:dyDescent="0.35">
      <c r="A125" s="248" t="s">
        <v>109</v>
      </c>
      <c r="B125" s="537"/>
      <c r="C125" s="554"/>
      <c r="D125" s="543"/>
      <c r="E125" s="473"/>
      <c r="F125" s="471">
        <f t="shared" si="99"/>
        <v>0</v>
      </c>
      <c r="G125" s="472"/>
      <c r="H125" s="472"/>
      <c r="I125" s="545" t="str">
        <f>IFERROR(F125/#REF!,"-")</f>
        <v>-</v>
      </c>
      <c r="J125" s="471">
        <f t="shared" si="100"/>
        <v>0</v>
      </c>
      <c r="K125" s="472">
        <f t="shared" ref="K125:L125" si="132">+G125+K66</f>
        <v>0</v>
      </c>
      <c r="L125" s="257">
        <f t="shared" si="132"/>
        <v>0</v>
      </c>
      <c r="M125" s="267" t="str">
        <f t="shared" si="108"/>
        <v>-</v>
      </c>
      <c r="N125" s="266" t="str">
        <f t="shared" si="109"/>
        <v>-</v>
      </c>
      <c r="O125" s="552"/>
      <c r="P125" s="549">
        <f t="shared" si="97"/>
        <v>0</v>
      </c>
      <c r="Q125" s="550">
        <f t="shared" si="98"/>
        <v>0</v>
      </c>
    </row>
    <row r="126" spans="1:17" ht="24" thickBot="1" x14ac:dyDescent="0.35">
      <c r="A126" s="277" t="s">
        <v>109</v>
      </c>
      <c r="B126" s="982" t="s">
        <v>25</v>
      </c>
      <c r="C126" s="983"/>
      <c r="D126" s="525">
        <f t="shared" ref="D126" si="133">SUM(D102:D125)</f>
        <v>0</v>
      </c>
      <c r="E126" s="539">
        <v>100000</v>
      </c>
      <c r="F126" s="525">
        <f>SUM(F102:F125)</f>
        <v>69945</v>
      </c>
      <c r="G126" s="531">
        <f t="shared" ref="G126:H126" si="134">SUM(G102:G125)</f>
        <v>69050</v>
      </c>
      <c r="H126" s="531">
        <f t="shared" si="134"/>
        <v>895</v>
      </c>
      <c r="I126" s="532" t="str">
        <f>IFERROR(F126/#REF!,"-")</f>
        <v>-</v>
      </c>
      <c r="J126" s="525">
        <f t="shared" ref="J126" si="135">SUM(J102:J125)</f>
        <v>150276</v>
      </c>
      <c r="K126" s="531">
        <f>SUM(K97:K125)</f>
        <v>160850</v>
      </c>
      <c r="L126" s="533">
        <f t="shared" ref="L126" si="136">SUM(L102:L125)</f>
        <v>1626</v>
      </c>
      <c r="M126" s="534" t="str">
        <f t="shared" si="108"/>
        <v>-</v>
      </c>
      <c r="N126" s="532">
        <f t="shared" si="109"/>
        <v>1.0820091032500199E-2</v>
      </c>
      <c r="O126" s="535"/>
      <c r="P126" s="536">
        <f>SUM(P97:P125)</f>
        <v>613195.04500000004</v>
      </c>
      <c r="Q126" s="536">
        <f>SUM(Q97:Q125)</f>
        <v>1309703.4750000001</v>
      </c>
    </row>
    <row r="127" spans="1:17" ht="24" thickBot="1" x14ac:dyDescent="0.35">
      <c r="A127" s="324" t="s">
        <v>109</v>
      </c>
      <c r="B127" s="984" t="s">
        <v>276</v>
      </c>
      <c r="C127" s="927"/>
      <c r="D127" s="332">
        <f>+D101+D126</f>
        <v>0</v>
      </c>
      <c r="E127" s="333">
        <f>+E101+E126</f>
        <v>100000</v>
      </c>
      <c r="F127" s="332">
        <f>+F101+F126</f>
        <v>69945</v>
      </c>
      <c r="G127" s="330">
        <f>+G101+G126</f>
        <v>69050</v>
      </c>
      <c r="H127" s="330">
        <f>+H101+H126</f>
        <v>895</v>
      </c>
      <c r="I127" s="355" t="str">
        <f>IFERROR(F127/#REF!,"-")</f>
        <v>-</v>
      </c>
      <c r="J127" s="332">
        <f>+J101+J126</f>
        <v>150276</v>
      </c>
      <c r="K127" s="330">
        <f>K126</f>
        <v>160850</v>
      </c>
      <c r="L127" s="331">
        <f>+L101+L126</f>
        <v>1626</v>
      </c>
      <c r="M127" s="347" t="str">
        <f t="shared" si="108"/>
        <v>-</v>
      </c>
      <c r="N127" s="355">
        <f t="shared" si="109"/>
        <v>1.0820091032500199E-2</v>
      </c>
      <c r="O127" s="400"/>
      <c r="P127" s="416">
        <f>+P101+P126</f>
        <v>613195.04500000004</v>
      </c>
      <c r="Q127" s="434">
        <f>Q126</f>
        <v>1309703.4750000001</v>
      </c>
    </row>
    <row r="128" spans="1:17" ht="24.6" thickBot="1" x14ac:dyDescent="0.35">
      <c r="A128" s="325"/>
      <c r="B128" s="915" t="s">
        <v>183</v>
      </c>
      <c r="C128" s="916"/>
      <c r="D128" s="380">
        <f>+D127+D96+D87</f>
        <v>0</v>
      </c>
      <c r="E128" s="380">
        <f>+E127+E96+E87</f>
        <v>230000</v>
      </c>
      <c r="F128" s="380">
        <f>+F127+F96+F87</f>
        <v>327626</v>
      </c>
      <c r="G128" s="380">
        <f>+G127+G96+G87</f>
        <v>319240</v>
      </c>
      <c r="H128" s="380">
        <f>+H127+H96+H87</f>
        <v>8386</v>
      </c>
      <c r="I128" s="381" t="str">
        <f>IFERROR(F128/#REF!,"-")</f>
        <v>-</v>
      </c>
      <c r="J128" s="380">
        <f>+J127+J96+J87</f>
        <v>600161</v>
      </c>
      <c r="K128" s="380">
        <f>+K127+K96+K87</f>
        <v>600640</v>
      </c>
      <c r="L128" s="380">
        <f>+L127+L96+L87</f>
        <v>11721</v>
      </c>
      <c r="M128" s="381" t="str">
        <f t="shared" si="108"/>
        <v>-</v>
      </c>
      <c r="N128" s="381">
        <f>IFERROR(L128/J128,"-")</f>
        <v>1.9529759514530266E-2</v>
      </c>
      <c r="O128" s="407"/>
      <c r="P128" s="424">
        <f>+P127+P96+P87</f>
        <v>1959219.5560000003</v>
      </c>
      <c r="Q128" s="424">
        <f>+Q127+Q96+Q87</f>
        <v>3968659.9060000004</v>
      </c>
    </row>
    <row r="129" spans="1:17" ht="23.4" x14ac:dyDescent="0.3">
      <c r="A129" s="935" t="s">
        <v>1</v>
      </c>
      <c r="B129" s="938" t="s">
        <v>2</v>
      </c>
      <c r="C129" s="941" t="s">
        <v>3</v>
      </c>
      <c r="D129" s="944" t="s">
        <v>4</v>
      </c>
      <c r="E129" s="945"/>
      <c r="F129" s="945"/>
      <c r="G129" s="945"/>
      <c r="H129" s="945"/>
      <c r="I129" s="945"/>
      <c r="J129" s="945"/>
      <c r="K129" s="945"/>
      <c r="L129" s="945"/>
      <c r="M129" s="945"/>
      <c r="N129" s="946"/>
      <c r="O129" s="965" t="s">
        <v>176</v>
      </c>
      <c r="P129" s="966"/>
      <c r="Q129" s="990"/>
    </row>
    <row r="130" spans="1:17" ht="23.4" x14ac:dyDescent="0.3">
      <c r="A130" s="936"/>
      <c r="B130" s="939"/>
      <c r="C130" s="942"/>
      <c r="D130" s="947" t="s">
        <v>7</v>
      </c>
      <c r="E130" s="949" t="s">
        <v>116</v>
      </c>
      <c r="F130" s="991" t="s">
        <v>422</v>
      </c>
      <c r="G130" s="952"/>
      <c r="H130" s="952"/>
      <c r="I130" s="953"/>
      <c r="J130" s="954" t="s">
        <v>8</v>
      </c>
      <c r="K130" s="955"/>
      <c r="L130" s="956"/>
      <c r="M130" s="957" t="s">
        <v>174</v>
      </c>
      <c r="N130" s="959" t="s">
        <v>173</v>
      </c>
      <c r="O130" s="967" t="s">
        <v>178</v>
      </c>
      <c r="P130" s="968"/>
      <c r="Q130" s="969"/>
    </row>
    <row r="131" spans="1:17" ht="47.4" thickBot="1" x14ac:dyDescent="0.35">
      <c r="A131" s="937"/>
      <c r="B131" s="940"/>
      <c r="C131" s="943"/>
      <c r="D131" s="948"/>
      <c r="E131" s="950"/>
      <c r="F131" s="462" t="s">
        <v>13</v>
      </c>
      <c r="G131" s="463" t="s">
        <v>14</v>
      </c>
      <c r="H131" s="463" t="s">
        <v>15</v>
      </c>
      <c r="I131" s="464" t="s">
        <v>175</v>
      </c>
      <c r="J131" s="462" t="s">
        <v>13</v>
      </c>
      <c r="K131" s="463" t="s">
        <v>14</v>
      </c>
      <c r="L131" s="465" t="s">
        <v>15</v>
      </c>
      <c r="M131" s="958"/>
      <c r="N131" s="960"/>
      <c r="O131" s="453" t="s">
        <v>179</v>
      </c>
      <c r="P131" s="454" t="s">
        <v>11</v>
      </c>
      <c r="Q131" s="455" t="s">
        <v>12</v>
      </c>
    </row>
    <row r="132" spans="1:17" ht="23.4" x14ac:dyDescent="0.3">
      <c r="A132" s="271" t="s">
        <v>111</v>
      </c>
      <c r="B132" s="445"/>
      <c r="C132" s="272" t="s">
        <v>272</v>
      </c>
      <c r="D132" s="273"/>
      <c r="E132" s="274"/>
      <c r="F132" s="338">
        <f>+G132+H132</f>
        <v>32640</v>
      </c>
      <c r="G132" s="275">
        <v>29400</v>
      </c>
      <c r="H132" s="275">
        <v>3240</v>
      </c>
      <c r="I132" s="357" t="str">
        <f>IFERROR(F132/#REF!,"-")</f>
        <v>-</v>
      </c>
      <c r="J132" s="468">
        <f>+K132+L132</f>
        <v>78720</v>
      </c>
      <c r="K132" s="469">
        <f>+G132+K73</f>
        <v>70840</v>
      </c>
      <c r="L132" s="470">
        <f>+H132+L73</f>
        <v>7880</v>
      </c>
      <c r="M132" s="342" t="str">
        <f>IFERROR(J132/D132,"-")</f>
        <v>-</v>
      </c>
      <c r="N132" s="349">
        <f t="shared" ref="N132:N133" si="137">IFERROR(L132/J132,"-")</f>
        <v>0.10010162601626016</v>
      </c>
      <c r="O132" s="518">
        <v>1.5669</v>
      </c>
      <c r="P132" s="408">
        <f>+O132*G132</f>
        <v>46066.86</v>
      </c>
      <c r="Q132" s="457">
        <f>+O132*K132</f>
        <v>110999.196</v>
      </c>
    </row>
    <row r="133" spans="1:17" ht="23.4" x14ac:dyDescent="0.3">
      <c r="A133" s="277" t="s">
        <v>111</v>
      </c>
      <c r="B133" s="444"/>
      <c r="C133" s="278" t="s">
        <v>271</v>
      </c>
      <c r="D133" s="279"/>
      <c r="E133" s="280"/>
      <c r="F133" s="339">
        <f t="shared" ref="F133:F136" si="138">+G133+H133</f>
        <v>0</v>
      </c>
      <c r="G133" s="281">
        <v>0</v>
      </c>
      <c r="H133" s="281">
        <v>0</v>
      </c>
      <c r="I133" s="358" t="str">
        <f>IFERROR(F133/#REF!,"-")</f>
        <v>-</v>
      </c>
      <c r="J133" s="339">
        <f t="shared" ref="J133:J136" si="139">+K133+L133</f>
        <v>0</v>
      </c>
      <c r="K133" s="281">
        <f t="shared" ref="K133:K136" si="140">+G133+K74</f>
        <v>0</v>
      </c>
      <c r="L133" s="442">
        <f t="shared" ref="L133:L136" si="141">+H133+L74</f>
        <v>0</v>
      </c>
      <c r="M133" s="343" t="str">
        <f t="shared" ref="M133:M136" si="142">IFERROR(J133/D133,"-")</f>
        <v>-</v>
      </c>
      <c r="N133" s="268" t="str">
        <f t="shared" si="137"/>
        <v>-</v>
      </c>
      <c r="O133" s="519">
        <v>2.3978999999999999</v>
      </c>
      <c r="P133" s="410">
        <f t="shared" ref="P133:P136" si="143">+O133*G133</f>
        <v>0</v>
      </c>
      <c r="Q133" s="459">
        <f t="shared" ref="Q133:Q136" si="144">+O133*K133</f>
        <v>0</v>
      </c>
    </row>
    <row r="134" spans="1:17" ht="23.4" x14ac:dyDescent="0.3">
      <c r="A134" s="277" t="s">
        <v>111</v>
      </c>
      <c r="B134" s="444"/>
      <c r="C134" s="278" t="s">
        <v>273</v>
      </c>
      <c r="D134" s="279"/>
      <c r="E134" s="280"/>
      <c r="F134" s="339">
        <f t="shared" si="138"/>
        <v>0</v>
      </c>
      <c r="G134" s="281">
        <v>0</v>
      </c>
      <c r="H134" s="281">
        <v>0</v>
      </c>
      <c r="I134" s="358" t="str">
        <f>IFERROR(F134/#REF!,"-")</f>
        <v>-</v>
      </c>
      <c r="J134" s="339">
        <f t="shared" si="139"/>
        <v>0</v>
      </c>
      <c r="K134" s="281">
        <f t="shared" si="140"/>
        <v>0</v>
      </c>
      <c r="L134" s="251">
        <f t="shared" si="141"/>
        <v>0</v>
      </c>
      <c r="M134" s="343" t="str">
        <f t="shared" si="142"/>
        <v>-</v>
      </c>
      <c r="N134" s="268" t="str">
        <f>IFERROR(L134/J134,"-")</f>
        <v>-</v>
      </c>
      <c r="O134" s="519">
        <v>4.0426000000000002</v>
      </c>
      <c r="P134" s="410">
        <f t="shared" si="143"/>
        <v>0</v>
      </c>
      <c r="Q134" s="459">
        <f t="shared" si="144"/>
        <v>0</v>
      </c>
    </row>
    <row r="135" spans="1:17" ht="23.4" x14ac:dyDescent="0.3">
      <c r="A135" s="277"/>
      <c r="B135" s="461"/>
      <c r="C135" s="278" t="s">
        <v>372</v>
      </c>
      <c r="D135" s="283"/>
      <c r="E135" s="284"/>
      <c r="F135" s="339">
        <f t="shared" si="138"/>
        <v>51926</v>
      </c>
      <c r="G135" s="285">
        <v>50800</v>
      </c>
      <c r="H135" s="285">
        <v>1126</v>
      </c>
      <c r="I135" s="358" t="str">
        <f>IFERROR(F135/#REF!,"-")</f>
        <v>-</v>
      </c>
      <c r="J135" s="339">
        <f t="shared" si="139"/>
        <v>163006</v>
      </c>
      <c r="K135" s="281">
        <f t="shared" si="140"/>
        <v>159400</v>
      </c>
      <c r="L135" s="286">
        <f t="shared" si="141"/>
        <v>3606</v>
      </c>
      <c r="M135" s="343" t="str">
        <f t="shared" si="142"/>
        <v>-</v>
      </c>
      <c r="N135" s="268">
        <f>IFERROR(L135/J135,"-")</f>
        <v>2.212188508398464E-2</v>
      </c>
      <c r="O135" s="520">
        <v>12.284700000000001</v>
      </c>
      <c r="P135" s="410">
        <f t="shared" si="143"/>
        <v>624062.76</v>
      </c>
      <c r="Q135" s="459">
        <f t="shared" si="144"/>
        <v>1958181.1800000002</v>
      </c>
    </row>
    <row r="136" spans="1:17" ht="24" thickBot="1" x14ac:dyDescent="0.35">
      <c r="A136" s="277" t="s">
        <v>111</v>
      </c>
      <c r="B136" s="461"/>
      <c r="C136" s="278" t="s">
        <v>361</v>
      </c>
      <c r="D136" s="283"/>
      <c r="E136" s="284"/>
      <c r="F136" s="340">
        <f t="shared" si="138"/>
        <v>0</v>
      </c>
      <c r="G136" s="285">
        <v>0</v>
      </c>
      <c r="H136" s="285">
        <v>0</v>
      </c>
      <c r="I136" s="359" t="str">
        <f>IFERROR(F136/#REF!,"-")</f>
        <v>-</v>
      </c>
      <c r="J136" s="471">
        <f t="shared" si="139"/>
        <v>0</v>
      </c>
      <c r="K136" s="472">
        <f t="shared" si="140"/>
        <v>0</v>
      </c>
      <c r="L136" s="258">
        <f t="shared" si="141"/>
        <v>0</v>
      </c>
      <c r="M136" s="344" t="str">
        <f t="shared" si="142"/>
        <v>-</v>
      </c>
      <c r="N136" s="350" t="str">
        <f t="shared" ref="N136:N148" si="145">IFERROR(L136/J136,"-")</f>
        <v>-</v>
      </c>
      <c r="O136" s="520">
        <v>4.6797000000000004</v>
      </c>
      <c r="P136" s="411">
        <f t="shared" si="143"/>
        <v>0</v>
      </c>
      <c r="Q136" s="460">
        <f t="shared" si="144"/>
        <v>0</v>
      </c>
    </row>
    <row r="137" spans="1:17" ht="24" thickBot="1" x14ac:dyDescent="0.35">
      <c r="A137" s="277" t="s">
        <v>111</v>
      </c>
      <c r="B137" s="906" t="s">
        <v>21</v>
      </c>
      <c r="C137" s="907"/>
      <c r="D137" s="326">
        <f>SUM(D132:D136)</f>
        <v>0</v>
      </c>
      <c r="E137" s="289">
        <v>15000</v>
      </c>
      <c r="F137" s="326">
        <f>SUM(F132:F136)</f>
        <v>84566</v>
      </c>
      <c r="G137" s="327">
        <f>SUM(G132:G136)</f>
        <v>80200</v>
      </c>
      <c r="H137" s="327">
        <f>SUM(H132:H136)</f>
        <v>4366</v>
      </c>
      <c r="I137" s="351" t="str">
        <f>IFERROR(F137/#REF!,"-")</f>
        <v>-</v>
      </c>
      <c r="J137" s="326">
        <f>SUM(J132:J136)</f>
        <v>241726</v>
      </c>
      <c r="K137" s="327">
        <f>SUM(K132:K136)</f>
        <v>230240</v>
      </c>
      <c r="L137" s="328">
        <f>SUM(L132:L136)</f>
        <v>11486</v>
      </c>
      <c r="M137" s="345" t="str">
        <f>IFERROR(J137/D137,"-")</f>
        <v>-</v>
      </c>
      <c r="N137" s="351">
        <f t="shared" si="145"/>
        <v>4.751660971513201E-2</v>
      </c>
      <c r="O137" s="397"/>
      <c r="P137" s="412">
        <f>SUM(P132:P136)</f>
        <v>670129.62</v>
      </c>
      <c r="Q137" s="431">
        <f>SUM(Q132:Q136)</f>
        <v>2069180.3760000002</v>
      </c>
    </row>
    <row r="138" spans="1:17" ht="23.4" x14ac:dyDescent="0.3">
      <c r="A138" s="277" t="s">
        <v>111</v>
      </c>
      <c r="B138" s="445"/>
      <c r="C138" s="272" t="s">
        <v>270</v>
      </c>
      <c r="D138" s="273"/>
      <c r="E138" s="274"/>
      <c r="F138" s="338">
        <f t="shared" ref="F138:F144" si="146">+G138+H138</f>
        <v>0</v>
      </c>
      <c r="G138" s="275">
        <v>0</v>
      </c>
      <c r="H138" s="275">
        <v>0</v>
      </c>
      <c r="I138" s="357" t="str">
        <f>IFERROR(F138/#REF!,"-")</f>
        <v>-</v>
      </c>
      <c r="J138" s="338">
        <f t="shared" ref="J138:J144" si="147">+K138+L138</f>
        <v>0</v>
      </c>
      <c r="K138" s="275">
        <f t="shared" ref="K138:K144" si="148">+G138+K79</f>
        <v>0</v>
      </c>
      <c r="L138" s="276">
        <f t="shared" ref="L138:L144" si="149">+H138+L79</f>
        <v>0</v>
      </c>
      <c r="M138" s="342" t="str">
        <f t="shared" ref="M138:M146" si="150">IFERROR(J138/D138,"-")</f>
        <v>-</v>
      </c>
      <c r="N138" s="352" t="str">
        <f t="shared" si="145"/>
        <v>-</v>
      </c>
      <c r="O138" s="518">
        <v>18.2316</v>
      </c>
      <c r="P138" s="408">
        <f t="shared" ref="P138:P144" si="151">+O138*G138</f>
        <v>0</v>
      </c>
      <c r="Q138" s="457">
        <f t="shared" ref="Q138:Q144" si="152">+O138*K138</f>
        <v>0</v>
      </c>
    </row>
    <row r="139" spans="1:17" ht="23.4" x14ac:dyDescent="0.3">
      <c r="A139" s="277" t="s">
        <v>111</v>
      </c>
      <c r="B139" s="444"/>
      <c r="C139" s="278" t="s">
        <v>92</v>
      </c>
      <c r="D139" s="279"/>
      <c r="E139" s="280"/>
      <c r="F139" s="339">
        <f t="shared" si="146"/>
        <v>0</v>
      </c>
      <c r="G139" s="281">
        <v>0</v>
      </c>
      <c r="H139" s="281">
        <v>0</v>
      </c>
      <c r="I139" s="358" t="str">
        <f>IFERROR(F139/#REF!,"-")</f>
        <v>-</v>
      </c>
      <c r="J139" s="339">
        <f t="shared" si="147"/>
        <v>0</v>
      </c>
      <c r="K139" s="281">
        <f t="shared" si="148"/>
        <v>0</v>
      </c>
      <c r="L139" s="251">
        <f t="shared" si="149"/>
        <v>0</v>
      </c>
      <c r="M139" s="343" t="str">
        <f t="shared" si="150"/>
        <v>-</v>
      </c>
      <c r="N139" s="264" t="str">
        <f t="shared" si="145"/>
        <v>-</v>
      </c>
      <c r="O139" s="519">
        <v>0</v>
      </c>
      <c r="P139" s="410">
        <f t="shared" si="151"/>
        <v>0</v>
      </c>
      <c r="Q139" s="459">
        <f t="shared" si="152"/>
        <v>0</v>
      </c>
    </row>
    <row r="140" spans="1:17" ht="23.4" x14ac:dyDescent="0.3">
      <c r="A140" s="277" t="s">
        <v>111</v>
      </c>
      <c r="B140" s="444"/>
      <c r="C140" s="278" t="s">
        <v>340</v>
      </c>
      <c r="D140" s="279"/>
      <c r="E140" s="280"/>
      <c r="F140" s="339">
        <f t="shared" si="146"/>
        <v>0</v>
      </c>
      <c r="G140" s="281">
        <v>0</v>
      </c>
      <c r="H140" s="281">
        <v>0</v>
      </c>
      <c r="I140" s="358" t="str">
        <f>IFERROR(F140/#REF!,"-")</f>
        <v>-</v>
      </c>
      <c r="J140" s="339">
        <f t="shared" si="147"/>
        <v>0</v>
      </c>
      <c r="K140" s="281">
        <f t="shared" si="148"/>
        <v>0</v>
      </c>
      <c r="L140" s="251">
        <f t="shared" si="149"/>
        <v>0</v>
      </c>
      <c r="M140" s="343" t="str">
        <f t="shared" si="150"/>
        <v>-</v>
      </c>
      <c r="N140" s="264" t="str">
        <f t="shared" si="145"/>
        <v>-</v>
      </c>
      <c r="O140" s="519">
        <v>5.7342000000000004</v>
      </c>
      <c r="P140" s="410">
        <f t="shared" si="151"/>
        <v>0</v>
      </c>
      <c r="Q140" s="459">
        <f t="shared" si="152"/>
        <v>0</v>
      </c>
    </row>
    <row r="141" spans="1:17" ht="23.4" x14ac:dyDescent="0.3">
      <c r="A141" s="277" t="s">
        <v>111</v>
      </c>
      <c r="B141" s="444"/>
      <c r="C141" s="278" t="s">
        <v>363</v>
      </c>
      <c r="D141" s="279"/>
      <c r="E141" s="280"/>
      <c r="F141" s="339">
        <f t="shared" si="146"/>
        <v>0</v>
      </c>
      <c r="G141" s="281">
        <v>0</v>
      </c>
      <c r="H141" s="281">
        <v>0</v>
      </c>
      <c r="I141" s="358" t="str">
        <f>IFERROR(F141/#REF!,"-")</f>
        <v>-</v>
      </c>
      <c r="J141" s="339">
        <f t="shared" si="147"/>
        <v>0</v>
      </c>
      <c r="K141" s="281">
        <f t="shared" si="148"/>
        <v>0</v>
      </c>
      <c r="L141" s="251">
        <f t="shared" si="149"/>
        <v>0</v>
      </c>
      <c r="M141" s="343" t="str">
        <f t="shared" si="150"/>
        <v>-</v>
      </c>
      <c r="N141" s="264" t="str">
        <f t="shared" si="145"/>
        <v>-</v>
      </c>
      <c r="O141" s="519"/>
      <c r="P141" s="410">
        <f t="shared" si="151"/>
        <v>0</v>
      </c>
      <c r="Q141" s="459">
        <f t="shared" si="152"/>
        <v>0</v>
      </c>
    </row>
    <row r="142" spans="1:17" ht="23.4" x14ac:dyDescent="0.3">
      <c r="A142" s="277" t="s">
        <v>111</v>
      </c>
      <c r="B142" s="444"/>
      <c r="C142" s="278" t="s">
        <v>373</v>
      </c>
      <c r="D142" s="279"/>
      <c r="E142" s="280"/>
      <c r="F142" s="339">
        <f t="shared" si="146"/>
        <v>27110</v>
      </c>
      <c r="G142" s="281">
        <v>27000</v>
      </c>
      <c r="H142" s="281">
        <v>110</v>
      </c>
      <c r="I142" s="358" t="str">
        <f>IFERROR(F142/#REF!,"-")</f>
        <v>-</v>
      </c>
      <c r="J142" s="339">
        <f t="shared" si="147"/>
        <v>90415</v>
      </c>
      <c r="K142" s="281">
        <f t="shared" si="148"/>
        <v>90000</v>
      </c>
      <c r="L142" s="251">
        <f t="shared" si="149"/>
        <v>415</v>
      </c>
      <c r="M142" s="343" t="str">
        <f t="shared" si="150"/>
        <v>-</v>
      </c>
      <c r="N142" s="264">
        <f t="shared" si="145"/>
        <v>4.5899463584582207E-3</v>
      </c>
      <c r="O142" s="519">
        <v>12.029500000000001</v>
      </c>
      <c r="P142" s="410">
        <f t="shared" si="151"/>
        <v>324796.5</v>
      </c>
      <c r="Q142" s="459">
        <f t="shared" si="152"/>
        <v>1082655</v>
      </c>
    </row>
    <row r="143" spans="1:17" ht="23.4" x14ac:dyDescent="0.3">
      <c r="A143" s="277" t="s">
        <v>111</v>
      </c>
      <c r="B143" s="444"/>
      <c r="C143" s="278"/>
      <c r="D143" s="279"/>
      <c r="E143" s="280"/>
      <c r="F143" s="339">
        <f t="shared" si="146"/>
        <v>0</v>
      </c>
      <c r="G143" s="281">
        <v>0</v>
      </c>
      <c r="H143" s="281">
        <v>0</v>
      </c>
      <c r="I143" s="358" t="str">
        <f>IFERROR(F143/#REF!,"-")</f>
        <v>-</v>
      </c>
      <c r="J143" s="339">
        <f t="shared" si="147"/>
        <v>0</v>
      </c>
      <c r="K143" s="281">
        <f t="shared" si="148"/>
        <v>0</v>
      </c>
      <c r="L143" s="251">
        <f t="shared" si="149"/>
        <v>0</v>
      </c>
      <c r="M143" s="343" t="str">
        <f t="shared" si="150"/>
        <v>-</v>
      </c>
      <c r="N143" s="264" t="str">
        <f t="shared" si="145"/>
        <v>-</v>
      </c>
      <c r="O143" s="519"/>
      <c r="P143" s="410">
        <f t="shared" si="151"/>
        <v>0</v>
      </c>
      <c r="Q143" s="459">
        <f t="shared" si="152"/>
        <v>0</v>
      </c>
    </row>
    <row r="144" spans="1:17" ht="24" thickBot="1" x14ac:dyDescent="0.35">
      <c r="A144" s="277" t="s">
        <v>111</v>
      </c>
      <c r="B144" s="461"/>
      <c r="C144" s="282"/>
      <c r="D144" s="283">
        <v>0</v>
      </c>
      <c r="E144" s="284"/>
      <c r="F144" s="340">
        <f t="shared" si="146"/>
        <v>0</v>
      </c>
      <c r="G144" s="285">
        <v>0</v>
      </c>
      <c r="H144" s="285">
        <v>0</v>
      </c>
      <c r="I144" s="359" t="str">
        <f>IFERROR(F144/#REF!,"-")</f>
        <v>-</v>
      </c>
      <c r="J144" s="340">
        <f t="shared" si="147"/>
        <v>0</v>
      </c>
      <c r="K144" s="285">
        <f t="shared" si="148"/>
        <v>0</v>
      </c>
      <c r="L144" s="286">
        <f t="shared" si="149"/>
        <v>0</v>
      </c>
      <c r="M144" s="344" t="str">
        <f t="shared" si="150"/>
        <v>-</v>
      </c>
      <c r="N144" s="353" t="str">
        <f t="shared" si="145"/>
        <v>-</v>
      </c>
      <c r="O144" s="520"/>
      <c r="P144" s="411">
        <f t="shared" si="151"/>
        <v>0</v>
      </c>
      <c r="Q144" s="460">
        <f t="shared" si="152"/>
        <v>0</v>
      </c>
    </row>
    <row r="145" spans="1:17" ht="24" thickBot="1" x14ac:dyDescent="0.35">
      <c r="A145" s="277" t="s">
        <v>111</v>
      </c>
      <c r="B145" s="906" t="s">
        <v>25</v>
      </c>
      <c r="C145" s="907"/>
      <c r="D145" s="326">
        <f t="shared" ref="D145" si="153">SUM(D138:D144)</f>
        <v>0</v>
      </c>
      <c r="E145" s="289">
        <v>100000</v>
      </c>
      <c r="F145" s="326">
        <f>SUM(F138:F144)</f>
        <v>27110</v>
      </c>
      <c r="G145" s="327">
        <f t="shared" ref="G145:H145" si="154">SUM(G138:G144)</f>
        <v>27000</v>
      </c>
      <c r="H145" s="327">
        <f t="shared" si="154"/>
        <v>110</v>
      </c>
      <c r="I145" s="351" t="str">
        <f>IFERROR(F145/#REF!,"-")</f>
        <v>-</v>
      </c>
      <c r="J145" s="326">
        <f t="shared" ref="J145:L145" si="155">SUM(J138:J144)</f>
        <v>90415</v>
      </c>
      <c r="K145" s="327">
        <f t="shared" si="155"/>
        <v>90000</v>
      </c>
      <c r="L145" s="328">
        <f t="shared" si="155"/>
        <v>415</v>
      </c>
      <c r="M145" s="345" t="str">
        <f t="shared" si="150"/>
        <v>-</v>
      </c>
      <c r="N145" s="351">
        <f t="shared" si="145"/>
        <v>4.5899463584582207E-3</v>
      </c>
      <c r="O145" s="397"/>
      <c r="P145" s="412">
        <f t="shared" ref="P145:Q145" si="156">SUM(P138:P144)</f>
        <v>324796.5</v>
      </c>
      <c r="Q145" s="431">
        <f t="shared" si="156"/>
        <v>1082655</v>
      </c>
    </row>
    <row r="146" spans="1:17" ht="24" thickBot="1" x14ac:dyDescent="0.35">
      <c r="A146" s="277" t="s">
        <v>111</v>
      </c>
      <c r="B146" s="985" t="s">
        <v>181</v>
      </c>
      <c r="C146" s="986"/>
      <c r="D146" s="332">
        <f>+D137+D145</f>
        <v>0</v>
      </c>
      <c r="E146" s="333">
        <f t="shared" ref="E146:H146" si="157">+E137+E145</f>
        <v>115000</v>
      </c>
      <c r="F146" s="332">
        <f t="shared" si="157"/>
        <v>111676</v>
      </c>
      <c r="G146" s="330">
        <f t="shared" si="157"/>
        <v>107200</v>
      </c>
      <c r="H146" s="330">
        <f t="shared" si="157"/>
        <v>4476</v>
      </c>
      <c r="I146" s="355" t="str">
        <f>IFERROR(F146/#REF!,"-")</f>
        <v>-</v>
      </c>
      <c r="J146" s="332">
        <f t="shared" ref="J146:L146" si="158">+J137+J145</f>
        <v>332141</v>
      </c>
      <c r="K146" s="330">
        <f t="shared" si="158"/>
        <v>320240</v>
      </c>
      <c r="L146" s="331">
        <f t="shared" si="158"/>
        <v>11901</v>
      </c>
      <c r="M146" s="347" t="str">
        <f t="shared" si="150"/>
        <v>-</v>
      </c>
      <c r="N146" s="355">
        <f t="shared" si="145"/>
        <v>3.5831168088251673E-2</v>
      </c>
      <c r="O146" s="400"/>
      <c r="P146" s="416">
        <f t="shared" ref="P146:Q146" si="159">+P137+P145</f>
        <v>994926.12</v>
      </c>
      <c r="Q146" s="434">
        <f t="shared" si="159"/>
        <v>3151835.3760000002</v>
      </c>
    </row>
    <row r="147" spans="1:17" ht="23.4" x14ac:dyDescent="0.3">
      <c r="A147" s="244" t="s">
        <v>109</v>
      </c>
      <c r="B147" s="599"/>
      <c r="C147" s="600" t="s">
        <v>314</v>
      </c>
      <c r="D147" s="540"/>
      <c r="E147" s="470"/>
      <c r="F147" s="468">
        <f>+G147+H147</f>
        <v>0</v>
      </c>
      <c r="G147" s="469">
        <v>0</v>
      </c>
      <c r="H147" s="469">
        <v>0</v>
      </c>
      <c r="I147" s="544" t="str">
        <f>IFERROR(F147/#REF!,"-")</f>
        <v>-</v>
      </c>
      <c r="J147" s="468">
        <f>+K147+L147</f>
        <v>0</v>
      </c>
      <c r="K147" s="469">
        <f t="shared" ref="K147:K153" si="160">+G147+K88</f>
        <v>0</v>
      </c>
      <c r="L147" s="247">
        <f t="shared" ref="L147:L153" si="161">+H147+L88</f>
        <v>0</v>
      </c>
      <c r="M147" s="604" t="str">
        <f>IFERROR(J147/D147,"-")</f>
        <v>-</v>
      </c>
      <c r="N147" s="546" t="str">
        <f t="shared" si="145"/>
        <v>-</v>
      </c>
      <c r="O147" s="648">
        <v>4.8285999999999998</v>
      </c>
      <c r="P147" s="547">
        <f t="shared" ref="P147:P153" si="162">+O147*G147</f>
        <v>0</v>
      </c>
      <c r="Q147" s="548">
        <f>+O147*K147</f>
        <v>0</v>
      </c>
    </row>
    <row r="148" spans="1:17" ht="23.4" x14ac:dyDescent="0.3">
      <c r="A148" s="248" t="s">
        <v>109</v>
      </c>
      <c r="B148" s="601"/>
      <c r="C148" s="278" t="s">
        <v>315</v>
      </c>
      <c r="D148" s="279"/>
      <c r="E148" s="442"/>
      <c r="F148" s="339">
        <f t="shared" ref="F148:F153" si="163">+G148+H148</f>
        <v>0</v>
      </c>
      <c r="G148" s="281">
        <v>0</v>
      </c>
      <c r="H148" s="281">
        <v>0</v>
      </c>
      <c r="I148" s="358" t="str">
        <f>IFERROR(F148/#REF!,"-")</f>
        <v>-</v>
      </c>
      <c r="J148" s="339">
        <f t="shared" ref="J148:J153" si="164">+K148+L148</f>
        <v>0</v>
      </c>
      <c r="K148" s="281">
        <f t="shared" si="160"/>
        <v>0</v>
      </c>
      <c r="L148" s="251">
        <f t="shared" si="161"/>
        <v>0</v>
      </c>
      <c r="M148" s="343" t="str">
        <f t="shared" ref="M148:M150" si="165">IFERROR(J148/D148,"-")</f>
        <v>-</v>
      </c>
      <c r="N148" s="268" t="str">
        <f t="shared" si="145"/>
        <v>-</v>
      </c>
      <c r="O148" s="649">
        <v>1.4086000000000001</v>
      </c>
      <c r="P148" s="410">
        <f t="shared" si="162"/>
        <v>0</v>
      </c>
      <c r="Q148" s="459">
        <f t="shared" ref="Q148:Q153" si="166">+O148*K148</f>
        <v>0</v>
      </c>
    </row>
    <row r="149" spans="1:17" ht="23.4" x14ac:dyDescent="0.3">
      <c r="A149" s="248" t="s">
        <v>109</v>
      </c>
      <c r="B149" s="601"/>
      <c r="C149" s="278" t="s">
        <v>367</v>
      </c>
      <c r="D149" s="279"/>
      <c r="E149" s="442"/>
      <c r="F149" s="339">
        <f t="shared" si="163"/>
        <v>101185</v>
      </c>
      <c r="G149" s="281">
        <v>100000</v>
      </c>
      <c r="H149" s="281">
        <v>1185</v>
      </c>
      <c r="I149" s="358" t="str">
        <f>IFERROR(F149/#REF!,"-")</f>
        <v>-</v>
      </c>
      <c r="J149" s="339">
        <f t="shared" si="164"/>
        <v>330605</v>
      </c>
      <c r="K149" s="281">
        <f t="shared" si="160"/>
        <v>326750</v>
      </c>
      <c r="L149" s="251">
        <f t="shared" si="161"/>
        <v>3855</v>
      </c>
      <c r="M149" s="343" t="str">
        <f t="shared" si="165"/>
        <v>-</v>
      </c>
      <c r="N149" s="268">
        <f>IFERROR(L149/J149,"-")</f>
        <v>1.1660440707188337E-2</v>
      </c>
      <c r="O149" s="649">
        <v>2.2141000000000002</v>
      </c>
      <c r="P149" s="410">
        <f t="shared" si="162"/>
        <v>221410.00000000003</v>
      </c>
      <c r="Q149" s="459">
        <f t="shared" si="166"/>
        <v>723457.17500000005</v>
      </c>
    </row>
    <row r="150" spans="1:17" ht="23.4" x14ac:dyDescent="0.3">
      <c r="A150" s="248" t="s">
        <v>109</v>
      </c>
      <c r="B150" s="602"/>
      <c r="C150" s="278" t="s">
        <v>399</v>
      </c>
      <c r="D150" s="283"/>
      <c r="E150" s="541"/>
      <c r="F150" s="340">
        <f t="shared" si="163"/>
        <v>0</v>
      </c>
      <c r="G150" s="285">
        <v>0</v>
      </c>
      <c r="H150" s="285">
        <v>0</v>
      </c>
      <c r="I150" s="359" t="str">
        <f>IFERROR(F150/#REF!,"-")</f>
        <v>-</v>
      </c>
      <c r="J150" s="339">
        <f t="shared" si="164"/>
        <v>0</v>
      </c>
      <c r="K150" s="285">
        <f t="shared" si="160"/>
        <v>0</v>
      </c>
      <c r="L150" s="286">
        <f t="shared" si="161"/>
        <v>0</v>
      </c>
      <c r="M150" s="344" t="str">
        <f t="shared" si="165"/>
        <v>-</v>
      </c>
      <c r="N150" s="350" t="str">
        <f t="shared" ref="N150:N157" si="167">IFERROR(L150/J150,"-")</f>
        <v>-</v>
      </c>
      <c r="O150" s="650">
        <v>2.6406000000000001</v>
      </c>
      <c r="P150" s="411">
        <f t="shared" si="162"/>
        <v>0</v>
      </c>
      <c r="Q150" s="460">
        <f t="shared" si="166"/>
        <v>0</v>
      </c>
    </row>
    <row r="151" spans="1:17" ht="23.4" x14ac:dyDescent="0.3">
      <c r="A151" s="248" t="s">
        <v>109</v>
      </c>
      <c r="B151" s="446"/>
      <c r="C151" s="647" t="s">
        <v>398</v>
      </c>
      <c r="D151" s="521"/>
      <c r="E151" s="542"/>
      <c r="F151" s="339">
        <f t="shared" si="163"/>
        <v>0</v>
      </c>
      <c r="G151" s="561">
        <v>0</v>
      </c>
      <c r="H151" s="561">
        <v>0</v>
      </c>
      <c r="I151" s="358" t="str">
        <f>IFERROR(F151/#REF!,"-")</f>
        <v>-</v>
      </c>
      <c r="J151" s="339">
        <f t="shared" si="164"/>
        <v>0</v>
      </c>
      <c r="K151" s="285">
        <f t="shared" si="160"/>
        <v>0</v>
      </c>
      <c r="L151" s="286">
        <f t="shared" si="161"/>
        <v>0</v>
      </c>
      <c r="M151" s="522"/>
      <c r="N151" s="268" t="str">
        <f t="shared" si="167"/>
        <v>-</v>
      </c>
      <c r="O151" s="553">
        <v>4.4065000000000003</v>
      </c>
      <c r="P151" s="410">
        <f t="shared" si="162"/>
        <v>0</v>
      </c>
      <c r="Q151" s="459">
        <f t="shared" si="166"/>
        <v>0</v>
      </c>
    </row>
    <row r="152" spans="1:17" ht="23.4" x14ac:dyDescent="0.3">
      <c r="A152" s="248" t="s">
        <v>109</v>
      </c>
      <c r="B152" s="603"/>
      <c r="C152" s="272"/>
      <c r="D152" s="273"/>
      <c r="E152" s="441"/>
      <c r="F152" s="338">
        <f t="shared" si="163"/>
        <v>0</v>
      </c>
      <c r="G152" s="275"/>
      <c r="H152" s="275"/>
      <c r="I152" s="357" t="str">
        <f>IFERROR(F152/#REF!,"-")</f>
        <v>-</v>
      </c>
      <c r="J152" s="339">
        <f t="shared" si="164"/>
        <v>0</v>
      </c>
      <c r="K152" s="285">
        <f t="shared" si="160"/>
        <v>0</v>
      </c>
      <c r="L152" s="286">
        <f t="shared" si="161"/>
        <v>0</v>
      </c>
      <c r="M152" s="342" t="str">
        <f t="shared" ref="M152:M153" si="168">IFERROR(J152/D152,"-")</f>
        <v>-</v>
      </c>
      <c r="N152" s="352" t="str">
        <f t="shared" si="167"/>
        <v>-</v>
      </c>
      <c r="O152" s="456"/>
      <c r="P152" s="408">
        <f t="shared" si="162"/>
        <v>0</v>
      </c>
      <c r="Q152" s="457">
        <f t="shared" si="166"/>
        <v>0</v>
      </c>
    </row>
    <row r="153" spans="1:17" ht="24" thickBot="1" x14ac:dyDescent="0.35">
      <c r="A153" s="248" t="s">
        <v>109</v>
      </c>
      <c r="B153" s="601"/>
      <c r="C153" s="278"/>
      <c r="D153" s="279"/>
      <c r="E153" s="442"/>
      <c r="F153" s="339">
        <f t="shared" si="163"/>
        <v>0</v>
      </c>
      <c r="G153" s="281"/>
      <c r="H153" s="281"/>
      <c r="I153" s="358" t="str">
        <f>IFERROR(F153/#REF!,"-")</f>
        <v>-</v>
      </c>
      <c r="J153" s="339">
        <f t="shared" si="164"/>
        <v>0</v>
      </c>
      <c r="K153" s="281">
        <f t="shared" si="160"/>
        <v>0</v>
      </c>
      <c r="L153" s="251">
        <f t="shared" si="161"/>
        <v>0</v>
      </c>
      <c r="M153" s="343" t="str">
        <f t="shared" si="168"/>
        <v>-</v>
      </c>
      <c r="N153" s="264" t="str">
        <f t="shared" si="167"/>
        <v>-</v>
      </c>
      <c r="O153" s="458"/>
      <c r="P153" s="410">
        <f t="shared" si="162"/>
        <v>0</v>
      </c>
      <c r="Q153" s="459">
        <f t="shared" si="166"/>
        <v>0</v>
      </c>
    </row>
    <row r="154" spans="1:17" ht="24" thickBot="1" x14ac:dyDescent="0.35">
      <c r="A154" s="277" t="s">
        <v>109</v>
      </c>
      <c r="B154" s="987" t="s">
        <v>21</v>
      </c>
      <c r="C154" s="925"/>
      <c r="D154" s="326">
        <v>0</v>
      </c>
      <c r="E154" s="289">
        <v>15000</v>
      </c>
      <c r="F154" s="326">
        <f>SUM(F147:F153)</f>
        <v>101185</v>
      </c>
      <c r="G154" s="327">
        <f t="shared" ref="G154:H154" si="169">SUM(G147:G153)</f>
        <v>100000</v>
      </c>
      <c r="H154" s="327">
        <f t="shared" si="169"/>
        <v>1185</v>
      </c>
      <c r="I154" s="351" t="str">
        <f>IFERROR(F154/#REF!,"-")</f>
        <v>-</v>
      </c>
      <c r="J154" s="326">
        <f t="shared" ref="J154" si="170">SUM(J147:J153)</f>
        <v>330605</v>
      </c>
      <c r="K154" s="327">
        <f>SUM(K147:K153)</f>
        <v>326750</v>
      </c>
      <c r="L154" s="327">
        <f>SUM(L147:L153)</f>
        <v>3855</v>
      </c>
      <c r="M154" s="345" t="str">
        <f>IFERROR(J154/D154,"-")</f>
        <v>-</v>
      </c>
      <c r="N154" s="351">
        <f t="shared" si="167"/>
        <v>1.1660440707188337E-2</v>
      </c>
      <c r="O154" s="397"/>
      <c r="P154" s="412">
        <f>SUM(P147:P153)</f>
        <v>221410.00000000003</v>
      </c>
      <c r="Q154" s="431">
        <f>SUM(Q147:Q153)</f>
        <v>723457.17500000005</v>
      </c>
    </row>
    <row r="155" spans="1:17" ht="24" thickBot="1" x14ac:dyDescent="0.35">
      <c r="A155" s="277" t="s">
        <v>109</v>
      </c>
      <c r="B155" s="988" t="s">
        <v>275</v>
      </c>
      <c r="C155" s="989"/>
      <c r="D155" s="524">
        <f>+D151+D154</f>
        <v>0</v>
      </c>
      <c r="E155" s="538">
        <f>+E151+E154</f>
        <v>15000</v>
      </c>
      <c r="F155" s="524">
        <f>+F151+F154</f>
        <v>101185</v>
      </c>
      <c r="G155" s="526">
        <f>+G151+G154</f>
        <v>100000</v>
      </c>
      <c r="H155" s="526">
        <f>+H151+H154</f>
        <v>1185</v>
      </c>
      <c r="I155" s="527" t="str">
        <f>IFERROR(F155/#REF!,"-")</f>
        <v>-</v>
      </c>
      <c r="J155" s="524">
        <f>+J151+J154</f>
        <v>330605</v>
      </c>
      <c r="K155" s="526">
        <f>+K154</f>
        <v>326750</v>
      </c>
      <c r="L155" s="526">
        <f>+L154</f>
        <v>3855</v>
      </c>
      <c r="M155" s="528" t="str">
        <f t="shared" ref="M155" si="171">IFERROR(J155/D155,"-")</f>
        <v>-</v>
      </c>
      <c r="N155" s="527">
        <f t="shared" si="167"/>
        <v>1.1660440707188337E-2</v>
      </c>
      <c r="O155" s="529"/>
      <c r="P155" s="530">
        <f>+P154</f>
        <v>221410.00000000003</v>
      </c>
      <c r="Q155" s="530">
        <f>+Q154</f>
        <v>723457.17500000005</v>
      </c>
    </row>
    <row r="156" spans="1:17" ht="23.4" x14ac:dyDescent="0.4">
      <c r="A156" s="244" t="s">
        <v>109</v>
      </c>
      <c r="B156" s="979" t="s">
        <v>277</v>
      </c>
      <c r="C156" s="555" t="s">
        <v>74</v>
      </c>
      <c r="D156" s="540"/>
      <c r="E156" s="470"/>
      <c r="F156" s="468">
        <f>+G156+H156</f>
        <v>10008</v>
      </c>
      <c r="G156" s="469">
        <v>10000</v>
      </c>
      <c r="H156" s="469">
        <v>8</v>
      </c>
      <c r="I156" s="544" t="str">
        <f>IFERROR(F156/#REF!,"-")</f>
        <v>-</v>
      </c>
      <c r="J156" s="468">
        <f>+K156+L156</f>
        <v>10008</v>
      </c>
      <c r="K156" s="469">
        <f t="shared" ref="K156:K184" si="172">+G156+K97</f>
        <v>10000</v>
      </c>
      <c r="L156" s="246">
        <f t="shared" ref="L156:L184" si="173">+H156+L97</f>
        <v>8</v>
      </c>
      <c r="M156" s="263" t="str">
        <f>IFERROR(J156/D156,"-")</f>
        <v>-</v>
      </c>
      <c r="N156" s="546">
        <f t="shared" si="167"/>
        <v>7.993605115907274E-4</v>
      </c>
      <c r="O156" s="551">
        <v>32.946300000000001</v>
      </c>
      <c r="P156" s="547">
        <f t="shared" ref="P156:P184" si="174">+O156*G156</f>
        <v>329463</v>
      </c>
      <c r="Q156" s="548">
        <f t="shared" ref="Q156:Q184" si="175">+O156*K156</f>
        <v>329463</v>
      </c>
    </row>
    <row r="157" spans="1:17" ht="23.4" x14ac:dyDescent="0.4">
      <c r="A157" s="248" t="s">
        <v>109</v>
      </c>
      <c r="B157" s="980"/>
      <c r="C157" s="556" t="s">
        <v>75</v>
      </c>
      <c r="D157" s="523"/>
      <c r="E157" s="442"/>
      <c r="F157" s="339">
        <f t="shared" ref="F157:F184" si="176">+G157+H157</f>
        <v>0</v>
      </c>
      <c r="G157" s="281">
        <v>0</v>
      </c>
      <c r="H157" s="281">
        <v>0</v>
      </c>
      <c r="I157" s="358" t="str">
        <f>IFERROR(F157/#REF!,"-")</f>
        <v>-</v>
      </c>
      <c r="J157" s="339">
        <f t="shared" ref="J157:J184" si="177">+K157+L157</f>
        <v>0</v>
      </c>
      <c r="K157" s="281">
        <f t="shared" si="172"/>
        <v>0</v>
      </c>
      <c r="L157" s="250">
        <f t="shared" si="173"/>
        <v>0</v>
      </c>
      <c r="M157" s="265" t="str">
        <f t="shared" ref="M157:M159" si="178">IFERROR(J157/D157,"-")</f>
        <v>-</v>
      </c>
      <c r="N157" s="268" t="str">
        <f t="shared" si="167"/>
        <v>-</v>
      </c>
      <c r="O157" s="519">
        <v>35.398400000000002</v>
      </c>
      <c r="P157" s="410">
        <f t="shared" si="174"/>
        <v>0</v>
      </c>
      <c r="Q157" s="459">
        <f t="shared" si="175"/>
        <v>0</v>
      </c>
    </row>
    <row r="158" spans="1:17" ht="24" thickBot="1" x14ac:dyDescent="0.45">
      <c r="A158" s="248" t="s">
        <v>109</v>
      </c>
      <c r="B158" s="980"/>
      <c r="C158" s="556" t="s">
        <v>76</v>
      </c>
      <c r="D158" s="279"/>
      <c r="E158" s="442"/>
      <c r="F158" s="339">
        <f t="shared" si="176"/>
        <v>0</v>
      </c>
      <c r="G158" s="281">
        <v>0</v>
      </c>
      <c r="H158" s="281">
        <v>0</v>
      </c>
      <c r="I158" s="358" t="str">
        <f>IFERROR(F158/#REF!,"-")</f>
        <v>-</v>
      </c>
      <c r="J158" s="339">
        <f t="shared" si="177"/>
        <v>5000</v>
      </c>
      <c r="K158" s="281">
        <f t="shared" si="172"/>
        <v>5000</v>
      </c>
      <c r="L158" s="250">
        <f t="shared" si="173"/>
        <v>0</v>
      </c>
      <c r="M158" s="265" t="str">
        <f t="shared" si="178"/>
        <v>-</v>
      </c>
      <c r="N158" s="268">
        <f>IFERROR(L158/J158,"-")</f>
        <v>0</v>
      </c>
      <c r="O158" s="519">
        <v>32.946300000000001</v>
      </c>
      <c r="P158" s="410">
        <f t="shared" si="174"/>
        <v>0</v>
      </c>
      <c r="Q158" s="459">
        <f t="shared" si="175"/>
        <v>164731.5</v>
      </c>
    </row>
    <row r="159" spans="1:17" ht="23.4" x14ac:dyDescent="0.4">
      <c r="A159" s="248" t="s">
        <v>109</v>
      </c>
      <c r="B159" s="979" t="s">
        <v>278</v>
      </c>
      <c r="C159" s="558" t="s">
        <v>78</v>
      </c>
      <c r="D159" s="279"/>
      <c r="E159" s="541"/>
      <c r="F159" s="340">
        <f t="shared" si="176"/>
        <v>0</v>
      </c>
      <c r="G159" s="281">
        <v>0</v>
      </c>
      <c r="H159" s="281">
        <v>0</v>
      </c>
      <c r="I159" s="358" t="str">
        <f>IFERROR(F159/#REF!,"-")</f>
        <v>-</v>
      </c>
      <c r="J159" s="339">
        <f t="shared" si="177"/>
        <v>8248</v>
      </c>
      <c r="K159" s="281">
        <f t="shared" si="172"/>
        <v>7200</v>
      </c>
      <c r="L159" s="250">
        <f t="shared" si="173"/>
        <v>1048</v>
      </c>
      <c r="M159" s="265" t="str">
        <f t="shared" si="178"/>
        <v>-</v>
      </c>
      <c r="N159" s="268">
        <f t="shared" ref="N159" si="179">IFERROR(L159/J159,"-")</f>
        <v>0.1270611057225994</v>
      </c>
      <c r="O159" s="519">
        <v>55.4758</v>
      </c>
      <c r="P159" s="410">
        <f t="shared" si="174"/>
        <v>0</v>
      </c>
      <c r="Q159" s="459">
        <f t="shared" si="175"/>
        <v>399425.76</v>
      </c>
    </row>
    <row r="160" spans="1:17" ht="23.4" x14ac:dyDescent="0.4">
      <c r="A160" s="248" t="s">
        <v>109</v>
      </c>
      <c r="B160" s="980"/>
      <c r="C160" s="558" t="s">
        <v>75</v>
      </c>
      <c r="D160" s="279"/>
      <c r="E160" s="542"/>
      <c r="F160" s="340">
        <f t="shared" si="176"/>
        <v>2350</v>
      </c>
      <c r="G160" s="281">
        <v>1900</v>
      </c>
      <c r="H160" s="281">
        <v>450</v>
      </c>
      <c r="I160" s="358" t="str">
        <f>IFERROR(F160/#REF!,"-")</f>
        <v>-</v>
      </c>
      <c r="J160" s="339">
        <f t="shared" si="177"/>
        <v>2350</v>
      </c>
      <c r="K160" s="281">
        <f t="shared" si="172"/>
        <v>1900</v>
      </c>
      <c r="L160" s="250">
        <f t="shared" si="173"/>
        <v>450</v>
      </c>
      <c r="M160" s="522"/>
      <c r="N160" s="378"/>
      <c r="O160" s="553">
        <v>58.836300000000001</v>
      </c>
      <c r="P160" s="410">
        <f t="shared" si="174"/>
        <v>111788.97</v>
      </c>
      <c r="Q160" s="459">
        <f t="shared" si="175"/>
        <v>111788.97</v>
      </c>
    </row>
    <row r="161" spans="1:17" ht="24" thickBot="1" x14ac:dyDescent="0.45">
      <c r="A161" s="248" t="s">
        <v>109</v>
      </c>
      <c r="B161" s="981"/>
      <c r="C161" s="558" t="s">
        <v>142</v>
      </c>
      <c r="D161" s="279"/>
      <c r="E161" s="441"/>
      <c r="F161" s="340">
        <f t="shared" si="176"/>
        <v>0</v>
      </c>
      <c r="G161" s="281">
        <v>0</v>
      </c>
      <c r="H161" s="281">
        <v>0</v>
      </c>
      <c r="I161" s="358" t="str">
        <f>IFERROR(F161/#REF!,"-")</f>
        <v>-</v>
      </c>
      <c r="J161" s="339">
        <f t="shared" si="177"/>
        <v>0</v>
      </c>
      <c r="K161" s="281">
        <f t="shared" si="172"/>
        <v>0</v>
      </c>
      <c r="L161" s="250">
        <f t="shared" si="173"/>
        <v>0</v>
      </c>
      <c r="M161" s="265" t="str">
        <f t="shared" ref="M161:M187" si="180">IFERROR(J161/D161,"-")</f>
        <v>-</v>
      </c>
      <c r="N161" s="264" t="str">
        <f t="shared" ref="N161:N186" si="181">IFERROR(L161/J161,"-")</f>
        <v>-</v>
      </c>
      <c r="O161" s="519">
        <v>53.515999999999998</v>
      </c>
      <c r="P161" s="410">
        <f t="shared" si="174"/>
        <v>0</v>
      </c>
      <c r="Q161" s="459">
        <f t="shared" si="175"/>
        <v>0</v>
      </c>
    </row>
    <row r="162" spans="1:17" ht="23.4" x14ac:dyDescent="0.4">
      <c r="A162" s="248" t="s">
        <v>109</v>
      </c>
      <c r="B162" s="979" t="s">
        <v>79</v>
      </c>
      <c r="C162" s="556" t="s">
        <v>80</v>
      </c>
      <c r="D162" s="279"/>
      <c r="E162" s="442"/>
      <c r="F162" s="339">
        <f t="shared" si="176"/>
        <v>0</v>
      </c>
      <c r="G162" s="281">
        <v>0</v>
      </c>
      <c r="H162" s="281">
        <v>0</v>
      </c>
      <c r="I162" s="358" t="str">
        <f>IFERROR(F162/#REF!,"-")</f>
        <v>-</v>
      </c>
      <c r="J162" s="339">
        <f t="shared" si="177"/>
        <v>0</v>
      </c>
      <c r="K162" s="281">
        <f t="shared" si="172"/>
        <v>0</v>
      </c>
      <c r="L162" s="250">
        <f t="shared" si="173"/>
        <v>0</v>
      </c>
      <c r="M162" s="265" t="str">
        <f t="shared" si="180"/>
        <v>-</v>
      </c>
      <c r="N162" s="264" t="str">
        <f t="shared" si="181"/>
        <v>-</v>
      </c>
      <c r="O162" s="519">
        <v>25.687200000000001</v>
      </c>
      <c r="P162" s="410">
        <f t="shared" si="174"/>
        <v>0</v>
      </c>
      <c r="Q162" s="459">
        <f t="shared" si="175"/>
        <v>0</v>
      </c>
    </row>
    <row r="163" spans="1:17" ht="24" thickBot="1" x14ac:dyDescent="0.45">
      <c r="A163" s="248" t="s">
        <v>109</v>
      </c>
      <c r="B163" s="981"/>
      <c r="C163" s="556" t="s">
        <v>125</v>
      </c>
      <c r="D163" s="279"/>
      <c r="E163" s="442"/>
      <c r="F163" s="339">
        <f t="shared" si="176"/>
        <v>0</v>
      </c>
      <c r="G163" s="281">
        <v>0</v>
      </c>
      <c r="H163" s="281">
        <v>0</v>
      </c>
      <c r="I163" s="358" t="str">
        <f>IFERROR(F163/#REF!,"-")</f>
        <v>-</v>
      </c>
      <c r="J163" s="339">
        <f t="shared" si="177"/>
        <v>0</v>
      </c>
      <c r="K163" s="281">
        <f t="shared" si="172"/>
        <v>0</v>
      </c>
      <c r="L163" s="250">
        <f t="shared" si="173"/>
        <v>0</v>
      </c>
      <c r="M163" s="265" t="str">
        <f t="shared" si="180"/>
        <v>-</v>
      </c>
      <c r="N163" s="264" t="str">
        <f t="shared" si="181"/>
        <v>-</v>
      </c>
      <c r="O163" s="519">
        <v>25.033899999999999</v>
      </c>
      <c r="P163" s="410">
        <f t="shared" si="174"/>
        <v>0</v>
      </c>
      <c r="Q163" s="459">
        <f t="shared" si="175"/>
        <v>0</v>
      </c>
    </row>
    <row r="164" spans="1:17" ht="23.4" x14ac:dyDescent="0.4">
      <c r="A164" s="248"/>
      <c r="B164" s="979" t="s">
        <v>81</v>
      </c>
      <c r="C164" s="556" t="s">
        <v>82</v>
      </c>
      <c r="D164" s="279"/>
      <c r="E164" s="442"/>
      <c r="F164" s="339">
        <f t="shared" si="176"/>
        <v>2008</v>
      </c>
      <c r="G164" s="281">
        <v>2000</v>
      </c>
      <c r="H164" s="281">
        <v>8</v>
      </c>
      <c r="I164" s="358" t="str">
        <f>IFERROR(F164/#REF!,"-")</f>
        <v>-</v>
      </c>
      <c r="J164" s="339">
        <f t="shared" si="177"/>
        <v>2008</v>
      </c>
      <c r="K164" s="281">
        <f t="shared" si="172"/>
        <v>2000</v>
      </c>
      <c r="L164" s="250">
        <f t="shared" si="173"/>
        <v>8</v>
      </c>
      <c r="M164" s="265" t="str">
        <f t="shared" si="180"/>
        <v>-</v>
      </c>
      <c r="N164" s="264">
        <f t="shared" si="181"/>
        <v>3.9840637450199202E-3</v>
      </c>
      <c r="O164" s="519">
        <v>41.992699999999999</v>
      </c>
      <c r="P164" s="410">
        <f t="shared" si="174"/>
        <v>83985.4</v>
      </c>
      <c r="Q164" s="459">
        <f t="shared" si="175"/>
        <v>83985.4</v>
      </c>
    </row>
    <row r="165" spans="1:17" ht="24" thickBot="1" x14ac:dyDescent="0.45">
      <c r="A165" s="248"/>
      <c r="B165" s="980"/>
      <c r="C165" s="556" t="s">
        <v>364</v>
      </c>
      <c r="D165" s="279"/>
      <c r="E165" s="442"/>
      <c r="F165" s="339">
        <f t="shared" si="176"/>
        <v>0</v>
      </c>
      <c r="G165" s="281">
        <v>0</v>
      </c>
      <c r="H165" s="281">
        <v>0</v>
      </c>
      <c r="I165" s="358" t="str">
        <f>IFERROR(F165/#REF!,"-")</f>
        <v>-</v>
      </c>
      <c r="J165" s="339">
        <f t="shared" si="177"/>
        <v>0</v>
      </c>
      <c r="K165" s="281">
        <f t="shared" si="172"/>
        <v>0</v>
      </c>
      <c r="L165" s="250">
        <f t="shared" si="173"/>
        <v>0</v>
      </c>
      <c r="M165" s="265" t="str">
        <f t="shared" si="180"/>
        <v>-</v>
      </c>
      <c r="N165" s="264" t="str">
        <f t="shared" si="181"/>
        <v>-</v>
      </c>
      <c r="O165" s="519">
        <v>41.992699999999999</v>
      </c>
      <c r="P165" s="410">
        <f t="shared" si="174"/>
        <v>0</v>
      </c>
      <c r="Q165" s="459">
        <f t="shared" si="175"/>
        <v>0</v>
      </c>
    </row>
    <row r="166" spans="1:17" ht="24" thickBot="1" x14ac:dyDescent="0.45">
      <c r="A166" s="248"/>
      <c r="B166" s="559" t="s">
        <v>83</v>
      </c>
      <c r="C166" s="556" t="s">
        <v>84</v>
      </c>
      <c r="D166" s="279"/>
      <c r="E166" s="442"/>
      <c r="F166" s="339">
        <f t="shared" si="176"/>
        <v>0</v>
      </c>
      <c r="G166" s="281">
        <v>0</v>
      </c>
      <c r="H166" s="281">
        <v>0</v>
      </c>
      <c r="I166" s="358" t="str">
        <f>IFERROR(F166/#REF!,"-")</f>
        <v>-</v>
      </c>
      <c r="J166" s="339">
        <f t="shared" si="177"/>
        <v>0</v>
      </c>
      <c r="K166" s="281">
        <f t="shared" si="172"/>
        <v>0</v>
      </c>
      <c r="L166" s="250">
        <f t="shared" si="173"/>
        <v>0</v>
      </c>
      <c r="M166" s="265" t="str">
        <f t="shared" si="180"/>
        <v>-</v>
      </c>
      <c r="N166" s="264" t="str">
        <f t="shared" si="181"/>
        <v>-</v>
      </c>
      <c r="O166" s="519">
        <v>4.3535000000000004</v>
      </c>
      <c r="P166" s="410">
        <f t="shared" si="174"/>
        <v>0</v>
      </c>
      <c r="Q166" s="459">
        <f t="shared" si="175"/>
        <v>0</v>
      </c>
    </row>
    <row r="167" spans="1:17" ht="23.4" x14ac:dyDescent="0.4">
      <c r="A167" s="248"/>
      <c r="B167" s="979" t="s">
        <v>280</v>
      </c>
      <c r="C167" s="556" t="s">
        <v>80</v>
      </c>
      <c r="D167" s="279"/>
      <c r="E167" s="442"/>
      <c r="F167" s="339">
        <f t="shared" si="176"/>
        <v>0</v>
      </c>
      <c r="G167" s="281">
        <v>0</v>
      </c>
      <c r="H167" s="281">
        <v>0</v>
      </c>
      <c r="I167" s="358" t="str">
        <f>IFERROR(F167/#REF!,"-")</f>
        <v>-</v>
      </c>
      <c r="J167" s="339">
        <f t="shared" si="177"/>
        <v>0</v>
      </c>
      <c r="K167" s="281">
        <f t="shared" si="172"/>
        <v>0</v>
      </c>
      <c r="L167" s="250">
        <f t="shared" si="173"/>
        <v>0</v>
      </c>
      <c r="M167" s="265" t="str">
        <f t="shared" si="180"/>
        <v>-</v>
      </c>
      <c r="N167" s="264" t="str">
        <f t="shared" si="181"/>
        <v>-</v>
      </c>
      <c r="O167" s="519">
        <v>4.6184000000000003</v>
      </c>
      <c r="P167" s="410">
        <f t="shared" si="174"/>
        <v>0</v>
      </c>
      <c r="Q167" s="459">
        <f t="shared" si="175"/>
        <v>0</v>
      </c>
    </row>
    <row r="168" spans="1:17" ht="23.4" x14ac:dyDescent="0.4">
      <c r="A168" s="248"/>
      <c r="B168" s="980"/>
      <c r="C168" s="556" t="s">
        <v>407</v>
      </c>
      <c r="D168" s="279"/>
      <c r="E168" s="442"/>
      <c r="F168" s="339">
        <f t="shared" si="176"/>
        <v>41204</v>
      </c>
      <c r="G168" s="281">
        <f>23100+17600</f>
        <v>40700</v>
      </c>
      <c r="H168" s="281">
        <f>284+220</f>
        <v>504</v>
      </c>
      <c r="I168" s="358" t="str">
        <f>IFERROR(F168/#REF!,"-")</f>
        <v>-</v>
      </c>
      <c r="J168" s="339">
        <f t="shared" si="177"/>
        <v>92234</v>
      </c>
      <c r="K168" s="281">
        <f t="shared" si="172"/>
        <v>91300</v>
      </c>
      <c r="L168" s="250">
        <f t="shared" si="173"/>
        <v>934</v>
      </c>
      <c r="M168" s="265" t="str">
        <f t="shared" si="180"/>
        <v>-</v>
      </c>
      <c r="N168" s="264">
        <f t="shared" si="181"/>
        <v>1.0126417590042718E-2</v>
      </c>
      <c r="O168" s="519">
        <v>4.6184000000000003</v>
      </c>
      <c r="P168" s="410">
        <f t="shared" si="174"/>
        <v>187968.88</v>
      </c>
      <c r="Q168" s="459">
        <f t="shared" si="175"/>
        <v>421659.92000000004</v>
      </c>
    </row>
    <row r="169" spans="1:17" ht="23.4" x14ac:dyDescent="0.4">
      <c r="A169" s="248"/>
      <c r="B169" s="980"/>
      <c r="C169" s="556" t="s">
        <v>279</v>
      </c>
      <c r="D169" s="279"/>
      <c r="E169" s="442"/>
      <c r="F169" s="339">
        <f t="shared" si="176"/>
        <v>0</v>
      </c>
      <c r="G169" s="281">
        <v>0</v>
      </c>
      <c r="H169" s="281">
        <v>0</v>
      </c>
      <c r="I169" s="358" t="str">
        <f>IFERROR(F169/#REF!,"-")</f>
        <v>-</v>
      </c>
      <c r="J169" s="339">
        <f t="shared" si="177"/>
        <v>0</v>
      </c>
      <c r="K169" s="281">
        <f t="shared" si="172"/>
        <v>0</v>
      </c>
      <c r="L169" s="250">
        <f t="shared" si="173"/>
        <v>0</v>
      </c>
      <c r="M169" s="265" t="str">
        <f t="shared" si="180"/>
        <v>-</v>
      </c>
      <c r="N169" s="264" t="str">
        <f t="shared" si="181"/>
        <v>-</v>
      </c>
      <c r="O169" s="519">
        <v>4.6184000000000003</v>
      </c>
      <c r="P169" s="410">
        <f t="shared" si="174"/>
        <v>0</v>
      </c>
      <c r="Q169" s="459">
        <f t="shared" si="175"/>
        <v>0</v>
      </c>
    </row>
    <row r="170" spans="1:17" ht="23.4" x14ac:dyDescent="0.4">
      <c r="A170" s="248"/>
      <c r="B170" s="980"/>
      <c r="C170" s="556" t="s">
        <v>132</v>
      </c>
      <c r="D170" s="279"/>
      <c r="E170" s="442"/>
      <c r="F170" s="339">
        <f t="shared" si="176"/>
        <v>0</v>
      </c>
      <c r="G170" s="281">
        <v>0</v>
      </c>
      <c r="H170" s="281">
        <v>0</v>
      </c>
      <c r="I170" s="358" t="str">
        <f>IFERROR(F170/#REF!,"-")</f>
        <v>-</v>
      </c>
      <c r="J170" s="339">
        <f t="shared" si="177"/>
        <v>0</v>
      </c>
      <c r="K170" s="281">
        <f t="shared" si="172"/>
        <v>0</v>
      </c>
      <c r="L170" s="250">
        <f t="shared" si="173"/>
        <v>0</v>
      </c>
      <c r="M170" s="265" t="str">
        <f t="shared" si="180"/>
        <v>-</v>
      </c>
      <c r="N170" s="264" t="str">
        <f t="shared" si="181"/>
        <v>-</v>
      </c>
      <c r="O170" s="519">
        <v>4.7636000000000003</v>
      </c>
      <c r="P170" s="410">
        <f t="shared" si="174"/>
        <v>0</v>
      </c>
      <c r="Q170" s="459">
        <f t="shared" si="175"/>
        <v>0</v>
      </c>
    </row>
    <row r="171" spans="1:17" ht="24" thickBot="1" x14ac:dyDescent="0.45">
      <c r="A171" s="248"/>
      <c r="B171" s="981"/>
      <c r="C171" s="556" t="s">
        <v>86</v>
      </c>
      <c r="D171" s="279"/>
      <c r="E171" s="442"/>
      <c r="F171" s="339">
        <f t="shared" si="176"/>
        <v>0</v>
      </c>
      <c r="G171" s="281">
        <v>0</v>
      </c>
      <c r="H171" s="281">
        <v>0</v>
      </c>
      <c r="I171" s="358" t="str">
        <f>IFERROR(F171/#REF!,"-")</f>
        <v>-</v>
      </c>
      <c r="J171" s="339">
        <f t="shared" si="177"/>
        <v>0</v>
      </c>
      <c r="K171" s="281">
        <f t="shared" si="172"/>
        <v>0</v>
      </c>
      <c r="L171" s="250">
        <f t="shared" si="173"/>
        <v>0</v>
      </c>
      <c r="M171" s="265" t="str">
        <f t="shared" si="180"/>
        <v>-</v>
      </c>
      <c r="N171" s="264" t="str">
        <f t="shared" si="181"/>
        <v>-</v>
      </c>
      <c r="O171" s="519">
        <v>4.8738000000000001</v>
      </c>
      <c r="P171" s="410">
        <f t="shared" si="174"/>
        <v>0</v>
      </c>
      <c r="Q171" s="459">
        <f t="shared" si="175"/>
        <v>0</v>
      </c>
    </row>
    <row r="172" spans="1:17" ht="24" thickBot="1" x14ac:dyDescent="0.45">
      <c r="A172" s="248"/>
      <c r="B172" s="559" t="s">
        <v>281</v>
      </c>
      <c r="C172" s="556" t="s">
        <v>132</v>
      </c>
      <c r="D172" s="279"/>
      <c r="E172" s="442"/>
      <c r="F172" s="339">
        <f t="shared" si="176"/>
        <v>0</v>
      </c>
      <c r="G172" s="281">
        <v>0</v>
      </c>
      <c r="H172" s="281">
        <v>0</v>
      </c>
      <c r="I172" s="358" t="str">
        <f>IFERROR(F172/#REF!,"-")</f>
        <v>-</v>
      </c>
      <c r="J172" s="339">
        <f t="shared" si="177"/>
        <v>0</v>
      </c>
      <c r="K172" s="281">
        <f t="shared" si="172"/>
        <v>0</v>
      </c>
      <c r="L172" s="250">
        <f t="shared" si="173"/>
        <v>0</v>
      </c>
      <c r="M172" s="265" t="str">
        <f t="shared" si="180"/>
        <v>-</v>
      </c>
      <c r="N172" s="264" t="str">
        <f t="shared" si="181"/>
        <v>-</v>
      </c>
      <c r="O172" s="519">
        <v>4.8738000000000001</v>
      </c>
      <c r="P172" s="410">
        <f t="shared" si="174"/>
        <v>0</v>
      </c>
      <c r="Q172" s="459">
        <f t="shared" si="175"/>
        <v>0</v>
      </c>
    </row>
    <row r="173" spans="1:17" ht="23.4" x14ac:dyDescent="0.4">
      <c r="A173" s="248"/>
      <c r="B173" s="979" t="s">
        <v>283</v>
      </c>
      <c r="C173" s="556" t="s">
        <v>80</v>
      </c>
      <c r="D173" s="279"/>
      <c r="E173" s="442"/>
      <c r="F173" s="339">
        <f t="shared" si="176"/>
        <v>36521</v>
      </c>
      <c r="G173" s="281">
        <f>25800+9750</f>
        <v>35550</v>
      </c>
      <c r="H173" s="281">
        <f>394+577</f>
        <v>971</v>
      </c>
      <c r="I173" s="358" t="str">
        <f>IFERROR(F173/#REF!,"-")</f>
        <v>-</v>
      </c>
      <c r="J173" s="339">
        <f t="shared" si="177"/>
        <v>96697</v>
      </c>
      <c r="K173" s="281">
        <f t="shared" si="172"/>
        <v>94700</v>
      </c>
      <c r="L173" s="281">
        <f t="shared" si="173"/>
        <v>1997</v>
      </c>
      <c r="M173" s="265" t="str">
        <f t="shared" si="180"/>
        <v>-</v>
      </c>
      <c r="N173" s="264">
        <f t="shared" si="181"/>
        <v>2.0652140190491948E-2</v>
      </c>
      <c r="O173" s="519">
        <v>4.9344999999999999</v>
      </c>
      <c r="P173" s="410">
        <f t="shared" si="174"/>
        <v>175421.47500000001</v>
      </c>
      <c r="Q173" s="459">
        <f t="shared" si="175"/>
        <v>467297.14999999997</v>
      </c>
    </row>
    <row r="174" spans="1:17" ht="23.4" x14ac:dyDescent="0.4">
      <c r="A174" s="248"/>
      <c r="B174" s="980"/>
      <c r="C174" s="556" t="s">
        <v>143</v>
      </c>
      <c r="D174" s="279"/>
      <c r="E174" s="442"/>
      <c r="F174" s="339">
        <f t="shared" si="176"/>
        <v>0</v>
      </c>
      <c r="G174" s="281">
        <v>0</v>
      </c>
      <c r="H174" s="281">
        <v>0</v>
      </c>
      <c r="I174" s="358" t="str">
        <f>IFERROR(F174/#REF!,"-")</f>
        <v>-</v>
      </c>
      <c r="J174" s="339">
        <f t="shared" si="177"/>
        <v>0</v>
      </c>
      <c r="K174" s="281">
        <f t="shared" si="172"/>
        <v>0</v>
      </c>
      <c r="L174" s="250">
        <f t="shared" si="173"/>
        <v>0</v>
      </c>
      <c r="M174" s="265" t="str">
        <f t="shared" si="180"/>
        <v>-</v>
      </c>
      <c r="N174" s="264" t="str">
        <f t="shared" si="181"/>
        <v>-</v>
      </c>
      <c r="O174" s="519">
        <v>4.9344999999999999</v>
      </c>
      <c r="P174" s="410">
        <f t="shared" si="174"/>
        <v>0</v>
      </c>
      <c r="Q174" s="459">
        <f t="shared" si="175"/>
        <v>0</v>
      </c>
    </row>
    <row r="175" spans="1:17" ht="23.4" x14ac:dyDescent="0.4">
      <c r="A175" s="248"/>
      <c r="B175" s="980"/>
      <c r="C175" s="556" t="s">
        <v>137</v>
      </c>
      <c r="D175" s="279"/>
      <c r="E175" s="442"/>
      <c r="F175" s="339">
        <f t="shared" si="176"/>
        <v>0</v>
      </c>
      <c r="G175" s="281">
        <v>0</v>
      </c>
      <c r="H175" s="281">
        <v>0</v>
      </c>
      <c r="I175" s="358" t="str">
        <f>IFERROR(F175/#REF!,"-")</f>
        <v>-</v>
      </c>
      <c r="J175" s="339">
        <f t="shared" si="177"/>
        <v>0</v>
      </c>
      <c r="K175" s="281">
        <f t="shared" si="172"/>
        <v>0</v>
      </c>
      <c r="L175" s="250">
        <f t="shared" si="173"/>
        <v>0</v>
      </c>
      <c r="M175" s="265" t="str">
        <f t="shared" si="180"/>
        <v>-</v>
      </c>
      <c r="N175" s="264" t="str">
        <f t="shared" si="181"/>
        <v>-</v>
      </c>
      <c r="O175" s="519">
        <v>4.9344999999999999</v>
      </c>
      <c r="P175" s="410">
        <f t="shared" si="174"/>
        <v>0</v>
      </c>
      <c r="Q175" s="459">
        <f t="shared" si="175"/>
        <v>0</v>
      </c>
    </row>
    <row r="176" spans="1:17" ht="24" thickBot="1" x14ac:dyDescent="0.45">
      <c r="A176" s="248"/>
      <c r="B176" s="981"/>
      <c r="C176" s="556" t="s">
        <v>282</v>
      </c>
      <c r="D176" s="279"/>
      <c r="E176" s="442"/>
      <c r="F176" s="339">
        <f t="shared" si="176"/>
        <v>0</v>
      </c>
      <c r="G176" s="281">
        <v>0</v>
      </c>
      <c r="H176" s="281">
        <v>0</v>
      </c>
      <c r="I176" s="358" t="str">
        <f>IFERROR(F176/#REF!,"-")</f>
        <v>-</v>
      </c>
      <c r="J176" s="339">
        <f t="shared" si="177"/>
        <v>0</v>
      </c>
      <c r="K176" s="281">
        <f t="shared" si="172"/>
        <v>0</v>
      </c>
      <c r="L176" s="250">
        <f t="shared" si="173"/>
        <v>0</v>
      </c>
      <c r="M176" s="265" t="str">
        <f t="shared" si="180"/>
        <v>-</v>
      </c>
      <c r="N176" s="264" t="str">
        <f t="shared" si="181"/>
        <v>-</v>
      </c>
      <c r="O176" s="519">
        <v>5.5069999999999997</v>
      </c>
      <c r="P176" s="410">
        <f t="shared" si="174"/>
        <v>0</v>
      </c>
      <c r="Q176" s="459">
        <f t="shared" si="175"/>
        <v>0</v>
      </c>
    </row>
    <row r="177" spans="1:17" ht="23.4" x14ac:dyDescent="0.4">
      <c r="A177" s="248"/>
      <c r="B177" s="979" t="s">
        <v>288</v>
      </c>
      <c r="C177" s="556" t="s">
        <v>284</v>
      </c>
      <c r="D177" s="279"/>
      <c r="E177" s="442"/>
      <c r="F177" s="339">
        <f t="shared" si="176"/>
        <v>0</v>
      </c>
      <c r="G177" s="281">
        <v>0</v>
      </c>
      <c r="H177" s="281">
        <v>0</v>
      </c>
      <c r="I177" s="358" t="str">
        <f>IFERROR(F177/#REF!,"-")</f>
        <v>-</v>
      </c>
      <c r="J177" s="339">
        <f t="shared" si="177"/>
        <v>0</v>
      </c>
      <c r="K177" s="281">
        <f t="shared" si="172"/>
        <v>0</v>
      </c>
      <c r="L177" s="250">
        <f t="shared" si="173"/>
        <v>0</v>
      </c>
      <c r="M177" s="265" t="str">
        <f t="shared" si="180"/>
        <v>-</v>
      </c>
      <c r="N177" s="264" t="str">
        <f t="shared" si="181"/>
        <v>-</v>
      </c>
      <c r="O177" s="519">
        <v>5.6550000000000002</v>
      </c>
      <c r="P177" s="410">
        <f t="shared" si="174"/>
        <v>0</v>
      </c>
      <c r="Q177" s="459">
        <f t="shared" si="175"/>
        <v>0</v>
      </c>
    </row>
    <row r="178" spans="1:17" ht="23.4" x14ac:dyDescent="0.4">
      <c r="A178" s="248"/>
      <c r="B178" s="980"/>
      <c r="C178" s="556" t="s">
        <v>285</v>
      </c>
      <c r="D178" s="279"/>
      <c r="E178" s="442"/>
      <c r="F178" s="339">
        <f t="shared" si="176"/>
        <v>0</v>
      </c>
      <c r="G178" s="281">
        <v>0</v>
      </c>
      <c r="H178" s="281">
        <v>0</v>
      </c>
      <c r="I178" s="358" t="str">
        <f>IFERROR(F178/#REF!,"-")</f>
        <v>-</v>
      </c>
      <c r="J178" s="339">
        <f t="shared" si="177"/>
        <v>0</v>
      </c>
      <c r="K178" s="281">
        <f t="shared" si="172"/>
        <v>0</v>
      </c>
      <c r="L178" s="250">
        <f t="shared" si="173"/>
        <v>0</v>
      </c>
      <c r="M178" s="265" t="str">
        <f t="shared" si="180"/>
        <v>-</v>
      </c>
      <c r="N178" s="264" t="str">
        <f t="shared" si="181"/>
        <v>-</v>
      </c>
      <c r="O178" s="519">
        <v>5.6550000000000002</v>
      </c>
      <c r="P178" s="410">
        <f t="shared" si="174"/>
        <v>0</v>
      </c>
      <c r="Q178" s="459">
        <f t="shared" si="175"/>
        <v>0</v>
      </c>
    </row>
    <row r="179" spans="1:17" ht="23.4" x14ac:dyDescent="0.4">
      <c r="A179" s="248"/>
      <c r="B179" s="980"/>
      <c r="C179" s="556" t="s">
        <v>374</v>
      </c>
      <c r="D179" s="279"/>
      <c r="E179" s="442"/>
      <c r="F179" s="339">
        <f t="shared" si="176"/>
        <v>33677</v>
      </c>
      <c r="G179" s="281">
        <f>19400+14100</f>
        <v>33500</v>
      </c>
      <c r="H179" s="281">
        <f>109+68</f>
        <v>177</v>
      </c>
      <c r="I179" s="358" t="str">
        <f>IFERROR(F179/#REF!,"-")</f>
        <v>-</v>
      </c>
      <c r="J179" s="339">
        <f t="shared" si="177"/>
        <v>72747</v>
      </c>
      <c r="K179" s="281">
        <f t="shared" si="172"/>
        <v>72400</v>
      </c>
      <c r="L179" s="250">
        <f t="shared" si="173"/>
        <v>347</v>
      </c>
      <c r="M179" s="265" t="str">
        <f t="shared" si="180"/>
        <v>-</v>
      </c>
      <c r="N179" s="264">
        <f t="shared" si="181"/>
        <v>4.7699561493944765E-3</v>
      </c>
      <c r="O179" s="519">
        <v>5.6550000000000002</v>
      </c>
      <c r="P179" s="410">
        <f t="shared" si="174"/>
        <v>189442.5</v>
      </c>
      <c r="Q179" s="459">
        <f t="shared" si="175"/>
        <v>409422</v>
      </c>
    </row>
    <row r="180" spans="1:17" ht="23.4" x14ac:dyDescent="0.4">
      <c r="A180" s="248"/>
      <c r="B180" s="980"/>
      <c r="C180" s="556" t="s">
        <v>286</v>
      </c>
      <c r="D180" s="279"/>
      <c r="E180" s="442"/>
      <c r="F180" s="339">
        <f t="shared" si="176"/>
        <v>0</v>
      </c>
      <c r="G180" s="281">
        <v>0</v>
      </c>
      <c r="H180" s="281">
        <v>0</v>
      </c>
      <c r="I180" s="358" t="str">
        <f>IFERROR(F180/#REF!,"-")</f>
        <v>-</v>
      </c>
      <c r="J180" s="339">
        <f t="shared" si="177"/>
        <v>0</v>
      </c>
      <c r="K180" s="281">
        <f t="shared" si="172"/>
        <v>0</v>
      </c>
      <c r="L180" s="250">
        <f t="shared" si="173"/>
        <v>0</v>
      </c>
      <c r="M180" s="265" t="str">
        <f t="shared" si="180"/>
        <v>-</v>
      </c>
      <c r="N180" s="264" t="str">
        <f t="shared" si="181"/>
        <v>-</v>
      </c>
      <c r="O180" s="519">
        <v>5.6550000000000002</v>
      </c>
      <c r="P180" s="410">
        <f t="shared" si="174"/>
        <v>0</v>
      </c>
      <c r="Q180" s="459">
        <f t="shared" si="175"/>
        <v>0</v>
      </c>
    </row>
    <row r="181" spans="1:17" ht="23.4" x14ac:dyDescent="0.4">
      <c r="A181" s="248" t="s">
        <v>109</v>
      </c>
      <c r="B181" s="980"/>
      <c r="C181" s="556" t="s">
        <v>287</v>
      </c>
      <c r="D181" s="279"/>
      <c r="E181" s="442"/>
      <c r="F181" s="339">
        <f t="shared" si="176"/>
        <v>0</v>
      </c>
      <c r="G181" s="281">
        <v>0</v>
      </c>
      <c r="H181" s="281">
        <v>0</v>
      </c>
      <c r="I181" s="358" t="str">
        <f>IFERROR(F181/#REF!,"-")</f>
        <v>-</v>
      </c>
      <c r="J181" s="339">
        <f t="shared" si="177"/>
        <v>0</v>
      </c>
      <c r="K181" s="281">
        <f t="shared" si="172"/>
        <v>0</v>
      </c>
      <c r="L181" s="250">
        <f t="shared" si="173"/>
        <v>0</v>
      </c>
      <c r="M181" s="265" t="str">
        <f t="shared" si="180"/>
        <v>-</v>
      </c>
      <c r="N181" s="264" t="str">
        <f t="shared" si="181"/>
        <v>-</v>
      </c>
      <c r="O181" s="519">
        <v>3.2963</v>
      </c>
      <c r="P181" s="410">
        <f t="shared" si="174"/>
        <v>0</v>
      </c>
      <c r="Q181" s="459">
        <f t="shared" si="175"/>
        <v>0</v>
      </c>
    </row>
    <row r="182" spans="1:17" ht="24" thickBot="1" x14ac:dyDescent="0.45">
      <c r="A182" s="248" t="s">
        <v>109</v>
      </c>
      <c r="B182" s="981"/>
      <c r="C182" s="556" t="s">
        <v>282</v>
      </c>
      <c r="D182" s="279"/>
      <c r="E182" s="442"/>
      <c r="F182" s="339">
        <f t="shared" si="176"/>
        <v>0</v>
      </c>
      <c r="G182" s="281">
        <v>0</v>
      </c>
      <c r="H182" s="281">
        <v>0</v>
      </c>
      <c r="I182" s="358" t="str">
        <f>IFERROR(F182/#REF!,"-")</f>
        <v>-</v>
      </c>
      <c r="J182" s="339">
        <f t="shared" si="177"/>
        <v>0</v>
      </c>
      <c r="K182" s="281">
        <f t="shared" si="172"/>
        <v>0</v>
      </c>
      <c r="L182" s="250">
        <f t="shared" si="173"/>
        <v>0</v>
      </c>
      <c r="M182" s="265" t="str">
        <f t="shared" si="180"/>
        <v>-</v>
      </c>
      <c r="N182" s="264" t="str">
        <f t="shared" si="181"/>
        <v>-</v>
      </c>
      <c r="O182" s="519">
        <v>3.2963</v>
      </c>
      <c r="P182" s="410">
        <f t="shared" si="174"/>
        <v>0</v>
      </c>
      <c r="Q182" s="459">
        <f t="shared" si="175"/>
        <v>0</v>
      </c>
    </row>
    <row r="183" spans="1:17" ht="23.4" x14ac:dyDescent="0.4">
      <c r="A183" s="248" t="s">
        <v>109</v>
      </c>
      <c r="B183" s="560"/>
      <c r="C183" s="557" t="s">
        <v>92</v>
      </c>
      <c r="D183" s="523"/>
      <c r="E183" s="442"/>
      <c r="F183" s="339">
        <f t="shared" si="176"/>
        <v>0</v>
      </c>
      <c r="G183" s="281">
        <v>0</v>
      </c>
      <c r="H183" s="281">
        <v>0</v>
      </c>
      <c r="I183" s="358" t="str">
        <f>IFERROR(F183/#REF!,"-")</f>
        <v>-</v>
      </c>
      <c r="J183" s="339">
        <f t="shared" si="177"/>
        <v>0</v>
      </c>
      <c r="K183" s="281">
        <f t="shared" si="172"/>
        <v>0</v>
      </c>
      <c r="L183" s="250">
        <f t="shared" si="173"/>
        <v>0</v>
      </c>
      <c r="M183" s="265" t="str">
        <f t="shared" si="180"/>
        <v>-</v>
      </c>
      <c r="N183" s="264" t="str">
        <f t="shared" si="181"/>
        <v>-</v>
      </c>
      <c r="O183" s="519">
        <v>2.3201000000000001</v>
      </c>
      <c r="P183" s="410">
        <f t="shared" si="174"/>
        <v>0</v>
      </c>
      <c r="Q183" s="459">
        <f t="shared" si="175"/>
        <v>0</v>
      </c>
    </row>
    <row r="184" spans="1:17" ht="24" thickBot="1" x14ac:dyDescent="0.35">
      <c r="A184" s="248" t="s">
        <v>109</v>
      </c>
      <c r="B184" s="537"/>
      <c r="C184" s="554"/>
      <c r="D184" s="543"/>
      <c r="E184" s="473"/>
      <c r="F184" s="471">
        <f t="shared" si="176"/>
        <v>0</v>
      </c>
      <c r="G184" s="472"/>
      <c r="H184" s="472"/>
      <c r="I184" s="545" t="str">
        <f>IFERROR(F184/#REF!,"-")</f>
        <v>-</v>
      </c>
      <c r="J184" s="471">
        <f t="shared" si="177"/>
        <v>0</v>
      </c>
      <c r="K184" s="472">
        <f t="shared" si="172"/>
        <v>0</v>
      </c>
      <c r="L184" s="257">
        <f t="shared" si="173"/>
        <v>0</v>
      </c>
      <c r="M184" s="267" t="str">
        <f t="shared" si="180"/>
        <v>-</v>
      </c>
      <c r="N184" s="266" t="str">
        <f t="shared" si="181"/>
        <v>-</v>
      </c>
      <c r="O184" s="552"/>
      <c r="P184" s="549">
        <f t="shared" si="174"/>
        <v>0</v>
      </c>
      <c r="Q184" s="550">
        <f t="shared" si="175"/>
        <v>0</v>
      </c>
    </row>
    <row r="185" spans="1:17" ht="24" thickBot="1" x14ac:dyDescent="0.35">
      <c r="A185" s="277" t="s">
        <v>109</v>
      </c>
      <c r="B185" s="982" t="s">
        <v>25</v>
      </c>
      <c r="C185" s="983"/>
      <c r="D185" s="525">
        <f t="shared" ref="D185" si="182">SUM(D161:D184)</f>
        <v>0</v>
      </c>
      <c r="E185" s="539">
        <v>100000</v>
      </c>
      <c r="F185" s="525">
        <f>SUM(F161:F184)</f>
        <v>113410</v>
      </c>
      <c r="G185" s="531">
        <f t="shared" ref="G185:H185" si="183">SUM(G161:G184)</f>
        <v>111750</v>
      </c>
      <c r="H185" s="531">
        <f t="shared" si="183"/>
        <v>1660</v>
      </c>
      <c r="I185" s="532" t="str">
        <f>IFERROR(F185/#REF!,"-")</f>
        <v>-</v>
      </c>
      <c r="J185" s="525">
        <f t="shared" ref="J185" si="184">SUM(J161:J184)</f>
        <v>263686</v>
      </c>
      <c r="K185" s="531">
        <f>SUM(K156:K184)</f>
        <v>284500</v>
      </c>
      <c r="L185" s="533">
        <f t="shared" ref="L185" si="185">SUM(L161:L184)</f>
        <v>3286</v>
      </c>
      <c r="M185" s="534" t="str">
        <f t="shared" si="180"/>
        <v>-</v>
      </c>
      <c r="N185" s="532">
        <f t="shared" si="181"/>
        <v>1.2461791676463673E-2</v>
      </c>
      <c r="O185" s="535"/>
      <c r="P185" s="536">
        <f>SUM(P156:P184)</f>
        <v>1078070.2250000001</v>
      </c>
      <c r="Q185" s="536">
        <f>SUM(Q156:Q184)</f>
        <v>2387773.6999999997</v>
      </c>
    </row>
    <row r="186" spans="1:17" ht="24" thickBot="1" x14ac:dyDescent="0.35">
      <c r="A186" s="324" t="s">
        <v>109</v>
      </c>
      <c r="B186" s="984" t="s">
        <v>276</v>
      </c>
      <c r="C186" s="927"/>
      <c r="D186" s="332">
        <f>+D160+D185</f>
        <v>0</v>
      </c>
      <c r="E186" s="333">
        <f>+E160+E185</f>
        <v>100000</v>
      </c>
      <c r="F186" s="332">
        <f>+F160+F185</f>
        <v>115760</v>
      </c>
      <c r="G186" s="330">
        <f>+G160+G185</f>
        <v>113650</v>
      </c>
      <c r="H186" s="330">
        <f>+H160+H185</f>
        <v>2110</v>
      </c>
      <c r="I186" s="355" t="str">
        <f>IFERROR(F186/#REF!,"-")</f>
        <v>-</v>
      </c>
      <c r="J186" s="332">
        <f>+J160+J185</f>
        <v>266036</v>
      </c>
      <c r="K186" s="330">
        <f>K185</f>
        <v>284500</v>
      </c>
      <c r="L186" s="331">
        <f>+L160+L185</f>
        <v>3736</v>
      </c>
      <c r="M186" s="347" t="str">
        <f t="shared" si="180"/>
        <v>-</v>
      </c>
      <c r="N186" s="355">
        <f t="shared" si="181"/>
        <v>1.4043212196845539E-2</v>
      </c>
      <c r="O186" s="400"/>
      <c r="P186" s="416">
        <f>+P160+P185</f>
        <v>1189859.1950000001</v>
      </c>
      <c r="Q186" s="434">
        <f>Q185</f>
        <v>2387773.6999999997</v>
      </c>
    </row>
    <row r="187" spans="1:17" ht="24.6" thickBot="1" x14ac:dyDescent="0.35">
      <c r="A187" s="325"/>
      <c r="B187" s="915" t="s">
        <v>183</v>
      </c>
      <c r="C187" s="916"/>
      <c r="D187" s="380">
        <f>+D186+D155+D146</f>
        <v>0</v>
      </c>
      <c r="E187" s="380">
        <f>+E186+E155+E146</f>
        <v>230000</v>
      </c>
      <c r="F187" s="380">
        <f>+F186+F155+F146</f>
        <v>328621</v>
      </c>
      <c r="G187" s="380">
        <f>+G186+G155+G146</f>
        <v>320850</v>
      </c>
      <c r="H187" s="380">
        <f>+H186+H155+H146</f>
        <v>7771</v>
      </c>
      <c r="I187" s="381" t="str">
        <f>IFERROR(F187/#REF!,"-")</f>
        <v>-</v>
      </c>
      <c r="J187" s="380">
        <f>+J186+J155+J146</f>
        <v>928782</v>
      </c>
      <c r="K187" s="380">
        <f>+K186+K155+K146</f>
        <v>931490</v>
      </c>
      <c r="L187" s="380">
        <f>+L186+L155+L146</f>
        <v>19492</v>
      </c>
      <c r="M187" s="381" t="str">
        <f t="shared" si="180"/>
        <v>-</v>
      </c>
      <c r="N187" s="381">
        <f>IFERROR(L187/J187,"-")</f>
        <v>2.0986625494464794E-2</v>
      </c>
      <c r="O187" s="407"/>
      <c r="P187" s="424">
        <f>+P186+P155+P146</f>
        <v>2406195.3149999999</v>
      </c>
      <c r="Q187" s="424">
        <f>+Q186+Q155+Q146</f>
        <v>6263066.2510000002</v>
      </c>
    </row>
    <row r="188" spans="1:17" ht="23.4" x14ac:dyDescent="0.3">
      <c r="A188" s="935" t="s">
        <v>1</v>
      </c>
      <c r="B188" s="938" t="s">
        <v>2</v>
      </c>
      <c r="C188" s="941" t="s">
        <v>3</v>
      </c>
      <c r="D188" s="944" t="s">
        <v>4</v>
      </c>
      <c r="E188" s="945"/>
      <c r="F188" s="945"/>
      <c r="G188" s="945"/>
      <c r="H188" s="945"/>
      <c r="I188" s="945"/>
      <c r="J188" s="945"/>
      <c r="K188" s="945"/>
      <c r="L188" s="945"/>
      <c r="M188" s="945"/>
      <c r="N188" s="946"/>
      <c r="O188" s="965" t="s">
        <v>176</v>
      </c>
      <c r="P188" s="966"/>
      <c r="Q188" s="990"/>
    </row>
    <row r="189" spans="1:17" ht="23.4" x14ac:dyDescent="0.3">
      <c r="A189" s="936"/>
      <c r="B189" s="939"/>
      <c r="C189" s="942"/>
      <c r="D189" s="947" t="s">
        <v>7</v>
      </c>
      <c r="E189" s="949" t="s">
        <v>116</v>
      </c>
      <c r="F189" s="991" t="s">
        <v>426</v>
      </c>
      <c r="G189" s="952"/>
      <c r="H189" s="952"/>
      <c r="I189" s="953"/>
      <c r="J189" s="954" t="s">
        <v>8</v>
      </c>
      <c r="K189" s="955"/>
      <c r="L189" s="956"/>
      <c r="M189" s="957" t="s">
        <v>174</v>
      </c>
      <c r="N189" s="959" t="s">
        <v>173</v>
      </c>
      <c r="O189" s="967" t="s">
        <v>178</v>
      </c>
      <c r="P189" s="968"/>
      <c r="Q189" s="969"/>
    </row>
    <row r="190" spans="1:17" ht="47.4" thickBot="1" x14ac:dyDescent="0.35">
      <c r="A190" s="937"/>
      <c r="B190" s="940"/>
      <c r="C190" s="943"/>
      <c r="D190" s="948"/>
      <c r="E190" s="950"/>
      <c r="F190" s="462" t="s">
        <v>13</v>
      </c>
      <c r="G190" s="463" t="s">
        <v>14</v>
      </c>
      <c r="H190" s="463" t="s">
        <v>15</v>
      </c>
      <c r="I190" s="464" t="s">
        <v>175</v>
      </c>
      <c r="J190" s="462" t="s">
        <v>13</v>
      </c>
      <c r="K190" s="463" t="s">
        <v>14</v>
      </c>
      <c r="L190" s="465" t="s">
        <v>15</v>
      </c>
      <c r="M190" s="958"/>
      <c r="N190" s="960"/>
      <c r="O190" s="453" t="s">
        <v>179</v>
      </c>
      <c r="P190" s="454" t="s">
        <v>11</v>
      </c>
      <c r="Q190" s="455" t="s">
        <v>12</v>
      </c>
    </row>
    <row r="191" spans="1:17" ht="23.4" x14ac:dyDescent="0.3">
      <c r="A191" s="271" t="s">
        <v>111</v>
      </c>
      <c r="B191" s="445"/>
      <c r="C191" s="272" t="s">
        <v>272</v>
      </c>
      <c r="D191" s="273"/>
      <c r="E191" s="274"/>
      <c r="F191" s="338">
        <f>+G191+H191</f>
        <v>0</v>
      </c>
      <c r="G191" s="275">
        <v>0</v>
      </c>
      <c r="H191" s="275">
        <v>0</v>
      </c>
      <c r="I191" s="357" t="str">
        <f>IFERROR(F191/#REF!,"-")</f>
        <v>-</v>
      </c>
      <c r="J191" s="468">
        <f>+K191+L191</f>
        <v>78720</v>
      </c>
      <c r="K191" s="469">
        <f>+G191+K132</f>
        <v>70840</v>
      </c>
      <c r="L191" s="470">
        <f>+H191+L132</f>
        <v>7880</v>
      </c>
      <c r="M191" s="342" t="str">
        <f>IFERROR(J191/D191,"-")</f>
        <v>-</v>
      </c>
      <c r="N191" s="349">
        <f t="shared" ref="N191:N192" si="186">IFERROR(L191/J191,"-")</f>
        <v>0.10010162601626016</v>
      </c>
      <c r="O191" s="518">
        <v>1.5669</v>
      </c>
      <c r="P191" s="408">
        <f>+O191*G191</f>
        <v>0</v>
      </c>
      <c r="Q191" s="457">
        <f>+O191*K191</f>
        <v>110999.196</v>
      </c>
    </row>
    <row r="192" spans="1:17" ht="23.4" x14ac:dyDescent="0.3">
      <c r="A192" s="277" t="s">
        <v>111</v>
      </c>
      <c r="B192" s="444"/>
      <c r="C192" s="278" t="s">
        <v>271</v>
      </c>
      <c r="D192" s="279"/>
      <c r="E192" s="280"/>
      <c r="F192" s="339">
        <f t="shared" ref="F192:F195" si="187">+G192+H192</f>
        <v>0</v>
      </c>
      <c r="G192" s="281">
        <v>0</v>
      </c>
      <c r="H192" s="281">
        <v>0</v>
      </c>
      <c r="I192" s="358" t="str">
        <f>IFERROR(F192/#REF!,"-")</f>
        <v>-</v>
      </c>
      <c r="J192" s="339">
        <f t="shared" ref="J192:J195" si="188">+K192+L192</f>
        <v>0</v>
      </c>
      <c r="K192" s="281">
        <f t="shared" ref="K192:K195" si="189">+G192+K133</f>
        <v>0</v>
      </c>
      <c r="L192" s="442">
        <f t="shared" ref="L192:L195" si="190">+H192+L133</f>
        <v>0</v>
      </c>
      <c r="M192" s="343" t="str">
        <f t="shared" ref="M192:M195" si="191">IFERROR(J192/D192,"-")</f>
        <v>-</v>
      </c>
      <c r="N192" s="268" t="str">
        <f t="shared" si="186"/>
        <v>-</v>
      </c>
      <c r="O192" s="519">
        <v>2.3978999999999999</v>
      </c>
      <c r="P192" s="410">
        <f t="shared" ref="P192:P195" si="192">+O192*G192</f>
        <v>0</v>
      </c>
      <c r="Q192" s="459">
        <f t="shared" ref="Q192:Q195" si="193">+O192*K192</f>
        <v>0</v>
      </c>
    </row>
    <row r="193" spans="1:17" ht="23.4" x14ac:dyDescent="0.3">
      <c r="A193" s="277" t="s">
        <v>111</v>
      </c>
      <c r="B193" s="444"/>
      <c r="C193" s="278" t="s">
        <v>273</v>
      </c>
      <c r="D193" s="279"/>
      <c r="E193" s="280"/>
      <c r="F193" s="339">
        <f t="shared" si="187"/>
        <v>0</v>
      </c>
      <c r="G193" s="281">
        <v>0</v>
      </c>
      <c r="H193" s="281">
        <v>0</v>
      </c>
      <c r="I193" s="358" t="str">
        <f>IFERROR(F193/#REF!,"-")</f>
        <v>-</v>
      </c>
      <c r="J193" s="339">
        <f t="shared" si="188"/>
        <v>0</v>
      </c>
      <c r="K193" s="281">
        <f t="shared" si="189"/>
        <v>0</v>
      </c>
      <c r="L193" s="251">
        <f t="shared" si="190"/>
        <v>0</v>
      </c>
      <c r="M193" s="343" t="str">
        <f t="shared" si="191"/>
        <v>-</v>
      </c>
      <c r="N193" s="268" t="str">
        <f>IFERROR(L193/J193,"-")</f>
        <v>-</v>
      </c>
      <c r="O193" s="519">
        <v>4.0426000000000002</v>
      </c>
      <c r="P193" s="410">
        <f t="shared" si="192"/>
        <v>0</v>
      </c>
      <c r="Q193" s="459">
        <f t="shared" si="193"/>
        <v>0</v>
      </c>
    </row>
    <row r="194" spans="1:17" ht="23.4" x14ac:dyDescent="0.3">
      <c r="A194" s="277"/>
      <c r="B194" s="461"/>
      <c r="C194" s="278" t="s">
        <v>372</v>
      </c>
      <c r="D194" s="283"/>
      <c r="E194" s="284"/>
      <c r="F194" s="339">
        <f t="shared" si="187"/>
        <v>0</v>
      </c>
      <c r="G194" s="285">
        <v>0</v>
      </c>
      <c r="H194" s="285">
        <v>0</v>
      </c>
      <c r="I194" s="358" t="str">
        <f>IFERROR(F194/#REF!,"-")</f>
        <v>-</v>
      </c>
      <c r="J194" s="339">
        <f t="shared" si="188"/>
        <v>163006</v>
      </c>
      <c r="K194" s="281">
        <f t="shared" si="189"/>
        <v>159400</v>
      </c>
      <c r="L194" s="286">
        <f t="shared" si="190"/>
        <v>3606</v>
      </c>
      <c r="M194" s="343" t="str">
        <f t="shared" si="191"/>
        <v>-</v>
      </c>
      <c r="N194" s="268">
        <f>IFERROR(L194/J194,"-")</f>
        <v>2.212188508398464E-2</v>
      </c>
      <c r="O194" s="520">
        <v>12.284700000000001</v>
      </c>
      <c r="P194" s="410">
        <f t="shared" si="192"/>
        <v>0</v>
      </c>
      <c r="Q194" s="459">
        <f t="shared" si="193"/>
        <v>1958181.1800000002</v>
      </c>
    </row>
    <row r="195" spans="1:17" ht="24" thickBot="1" x14ac:dyDescent="0.35">
      <c r="A195" s="277" t="s">
        <v>111</v>
      </c>
      <c r="B195" s="461"/>
      <c r="C195" s="278" t="s">
        <v>361</v>
      </c>
      <c r="D195" s="283"/>
      <c r="E195" s="284"/>
      <c r="F195" s="340">
        <f t="shared" si="187"/>
        <v>0</v>
      </c>
      <c r="G195" s="285">
        <v>0</v>
      </c>
      <c r="H195" s="285">
        <v>0</v>
      </c>
      <c r="I195" s="359" t="str">
        <f>IFERROR(F195/#REF!,"-")</f>
        <v>-</v>
      </c>
      <c r="J195" s="471">
        <f t="shared" si="188"/>
        <v>0</v>
      </c>
      <c r="K195" s="472">
        <f t="shared" si="189"/>
        <v>0</v>
      </c>
      <c r="L195" s="258">
        <f t="shared" si="190"/>
        <v>0</v>
      </c>
      <c r="M195" s="344" t="str">
        <f t="shared" si="191"/>
        <v>-</v>
      </c>
      <c r="N195" s="350" t="str">
        <f t="shared" ref="N195:N207" si="194">IFERROR(L195/J195,"-")</f>
        <v>-</v>
      </c>
      <c r="O195" s="520">
        <v>4.6797000000000004</v>
      </c>
      <c r="P195" s="411">
        <f t="shared" si="192"/>
        <v>0</v>
      </c>
      <c r="Q195" s="460">
        <f t="shared" si="193"/>
        <v>0</v>
      </c>
    </row>
    <row r="196" spans="1:17" ht="24" thickBot="1" x14ac:dyDescent="0.35">
      <c r="A196" s="277" t="s">
        <v>111</v>
      </c>
      <c r="B196" s="906" t="s">
        <v>21</v>
      </c>
      <c r="C196" s="907"/>
      <c r="D196" s="326">
        <f>SUM(D191:D195)</f>
        <v>0</v>
      </c>
      <c r="E196" s="289">
        <v>15000</v>
      </c>
      <c r="F196" s="326">
        <f>SUM(F191:F195)</f>
        <v>0</v>
      </c>
      <c r="G196" s="327">
        <f>SUM(G191:G195)</f>
        <v>0</v>
      </c>
      <c r="H196" s="327">
        <f>SUM(H191:H195)</f>
        <v>0</v>
      </c>
      <c r="I196" s="351" t="str">
        <f>IFERROR(F196/#REF!,"-")</f>
        <v>-</v>
      </c>
      <c r="J196" s="326">
        <f>SUM(J191:J195)</f>
        <v>241726</v>
      </c>
      <c r="K196" s="327">
        <f>SUM(K191:K195)</f>
        <v>230240</v>
      </c>
      <c r="L196" s="328">
        <f>SUM(L191:L195)</f>
        <v>11486</v>
      </c>
      <c r="M196" s="345" t="str">
        <f>IFERROR(J196/D196,"-")</f>
        <v>-</v>
      </c>
      <c r="N196" s="351">
        <f t="shared" si="194"/>
        <v>4.751660971513201E-2</v>
      </c>
      <c r="O196" s="397"/>
      <c r="P196" s="412">
        <f>SUM(P191:P195)</f>
        <v>0</v>
      </c>
      <c r="Q196" s="431">
        <f>SUM(Q191:Q195)</f>
        <v>2069180.3760000002</v>
      </c>
    </row>
    <row r="197" spans="1:17" ht="23.4" x14ac:dyDescent="0.3">
      <c r="A197" s="277" t="s">
        <v>111</v>
      </c>
      <c r="B197" s="445"/>
      <c r="C197" s="272" t="s">
        <v>270</v>
      </c>
      <c r="D197" s="273"/>
      <c r="E197" s="274"/>
      <c r="F197" s="338">
        <f t="shared" ref="F197:F203" si="195">+G197+H197</f>
        <v>0</v>
      </c>
      <c r="G197" s="275">
        <v>0</v>
      </c>
      <c r="H197" s="275">
        <v>0</v>
      </c>
      <c r="I197" s="357" t="str">
        <f>IFERROR(F197/#REF!,"-")</f>
        <v>-</v>
      </c>
      <c r="J197" s="338">
        <f t="shared" ref="J197:J203" si="196">+K197+L197</f>
        <v>0</v>
      </c>
      <c r="K197" s="275">
        <f t="shared" ref="K197:K203" si="197">+G197+K138</f>
        <v>0</v>
      </c>
      <c r="L197" s="276">
        <f t="shared" ref="L197:L203" si="198">+H197+L138</f>
        <v>0</v>
      </c>
      <c r="M197" s="342" t="str">
        <f t="shared" ref="M197:M205" si="199">IFERROR(J197/D197,"-")</f>
        <v>-</v>
      </c>
      <c r="N197" s="352" t="str">
        <f t="shared" si="194"/>
        <v>-</v>
      </c>
      <c r="O197" s="518">
        <v>18.2316</v>
      </c>
      <c r="P197" s="408">
        <f t="shared" ref="P197:P203" si="200">+O197*G197</f>
        <v>0</v>
      </c>
      <c r="Q197" s="457">
        <f t="shared" ref="Q197:Q203" si="201">+O197*K197</f>
        <v>0</v>
      </c>
    </row>
    <row r="198" spans="1:17" ht="23.4" x14ac:dyDescent="0.3">
      <c r="A198" s="277" t="s">
        <v>111</v>
      </c>
      <c r="B198" s="444"/>
      <c r="C198" s="278" t="s">
        <v>92</v>
      </c>
      <c r="D198" s="279"/>
      <c r="E198" s="280"/>
      <c r="F198" s="339">
        <f t="shared" si="195"/>
        <v>0</v>
      </c>
      <c r="G198" s="281">
        <v>0</v>
      </c>
      <c r="H198" s="281">
        <v>0</v>
      </c>
      <c r="I198" s="358" t="str">
        <f>IFERROR(F198/#REF!,"-")</f>
        <v>-</v>
      </c>
      <c r="J198" s="339">
        <f t="shared" si="196"/>
        <v>0</v>
      </c>
      <c r="K198" s="281">
        <f t="shared" si="197"/>
        <v>0</v>
      </c>
      <c r="L198" s="251">
        <f t="shared" si="198"/>
        <v>0</v>
      </c>
      <c r="M198" s="343" t="str">
        <f t="shared" si="199"/>
        <v>-</v>
      </c>
      <c r="N198" s="264" t="str">
        <f t="shared" si="194"/>
        <v>-</v>
      </c>
      <c r="O198" s="519">
        <v>0</v>
      </c>
      <c r="P198" s="410">
        <f t="shared" si="200"/>
        <v>0</v>
      </c>
      <c r="Q198" s="459">
        <f t="shared" si="201"/>
        <v>0</v>
      </c>
    </row>
    <row r="199" spans="1:17" ht="23.4" x14ac:dyDescent="0.3">
      <c r="A199" s="277" t="s">
        <v>111</v>
      </c>
      <c r="B199" s="444"/>
      <c r="C199" s="278" t="s">
        <v>340</v>
      </c>
      <c r="D199" s="279"/>
      <c r="E199" s="280"/>
      <c r="F199" s="339">
        <f t="shared" si="195"/>
        <v>0</v>
      </c>
      <c r="G199" s="281">
        <v>0</v>
      </c>
      <c r="H199" s="281">
        <v>0</v>
      </c>
      <c r="I199" s="358" t="str">
        <f>IFERROR(F199/#REF!,"-")</f>
        <v>-</v>
      </c>
      <c r="J199" s="339">
        <f t="shared" si="196"/>
        <v>0</v>
      </c>
      <c r="K199" s="281">
        <f t="shared" si="197"/>
        <v>0</v>
      </c>
      <c r="L199" s="251">
        <f t="shared" si="198"/>
        <v>0</v>
      </c>
      <c r="M199" s="343" t="str">
        <f t="shared" si="199"/>
        <v>-</v>
      </c>
      <c r="N199" s="264" t="str">
        <f t="shared" si="194"/>
        <v>-</v>
      </c>
      <c r="O199" s="519">
        <v>5.7342000000000004</v>
      </c>
      <c r="P199" s="410">
        <f t="shared" si="200"/>
        <v>0</v>
      </c>
      <c r="Q199" s="459">
        <f t="shared" si="201"/>
        <v>0</v>
      </c>
    </row>
    <row r="200" spans="1:17" ht="23.4" x14ac:dyDescent="0.3">
      <c r="A200" s="277" t="s">
        <v>111</v>
      </c>
      <c r="B200" s="444"/>
      <c r="C200" s="278" t="s">
        <v>363</v>
      </c>
      <c r="D200" s="279"/>
      <c r="E200" s="280"/>
      <c r="F200" s="339">
        <f t="shared" si="195"/>
        <v>0</v>
      </c>
      <c r="G200" s="281">
        <v>0</v>
      </c>
      <c r="H200" s="281">
        <v>0</v>
      </c>
      <c r="I200" s="358" t="str">
        <f>IFERROR(F200/#REF!,"-")</f>
        <v>-</v>
      </c>
      <c r="J200" s="339">
        <f t="shared" si="196"/>
        <v>0</v>
      </c>
      <c r="K200" s="281">
        <f t="shared" si="197"/>
        <v>0</v>
      </c>
      <c r="L200" s="251">
        <f t="shared" si="198"/>
        <v>0</v>
      </c>
      <c r="M200" s="343" t="str">
        <f t="shared" si="199"/>
        <v>-</v>
      </c>
      <c r="N200" s="264" t="str">
        <f t="shared" si="194"/>
        <v>-</v>
      </c>
      <c r="O200" s="519"/>
      <c r="P200" s="410">
        <f t="shared" si="200"/>
        <v>0</v>
      </c>
      <c r="Q200" s="459">
        <f t="shared" si="201"/>
        <v>0</v>
      </c>
    </row>
    <row r="201" spans="1:17" ht="23.4" x14ac:dyDescent="0.3">
      <c r="A201" s="277" t="s">
        <v>111</v>
      </c>
      <c r="B201" s="444"/>
      <c r="C201" s="278" t="s">
        <v>373</v>
      </c>
      <c r="D201" s="279"/>
      <c r="E201" s="280"/>
      <c r="F201" s="339">
        <f t="shared" si="195"/>
        <v>0</v>
      </c>
      <c r="G201" s="281">
        <v>0</v>
      </c>
      <c r="H201" s="281">
        <v>0</v>
      </c>
      <c r="I201" s="358" t="str">
        <f>IFERROR(F201/#REF!,"-")</f>
        <v>-</v>
      </c>
      <c r="J201" s="339">
        <f t="shared" si="196"/>
        <v>90415</v>
      </c>
      <c r="K201" s="281">
        <f t="shared" si="197"/>
        <v>90000</v>
      </c>
      <c r="L201" s="251">
        <f t="shared" si="198"/>
        <v>415</v>
      </c>
      <c r="M201" s="343" t="str">
        <f t="shared" si="199"/>
        <v>-</v>
      </c>
      <c r="N201" s="264">
        <f t="shared" si="194"/>
        <v>4.5899463584582207E-3</v>
      </c>
      <c r="O201" s="519">
        <v>12.029500000000001</v>
      </c>
      <c r="P201" s="410">
        <f t="shared" si="200"/>
        <v>0</v>
      </c>
      <c r="Q201" s="459">
        <f t="shared" si="201"/>
        <v>1082655</v>
      </c>
    </row>
    <row r="202" spans="1:17" ht="23.4" x14ac:dyDescent="0.3">
      <c r="A202" s="277" t="s">
        <v>111</v>
      </c>
      <c r="B202" s="444"/>
      <c r="C202" s="278"/>
      <c r="D202" s="279"/>
      <c r="E202" s="280"/>
      <c r="F202" s="339">
        <f t="shared" si="195"/>
        <v>0</v>
      </c>
      <c r="G202" s="281">
        <v>0</v>
      </c>
      <c r="H202" s="281">
        <v>0</v>
      </c>
      <c r="I202" s="358" t="str">
        <f>IFERROR(F202/#REF!,"-")</f>
        <v>-</v>
      </c>
      <c r="J202" s="339">
        <f t="shared" si="196"/>
        <v>0</v>
      </c>
      <c r="K202" s="281">
        <f t="shared" si="197"/>
        <v>0</v>
      </c>
      <c r="L202" s="251">
        <f t="shared" si="198"/>
        <v>0</v>
      </c>
      <c r="M202" s="343" t="str">
        <f t="shared" si="199"/>
        <v>-</v>
      </c>
      <c r="N202" s="264" t="str">
        <f t="shared" si="194"/>
        <v>-</v>
      </c>
      <c r="O202" s="519"/>
      <c r="P202" s="410">
        <f t="shared" si="200"/>
        <v>0</v>
      </c>
      <c r="Q202" s="459">
        <f t="shared" si="201"/>
        <v>0</v>
      </c>
    </row>
    <row r="203" spans="1:17" ht="24" thickBot="1" x14ac:dyDescent="0.35">
      <c r="A203" s="277" t="s">
        <v>111</v>
      </c>
      <c r="B203" s="461"/>
      <c r="C203" s="282"/>
      <c r="D203" s="283">
        <v>0</v>
      </c>
      <c r="E203" s="284"/>
      <c r="F203" s="340">
        <f t="shared" si="195"/>
        <v>0</v>
      </c>
      <c r="G203" s="285">
        <v>0</v>
      </c>
      <c r="H203" s="285">
        <v>0</v>
      </c>
      <c r="I203" s="359" t="str">
        <f>IFERROR(F203/#REF!,"-")</f>
        <v>-</v>
      </c>
      <c r="J203" s="340">
        <f t="shared" si="196"/>
        <v>0</v>
      </c>
      <c r="K203" s="285">
        <f t="shared" si="197"/>
        <v>0</v>
      </c>
      <c r="L203" s="286">
        <f t="shared" si="198"/>
        <v>0</v>
      </c>
      <c r="M203" s="344" t="str">
        <f t="shared" si="199"/>
        <v>-</v>
      </c>
      <c r="N203" s="353" t="str">
        <f t="shared" si="194"/>
        <v>-</v>
      </c>
      <c r="O203" s="520"/>
      <c r="P203" s="411">
        <f t="shared" si="200"/>
        <v>0</v>
      </c>
      <c r="Q203" s="460">
        <f t="shared" si="201"/>
        <v>0</v>
      </c>
    </row>
    <row r="204" spans="1:17" ht="24" thickBot="1" x14ac:dyDescent="0.35">
      <c r="A204" s="277" t="s">
        <v>111</v>
      </c>
      <c r="B204" s="906" t="s">
        <v>25</v>
      </c>
      <c r="C204" s="907"/>
      <c r="D204" s="326">
        <f t="shared" ref="D204" si="202">SUM(D197:D203)</f>
        <v>0</v>
      </c>
      <c r="E204" s="289">
        <v>100000</v>
      </c>
      <c r="F204" s="326">
        <f>SUM(F197:F203)</f>
        <v>0</v>
      </c>
      <c r="G204" s="327">
        <f t="shared" ref="G204:H204" si="203">SUM(G197:G203)</f>
        <v>0</v>
      </c>
      <c r="H204" s="327">
        <f t="shared" si="203"/>
        <v>0</v>
      </c>
      <c r="I204" s="351" t="str">
        <f>IFERROR(F204/#REF!,"-")</f>
        <v>-</v>
      </c>
      <c r="J204" s="326">
        <f t="shared" ref="J204:L204" si="204">SUM(J197:J203)</f>
        <v>90415</v>
      </c>
      <c r="K204" s="327">
        <f t="shared" si="204"/>
        <v>90000</v>
      </c>
      <c r="L204" s="328">
        <f t="shared" si="204"/>
        <v>415</v>
      </c>
      <c r="M204" s="345" t="str">
        <f t="shared" si="199"/>
        <v>-</v>
      </c>
      <c r="N204" s="351">
        <f t="shared" si="194"/>
        <v>4.5899463584582207E-3</v>
      </c>
      <c r="O204" s="397"/>
      <c r="P204" s="412">
        <f t="shared" ref="P204:Q204" si="205">SUM(P197:P203)</f>
        <v>0</v>
      </c>
      <c r="Q204" s="431">
        <f t="shared" si="205"/>
        <v>1082655</v>
      </c>
    </row>
    <row r="205" spans="1:17" ht="24" thickBot="1" x14ac:dyDescent="0.35">
      <c r="A205" s="277" t="s">
        <v>111</v>
      </c>
      <c r="B205" s="985" t="s">
        <v>181</v>
      </c>
      <c r="C205" s="986"/>
      <c r="D205" s="332">
        <f>+D196+D204</f>
        <v>0</v>
      </c>
      <c r="E205" s="333">
        <f t="shared" ref="E205:H205" si="206">+E196+E204</f>
        <v>115000</v>
      </c>
      <c r="F205" s="332">
        <f t="shared" si="206"/>
        <v>0</v>
      </c>
      <c r="G205" s="330">
        <f t="shared" si="206"/>
        <v>0</v>
      </c>
      <c r="H205" s="330">
        <f t="shared" si="206"/>
        <v>0</v>
      </c>
      <c r="I205" s="355" t="str">
        <f>IFERROR(F205/#REF!,"-")</f>
        <v>-</v>
      </c>
      <c r="J205" s="332">
        <f t="shared" ref="J205:L205" si="207">+J196+J204</f>
        <v>332141</v>
      </c>
      <c r="K205" s="330">
        <f t="shared" si="207"/>
        <v>320240</v>
      </c>
      <c r="L205" s="331">
        <f t="shared" si="207"/>
        <v>11901</v>
      </c>
      <c r="M205" s="347" t="str">
        <f t="shared" si="199"/>
        <v>-</v>
      </c>
      <c r="N205" s="355">
        <f t="shared" si="194"/>
        <v>3.5831168088251673E-2</v>
      </c>
      <c r="O205" s="400"/>
      <c r="P205" s="416">
        <f t="shared" ref="P205:Q205" si="208">+P196+P204</f>
        <v>0</v>
      </c>
      <c r="Q205" s="434">
        <f t="shared" si="208"/>
        <v>3151835.3760000002</v>
      </c>
    </row>
    <row r="206" spans="1:17" ht="23.4" x14ac:dyDescent="0.3">
      <c r="A206" s="244" t="s">
        <v>109</v>
      </c>
      <c r="B206" s="599"/>
      <c r="C206" s="600" t="s">
        <v>314</v>
      </c>
      <c r="D206" s="540"/>
      <c r="E206" s="470"/>
      <c r="F206" s="468">
        <f>+G206+H206</f>
        <v>0</v>
      </c>
      <c r="G206" s="469">
        <v>0</v>
      </c>
      <c r="H206" s="469">
        <v>0</v>
      </c>
      <c r="I206" s="544" t="str">
        <f>IFERROR(F206/#REF!,"-")</f>
        <v>-</v>
      </c>
      <c r="J206" s="468">
        <f>+K206+L206</f>
        <v>0</v>
      </c>
      <c r="K206" s="469">
        <f t="shared" ref="K206:K212" si="209">+G206+K147</f>
        <v>0</v>
      </c>
      <c r="L206" s="247">
        <f t="shared" ref="L206:L212" si="210">+H206+L147</f>
        <v>0</v>
      </c>
      <c r="M206" s="604" t="str">
        <f>IFERROR(J206/D206,"-")</f>
        <v>-</v>
      </c>
      <c r="N206" s="546" t="str">
        <f t="shared" si="194"/>
        <v>-</v>
      </c>
      <c r="O206" s="648">
        <v>4.8285999999999998</v>
      </c>
      <c r="P206" s="547">
        <f t="shared" ref="P206:P212" si="211">+O206*G206</f>
        <v>0</v>
      </c>
      <c r="Q206" s="548">
        <f>+O206*K206</f>
        <v>0</v>
      </c>
    </row>
    <row r="207" spans="1:17" ht="23.4" x14ac:dyDescent="0.3">
      <c r="A207" s="248" t="s">
        <v>109</v>
      </c>
      <c r="B207" s="601"/>
      <c r="C207" s="278" t="s">
        <v>315</v>
      </c>
      <c r="D207" s="279"/>
      <c r="E207" s="442"/>
      <c r="F207" s="339">
        <f t="shared" ref="F207:F212" si="212">+G207+H207</f>
        <v>0</v>
      </c>
      <c r="G207" s="281">
        <v>0</v>
      </c>
      <c r="H207" s="281">
        <v>0</v>
      </c>
      <c r="I207" s="358" t="str">
        <f>IFERROR(F207/#REF!,"-")</f>
        <v>-</v>
      </c>
      <c r="J207" s="339">
        <f t="shared" ref="J207:J212" si="213">+K207+L207</f>
        <v>0</v>
      </c>
      <c r="K207" s="281">
        <f t="shared" si="209"/>
        <v>0</v>
      </c>
      <c r="L207" s="251">
        <f t="shared" si="210"/>
        <v>0</v>
      </c>
      <c r="M207" s="343" t="str">
        <f t="shared" ref="M207:M209" si="214">IFERROR(J207/D207,"-")</f>
        <v>-</v>
      </c>
      <c r="N207" s="268" t="str">
        <f t="shared" si="194"/>
        <v>-</v>
      </c>
      <c r="O207" s="649">
        <v>1.4086000000000001</v>
      </c>
      <c r="P207" s="410">
        <f t="shared" si="211"/>
        <v>0</v>
      </c>
      <c r="Q207" s="459">
        <f t="shared" ref="Q207:Q212" si="215">+O207*K207</f>
        <v>0</v>
      </c>
    </row>
    <row r="208" spans="1:17" ht="23.4" x14ac:dyDescent="0.3">
      <c r="A208" s="248" t="s">
        <v>109</v>
      </c>
      <c r="B208" s="601"/>
      <c r="C208" s="278" t="s">
        <v>367</v>
      </c>
      <c r="D208" s="279"/>
      <c r="E208" s="442"/>
      <c r="F208" s="339">
        <f t="shared" si="212"/>
        <v>142348</v>
      </c>
      <c r="G208" s="281">
        <v>141250</v>
      </c>
      <c r="H208" s="281">
        <v>1098</v>
      </c>
      <c r="I208" s="358" t="str">
        <f>IFERROR(F208/#REF!,"-")</f>
        <v>-</v>
      </c>
      <c r="J208" s="339">
        <f t="shared" si="213"/>
        <v>472953</v>
      </c>
      <c r="K208" s="281">
        <f t="shared" si="209"/>
        <v>468000</v>
      </c>
      <c r="L208" s="251">
        <f t="shared" si="210"/>
        <v>4953</v>
      </c>
      <c r="M208" s="343" t="str">
        <f t="shared" si="214"/>
        <v>-</v>
      </c>
      <c r="N208" s="268">
        <f>IFERROR(L208/J208,"-")</f>
        <v>1.0472499381545312E-2</v>
      </c>
      <c r="O208" s="649">
        <v>2.2141000000000002</v>
      </c>
      <c r="P208" s="410">
        <f t="shared" si="211"/>
        <v>312741.625</v>
      </c>
      <c r="Q208" s="459">
        <f t="shared" si="215"/>
        <v>1036198.8</v>
      </c>
    </row>
    <row r="209" spans="1:17" ht="23.4" x14ac:dyDescent="0.3">
      <c r="A209" s="248" t="s">
        <v>109</v>
      </c>
      <c r="B209" s="602"/>
      <c r="C209" s="278" t="s">
        <v>399</v>
      </c>
      <c r="D209" s="283"/>
      <c r="E209" s="541"/>
      <c r="F209" s="340">
        <f t="shared" si="212"/>
        <v>0</v>
      </c>
      <c r="G209" s="285">
        <v>0</v>
      </c>
      <c r="H209" s="285">
        <v>0</v>
      </c>
      <c r="I209" s="359" t="str">
        <f>IFERROR(F209/#REF!,"-")</f>
        <v>-</v>
      </c>
      <c r="J209" s="339">
        <f t="shared" si="213"/>
        <v>0</v>
      </c>
      <c r="K209" s="285">
        <f t="shared" si="209"/>
        <v>0</v>
      </c>
      <c r="L209" s="286">
        <f t="shared" si="210"/>
        <v>0</v>
      </c>
      <c r="M209" s="344" t="str">
        <f t="shared" si="214"/>
        <v>-</v>
      </c>
      <c r="N209" s="350" t="str">
        <f t="shared" ref="N209:N216" si="216">IFERROR(L209/J209,"-")</f>
        <v>-</v>
      </c>
      <c r="O209" s="650">
        <v>2.6406000000000001</v>
      </c>
      <c r="P209" s="411">
        <f t="shared" si="211"/>
        <v>0</v>
      </c>
      <c r="Q209" s="460">
        <f t="shared" si="215"/>
        <v>0</v>
      </c>
    </row>
    <row r="210" spans="1:17" ht="23.4" x14ac:dyDescent="0.3">
      <c r="A210" s="248" t="s">
        <v>109</v>
      </c>
      <c r="B210" s="446"/>
      <c r="C210" s="647" t="s">
        <v>398</v>
      </c>
      <c r="D210" s="521"/>
      <c r="E210" s="542"/>
      <c r="F210" s="339">
        <f t="shared" si="212"/>
        <v>0</v>
      </c>
      <c r="G210" s="561">
        <v>0</v>
      </c>
      <c r="H210" s="561">
        <v>0</v>
      </c>
      <c r="I210" s="358" t="str">
        <f>IFERROR(F210/#REF!,"-")</f>
        <v>-</v>
      </c>
      <c r="J210" s="339">
        <f t="shared" si="213"/>
        <v>0</v>
      </c>
      <c r="K210" s="285">
        <f t="shared" si="209"/>
        <v>0</v>
      </c>
      <c r="L210" s="286">
        <f t="shared" si="210"/>
        <v>0</v>
      </c>
      <c r="M210" s="522"/>
      <c r="N210" s="268" t="str">
        <f t="shared" si="216"/>
        <v>-</v>
      </c>
      <c r="O210" s="553">
        <v>4.4065000000000003</v>
      </c>
      <c r="P210" s="410">
        <f t="shared" si="211"/>
        <v>0</v>
      </c>
      <c r="Q210" s="459">
        <f t="shared" si="215"/>
        <v>0</v>
      </c>
    </row>
    <row r="211" spans="1:17" ht="23.4" x14ac:dyDescent="0.3">
      <c r="A211" s="248" t="s">
        <v>109</v>
      </c>
      <c r="B211" s="603"/>
      <c r="C211" s="272"/>
      <c r="D211" s="273"/>
      <c r="E211" s="441"/>
      <c r="F211" s="338">
        <f t="shared" si="212"/>
        <v>0</v>
      </c>
      <c r="G211" s="275"/>
      <c r="H211" s="275"/>
      <c r="I211" s="357" t="str">
        <f>IFERROR(F211/#REF!,"-")</f>
        <v>-</v>
      </c>
      <c r="J211" s="339">
        <f t="shared" si="213"/>
        <v>0</v>
      </c>
      <c r="K211" s="285">
        <f t="shared" si="209"/>
        <v>0</v>
      </c>
      <c r="L211" s="286">
        <f t="shared" si="210"/>
        <v>0</v>
      </c>
      <c r="M211" s="342" t="str">
        <f t="shared" ref="M211:M212" si="217">IFERROR(J211/D211,"-")</f>
        <v>-</v>
      </c>
      <c r="N211" s="352" t="str">
        <f t="shared" si="216"/>
        <v>-</v>
      </c>
      <c r="O211" s="456"/>
      <c r="P211" s="408">
        <f t="shared" si="211"/>
        <v>0</v>
      </c>
      <c r="Q211" s="457">
        <f t="shared" si="215"/>
        <v>0</v>
      </c>
    </row>
    <row r="212" spans="1:17" ht="24" thickBot="1" x14ac:dyDescent="0.35">
      <c r="A212" s="248" t="s">
        <v>109</v>
      </c>
      <c r="B212" s="601"/>
      <c r="C212" s="278"/>
      <c r="D212" s="279"/>
      <c r="E212" s="442"/>
      <c r="F212" s="339">
        <f t="shared" si="212"/>
        <v>0</v>
      </c>
      <c r="G212" s="281"/>
      <c r="H212" s="281"/>
      <c r="I212" s="358" t="str">
        <f>IFERROR(F212/#REF!,"-")</f>
        <v>-</v>
      </c>
      <c r="J212" s="339">
        <f t="shared" si="213"/>
        <v>0</v>
      </c>
      <c r="K212" s="281">
        <f t="shared" si="209"/>
        <v>0</v>
      </c>
      <c r="L212" s="251">
        <f t="shared" si="210"/>
        <v>0</v>
      </c>
      <c r="M212" s="343" t="str">
        <f t="shared" si="217"/>
        <v>-</v>
      </c>
      <c r="N212" s="264" t="str">
        <f t="shared" si="216"/>
        <v>-</v>
      </c>
      <c r="O212" s="458"/>
      <c r="P212" s="410">
        <f t="shared" si="211"/>
        <v>0</v>
      </c>
      <c r="Q212" s="459">
        <f t="shared" si="215"/>
        <v>0</v>
      </c>
    </row>
    <row r="213" spans="1:17" ht="24" thickBot="1" x14ac:dyDescent="0.35">
      <c r="A213" s="277" t="s">
        <v>109</v>
      </c>
      <c r="B213" s="987" t="s">
        <v>21</v>
      </c>
      <c r="C213" s="925"/>
      <c r="D213" s="326">
        <v>0</v>
      </c>
      <c r="E213" s="289">
        <v>15000</v>
      </c>
      <c r="F213" s="326">
        <f>SUM(F206:F212)</f>
        <v>142348</v>
      </c>
      <c r="G213" s="327">
        <f t="shared" ref="G213:H213" si="218">SUM(G206:G212)</f>
        <v>141250</v>
      </c>
      <c r="H213" s="327">
        <f t="shared" si="218"/>
        <v>1098</v>
      </c>
      <c r="I213" s="351" t="str">
        <f>IFERROR(F213/#REF!,"-")</f>
        <v>-</v>
      </c>
      <c r="J213" s="326">
        <f t="shared" ref="J213" si="219">SUM(J206:J212)</f>
        <v>472953</v>
      </c>
      <c r="K213" s="327">
        <f>SUM(K206:K212)</f>
        <v>468000</v>
      </c>
      <c r="L213" s="327">
        <f>SUM(L206:L212)</f>
        <v>4953</v>
      </c>
      <c r="M213" s="345" t="str">
        <f>IFERROR(J213/D213,"-")</f>
        <v>-</v>
      </c>
      <c r="N213" s="351">
        <f t="shared" si="216"/>
        <v>1.0472499381545312E-2</v>
      </c>
      <c r="O213" s="397"/>
      <c r="P213" s="412">
        <f>SUM(P206:P212)</f>
        <v>312741.625</v>
      </c>
      <c r="Q213" s="431">
        <f>SUM(Q206:Q212)</f>
        <v>1036198.8</v>
      </c>
    </row>
    <row r="214" spans="1:17" ht="24" thickBot="1" x14ac:dyDescent="0.35">
      <c r="A214" s="277" t="s">
        <v>109</v>
      </c>
      <c r="B214" s="988" t="s">
        <v>275</v>
      </c>
      <c r="C214" s="989"/>
      <c r="D214" s="524">
        <f>+D210+D213</f>
        <v>0</v>
      </c>
      <c r="E214" s="538">
        <f>+E210+E213</f>
        <v>15000</v>
      </c>
      <c r="F214" s="524">
        <f>+F210+F213</f>
        <v>142348</v>
      </c>
      <c r="G214" s="526">
        <f>+G210+G213</f>
        <v>141250</v>
      </c>
      <c r="H214" s="526">
        <f>+H210+H213</f>
        <v>1098</v>
      </c>
      <c r="I214" s="527" t="str">
        <f>IFERROR(F214/#REF!,"-")</f>
        <v>-</v>
      </c>
      <c r="J214" s="524">
        <f>+J210+J213</f>
        <v>472953</v>
      </c>
      <c r="K214" s="526">
        <f>+K213</f>
        <v>468000</v>
      </c>
      <c r="L214" s="526">
        <f>+L213</f>
        <v>4953</v>
      </c>
      <c r="M214" s="528" t="str">
        <f t="shared" ref="M214" si="220">IFERROR(J214/D214,"-")</f>
        <v>-</v>
      </c>
      <c r="N214" s="527">
        <f t="shared" si="216"/>
        <v>1.0472499381545312E-2</v>
      </c>
      <c r="O214" s="529"/>
      <c r="P214" s="530">
        <f>+P213</f>
        <v>312741.625</v>
      </c>
      <c r="Q214" s="530">
        <f>+Q213</f>
        <v>1036198.8</v>
      </c>
    </row>
    <row r="215" spans="1:17" ht="23.4" x14ac:dyDescent="0.4">
      <c r="A215" s="244" t="s">
        <v>109</v>
      </c>
      <c r="B215" s="979" t="s">
        <v>277</v>
      </c>
      <c r="C215" s="555" t="s">
        <v>74</v>
      </c>
      <c r="D215" s="540"/>
      <c r="E215" s="470"/>
      <c r="F215" s="468">
        <f>+G215+H215</f>
        <v>0</v>
      </c>
      <c r="G215" s="469">
        <v>0</v>
      </c>
      <c r="H215" s="469">
        <v>0</v>
      </c>
      <c r="I215" s="544" t="str">
        <f>IFERROR(F215/#REF!,"-")</f>
        <v>-</v>
      </c>
      <c r="J215" s="468">
        <f>+K215+L215</f>
        <v>10008</v>
      </c>
      <c r="K215" s="469">
        <f t="shared" ref="K215:K243" si="221">+G215+K156</f>
        <v>10000</v>
      </c>
      <c r="L215" s="246">
        <f t="shared" ref="L215:L243" si="222">+H215+L156</f>
        <v>8</v>
      </c>
      <c r="M215" s="263" t="str">
        <f>IFERROR(J215/D215,"-")</f>
        <v>-</v>
      </c>
      <c r="N215" s="546">
        <f t="shared" si="216"/>
        <v>7.993605115907274E-4</v>
      </c>
      <c r="O215" s="551">
        <v>32.946300000000001</v>
      </c>
      <c r="P215" s="547">
        <f t="shared" ref="P215:P243" si="223">+O215*G215</f>
        <v>0</v>
      </c>
      <c r="Q215" s="548">
        <f t="shared" ref="Q215:Q243" si="224">+O215*K215</f>
        <v>329463</v>
      </c>
    </row>
    <row r="216" spans="1:17" ht="23.4" x14ac:dyDescent="0.4">
      <c r="A216" s="248" t="s">
        <v>109</v>
      </c>
      <c r="B216" s="980"/>
      <c r="C216" s="556" t="s">
        <v>75</v>
      </c>
      <c r="D216" s="523"/>
      <c r="E216" s="442"/>
      <c r="F216" s="339">
        <f t="shared" ref="F216:F243" si="225">+G216+H216</f>
        <v>0</v>
      </c>
      <c r="G216" s="281">
        <v>0</v>
      </c>
      <c r="H216" s="281">
        <v>0</v>
      </c>
      <c r="I216" s="358" t="str">
        <f>IFERROR(F216/#REF!,"-")</f>
        <v>-</v>
      </c>
      <c r="J216" s="339">
        <f t="shared" ref="J216:J243" si="226">+K216+L216</f>
        <v>0</v>
      </c>
      <c r="K216" s="281">
        <f t="shared" si="221"/>
        <v>0</v>
      </c>
      <c r="L216" s="250">
        <f t="shared" si="222"/>
        <v>0</v>
      </c>
      <c r="M216" s="265" t="str">
        <f t="shared" ref="M216:M218" si="227">IFERROR(J216/D216,"-")</f>
        <v>-</v>
      </c>
      <c r="N216" s="268" t="str">
        <f t="shared" si="216"/>
        <v>-</v>
      </c>
      <c r="O216" s="519">
        <v>35.398400000000002</v>
      </c>
      <c r="P216" s="410">
        <f t="shared" si="223"/>
        <v>0</v>
      </c>
      <c r="Q216" s="459">
        <f t="shared" si="224"/>
        <v>0</v>
      </c>
    </row>
    <row r="217" spans="1:17" ht="24" thickBot="1" x14ac:dyDescent="0.45">
      <c r="A217" s="248" t="s">
        <v>109</v>
      </c>
      <c r="B217" s="980"/>
      <c r="C217" s="556" t="s">
        <v>76</v>
      </c>
      <c r="D217" s="279"/>
      <c r="E217" s="442"/>
      <c r="F217" s="339">
        <f t="shared" si="225"/>
        <v>0</v>
      </c>
      <c r="G217" s="281">
        <v>0</v>
      </c>
      <c r="H217" s="281">
        <v>0</v>
      </c>
      <c r="I217" s="358" t="str">
        <f>IFERROR(F217/#REF!,"-")</f>
        <v>-</v>
      </c>
      <c r="J217" s="339">
        <f t="shared" si="226"/>
        <v>5000</v>
      </c>
      <c r="K217" s="281">
        <f t="shared" si="221"/>
        <v>5000</v>
      </c>
      <c r="L217" s="250">
        <f t="shared" si="222"/>
        <v>0</v>
      </c>
      <c r="M217" s="265" t="str">
        <f t="shared" si="227"/>
        <v>-</v>
      </c>
      <c r="N217" s="268">
        <f>IFERROR(L217/J217,"-")</f>
        <v>0</v>
      </c>
      <c r="O217" s="519">
        <v>32.946300000000001</v>
      </c>
      <c r="P217" s="410">
        <f t="shared" si="223"/>
        <v>0</v>
      </c>
      <c r="Q217" s="459">
        <f t="shared" si="224"/>
        <v>164731.5</v>
      </c>
    </row>
    <row r="218" spans="1:17" ht="23.4" x14ac:dyDescent="0.4">
      <c r="A218" s="248" t="s">
        <v>109</v>
      </c>
      <c r="B218" s="979" t="s">
        <v>278</v>
      </c>
      <c r="C218" s="558" t="s">
        <v>78</v>
      </c>
      <c r="D218" s="279"/>
      <c r="E218" s="541"/>
      <c r="F218" s="340">
        <f t="shared" si="225"/>
        <v>0</v>
      </c>
      <c r="G218" s="281">
        <v>0</v>
      </c>
      <c r="H218" s="281">
        <v>0</v>
      </c>
      <c r="I218" s="358" t="str">
        <f>IFERROR(F218/#REF!,"-")</f>
        <v>-</v>
      </c>
      <c r="J218" s="339">
        <f t="shared" si="226"/>
        <v>8248</v>
      </c>
      <c r="K218" s="281">
        <f t="shared" si="221"/>
        <v>7200</v>
      </c>
      <c r="L218" s="250">
        <f t="shared" si="222"/>
        <v>1048</v>
      </c>
      <c r="M218" s="265" t="str">
        <f t="shared" si="227"/>
        <v>-</v>
      </c>
      <c r="N218" s="268">
        <f t="shared" ref="N218" si="228">IFERROR(L218/J218,"-")</f>
        <v>0.1270611057225994</v>
      </c>
      <c r="O218" s="519">
        <v>55.4758</v>
      </c>
      <c r="P218" s="410">
        <f t="shared" si="223"/>
        <v>0</v>
      </c>
      <c r="Q218" s="459">
        <f t="shared" si="224"/>
        <v>399425.76</v>
      </c>
    </row>
    <row r="219" spans="1:17" ht="23.4" x14ac:dyDescent="0.4">
      <c r="A219" s="248" t="s">
        <v>109</v>
      </c>
      <c r="B219" s="980"/>
      <c r="C219" s="558" t="s">
        <v>75</v>
      </c>
      <c r="D219" s="279"/>
      <c r="E219" s="542"/>
      <c r="F219" s="340">
        <f t="shared" si="225"/>
        <v>0</v>
      </c>
      <c r="G219" s="281">
        <v>0</v>
      </c>
      <c r="H219" s="281">
        <v>0</v>
      </c>
      <c r="I219" s="358" t="str">
        <f>IFERROR(F219/#REF!,"-")</f>
        <v>-</v>
      </c>
      <c r="J219" s="339">
        <f t="shared" si="226"/>
        <v>2350</v>
      </c>
      <c r="K219" s="281">
        <f t="shared" si="221"/>
        <v>1900</v>
      </c>
      <c r="L219" s="250">
        <f t="shared" si="222"/>
        <v>450</v>
      </c>
      <c r="M219" s="522"/>
      <c r="N219" s="378"/>
      <c r="O219" s="553">
        <v>58.836300000000001</v>
      </c>
      <c r="P219" s="410">
        <f t="shared" si="223"/>
        <v>0</v>
      </c>
      <c r="Q219" s="459">
        <f t="shared" si="224"/>
        <v>111788.97</v>
      </c>
    </row>
    <row r="220" spans="1:17" ht="24" thickBot="1" x14ac:dyDescent="0.45">
      <c r="A220" s="248" t="s">
        <v>109</v>
      </c>
      <c r="B220" s="981"/>
      <c r="C220" s="558" t="s">
        <v>142</v>
      </c>
      <c r="D220" s="279"/>
      <c r="E220" s="441"/>
      <c r="F220" s="340">
        <f t="shared" si="225"/>
        <v>0</v>
      </c>
      <c r="G220" s="281">
        <v>0</v>
      </c>
      <c r="H220" s="281">
        <v>0</v>
      </c>
      <c r="I220" s="358" t="str">
        <f>IFERROR(F220/#REF!,"-")</f>
        <v>-</v>
      </c>
      <c r="J220" s="339">
        <f t="shared" si="226"/>
        <v>0</v>
      </c>
      <c r="K220" s="281">
        <f t="shared" si="221"/>
        <v>0</v>
      </c>
      <c r="L220" s="250">
        <f t="shared" si="222"/>
        <v>0</v>
      </c>
      <c r="M220" s="265" t="str">
        <f t="shared" ref="M220:M246" si="229">IFERROR(J220/D220,"-")</f>
        <v>-</v>
      </c>
      <c r="N220" s="264" t="str">
        <f t="shared" ref="N220:N245" si="230">IFERROR(L220/J220,"-")</f>
        <v>-</v>
      </c>
      <c r="O220" s="519">
        <v>53.515999999999998</v>
      </c>
      <c r="P220" s="410">
        <f t="shared" si="223"/>
        <v>0</v>
      </c>
      <c r="Q220" s="459">
        <f t="shared" si="224"/>
        <v>0</v>
      </c>
    </row>
    <row r="221" spans="1:17" ht="23.4" x14ac:dyDescent="0.4">
      <c r="A221" s="248" t="s">
        <v>109</v>
      </c>
      <c r="B221" s="979" t="s">
        <v>79</v>
      </c>
      <c r="C221" s="556" t="s">
        <v>80</v>
      </c>
      <c r="D221" s="279"/>
      <c r="E221" s="442"/>
      <c r="F221" s="339">
        <f t="shared" si="225"/>
        <v>0</v>
      </c>
      <c r="G221" s="281">
        <v>0</v>
      </c>
      <c r="H221" s="281">
        <v>0</v>
      </c>
      <c r="I221" s="358" t="str">
        <f>IFERROR(F221/#REF!,"-")</f>
        <v>-</v>
      </c>
      <c r="J221" s="339">
        <f t="shared" si="226"/>
        <v>0</v>
      </c>
      <c r="K221" s="281">
        <f t="shared" si="221"/>
        <v>0</v>
      </c>
      <c r="L221" s="250">
        <f t="shared" si="222"/>
        <v>0</v>
      </c>
      <c r="M221" s="265" t="str">
        <f t="shared" si="229"/>
        <v>-</v>
      </c>
      <c r="N221" s="264" t="str">
        <f t="shared" si="230"/>
        <v>-</v>
      </c>
      <c r="O221" s="519">
        <v>25.687200000000001</v>
      </c>
      <c r="P221" s="410">
        <f t="shared" si="223"/>
        <v>0</v>
      </c>
      <c r="Q221" s="459">
        <f t="shared" si="224"/>
        <v>0</v>
      </c>
    </row>
    <row r="222" spans="1:17" ht="24" thickBot="1" x14ac:dyDescent="0.45">
      <c r="A222" s="248" t="s">
        <v>109</v>
      </c>
      <c r="B222" s="981"/>
      <c r="C222" s="556" t="s">
        <v>125</v>
      </c>
      <c r="D222" s="279"/>
      <c r="E222" s="442"/>
      <c r="F222" s="339">
        <f t="shared" si="225"/>
        <v>0</v>
      </c>
      <c r="G222" s="281">
        <v>0</v>
      </c>
      <c r="H222" s="281">
        <v>0</v>
      </c>
      <c r="I222" s="358" t="str">
        <f>IFERROR(F222/#REF!,"-")</f>
        <v>-</v>
      </c>
      <c r="J222" s="339">
        <f t="shared" si="226"/>
        <v>0</v>
      </c>
      <c r="K222" s="281">
        <f t="shared" si="221"/>
        <v>0</v>
      </c>
      <c r="L222" s="250">
        <f t="shared" si="222"/>
        <v>0</v>
      </c>
      <c r="M222" s="265" t="str">
        <f t="shared" si="229"/>
        <v>-</v>
      </c>
      <c r="N222" s="264" t="str">
        <f t="shared" si="230"/>
        <v>-</v>
      </c>
      <c r="O222" s="519">
        <v>25.033899999999999</v>
      </c>
      <c r="P222" s="410">
        <f t="shared" si="223"/>
        <v>0</v>
      </c>
      <c r="Q222" s="459">
        <f t="shared" si="224"/>
        <v>0</v>
      </c>
    </row>
    <row r="223" spans="1:17" ht="23.4" x14ac:dyDescent="0.4">
      <c r="A223" s="248"/>
      <c r="B223" s="979" t="s">
        <v>81</v>
      </c>
      <c r="C223" s="556" t="s">
        <v>82</v>
      </c>
      <c r="D223" s="279"/>
      <c r="E223" s="442"/>
      <c r="F223" s="339">
        <f t="shared" si="225"/>
        <v>0</v>
      </c>
      <c r="G223" s="281">
        <v>0</v>
      </c>
      <c r="H223" s="281">
        <v>0</v>
      </c>
      <c r="I223" s="358" t="str">
        <f>IFERROR(F223/#REF!,"-")</f>
        <v>-</v>
      </c>
      <c r="J223" s="339">
        <f t="shared" si="226"/>
        <v>2008</v>
      </c>
      <c r="K223" s="281">
        <f t="shared" si="221"/>
        <v>2000</v>
      </c>
      <c r="L223" s="250">
        <f t="shared" si="222"/>
        <v>8</v>
      </c>
      <c r="M223" s="265" t="str">
        <f t="shared" si="229"/>
        <v>-</v>
      </c>
      <c r="N223" s="264">
        <f t="shared" si="230"/>
        <v>3.9840637450199202E-3</v>
      </c>
      <c r="O223" s="519">
        <v>41.992699999999999</v>
      </c>
      <c r="P223" s="410">
        <f t="shared" si="223"/>
        <v>0</v>
      </c>
      <c r="Q223" s="459">
        <f t="shared" si="224"/>
        <v>83985.4</v>
      </c>
    </row>
    <row r="224" spans="1:17" ht="24" thickBot="1" x14ac:dyDescent="0.45">
      <c r="A224" s="248"/>
      <c r="B224" s="980"/>
      <c r="C224" s="556" t="s">
        <v>364</v>
      </c>
      <c r="D224" s="279"/>
      <c r="E224" s="442"/>
      <c r="F224" s="339">
        <f t="shared" si="225"/>
        <v>0</v>
      </c>
      <c r="G224" s="281">
        <v>0</v>
      </c>
      <c r="H224" s="281">
        <v>0</v>
      </c>
      <c r="I224" s="358" t="str">
        <f>IFERROR(F224/#REF!,"-")</f>
        <v>-</v>
      </c>
      <c r="J224" s="339">
        <f t="shared" si="226"/>
        <v>0</v>
      </c>
      <c r="K224" s="281">
        <f t="shared" si="221"/>
        <v>0</v>
      </c>
      <c r="L224" s="250">
        <f t="shared" si="222"/>
        <v>0</v>
      </c>
      <c r="M224" s="265" t="str">
        <f t="shared" si="229"/>
        <v>-</v>
      </c>
      <c r="N224" s="264" t="str">
        <f t="shared" si="230"/>
        <v>-</v>
      </c>
      <c r="O224" s="519">
        <v>41.992699999999999</v>
      </c>
      <c r="P224" s="410">
        <f t="shared" si="223"/>
        <v>0</v>
      </c>
      <c r="Q224" s="459">
        <f t="shared" si="224"/>
        <v>0</v>
      </c>
    </row>
    <row r="225" spans="1:17" ht="24" thickBot="1" x14ac:dyDescent="0.45">
      <c r="A225" s="248"/>
      <c r="B225" s="559" t="s">
        <v>83</v>
      </c>
      <c r="C225" s="556" t="s">
        <v>84</v>
      </c>
      <c r="D225" s="279"/>
      <c r="E225" s="442"/>
      <c r="F225" s="339">
        <f t="shared" si="225"/>
        <v>0</v>
      </c>
      <c r="G225" s="281">
        <v>0</v>
      </c>
      <c r="H225" s="281">
        <v>0</v>
      </c>
      <c r="I225" s="358" t="str">
        <f>IFERROR(F225/#REF!,"-")</f>
        <v>-</v>
      </c>
      <c r="J225" s="339">
        <f t="shared" si="226"/>
        <v>0</v>
      </c>
      <c r="K225" s="281">
        <f t="shared" si="221"/>
        <v>0</v>
      </c>
      <c r="L225" s="250">
        <f t="shared" si="222"/>
        <v>0</v>
      </c>
      <c r="M225" s="265" t="str">
        <f t="shared" si="229"/>
        <v>-</v>
      </c>
      <c r="N225" s="264" t="str">
        <f t="shared" si="230"/>
        <v>-</v>
      </c>
      <c r="O225" s="519">
        <v>4.3535000000000004</v>
      </c>
      <c r="P225" s="410">
        <f t="shared" si="223"/>
        <v>0</v>
      </c>
      <c r="Q225" s="459">
        <f t="shared" si="224"/>
        <v>0</v>
      </c>
    </row>
    <row r="226" spans="1:17" ht="23.4" x14ac:dyDescent="0.4">
      <c r="A226" s="248"/>
      <c r="B226" s="979" t="s">
        <v>280</v>
      </c>
      <c r="C226" s="556" t="s">
        <v>80</v>
      </c>
      <c r="D226" s="279"/>
      <c r="E226" s="442"/>
      <c r="F226" s="339">
        <f t="shared" si="225"/>
        <v>0</v>
      </c>
      <c r="G226" s="281">
        <v>0</v>
      </c>
      <c r="H226" s="281">
        <v>0</v>
      </c>
      <c r="I226" s="358" t="str">
        <f>IFERROR(F226/#REF!,"-")</f>
        <v>-</v>
      </c>
      <c r="J226" s="339">
        <f t="shared" si="226"/>
        <v>0</v>
      </c>
      <c r="K226" s="281">
        <f t="shared" si="221"/>
        <v>0</v>
      </c>
      <c r="L226" s="250">
        <f t="shared" si="222"/>
        <v>0</v>
      </c>
      <c r="M226" s="265" t="str">
        <f t="shared" si="229"/>
        <v>-</v>
      </c>
      <c r="N226" s="264" t="str">
        <f t="shared" si="230"/>
        <v>-</v>
      </c>
      <c r="O226" s="519">
        <v>4.6184000000000003</v>
      </c>
      <c r="P226" s="410">
        <f t="shared" si="223"/>
        <v>0</v>
      </c>
      <c r="Q226" s="459">
        <f t="shared" si="224"/>
        <v>0</v>
      </c>
    </row>
    <row r="227" spans="1:17" ht="23.4" x14ac:dyDescent="0.4">
      <c r="A227" s="248"/>
      <c r="B227" s="980"/>
      <c r="C227" s="556" t="s">
        <v>407</v>
      </c>
      <c r="D227" s="279"/>
      <c r="E227" s="442"/>
      <c r="F227" s="339">
        <f t="shared" si="225"/>
        <v>0</v>
      </c>
      <c r="G227" s="281">
        <v>0</v>
      </c>
      <c r="H227" s="281">
        <v>0</v>
      </c>
      <c r="I227" s="358" t="str">
        <f>IFERROR(F227/#REF!,"-")</f>
        <v>-</v>
      </c>
      <c r="J227" s="339">
        <f t="shared" si="226"/>
        <v>92234</v>
      </c>
      <c r="K227" s="281">
        <f t="shared" si="221"/>
        <v>91300</v>
      </c>
      <c r="L227" s="250">
        <f t="shared" si="222"/>
        <v>934</v>
      </c>
      <c r="M227" s="265" t="str">
        <f t="shared" si="229"/>
        <v>-</v>
      </c>
      <c r="N227" s="264">
        <f t="shared" si="230"/>
        <v>1.0126417590042718E-2</v>
      </c>
      <c r="O227" s="519">
        <v>4.6184000000000003</v>
      </c>
      <c r="P227" s="410">
        <f t="shared" si="223"/>
        <v>0</v>
      </c>
      <c r="Q227" s="459">
        <f t="shared" si="224"/>
        <v>421659.92000000004</v>
      </c>
    </row>
    <row r="228" spans="1:17" ht="23.4" x14ac:dyDescent="0.4">
      <c r="A228" s="248"/>
      <c r="B228" s="980"/>
      <c r="C228" s="556" t="s">
        <v>279</v>
      </c>
      <c r="D228" s="279"/>
      <c r="E228" s="442"/>
      <c r="F228" s="339">
        <f t="shared" si="225"/>
        <v>0</v>
      </c>
      <c r="G228" s="281">
        <v>0</v>
      </c>
      <c r="H228" s="281">
        <v>0</v>
      </c>
      <c r="I228" s="358" t="str">
        <f>IFERROR(F228/#REF!,"-")</f>
        <v>-</v>
      </c>
      <c r="J228" s="339">
        <f t="shared" si="226"/>
        <v>0</v>
      </c>
      <c r="K228" s="281">
        <f t="shared" si="221"/>
        <v>0</v>
      </c>
      <c r="L228" s="250">
        <f t="shared" si="222"/>
        <v>0</v>
      </c>
      <c r="M228" s="265" t="str">
        <f t="shared" si="229"/>
        <v>-</v>
      </c>
      <c r="N228" s="264" t="str">
        <f t="shared" si="230"/>
        <v>-</v>
      </c>
      <c r="O228" s="519">
        <v>4.6184000000000003</v>
      </c>
      <c r="P228" s="410">
        <f t="shared" si="223"/>
        <v>0</v>
      </c>
      <c r="Q228" s="459">
        <f t="shared" si="224"/>
        <v>0</v>
      </c>
    </row>
    <row r="229" spans="1:17" ht="23.4" x14ac:dyDescent="0.4">
      <c r="A229" s="248"/>
      <c r="B229" s="980"/>
      <c r="C229" s="556" t="s">
        <v>132</v>
      </c>
      <c r="D229" s="279"/>
      <c r="E229" s="442"/>
      <c r="F229" s="339">
        <f t="shared" si="225"/>
        <v>0</v>
      </c>
      <c r="G229" s="281">
        <v>0</v>
      </c>
      <c r="H229" s="281">
        <v>0</v>
      </c>
      <c r="I229" s="358" t="str">
        <f>IFERROR(F229/#REF!,"-")</f>
        <v>-</v>
      </c>
      <c r="J229" s="339">
        <f t="shared" si="226"/>
        <v>0</v>
      </c>
      <c r="K229" s="281">
        <f t="shared" si="221"/>
        <v>0</v>
      </c>
      <c r="L229" s="250">
        <f t="shared" si="222"/>
        <v>0</v>
      </c>
      <c r="M229" s="265" t="str">
        <f t="shared" si="229"/>
        <v>-</v>
      </c>
      <c r="N229" s="264" t="str">
        <f t="shared" si="230"/>
        <v>-</v>
      </c>
      <c r="O229" s="519">
        <v>4.7636000000000003</v>
      </c>
      <c r="P229" s="410">
        <f t="shared" si="223"/>
        <v>0</v>
      </c>
      <c r="Q229" s="459">
        <f t="shared" si="224"/>
        <v>0</v>
      </c>
    </row>
    <row r="230" spans="1:17" ht="24" thickBot="1" x14ac:dyDescent="0.45">
      <c r="A230" s="248"/>
      <c r="B230" s="981"/>
      <c r="C230" s="556" t="s">
        <v>86</v>
      </c>
      <c r="D230" s="279"/>
      <c r="E230" s="442"/>
      <c r="F230" s="339">
        <f t="shared" si="225"/>
        <v>0</v>
      </c>
      <c r="G230" s="281">
        <v>0</v>
      </c>
      <c r="H230" s="281">
        <v>0</v>
      </c>
      <c r="I230" s="358" t="str">
        <f>IFERROR(F230/#REF!,"-")</f>
        <v>-</v>
      </c>
      <c r="J230" s="339">
        <f t="shared" si="226"/>
        <v>0</v>
      </c>
      <c r="K230" s="281">
        <f t="shared" si="221"/>
        <v>0</v>
      </c>
      <c r="L230" s="250">
        <f t="shared" si="222"/>
        <v>0</v>
      </c>
      <c r="M230" s="265" t="str">
        <f t="shared" si="229"/>
        <v>-</v>
      </c>
      <c r="N230" s="264" t="str">
        <f t="shared" si="230"/>
        <v>-</v>
      </c>
      <c r="O230" s="519">
        <v>4.8738000000000001</v>
      </c>
      <c r="P230" s="410">
        <f t="shared" si="223"/>
        <v>0</v>
      </c>
      <c r="Q230" s="459">
        <f t="shared" si="224"/>
        <v>0</v>
      </c>
    </row>
    <row r="231" spans="1:17" ht="24" thickBot="1" x14ac:dyDescent="0.45">
      <c r="A231" s="248"/>
      <c r="B231" s="559" t="s">
        <v>281</v>
      </c>
      <c r="C231" s="556" t="s">
        <v>132</v>
      </c>
      <c r="D231" s="279"/>
      <c r="E231" s="442"/>
      <c r="F231" s="339">
        <f t="shared" si="225"/>
        <v>0</v>
      </c>
      <c r="G231" s="281">
        <v>0</v>
      </c>
      <c r="H231" s="281">
        <v>0</v>
      </c>
      <c r="I231" s="358" t="str">
        <f>IFERROR(F231/#REF!,"-")</f>
        <v>-</v>
      </c>
      <c r="J231" s="339">
        <f t="shared" si="226"/>
        <v>0</v>
      </c>
      <c r="K231" s="281">
        <f t="shared" si="221"/>
        <v>0</v>
      </c>
      <c r="L231" s="250">
        <f t="shared" si="222"/>
        <v>0</v>
      </c>
      <c r="M231" s="265" t="str">
        <f t="shared" si="229"/>
        <v>-</v>
      </c>
      <c r="N231" s="264" t="str">
        <f t="shared" si="230"/>
        <v>-</v>
      </c>
      <c r="O231" s="519">
        <v>4.8738000000000001</v>
      </c>
      <c r="P231" s="410">
        <f t="shared" si="223"/>
        <v>0</v>
      </c>
      <c r="Q231" s="459">
        <f t="shared" si="224"/>
        <v>0</v>
      </c>
    </row>
    <row r="232" spans="1:17" ht="23.4" x14ac:dyDescent="0.4">
      <c r="A232" s="248"/>
      <c r="B232" s="979" t="s">
        <v>283</v>
      </c>
      <c r="C232" s="556" t="s">
        <v>80</v>
      </c>
      <c r="D232" s="279"/>
      <c r="E232" s="442"/>
      <c r="F232" s="339">
        <f t="shared" si="225"/>
        <v>0</v>
      </c>
      <c r="G232" s="281">
        <v>0</v>
      </c>
      <c r="H232" s="281">
        <v>0</v>
      </c>
      <c r="I232" s="358" t="str">
        <f>IFERROR(F232/#REF!,"-")</f>
        <v>-</v>
      </c>
      <c r="J232" s="339">
        <f t="shared" si="226"/>
        <v>96697</v>
      </c>
      <c r="K232" s="281">
        <f t="shared" si="221"/>
        <v>94700</v>
      </c>
      <c r="L232" s="281">
        <f t="shared" si="222"/>
        <v>1997</v>
      </c>
      <c r="M232" s="265" t="str">
        <f t="shared" si="229"/>
        <v>-</v>
      </c>
      <c r="N232" s="264">
        <f t="shared" si="230"/>
        <v>2.0652140190491948E-2</v>
      </c>
      <c r="O232" s="519">
        <v>4.9344999999999999</v>
      </c>
      <c r="P232" s="410">
        <f t="shared" si="223"/>
        <v>0</v>
      </c>
      <c r="Q232" s="459">
        <f t="shared" si="224"/>
        <v>467297.14999999997</v>
      </c>
    </row>
    <row r="233" spans="1:17" ht="23.4" x14ac:dyDescent="0.4">
      <c r="A233" s="248"/>
      <c r="B233" s="980"/>
      <c r="C233" s="556" t="s">
        <v>143</v>
      </c>
      <c r="D233" s="279"/>
      <c r="E233" s="442"/>
      <c r="F233" s="339">
        <f t="shared" si="225"/>
        <v>0</v>
      </c>
      <c r="G233" s="281">
        <v>0</v>
      </c>
      <c r="H233" s="281">
        <v>0</v>
      </c>
      <c r="I233" s="358" t="str">
        <f>IFERROR(F233/#REF!,"-")</f>
        <v>-</v>
      </c>
      <c r="J233" s="339">
        <f t="shared" si="226"/>
        <v>0</v>
      </c>
      <c r="K233" s="281">
        <f t="shared" si="221"/>
        <v>0</v>
      </c>
      <c r="L233" s="250">
        <f t="shared" si="222"/>
        <v>0</v>
      </c>
      <c r="M233" s="265" t="str">
        <f t="shared" si="229"/>
        <v>-</v>
      </c>
      <c r="N233" s="264" t="str">
        <f t="shared" si="230"/>
        <v>-</v>
      </c>
      <c r="O233" s="519">
        <v>4.9344999999999999</v>
      </c>
      <c r="P233" s="410">
        <f t="shared" si="223"/>
        <v>0</v>
      </c>
      <c r="Q233" s="459">
        <f t="shared" si="224"/>
        <v>0</v>
      </c>
    </row>
    <row r="234" spans="1:17" ht="23.4" x14ac:dyDescent="0.4">
      <c r="A234" s="248"/>
      <c r="B234" s="980"/>
      <c r="C234" s="556" t="s">
        <v>137</v>
      </c>
      <c r="D234" s="279"/>
      <c r="E234" s="442"/>
      <c r="F234" s="339">
        <f t="shared" si="225"/>
        <v>0</v>
      </c>
      <c r="G234" s="281">
        <v>0</v>
      </c>
      <c r="H234" s="281">
        <v>0</v>
      </c>
      <c r="I234" s="358" t="str">
        <f>IFERROR(F234/#REF!,"-")</f>
        <v>-</v>
      </c>
      <c r="J234" s="339">
        <f t="shared" si="226"/>
        <v>0</v>
      </c>
      <c r="K234" s="281">
        <f t="shared" si="221"/>
        <v>0</v>
      </c>
      <c r="L234" s="250">
        <f t="shared" si="222"/>
        <v>0</v>
      </c>
      <c r="M234" s="265" t="str">
        <f t="shared" si="229"/>
        <v>-</v>
      </c>
      <c r="N234" s="264" t="str">
        <f t="shared" si="230"/>
        <v>-</v>
      </c>
      <c r="O234" s="519">
        <v>4.9344999999999999</v>
      </c>
      <c r="P234" s="410">
        <f t="shared" si="223"/>
        <v>0</v>
      </c>
      <c r="Q234" s="459">
        <f t="shared" si="224"/>
        <v>0</v>
      </c>
    </row>
    <row r="235" spans="1:17" ht="24" thickBot="1" x14ac:dyDescent="0.45">
      <c r="A235" s="248"/>
      <c r="B235" s="981"/>
      <c r="C235" s="556" t="s">
        <v>282</v>
      </c>
      <c r="D235" s="279"/>
      <c r="E235" s="442"/>
      <c r="F235" s="339">
        <f t="shared" si="225"/>
        <v>0</v>
      </c>
      <c r="G235" s="281">
        <v>0</v>
      </c>
      <c r="H235" s="281">
        <v>0</v>
      </c>
      <c r="I235" s="358" t="str">
        <f>IFERROR(F235/#REF!,"-")</f>
        <v>-</v>
      </c>
      <c r="J235" s="339">
        <f t="shared" si="226"/>
        <v>0</v>
      </c>
      <c r="K235" s="281">
        <f t="shared" si="221"/>
        <v>0</v>
      </c>
      <c r="L235" s="250">
        <f t="shared" si="222"/>
        <v>0</v>
      </c>
      <c r="M235" s="265" t="str">
        <f t="shared" si="229"/>
        <v>-</v>
      </c>
      <c r="N235" s="264" t="str">
        <f t="shared" si="230"/>
        <v>-</v>
      </c>
      <c r="O235" s="519">
        <v>5.5069999999999997</v>
      </c>
      <c r="P235" s="410">
        <f t="shared" si="223"/>
        <v>0</v>
      </c>
      <c r="Q235" s="459">
        <f t="shared" si="224"/>
        <v>0</v>
      </c>
    </row>
    <row r="236" spans="1:17" ht="23.4" x14ac:dyDescent="0.4">
      <c r="A236" s="248"/>
      <c r="B236" s="979" t="s">
        <v>288</v>
      </c>
      <c r="C236" s="556" t="s">
        <v>284</v>
      </c>
      <c r="D236" s="279"/>
      <c r="E236" s="442"/>
      <c r="F236" s="339">
        <f t="shared" si="225"/>
        <v>0</v>
      </c>
      <c r="G236" s="281">
        <v>0</v>
      </c>
      <c r="H236" s="281">
        <v>0</v>
      </c>
      <c r="I236" s="358" t="str">
        <f>IFERROR(F236/#REF!,"-")</f>
        <v>-</v>
      </c>
      <c r="J236" s="339">
        <f t="shared" si="226"/>
        <v>0</v>
      </c>
      <c r="K236" s="281">
        <f t="shared" si="221"/>
        <v>0</v>
      </c>
      <c r="L236" s="250">
        <f t="shared" si="222"/>
        <v>0</v>
      </c>
      <c r="M236" s="265" t="str">
        <f t="shared" si="229"/>
        <v>-</v>
      </c>
      <c r="N236" s="264" t="str">
        <f t="shared" si="230"/>
        <v>-</v>
      </c>
      <c r="O236" s="519">
        <v>5.6550000000000002</v>
      </c>
      <c r="P236" s="410">
        <f t="shared" si="223"/>
        <v>0</v>
      </c>
      <c r="Q236" s="459">
        <f t="shared" si="224"/>
        <v>0</v>
      </c>
    </row>
    <row r="237" spans="1:17" ht="23.4" x14ac:dyDescent="0.4">
      <c r="A237" s="248"/>
      <c r="B237" s="980"/>
      <c r="C237" s="556" t="s">
        <v>285</v>
      </c>
      <c r="D237" s="279"/>
      <c r="E237" s="442"/>
      <c r="F237" s="339">
        <f t="shared" si="225"/>
        <v>0</v>
      </c>
      <c r="G237" s="281">
        <v>0</v>
      </c>
      <c r="H237" s="281">
        <v>0</v>
      </c>
      <c r="I237" s="358" t="str">
        <f>IFERROR(F237/#REF!,"-")</f>
        <v>-</v>
      </c>
      <c r="J237" s="339">
        <f t="shared" si="226"/>
        <v>0</v>
      </c>
      <c r="K237" s="281">
        <f t="shared" si="221"/>
        <v>0</v>
      </c>
      <c r="L237" s="250">
        <f t="shared" si="222"/>
        <v>0</v>
      </c>
      <c r="M237" s="265" t="str">
        <f t="shared" si="229"/>
        <v>-</v>
      </c>
      <c r="N237" s="264" t="str">
        <f t="shared" si="230"/>
        <v>-</v>
      </c>
      <c r="O237" s="519">
        <v>5.6550000000000002</v>
      </c>
      <c r="P237" s="410">
        <f t="shared" si="223"/>
        <v>0</v>
      </c>
      <c r="Q237" s="459">
        <f t="shared" si="224"/>
        <v>0</v>
      </c>
    </row>
    <row r="238" spans="1:17" ht="23.4" x14ac:dyDescent="0.4">
      <c r="A238" s="248"/>
      <c r="B238" s="980"/>
      <c r="C238" s="556" t="s">
        <v>374</v>
      </c>
      <c r="D238" s="279"/>
      <c r="E238" s="442"/>
      <c r="F238" s="339">
        <f t="shared" si="225"/>
        <v>0</v>
      </c>
      <c r="G238" s="281">
        <v>0</v>
      </c>
      <c r="H238" s="281">
        <v>0</v>
      </c>
      <c r="I238" s="358" t="str">
        <f>IFERROR(F238/#REF!,"-")</f>
        <v>-</v>
      </c>
      <c r="J238" s="339">
        <f t="shared" si="226"/>
        <v>72747</v>
      </c>
      <c r="K238" s="281">
        <f t="shared" si="221"/>
        <v>72400</v>
      </c>
      <c r="L238" s="250">
        <f t="shared" si="222"/>
        <v>347</v>
      </c>
      <c r="M238" s="265" t="str">
        <f t="shared" si="229"/>
        <v>-</v>
      </c>
      <c r="N238" s="264">
        <f t="shared" si="230"/>
        <v>4.7699561493944765E-3</v>
      </c>
      <c r="O238" s="519">
        <v>5.6550000000000002</v>
      </c>
      <c r="P238" s="410">
        <f t="shared" si="223"/>
        <v>0</v>
      </c>
      <c r="Q238" s="459">
        <f t="shared" si="224"/>
        <v>409422</v>
      </c>
    </row>
    <row r="239" spans="1:17" ht="23.4" x14ac:dyDescent="0.4">
      <c r="A239" s="248"/>
      <c r="B239" s="980"/>
      <c r="C239" s="556" t="s">
        <v>286</v>
      </c>
      <c r="D239" s="279"/>
      <c r="E239" s="442"/>
      <c r="F239" s="339">
        <f t="shared" si="225"/>
        <v>0</v>
      </c>
      <c r="G239" s="281">
        <v>0</v>
      </c>
      <c r="H239" s="281">
        <v>0</v>
      </c>
      <c r="I239" s="358" t="str">
        <f>IFERROR(F239/#REF!,"-")</f>
        <v>-</v>
      </c>
      <c r="J239" s="339">
        <f t="shared" si="226"/>
        <v>0</v>
      </c>
      <c r="K239" s="281">
        <f t="shared" si="221"/>
        <v>0</v>
      </c>
      <c r="L239" s="250">
        <f t="shared" si="222"/>
        <v>0</v>
      </c>
      <c r="M239" s="265" t="str">
        <f t="shared" si="229"/>
        <v>-</v>
      </c>
      <c r="N239" s="264" t="str">
        <f t="shared" si="230"/>
        <v>-</v>
      </c>
      <c r="O239" s="519">
        <v>5.6550000000000002</v>
      </c>
      <c r="P239" s="410">
        <f t="shared" si="223"/>
        <v>0</v>
      </c>
      <c r="Q239" s="459">
        <f t="shared" si="224"/>
        <v>0</v>
      </c>
    </row>
    <row r="240" spans="1:17" ht="23.4" x14ac:dyDescent="0.4">
      <c r="A240" s="248" t="s">
        <v>109</v>
      </c>
      <c r="B240" s="980"/>
      <c r="C240" s="556" t="s">
        <v>287</v>
      </c>
      <c r="D240" s="279"/>
      <c r="E240" s="442"/>
      <c r="F240" s="339">
        <f t="shared" si="225"/>
        <v>0</v>
      </c>
      <c r="G240" s="281">
        <v>0</v>
      </c>
      <c r="H240" s="281">
        <v>0</v>
      </c>
      <c r="I240" s="358" t="str">
        <f>IFERROR(F240/#REF!,"-")</f>
        <v>-</v>
      </c>
      <c r="J240" s="339">
        <f t="shared" si="226"/>
        <v>0</v>
      </c>
      <c r="K240" s="281">
        <f t="shared" si="221"/>
        <v>0</v>
      </c>
      <c r="L240" s="250">
        <f t="shared" si="222"/>
        <v>0</v>
      </c>
      <c r="M240" s="265" t="str">
        <f t="shared" si="229"/>
        <v>-</v>
      </c>
      <c r="N240" s="264" t="str">
        <f t="shared" si="230"/>
        <v>-</v>
      </c>
      <c r="O240" s="519">
        <v>3.2963</v>
      </c>
      <c r="P240" s="410">
        <f t="shared" si="223"/>
        <v>0</v>
      </c>
      <c r="Q240" s="459">
        <f t="shared" si="224"/>
        <v>0</v>
      </c>
    </row>
    <row r="241" spans="1:17" ht="24" thickBot="1" x14ac:dyDescent="0.45">
      <c r="A241" s="248" t="s">
        <v>109</v>
      </c>
      <c r="B241" s="981"/>
      <c r="C241" s="556" t="s">
        <v>282</v>
      </c>
      <c r="D241" s="279"/>
      <c r="E241" s="442"/>
      <c r="F241" s="339">
        <f t="shared" si="225"/>
        <v>0</v>
      </c>
      <c r="G241" s="281">
        <v>0</v>
      </c>
      <c r="H241" s="281">
        <v>0</v>
      </c>
      <c r="I241" s="358" t="str">
        <f>IFERROR(F241/#REF!,"-")</f>
        <v>-</v>
      </c>
      <c r="J241" s="339">
        <f t="shared" si="226"/>
        <v>0</v>
      </c>
      <c r="K241" s="281">
        <f t="shared" si="221"/>
        <v>0</v>
      </c>
      <c r="L241" s="250">
        <f t="shared" si="222"/>
        <v>0</v>
      </c>
      <c r="M241" s="265" t="str">
        <f t="shared" si="229"/>
        <v>-</v>
      </c>
      <c r="N241" s="264" t="str">
        <f t="shared" si="230"/>
        <v>-</v>
      </c>
      <c r="O241" s="519">
        <v>3.2963</v>
      </c>
      <c r="P241" s="410">
        <f t="shared" si="223"/>
        <v>0</v>
      </c>
      <c r="Q241" s="459">
        <f t="shared" si="224"/>
        <v>0</v>
      </c>
    </row>
    <row r="242" spans="1:17" ht="23.4" x14ac:dyDescent="0.4">
      <c r="A242" s="248" t="s">
        <v>109</v>
      </c>
      <c r="B242" s="560"/>
      <c r="C242" s="557" t="s">
        <v>92</v>
      </c>
      <c r="D242" s="523"/>
      <c r="E242" s="442"/>
      <c r="F242" s="339">
        <f t="shared" si="225"/>
        <v>0</v>
      </c>
      <c r="G242" s="281">
        <v>0</v>
      </c>
      <c r="H242" s="281">
        <v>0</v>
      </c>
      <c r="I242" s="358" t="str">
        <f>IFERROR(F242/#REF!,"-")</f>
        <v>-</v>
      </c>
      <c r="J242" s="339">
        <f t="shared" si="226"/>
        <v>0</v>
      </c>
      <c r="K242" s="281">
        <f t="shared" si="221"/>
        <v>0</v>
      </c>
      <c r="L242" s="250">
        <f t="shared" si="222"/>
        <v>0</v>
      </c>
      <c r="M242" s="265" t="str">
        <f t="shared" si="229"/>
        <v>-</v>
      </c>
      <c r="N242" s="264" t="str">
        <f t="shared" si="230"/>
        <v>-</v>
      </c>
      <c r="O242" s="519">
        <v>2.3201000000000001</v>
      </c>
      <c r="P242" s="410">
        <f t="shared" si="223"/>
        <v>0</v>
      </c>
      <c r="Q242" s="459">
        <f t="shared" si="224"/>
        <v>0</v>
      </c>
    </row>
    <row r="243" spans="1:17" ht="24" thickBot="1" x14ac:dyDescent="0.35">
      <c r="A243" s="248" t="s">
        <v>109</v>
      </c>
      <c r="B243" s="537"/>
      <c r="C243" s="554"/>
      <c r="D243" s="543"/>
      <c r="E243" s="473"/>
      <c r="F243" s="471">
        <f t="shared" si="225"/>
        <v>0</v>
      </c>
      <c r="G243" s="472"/>
      <c r="H243" s="472"/>
      <c r="I243" s="545" t="str">
        <f>IFERROR(F243/#REF!,"-")</f>
        <v>-</v>
      </c>
      <c r="J243" s="471">
        <f t="shared" si="226"/>
        <v>0</v>
      </c>
      <c r="K243" s="472">
        <f t="shared" si="221"/>
        <v>0</v>
      </c>
      <c r="L243" s="257">
        <f t="shared" si="222"/>
        <v>0</v>
      </c>
      <c r="M243" s="267" t="str">
        <f t="shared" si="229"/>
        <v>-</v>
      </c>
      <c r="N243" s="266" t="str">
        <f t="shared" si="230"/>
        <v>-</v>
      </c>
      <c r="O243" s="552"/>
      <c r="P243" s="549">
        <f t="shared" si="223"/>
        <v>0</v>
      </c>
      <c r="Q243" s="550">
        <f t="shared" si="224"/>
        <v>0</v>
      </c>
    </row>
    <row r="244" spans="1:17" ht="24" thickBot="1" x14ac:dyDescent="0.35">
      <c r="A244" s="277" t="s">
        <v>109</v>
      </c>
      <c r="B244" s="982" t="s">
        <v>25</v>
      </c>
      <c r="C244" s="983"/>
      <c r="D244" s="525">
        <f t="shared" ref="D244" si="231">SUM(D220:D243)</f>
        <v>0</v>
      </c>
      <c r="E244" s="539">
        <v>100000</v>
      </c>
      <c r="F244" s="525">
        <f>SUM(F220:F243)</f>
        <v>0</v>
      </c>
      <c r="G244" s="531">
        <f t="shared" ref="G244:H244" si="232">SUM(G220:G243)</f>
        <v>0</v>
      </c>
      <c r="H244" s="531">
        <f t="shared" si="232"/>
        <v>0</v>
      </c>
      <c r="I244" s="532" t="str">
        <f>IFERROR(F244/#REF!,"-")</f>
        <v>-</v>
      </c>
      <c r="J244" s="525">
        <f t="shared" ref="J244" si="233">SUM(J220:J243)</f>
        <v>263686</v>
      </c>
      <c r="K244" s="531">
        <f>SUM(K215:K243)</f>
        <v>284500</v>
      </c>
      <c r="L244" s="533">
        <f t="shared" ref="L244" si="234">SUM(L220:L243)</f>
        <v>3286</v>
      </c>
      <c r="M244" s="534" t="str">
        <f t="shared" si="229"/>
        <v>-</v>
      </c>
      <c r="N244" s="532">
        <f t="shared" si="230"/>
        <v>1.2461791676463673E-2</v>
      </c>
      <c r="O244" s="535"/>
      <c r="P244" s="536">
        <f>SUM(P215:P243)</f>
        <v>0</v>
      </c>
      <c r="Q244" s="536">
        <f>SUM(Q215:Q243)</f>
        <v>2387773.6999999997</v>
      </c>
    </row>
    <row r="245" spans="1:17" ht="24" thickBot="1" x14ac:dyDescent="0.35">
      <c r="A245" s="324" t="s">
        <v>109</v>
      </c>
      <c r="B245" s="984" t="s">
        <v>276</v>
      </c>
      <c r="C245" s="927"/>
      <c r="D245" s="332">
        <f>+D219+D244</f>
        <v>0</v>
      </c>
      <c r="E245" s="333">
        <f>+E219+E244</f>
        <v>100000</v>
      </c>
      <c r="F245" s="332">
        <f>+F219+F244</f>
        <v>0</v>
      </c>
      <c r="G245" s="330">
        <f>+G219+G244</f>
        <v>0</v>
      </c>
      <c r="H245" s="330">
        <f>+H219+H244</f>
        <v>0</v>
      </c>
      <c r="I245" s="355" t="str">
        <f>IFERROR(F245/#REF!,"-")</f>
        <v>-</v>
      </c>
      <c r="J245" s="332">
        <f>+J219+J244</f>
        <v>266036</v>
      </c>
      <c r="K245" s="330">
        <f>K244</f>
        <v>284500</v>
      </c>
      <c r="L245" s="331">
        <f>+L219+L244</f>
        <v>3736</v>
      </c>
      <c r="M245" s="347" t="str">
        <f t="shared" si="229"/>
        <v>-</v>
      </c>
      <c r="N245" s="355">
        <f t="shared" si="230"/>
        <v>1.4043212196845539E-2</v>
      </c>
      <c r="O245" s="400"/>
      <c r="P245" s="416">
        <f>+P219+P244</f>
        <v>0</v>
      </c>
      <c r="Q245" s="434">
        <f>Q244</f>
        <v>2387773.6999999997</v>
      </c>
    </row>
    <row r="246" spans="1:17" ht="24.6" thickBot="1" x14ac:dyDescent="0.35">
      <c r="A246" s="325"/>
      <c r="B246" s="915" t="s">
        <v>183</v>
      </c>
      <c r="C246" s="916"/>
      <c r="D246" s="380">
        <f>+D245+D214+D205</f>
        <v>0</v>
      </c>
      <c r="E246" s="380">
        <f>+E245+E214+E205</f>
        <v>230000</v>
      </c>
      <c r="F246" s="380">
        <f>+F245+F214+F205</f>
        <v>142348</v>
      </c>
      <c r="G246" s="380">
        <f>+G245+G214+G205</f>
        <v>141250</v>
      </c>
      <c r="H246" s="380">
        <f>+H245+H214+H205</f>
        <v>1098</v>
      </c>
      <c r="I246" s="381" t="str">
        <f>IFERROR(F246/#REF!,"-")</f>
        <v>-</v>
      </c>
      <c r="J246" s="380">
        <f>+J245+J214+J205</f>
        <v>1071130</v>
      </c>
      <c r="K246" s="380">
        <f>+K245+K214+K205</f>
        <v>1072740</v>
      </c>
      <c r="L246" s="380">
        <f>+L245+L214+L205</f>
        <v>20590</v>
      </c>
      <c r="M246" s="381" t="str">
        <f t="shared" si="229"/>
        <v>-</v>
      </c>
      <c r="N246" s="381">
        <f>IFERROR(L246/J246,"-")</f>
        <v>1.9222690056295687E-2</v>
      </c>
      <c r="O246" s="407"/>
      <c r="P246" s="424">
        <f>+P245+P214+P205</f>
        <v>312741.625</v>
      </c>
      <c r="Q246" s="424">
        <f>+Q245+Q214+Q205</f>
        <v>6575807.8760000002</v>
      </c>
    </row>
    <row r="247" spans="1:17" ht="23.4" x14ac:dyDescent="0.3">
      <c r="A247" s="935" t="s">
        <v>1</v>
      </c>
      <c r="B247" s="938" t="s">
        <v>2</v>
      </c>
      <c r="C247" s="941" t="s">
        <v>3</v>
      </c>
      <c r="D247" s="944" t="s">
        <v>4</v>
      </c>
      <c r="E247" s="945"/>
      <c r="F247" s="945"/>
      <c r="G247" s="945"/>
      <c r="H247" s="945"/>
      <c r="I247" s="945"/>
      <c r="J247" s="945"/>
      <c r="K247" s="945"/>
      <c r="L247" s="945"/>
      <c r="M247" s="945"/>
      <c r="N247" s="946"/>
      <c r="O247" s="965" t="s">
        <v>176</v>
      </c>
      <c r="P247" s="966"/>
      <c r="Q247" s="990"/>
    </row>
    <row r="248" spans="1:17" ht="23.4" x14ac:dyDescent="0.3">
      <c r="A248" s="936"/>
      <c r="B248" s="939"/>
      <c r="C248" s="942"/>
      <c r="D248" s="947" t="s">
        <v>7</v>
      </c>
      <c r="E248" s="949" t="s">
        <v>116</v>
      </c>
      <c r="F248" s="991" t="s">
        <v>428</v>
      </c>
      <c r="G248" s="952"/>
      <c r="H248" s="952"/>
      <c r="I248" s="953"/>
      <c r="J248" s="954" t="s">
        <v>8</v>
      </c>
      <c r="K248" s="955"/>
      <c r="L248" s="956"/>
      <c r="M248" s="957" t="s">
        <v>174</v>
      </c>
      <c r="N248" s="959" t="s">
        <v>173</v>
      </c>
      <c r="O248" s="967" t="s">
        <v>178</v>
      </c>
      <c r="P248" s="968"/>
      <c r="Q248" s="969"/>
    </row>
    <row r="249" spans="1:17" ht="47.4" thickBot="1" x14ac:dyDescent="0.35">
      <c r="A249" s="937"/>
      <c r="B249" s="940"/>
      <c r="C249" s="943"/>
      <c r="D249" s="948"/>
      <c r="E249" s="950"/>
      <c r="F249" s="462" t="s">
        <v>13</v>
      </c>
      <c r="G249" s="463" t="s">
        <v>14</v>
      </c>
      <c r="H249" s="463" t="s">
        <v>15</v>
      </c>
      <c r="I249" s="464" t="s">
        <v>175</v>
      </c>
      <c r="J249" s="462" t="s">
        <v>13</v>
      </c>
      <c r="K249" s="463" t="s">
        <v>14</v>
      </c>
      <c r="L249" s="465" t="s">
        <v>15</v>
      </c>
      <c r="M249" s="958"/>
      <c r="N249" s="960"/>
      <c r="O249" s="453" t="s">
        <v>179</v>
      </c>
      <c r="P249" s="454" t="s">
        <v>11</v>
      </c>
      <c r="Q249" s="455" t="s">
        <v>12</v>
      </c>
    </row>
    <row r="250" spans="1:17" ht="23.4" x14ac:dyDescent="0.3">
      <c r="A250" s="271" t="s">
        <v>111</v>
      </c>
      <c r="B250" s="445"/>
      <c r="C250" s="272" t="s">
        <v>272</v>
      </c>
      <c r="D250" s="273"/>
      <c r="E250" s="274"/>
      <c r="F250" s="338">
        <f>+G250+H250</f>
        <v>0</v>
      </c>
      <c r="G250" s="275">
        <v>0</v>
      </c>
      <c r="H250" s="275">
        <v>0</v>
      </c>
      <c r="I250" s="357" t="str">
        <f>IFERROR(F250/#REF!,"-")</f>
        <v>-</v>
      </c>
      <c r="J250" s="468">
        <f>+K250+L250</f>
        <v>78720</v>
      </c>
      <c r="K250" s="469">
        <f>+G250+K191</f>
        <v>70840</v>
      </c>
      <c r="L250" s="470">
        <f>+H250+L191</f>
        <v>7880</v>
      </c>
      <c r="M250" s="342" t="str">
        <f>IFERROR(J250/D250,"-")</f>
        <v>-</v>
      </c>
      <c r="N250" s="349">
        <f t="shared" ref="N250:N251" si="235">IFERROR(L250/J250,"-")</f>
        <v>0.10010162601626016</v>
      </c>
      <c r="O250" s="518">
        <v>1.5669</v>
      </c>
      <c r="P250" s="408">
        <f>+O250*G250</f>
        <v>0</v>
      </c>
      <c r="Q250" s="457">
        <f>+O250*K250</f>
        <v>110999.196</v>
      </c>
    </row>
    <row r="251" spans="1:17" ht="23.4" x14ac:dyDescent="0.3">
      <c r="A251" s="277" t="s">
        <v>111</v>
      </c>
      <c r="B251" s="444"/>
      <c r="C251" s="278" t="s">
        <v>271</v>
      </c>
      <c r="D251" s="279"/>
      <c r="E251" s="280"/>
      <c r="F251" s="339">
        <f t="shared" ref="F251:F254" si="236">+G251+H251</f>
        <v>0</v>
      </c>
      <c r="G251" s="281">
        <v>0</v>
      </c>
      <c r="H251" s="281">
        <v>0</v>
      </c>
      <c r="I251" s="358" t="str">
        <f>IFERROR(F251/#REF!,"-")</f>
        <v>-</v>
      </c>
      <c r="J251" s="339">
        <f t="shared" ref="J251:J254" si="237">+K251+L251</f>
        <v>0</v>
      </c>
      <c r="K251" s="281">
        <f t="shared" ref="K251:K254" si="238">+G251+K192</f>
        <v>0</v>
      </c>
      <c r="L251" s="442">
        <f t="shared" ref="L251:L254" si="239">+H251+L192</f>
        <v>0</v>
      </c>
      <c r="M251" s="343" t="str">
        <f t="shared" ref="M251:M254" si="240">IFERROR(J251/D251,"-")</f>
        <v>-</v>
      </c>
      <c r="N251" s="268" t="str">
        <f t="shared" si="235"/>
        <v>-</v>
      </c>
      <c r="O251" s="519">
        <v>2.3978999999999999</v>
      </c>
      <c r="P251" s="410">
        <f t="shared" ref="P251:P254" si="241">+O251*G251</f>
        <v>0</v>
      </c>
      <c r="Q251" s="459">
        <f t="shared" ref="Q251:Q254" si="242">+O251*K251</f>
        <v>0</v>
      </c>
    </row>
    <row r="252" spans="1:17" ht="23.4" x14ac:dyDescent="0.3">
      <c r="A252" s="277" t="s">
        <v>111</v>
      </c>
      <c r="B252" s="444"/>
      <c r="C252" s="278" t="s">
        <v>273</v>
      </c>
      <c r="D252" s="279"/>
      <c r="E252" s="280"/>
      <c r="F252" s="339">
        <f t="shared" si="236"/>
        <v>0</v>
      </c>
      <c r="G252" s="281">
        <v>0</v>
      </c>
      <c r="H252" s="281">
        <v>0</v>
      </c>
      <c r="I252" s="358" t="str">
        <f>IFERROR(F252/#REF!,"-")</f>
        <v>-</v>
      </c>
      <c r="J252" s="339">
        <f t="shared" si="237"/>
        <v>0</v>
      </c>
      <c r="K252" s="281">
        <f t="shared" si="238"/>
        <v>0</v>
      </c>
      <c r="L252" s="251">
        <f t="shared" si="239"/>
        <v>0</v>
      </c>
      <c r="M252" s="343" t="str">
        <f t="shared" si="240"/>
        <v>-</v>
      </c>
      <c r="N252" s="268" t="str">
        <f>IFERROR(L252/J252,"-")</f>
        <v>-</v>
      </c>
      <c r="O252" s="519">
        <v>4.0426000000000002</v>
      </c>
      <c r="P252" s="410">
        <f t="shared" si="241"/>
        <v>0</v>
      </c>
      <c r="Q252" s="459">
        <f t="shared" si="242"/>
        <v>0</v>
      </c>
    </row>
    <row r="253" spans="1:17" ht="23.4" x14ac:dyDescent="0.3">
      <c r="A253" s="277"/>
      <c r="B253" s="461"/>
      <c r="C253" s="278" t="s">
        <v>372</v>
      </c>
      <c r="D253" s="283"/>
      <c r="E253" s="284"/>
      <c r="F253" s="339">
        <f t="shared" si="236"/>
        <v>44108</v>
      </c>
      <c r="G253" s="285">
        <v>43600</v>
      </c>
      <c r="H253" s="285">
        <v>508</v>
      </c>
      <c r="I253" s="358" t="str">
        <f>IFERROR(F253/#REF!,"-")</f>
        <v>-</v>
      </c>
      <c r="J253" s="339">
        <f t="shared" si="237"/>
        <v>207114</v>
      </c>
      <c r="K253" s="281">
        <f t="shared" si="238"/>
        <v>203000</v>
      </c>
      <c r="L253" s="286">
        <f t="shared" si="239"/>
        <v>4114</v>
      </c>
      <c r="M253" s="343" t="str">
        <f t="shared" si="240"/>
        <v>-</v>
      </c>
      <c r="N253" s="268">
        <f>IFERROR(L253/J253,"-")</f>
        <v>1.9863456840194291E-2</v>
      </c>
      <c r="O253" s="520">
        <v>12.284700000000001</v>
      </c>
      <c r="P253" s="410">
        <f t="shared" si="241"/>
        <v>535612.92000000004</v>
      </c>
      <c r="Q253" s="459">
        <f t="shared" si="242"/>
        <v>2493794.1</v>
      </c>
    </row>
    <row r="254" spans="1:17" ht="24" thickBot="1" x14ac:dyDescent="0.35">
      <c r="A254" s="277" t="s">
        <v>111</v>
      </c>
      <c r="B254" s="461"/>
      <c r="C254" s="278" t="s">
        <v>361</v>
      </c>
      <c r="D254" s="283"/>
      <c r="E254" s="284"/>
      <c r="F254" s="340">
        <f t="shared" si="236"/>
        <v>0</v>
      </c>
      <c r="G254" s="285">
        <v>0</v>
      </c>
      <c r="H254" s="285">
        <v>0</v>
      </c>
      <c r="I254" s="359" t="str">
        <f>IFERROR(F254/#REF!,"-")</f>
        <v>-</v>
      </c>
      <c r="J254" s="471">
        <f t="shared" si="237"/>
        <v>0</v>
      </c>
      <c r="K254" s="472">
        <f t="shared" si="238"/>
        <v>0</v>
      </c>
      <c r="L254" s="258">
        <f t="shared" si="239"/>
        <v>0</v>
      </c>
      <c r="M254" s="344" t="str">
        <f t="shared" si="240"/>
        <v>-</v>
      </c>
      <c r="N254" s="350" t="str">
        <f t="shared" ref="N254:N266" si="243">IFERROR(L254/J254,"-")</f>
        <v>-</v>
      </c>
      <c r="O254" s="520">
        <v>4.6797000000000004</v>
      </c>
      <c r="P254" s="411">
        <f t="shared" si="241"/>
        <v>0</v>
      </c>
      <c r="Q254" s="460">
        <f t="shared" si="242"/>
        <v>0</v>
      </c>
    </row>
    <row r="255" spans="1:17" ht="24" thickBot="1" x14ac:dyDescent="0.35">
      <c r="A255" s="277" t="s">
        <v>111</v>
      </c>
      <c r="B255" s="906" t="s">
        <v>21</v>
      </c>
      <c r="C255" s="907"/>
      <c r="D255" s="326">
        <f>SUM(D250:D254)</f>
        <v>0</v>
      </c>
      <c r="E255" s="289">
        <v>15000</v>
      </c>
      <c r="F255" s="326">
        <f>SUM(F250:F254)</f>
        <v>44108</v>
      </c>
      <c r="G255" s="327">
        <f>SUM(G250:G254)</f>
        <v>43600</v>
      </c>
      <c r="H255" s="327">
        <f>SUM(H250:H254)</f>
        <v>508</v>
      </c>
      <c r="I255" s="351" t="str">
        <f>IFERROR(F255/#REF!,"-")</f>
        <v>-</v>
      </c>
      <c r="J255" s="326">
        <f>SUM(J250:J254)</f>
        <v>285834</v>
      </c>
      <c r="K255" s="327">
        <f>SUM(K250:K254)</f>
        <v>273840</v>
      </c>
      <c r="L255" s="328">
        <f>SUM(L250:L254)</f>
        <v>11994</v>
      </c>
      <c r="M255" s="345" t="str">
        <f>IFERROR(J255/D255,"-")</f>
        <v>-</v>
      </c>
      <c r="N255" s="351">
        <f t="shared" si="243"/>
        <v>4.1961418165788536E-2</v>
      </c>
      <c r="O255" s="397"/>
      <c r="P255" s="412">
        <f>SUM(P250:P254)</f>
        <v>535612.92000000004</v>
      </c>
      <c r="Q255" s="431">
        <f>SUM(Q250:Q254)</f>
        <v>2604793.2960000001</v>
      </c>
    </row>
    <row r="256" spans="1:17" ht="23.4" x14ac:dyDescent="0.3">
      <c r="A256" s="277" t="s">
        <v>111</v>
      </c>
      <c r="B256" s="445"/>
      <c r="C256" s="272" t="s">
        <v>270</v>
      </c>
      <c r="D256" s="273"/>
      <c r="E256" s="274"/>
      <c r="F256" s="338">
        <f t="shared" ref="F256:F262" si="244">+G256+H256</f>
        <v>4462</v>
      </c>
      <c r="G256" s="275">
        <v>4320</v>
      </c>
      <c r="H256" s="275">
        <v>142</v>
      </c>
      <c r="I256" s="357" t="str">
        <f>IFERROR(F256/#REF!,"-")</f>
        <v>-</v>
      </c>
      <c r="J256" s="338">
        <f t="shared" ref="J256:J262" si="245">+K256+L256</f>
        <v>4462</v>
      </c>
      <c r="K256" s="275">
        <f t="shared" ref="K256:K262" si="246">+G256+K197</f>
        <v>4320</v>
      </c>
      <c r="L256" s="276">
        <f t="shared" ref="L256:L262" si="247">+H256+L197</f>
        <v>142</v>
      </c>
      <c r="M256" s="342" t="str">
        <f t="shared" ref="M256:M264" si="248">IFERROR(J256/D256,"-")</f>
        <v>-</v>
      </c>
      <c r="N256" s="352">
        <f t="shared" si="243"/>
        <v>3.1824294038547737E-2</v>
      </c>
      <c r="O256" s="518">
        <v>18.2316</v>
      </c>
      <c r="P256" s="408">
        <f t="shared" ref="P256:P262" si="249">+O256*G256</f>
        <v>78760.512000000002</v>
      </c>
      <c r="Q256" s="457">
        <f t="shared" ref="Q256:Q262" si="250">+O256*K256</f>
        <v>78760.512000000002</v>
      </c>
    </row>
    <row r="257" spans="1:17" ht="23.4" x14ac:dyDescent="0.3">
      <c r="A257" s="277" t="s">
        <v>111</v>
      </c>
      <c r="B257" s="444"/>
      <c r="C257" s="278" t="s">
        <v>92</v>
      </c>
      <c r="D257" s="279"/>
      <c r="E257" s="280"/>
      <c r="F257" s="339">
        <f t="shared" si="244"/>
        <v>60000</v>
      </c>
      <c r="G257" s="281">
        <v>60000</v>
      </c>
      <c r="H257" s="281">
        <v>0</v>
      </c>
      <c r="I257" s="358" t="str">
        <f>IFERROR(F257/#REF!,"-")</f>
        <v>-</v>
      </c>
      <c r="J257" s="339">
        <f t="shared" si="245"/>
        <v>60000</v>
      </c>
      <c r="K257" s="281">
        <f t="shared" si="246"/>
        <v>60000</v>
      </c>
      <c r="L257" s="251">
        <f t="shared" si="247"/>
        <v>0</v>
      </c>
      <c r="M257" s="343" t="str">
        <f t="shared" si="248"/>
        <v>-</v>
      </c>
      <c r="N257" s="264">
        <f t="shared" si="243"/>
        <v>0</v>
      </c>
      <c r="O257" s="519">
        <v>0</v>
      </c>
      <c r="P257" s="410">
        <f t="shared" si="249"/>
        <v>0</v>
      </c>
      <c r="Q257" s="459">
        <f t="shared" si="250"/>
        <v>0</v>
      </c>
    </row>
    <row r="258" spans="1:17" ht="23.4" x14ac:dyDescent="0.3">
      <c r="A258" s="277" t="s">
        <v>111</v>
      </c>
      <c r="B258" s="444"/>
      <c r="C258" s="278" t="s">
        <v>340</v>
      </c>
      <c r="D258" s="279"/>
      <c r="E258" s="280"/>
      <c r="F258" s="339">
        <f t="shared" si="244"/>
        <v>0</v>
      </c>
      <c r="G258" s="281">
        <v>0</v>
      </c>
      <c r="H258" s="281">
        <v>0</v>
      </c>
      <c r="I258" s="358" t="str">
        <f>IFERROR(F258/#REF!,"-")</f>
        <v>-</v>
      </c>
      <c r="J258" s="339">
        <f t="shared" si="245"/>
        <v>0</v>
      </c>
      <c r="K258" s="281">
        <f t="shared" si="246"/>
        <v>0</v>
      </c>
      <c r="L258" s="251">
        <f t="shared" si="247"/>
        <v>0</v>
      </c>
      <c r="M258" s="343" t="str">
        <f t="shared" si="248"/>
        <v>-</v>
      </c>
      <c r="N258" s="264" t="str">
        <f t="shared" si="243"/>
        <v>-</v>
      </c>
      <c r="O258" s="519">
        <v>5.7342000000000004</v>
      </c>
      <c r="P258" s="410">
        <f t="shared" si="249"/>
        <v>0</v>
      </c>
      <c r="Q258" s="459">
        <f t="shared" si="250"/>
        <v>0</v>
      </c>
    </row>
    <row r="259" spans="1:17" ht="23.4" x14ac:dyDescent="0.3">
      <c r="A259" s="277" t="s">
        <v>111</v>
      </c>
      <c r="B259" s="444"/>
      <c r="C259" s="278" t="s">
        <v>363</v>
      </c>
      <c r="D259" s="279"/>
      <c r="E259" s="280"/>
      <c r="F259" s="339">
        <f t="shared" si="244"/>
        <v>0</v>
      </c>
      <c r="G259" s="281">
        <v>0</v>
      </c>
      <c r="H259" s="281">
        <v>0</v>
      </c>
      <c r="I259" s="358" t="str">
        <f>IFERROR(F259/#REF!,"-")</f>
        <v>-</v>
      </c>
      <c r="J259" s="339">
        <f t="shared" si="245"/>
        <v>0</v>
      </c>
      <c r="K259" s="281">
        <f t="shared" si="246"/>
        <v>0</v>
      </c>
      <c r="L259" s="251">
        <f t="shared" si="247"/>
        <v>0</v>
      </c>
      <c r="M259" s="343" t="str">
        <f t="shared" si="248"/>
        <v>-</v>
      </c>
      <c r="N259" s="264" t="str">
        <f t="shared" si="243"/>
        <v>-</v>
      </c>
      <c r="O259" s="519"/>
      <c r="P259" s="410">
        <f t="shared" si="249"/>
        <v>0</v>
      </c>
      <c r="Q259" s="459">
        <f t="shared" si="250"/>
        <v>0</v>
      </c>
    </row>
    <row r="260" spans="1:17" ht="23.4" x14ac:dyDescent="0.3">
      <c r="A260" s="277" t="s">
        <v>111</v>
      </c>
      <c r="B260" s="444"/>
      <c r="C260" s="278" t="s">
        <v>373</v>
      </c>
      <c r="D260" s="279"/>
      <c r="E260" s="280"/>
      <c r="F260" s="339">
        <f t="shared" si="244"/>
        <v>36127</v>
      </c>
      <c r="G260" s="281">
        <v>36000</v>
      </c>
      <c r="H260" s="281">
        <v>127</v>
      </c>
      <c r="I260" s="358" t="str">
        <f>IFERROR(F260/#REF!,"-")</f>
        <v>-</v>
      </c>
      <c r="J260" s="339">
        <f t="shared" si="245"/>
        <v>126542</v>
      </c>
      <c r="K260" s="281">
        <f t="shared" si="246"/>
        <v>126000</v>
      </c>
      <c r="L260" s="251">
        <f t="shared" si="247"/>
        <v>542</v>
      </c>
      <c r="M260" s="343" t="str">
        <f t="shared" si="248"/>
        <v>-</v>
      </c>
      <c r="N260" s="264">
        <f t="shared" si="243"/>
        <v>4.2831629024355552E-3</v>
      </c>
      <c r="O260" s="519">
        <v>12.029500000000001</v>
      </c>
      <c r="P260" s="410">
        <f t="shared" si="249"/>
        <v>433062</v>
      </c>
      <c r="Q260" s="459">
        <f t="shared" si="250"/>
        <v>1515717</v>
      </c>
    </row>
    <row r="261" spans="1:17" ht="23.4" x14ac:dyDescent="0.3">
      <c r="A261" s="277" t="s">
        <v>111</v>
      </c>
      <c r="B261" s="444"/>
      <c r="C261" s="278"/>
      <c r="D261" s="279"/>
      <c r="E261" s="280"/>
      <c r="F261" s="339">
        <f t="shared" si="244"/>
        <v>0</v>
      </c>
      <c r="G261" s="281">
        <v>0</v>
      </c>
      <c r="H261" s="281">
        <v>0</v>
      </c>
      <c r="I261" s="358" t="str">
        <f>IFERROR(F261/#REF!,"-")</f>
        <v>-</v>
      </c>
      <c r="J261" s="339">
        <f t="shared" si="245"/>
        <v>0</v>
      </c>
      <c r="K261" s="281">
        <f t="shared" si="246"/>
        <v>0</v>
      </c>
      <c r="L261" s="251">
        <f t="shared" si="247"/>
        <v>0</v>
      </c>
      <c r="M261" s="343" t="str">
        <f t="shared" si="248"/>
        <v>-</v>
      </c>
      <c r="N261" s="264" t="str">
        <f t="shared" si="243"/>
        <v>-</v>
      </c>
      <c r="O261" s="519"/>
      <c r="P261" s="410">
        <f t="shared" si="249"/>
        <v>0</v>
      </c>
      <c r="Q261" s="459">
        <f t="shared" si="250"/>
        <v>0</v>
      </c>
    </row>
    <row r="262" spans="1:17" ht="24" thickBot="1" x14ac:dyDescent="0.35">
      <c r="A262" s="277" t="s">
        <v>111</v>
      </c>
      <c r="B262" s="461"/>
      <c r="C262" s="282"/>
      <c r="D262" s="283">
        <v>0</v>
      </c>
      <c r="E262" s="284"/>
      <c r="F262" s="340">
        <f t="shared" si="244"/>
        <v>0</v>
      </c>
      <c r="G262" s="285">
        <v>0</v>
      </c>
      <c r="H262" s="285">
        <v>0</v>
      </c>
      <c r="I262" s="359" t="str">
        <f>IFERROR(F262/#REF!,"-")</f>
        <v>-</v>
      </c>
      <c r="J262" s="340">
        <f t="shared" si="245"/>
        <v>0</v>
      </c>
      <c r="K262" s="285">
        <f t="shared" si="246"/>
        <v>0</v>
      </c>
      <c r="L262" s="286">
        <f t="shared" si="247"/>
        <v>0</v>
      </c>
      <c r="M262" s="344" t="str">
        <f t="shared" si="248"/>
        <v>-</v>
      </c>
      <c r="N262" s="353" t="str">
        <f t="shared" si="243"/>
        <v>-</v>
      </c>
      <c r="O262" s="520"/>
      <c r="P262" s="411">
        <f t="shared" si="249"/>
        <v>0</v>
      </c>
      <c r="Q262" s="460">
        <f t="shared" si="250"/>
        <v>0</v>
      </c>
    </row>
    <row r="263" spans="1:17" ht="24" thickBot="1" x14ac:dyDescent="0.35">
      <c r="A263" s="277" t="s">
        <v>111</v>
      </c>
      <c r="B263" s="906" t="s">
        <v>25</v>
      </c>
      <c r="C263" s="907"/>
      <c r="D263" s="326">
        <f t="shared" ref="D263" si="251">SUM(D256:D262)</f>
        <v>0</v>
      </c>
      <c r="E263" s="289">
        <v>100000</v>
      </c>
      <c r="F263" s="326">
        <f>SUM(F256:F262)</f>
        <v>100589</v>
      </c>
      <c r="G263" s="327">
        <f t="shared" ref="G263:H263" si="252">SUM(G256:G262)</f>
        <v>100320</v>
      </c>
      <c r="H263" s="327">
        <f t="shared" si="252"/>
        <v>269</v>
      </c>
      <c r="I263" s="351" t="str">
        <f>IFERROR(F263/#REF!,"-")</f>
        <v>-</v>
      </c>
      <c r="J263" s="326">
        <f t="shared" ref="J263:L263" si="253">SUM(J256:J262)</f>
        <v>191004</v>
      </c>
      <c r="K263" s="327">
        <f t="shared" si="253"/>
        <v>190320</v>
      </c>
      <c r="L263" s="328">
        <f t="shared" si="253"/>
        <v>684</v>
      </c>
      <c r="M263" s="345" t="str">
        <f t="shared" si="248"/>
        <v>-</v>
      </c>
      <c r="N263" s="351">
        <f t="shared" si="243"/>
        <v>3.5810768360872024E-3</v>
      </c>
      <c r="O263" s="397"/>
      <c r="P263" s="412">
        <f t="shared" ref="P263:Q263" si="254">SUM(P256:P262)</f>
        <v>511822.51199999999</v>
      </c>
      <c r="Q263" s="431">
        <f t="shared" si="254"/>
        <v>1594477.5120000001</v>
      </c>
    </row>
    <row r="264" spans="1:17" ht="24" thickBot="1" x14ac:dyDescent="0.35">
      <c r="A264" s="277" t="s">
        <v>111</v>
      </c>
      <c r="B264" s="985" t="s">
        <v>181</v>
      </c>
      <c r="C264" s="986"/>
      <c r="D264" s="332">
        <f>+D255+D263</f>
        <v>0</v>
      </c>
      <c r="E264" s="333">
        <f t="shared" ref="E264:H264" si="255">+E255+E263</f>
        <v>115000</v>
      </c>
      <c r="F264" s="332">
        <f t="shared" si="255"/>
        <v>144697</v>
      </c>
      <c r="G264" s="330">
        <f t="shared" si="255"/>
        <v>143920</v>
      </c>
      <c r="H264" s="330">
        <f t="shared" si="255"/>
        <v>777</v>
      </c>
      <c r="I264" s="355" t="str">
        <f>IFERROR(F264/#REF!,"-")</f>
        <v>-</v>
      </c>
      <c r="J264" s="332">
        <f t="shared" ref="J264:L264" si="256">+J255+J263</f>
        <v>476838</v>
      </c>
      <c r="K264" s="330">
        <f t="shared" si="256"/>
        <v>464160</v>
      </c>
      <c r="L264" s="331">
        <f t="shared" si="256"/>
        <v>12678</v>
      </c>
      <c r="M264" s="347" t="str">
        <f t="shared" si="248"/>
        <v>-</v>
      </c>
      <c r="N264" s="355">
        <f t="shared" si="243"/>
        <v>2.6587646118807644E-2</v>
      </c>
      <c r="O264" s="400"/>
      <c r="P264" s="416">
        <f t="shared" ref="P264:Q264" si="257">+P255+P263</f>
        <v>1047435.432</v>
      </c>
      <c r="Q264" s="434">
        <f t="shared" si="257"/>
        <v>4199270.8080000002</v>
      </c>
    </row>
    <row r="265" spans="1:17" ht="23.4" x14ac:dyDescent="0.3">
      <c r="A265" s="244" t="s">
        <v>109</v>
      </c>
      <c r="B265" s="599"/>
      <c r="C265" s="600" t="s">
        <v>314</v>
      </c>
      <c r="D265" s="540"/>
      <c r="E265" s="470"/>
      <c r="F265" s="468">
        <f>+G265+H265</f>
        <v>0</v>
      </c>
      <c r="G265" s="469">
        <v>0</v>
      </c>
      <c r="H265" s="469">
        <v>0</v>
      </c>
      <c r="I265" s="544" t="str">
        <f>IFERROR(F265/#REF!,"-")</f>
        <v>-</v>
      </c>
      <c r="J265" s="468">
        <f>+K265+L265</f>
        <v>0</v>
      </c>
      <c r="K265" s="469">
        <f t="shared" ref="K265:K271" si="258">+G265+K206</f>
        <v>0</v>
      </c>
      <c r="L265" s="247">
        <f t="shared" ref="L265:L271" si="259">+H265+L206</f>
        <v>0</v>
      </c>
      <c r="M265" s="604" t="str">
        <f>IFERROR(J265/D265,"-")</f>
        <v>-</v>
      </c>
      <c r="N265" s="546" t="str">
        <f t="shared" si="243"/>
        <v>-</v>
      </c>
      <c r="O265" s="648">
        <v>4.8285999999999998</v>
      </c>
      <c r="P265" s="547">
        <f t="shared" ref="P265:P271" si="260">+O265*G265</f>
        <v>0</v>
      </c>
      <c r="Q265" s="548">
        <f>+O265*K265</f>
        <v>0</v>
      </c>
    </row>
    <row r="266" spans="1:17" ht="23.4" x14ac:dyDescent="0.3">
      <c r="A266" s="248" t="s">
        <v>109</v>
      </c>
      <c r="B266" s="601"/>
      <c r="C266" s="278" t="s">
        <v>315</v>
      </c>
      <c r="D266" s="279"/>
      <c r="E266" s="442"/>
      <c r="F266" s="339">
        <f t="shared" ref="F266:F271" si="261">+G266+H266</f>
        <v>0</v>
      </c>
      <c r="G266" s="281">
        <v>0</v>
      </c>
      <c r="H266" s="281">
        <v>0</v>
      </c>
      <c r="I266" s="358" t="str">
        <f>IFERROR(F266/#REF!,"-")</f>
        <v>-</v>
      </c>
      <c r="J266" s="339">
        <f t="shared" ref="J266:J271" si="262">+K266+L266</f>
        <v>0</v>
      </c>
      <c r="K266" s="281">
        <f t="shared" si="258"/>
        <v>0</v>
      </c>
      <c r="L266" s="251">
        <f t="shared" si="259"/>
        <v>0</v>
      </c>
      <c r="M266" s="343" t="str">
        <f t="shared" ref="M266:M268" si="263">IFERROR(J266/D266,"-")</f>
        <v>-</v>
      </c>
      <c r="N266" s="268" t="str">
        <f t="shared" si="243"/>
        <v>-</v>
      </c>
      <c r="O266" s="649">
        <v>1.4086000000000001</v>
      </c>
      <c r="P266" s="410">
        <f t="shared" si="260"/>
        <v>0</v>
      </c>
      <c r="Q266" s="459">
        <f t="shared" ref="Q266:Q271" si="264">+O266*K266</f>
        <v>0</v>
      </c>
    </row>
    <row r="267" spans="1:17" ht="23.4" x14ac:dyDescent="0.3">
      <c r="A267" s="248" t="s">
        <v>109</v>
      </c>
      <c r="B267" s="601"/>
      <c r="C267" s="278" t="s">
        <v>367</v>
      </c>
      <c r="D267" s="279"/>
      <c r="E267" s="442"/>
      <c r="F267" s="339">
        <f t="shared" si="261"/>
        <v>78900</v>
      </c>
      <c r="G267" s="281">
        <v>77000</v>
      </c>
      <c r="H267" s="281">
        <v>1900</v>
      </c>
      <c r="I267" s="358" t="str">
        <f>IFERROR(F267/#REF!,"-")</f>
        <v>-</v>
      </c>
      <c r="J267" s="339">
        <f t="shared" si="262"/>
        <v>551853</v>
      </c>
      <c r="K267" s="281">
        <f t="shared" si="258"/>
        <v>545000</v>
      </c>
      <c r="L267" s="251">
        <f t="shared" si="259"/>
        <v>6853</v>
      </c>
      <c r="M267" s="343" t="str">
        <f t="shared" si="263"/>
        <v>-</v>
      </c>
      <c r="N267" s="268">
        <f>IFERROR(L267/J267,"-")</f>
        <v>1.2418162083018484E-2</v>
      </c>
      <c r="O267" s="649">
        <v>2.2141000000000002</v>
      </c>
      <c r="P267" s="410">
        <f t="shared" si="260"/>
        <v>170485.7</v>
      </c>
      <c r="Q267" s="459">
        <f t="shared" si="264"/>
        <v>1206684.5</v>
      </c>
    </row>
    <row r="268" spans="1:17" ht="23.4" x14ac:dyDescent="0.3">
      <c r="A268" s="248" t="s">
        <v>109</v>
      </c>
      <c r="B268" s="602"/>
      <c r="C268" s="278" t="s">
        <v>399</v>
      </c>
      <c r="D268" s="283"/>
      <c r="E268" s="541"/>
      <c r="F268" s="340">
        <f t="shared" si="261"/>
        <v>0</v>
      </c>
      <c r="G268" s="285">
        <v>0</v>
      </c>
      <c r="H268" s="285">
        <v>0</v>
      </c>
      <c r="I268" s="359" t="str">
        <f>IFERROR(F268/#REF!,"-")</f>
        <v>-</v>
      </c>
      <c r="J268" s="339">
        <f t="shared" si="262"/>
        <v>0</v>
      </c>
      <c r="K268" s="285">
        <f t="shared" si="258"/>
        <v>0</v>
      </c>
      <c r="L268" s="286">
        <f t="shared" si="259"/>
        <v>0</v>
      </c>
      <c r="M268" s="344" t="str">
        <f t="shared" si="263"/>
        <v>-</v>
      </c>
      <c r="N268" s="350" t="str">
        <f t="shared" ref="N268:N275" si="265">IFERROR(L268/J268,"-")</f>
        <v>-</v>
      </c>
      <c r="O268" s="650">
        <v>2.6406000000000001</v>
      </c>
      <c r="P268" s="411">
        <f t="shared" si="260"/>
        <v>0</v>
      </c>
      <c r="Q268" s="460">
        <f t="shared" si="264"/>
        <v>0</v>
      </c>
    </row>
    <row r="269" spans="1:17" ht="23.4" x14ac:dyDescent="0.3">
      <c r="A269" s="248" t="s">
        <v>109</v>
      </c>
      <c r="B269" s="446"/>
      <c r="C269" s="647" t="s">
        <v>398</v>
      </c>
      <c r="D269" s="521"/>
      <c r="E269" s="542"/>
      <c r="F269" s="339">
        <f t="shared" si="261"/>
        <v>0</v>
      </c>
      <c r="G269" s="561">
        <v>0</v>
      </c>
      <c r="H269" s="561">
        <v>0</v>
      </c>
      <c r="I269" s="358" t="str">
        <f>IFERROR(F269/#REF!,"-")</f>
        <v>-</v>
      </c>
      <c r="J269" s="339">
        <f t="shared" si="262"/>
        <v>0</v>
      </c>
      <c r="K269" s="285">
        <f t="shared" si="258"/>
        <v>0</v>
      </c>
      <c r="L269" s="286">
        <f t="shared" si="259"/>
        <v>0</v>
      </c>
      <c r="M269" s="522"/>
      <c r="N269" s="268" t="str">
        <f t="shared" si="265"/>
        <v>-</v>
      </c>
      <c r="O269" s="553">
        <v>4.4065000000000003</v>
      </c>
      <c r="P269" s="410">
        <f t="shared" si="260"/>
        <v>0</v>
      </c>
      <c r="Q269" s="459">
        <f t="shared" si="264"/>
        <v>0</v>
      </c>
    </row>
    <row r="270" spans="1:17" ht="23.4" x14ac:dyDescent="0.3">
      <c r="A270" s="248" t="s">
        <v>109</v>
      </c>
      <c r="B270" s="603"/>
      <c r="C270" s="272"/>
      <c r="D270" s="273"/>
      <c r="E270" s="441"/>
      <c r="F270" s="338">
        <f t="shared" si="261"/>
        <v>0</v>
      </c>
      <c r="G270" s="275"/>
      <c r="H270" s="275"/>
      <c r="I270" s="357" t="str">
        <f>IFERROR(F270/#REF!,"-")</f>
        <v>-</v>
      </c>
      <c r="J270" s="339">
        <f t="shared" si="262"/>
        <v>0</v>
      </c>
      <c r="K270" s="285">
        <f t="shared" si="258"/>
        <v>0</v>
      </c>
      <c r="L270" s="286">
        <f t="shared" si="259"/>
        <v>0</v>
      </c>
      <c r="M270" s="342" t="str">
        <f t="shared" ref="M270:M271" si="266">IFERROR(J270/D270,"-")</f>
        <v>-</v>
      </c>
      <c r="N270" s="352" t="str">
        <f t="shared" si="265"/>
        <v>-</v>
      </c>
      <c r="O270" s="456"/>
      <c r="P270" s="408">
        <f t="shared" si="260"/>
        <v>0</v>
      </c>
      <c r="Q270" s="457">
        <f t="shared" si="264"/>
        <v>0</v>
      </c>
    </row>
    <row r="271" spans="1:17" ht="24" thickBot="1" x14ac:dyDescent="0.35">
      <c r="A271" s="248" t="s">
        <v>109</v>
      </c>
      <c r="B271" s="601"/>
      <c r="C271" s="278"/>
      <c r="D271" s="279"/>
      <c r="E271" s="442"/>
      <c r="F271" s="339">
        <f t="shared" si="261"/>
        <v>0</v>
      </c>
      <c r="G271" s="281"/>
      <c r="H271" s="281"/>
      <c r="I271" s="358" t="str">
        <f>IFERROR(F271/#REF!,"-")</f>
        <v>-</v>
      </c>
      <c r="J271" s="339">
        <f t="shared" si="262"/>
        <v>0</v>
      </c>
      <c r="K271" s="281">
        <f t="shared" si="258"/>
        <v>0</v>
      </c>
      <c r="L271" s="251">
        <f t="shared" si="259"/>
        <v>0</v>
      </c>
      <c r="M271" s="343" t="str">
        <f t="shared" si="266"/>
        <v>-</v>
      </c>
      <c r="N271" s="264" t="str">
        <f t="shared" si="265"/>
        <v>-</v>
      </c>
      <c r="O271" s="458"/>
      <c r="P271" s="410">
        <f t="shared" si="260"/>
        <v>0</v>
      </c>
      <c r="Q271" s="459">
        <f t="shared" si="264"/>
        <v>0</v>
      </c>
    </row>
    <row r="272" spans="1:17" ht="24" thickBot="1" x14ac:dyDescent="0.35">
      <c r="A272" s="277" t="s">
        <v>109</v>
      </c>
      <c r="B272" s="987" t="s">
        <v>21</v>
      </c>
      <c r="C272" s="925"/>
      <c r="D272" s="326">
        <v>0</v>
      </c>
      <c r="E272" s="289">
        <v>15000</v>
      </c>
      <c r="F272" s="326">
        <f>SUM(F265:F271)</f>
        <v>78900</v>
      </c>
      <c r="G272" s="327">
        <f t="shared" ref="G272:H272" si="267">SUM(G265:G271)</f>
        <v>77000</v>
      </c>
      <c r="H272" s="327">
        <f t="shared" si="267"/>
        <v>1900</v>
      </c>
      <c r="I272" s="351" t="str">
        <f>IFERROR(F272/#REF!,"-")</f>
        <v>-</v>
      </c>
      <c r="J272" s="326">
        <f t="shared" ref="J272" si="268">SUM(J265:J271)</f>
        <v>551853</v>
      </c>
      <c r="K272" s="327">
        <f>SUM(K265:K271)</f>
        <v>545000</v>
      </c>
      <c r="L272" s="327">
        <f>SUM(L265:L271)</f>
        <v>6853</v>
      </c>
      <c r="M272" s="345" t="str">
        <f>IFERROR(J272/D272,"-")</f>
        <v>-</v>
      </c>
      <c r="N272" s="351">
        <f t="shared" si="265"/>
        <v>1.2418162083018484E-2</v>
      </c>
      <c r="O272" s="397"/>
      <c r="P272" s="412">
        <f>SUM(P265:P271)</f>
        <v>170485.7</v>
      </c>
      <c r="Q272" s="431">
        <f>SUM(Q265:Q271)</f>
        <v>1206684.5</v>
      </c>
    </row>
    <row r="273" spans="1:17" ht="24" thickBot="1" x14ac:dyDescent="0.35">
      <c r="A273" s="277" t="s">
        <v>109</v>
      </c>
      <c r="B273" s="988" t="s">
        <v>275</v>
      </c>
      <c r="C273" s="989"/>
      <c r="D273" s="524">
        <f>+D269+D272</f>
        <v>0</v>
      </c>
      <c r="E273" s="538">
        <f>+E269+E272</f>
        <v>15000</v>
      </c>
      <c r="F273" s="524">
        <f>+F269+F272</f>
        <v>78900</v>
      </c>
      <c r="G273" s="526">
        <f>+G269+G272</f>
        <v>77000</v>
      </c>
      <c r="H273" s="526">
        <f>+H269+H272</f>
        <v>1900</v>
      </c>
      <c r="I273" s="527" t="str">
        <f>IFERROR(F273/#REF!,"-")</f>
        <v>-</v>
      </c>
      <c r="J273" s="524">
        <f>+J269+J272</f>
        <v>551853</v>
      </c>
      <c r="K273" s="526">
        <f>+K272</f>
        <v>545000</v>
      </c>
      <c r="L273" s="526">
        <f>+L272</f>
        <v>6853</v>
      </c>
      <c r="M273" s="528" t="str">
        <f t="shared" ref="M273" si="269">IFERROR(J273/D273,"-")</f>
        <v>-</v>
      </c>
      <c r="N273" s="527">
        <f t="shared" si="265"/>
        <v>1.2418162083018484E-2</v>
      </c>
      <c r="O273" s="529"/>
      <c r="P273" s="530">
        <f>+P272</f>
        <v>170485.7</v>
      </c>
      <c r="Q273" s="530">
        <f>+Q272</f>
        <v>1206684.5</v>
      </c>
    </row>
    <row r="274" spans="1:17" ht="23.4" x14ac:dyDescent="0.4">
      <c r="A274" s="244" t="s">
        <v>109</v>
      </c>
      <c r="B274" s="979" t="s">
        <v>277</v>
      </c>
      <c r="C274" s="555" t="s">
        <v>74</v>
      </c>
      <c r="D274" s="540"/>
      <c r="E274" s="470"/>
      <c r="F274" s="468">
        <f>+G274+H274</f>
        <v>4005</v>
      </c>
      <c r="G274" s="469">
        <v>4000</v>
      </c>
      <c r="H274" s="469">
        <v>5</v>
      </c>
      <c r="I274" s="544" t="str">
        <f>IFERROR(F274/#REF!,"-")</f>
        <v>-</v>
      </c>
      <c r="J274" s="468">
        <f>+K274+L274</f>
        <v>14013</v>
      </c>
      <c r="K274" s="469">
        <f t="shared" ref="K274:K302" si="270">+G274+K215</f>
        <v>14000</v>
      </c>
      <c r="L274" s="246">
        <f t="shared" ref="L274:L302" si="271">+H274+L215</f>
        <v>13</v>
      </c>
      <c r="M274" s="263" t="str">
        <f>IFERROR(J274/D274,"-")</f>
        <v>-</v>
      </c>
      <c r="N274" s="546">
        <f t="shared" si="265"/>
        <v>9.2770998358666955E-4</v>
      </c>
      <c r="O274" s="551">
        <v>32.946300000000001</v>
      </c>
      <c r="P274" s="547">
        <f t="shared" ref="P274:P302" si="272">+O274*G274</f>
        <v>131785.20000000001</v>
      </c>
      <c r="Q274" s="548">
        <f t="shared" ref="Q274:Q302" si="273">+O274*K274</f>
        <v>461248.2</v>
      </c>
    </row>
    <row r="275" spans="1:17" ht="23.4" x14ac:dyDescent="0.4">
      <c r="A275" s="248" t="s">
        <v>109</v>
      </c>
      <c r="B275" s="980"/>
      <c r="C275" s="556" t="s">
        <v>75</v>
      </c>
      <c r="D275" s="523"/>
      <c r="E275" s="442"/>
      <c r="F275" s="339">
        <f t="shared" ref="F275:F302" si="274">+G275+H275</f>
        <v>0</v>
      </c>
      <c r="G275" s="281">
        <v>0</v>
      </c>
      <c r="H275" s="281">
        <v>0</v>
      </c>
      <c r="I275" s="358" t="str">
        <f>IFERROR(F275/#REF!,"-")</f>
        <v>-</v>
      </c>
      <c r="J275" s="339">
        <f t="shared" ref="J275:J302" si="275">+K275+L275</f>
        <v>0</v>
      </c>
      <c r="K275" s="281">
        <f t="shared" si="270"/>
        <v>0</v>
      </c>
      <c r="L275" s="250">
        <f t="shared" si="271"/>
        <v>0</v>
      </c>
      <c r="M275" s="265" t="str">
        <f t="shared" ref="M275:M277" si="276">IFERROR(J275/D275,"-")</f>
        <v>-</v>
      </c>
      <c r="N275" s="268" t="str">
        <f t="shared" si="265"/>
        <v>-</v>
      </c>
      <c r="O275" s="519">
        <v>35.398400000000002</v>
      </c>
      <c r="P275" s="410">
        <f t="shared" si="272"/>
        <v>0</v>
      </c>
      <c r="Q275" s="459">
        <f t="shared" si="273"/>
        <v>0</v>
      </c>
    </row>
    <row r="276" spans="1:17" ht="24" thickBot="1" x14ac:dyDescent="0.45">
      <c r="A276" s="248" t="s">
        <v>109</v>
      </c>
      <c r="B276" s="980"/>
      <c r="C276" s="556" t="s">
        <v>76</v>
      </c>
      <c r="D276" s="279"/>
      <c r="E276" s="442"/>
      <c r="F276" s="339">
        <f t="shared" si="274"/>
        <v>0</v>
      </c>
      <c r="G276" s="281">
        <v>0</v>
      </c>
      <c r="H276" s="281">
        <v>0</v>
      </c>
      <c r="I276" s="358" t="str">
        <f>IFERROR(F276/#REF!,"-")</f>
        <v>-</v>
      </c>
      <c r="J276" s="339">
        <f t="shared" si="275"/>
        <v>5000</v>
      </c>
      <c r="K276" s="281">
        <f t="shared" si="270"/>
        <v>5000</v>
      </c>
      <c r="L276" s="250">
        <f t="shared" si="271"/>
        <v>0</v>
      </c>
      <c r="M276" s="265" t="str">
        <f t="shared" si="276"/>
        <v>-</v>
      </c>
      <c r="N276" s="268">
        <f>IFERROR(L276/J276,"-")</f>
        <v>0</v>
      </c>
      <c r="O276" s="519">
        <v>32.946300000000001</v>
      </c>
      <c r="P276" s="410">
        <f t="shared" si="272"/>
        <v>0</v>
      </c>
      <c r="Q276" s="459">
        <f t="shared" si="273"/>
        <v>164731.5</v>
      </c>
    </row>
    <row r="277" spans="1:17" ht="23.4" x14ac:dyDescent="0.4">
      <c r="A277" s="248" t="s">
        <v>109</v>
      </c>
      <c r="B277" s="979" t="s">
        <v>278</v>
      </c>
      <c r="C277" s="558" t="s">
        <v>78</v>
      </c>
      <c r="D277" s="279"/>
      <c r="E277" s="541"/>
      <c r="F277" s="340">
        <f t="shared" si="274"/>
        <v>0</v>
      </c>
      <c r="G277" s="281">
        <v>0</v>
      </c>
      <c r="H277" s="281">
        <v>0</v>
      </c>
      <c r="I277" s="358" t="str">
        <f>IFERROR(F277/#REF!,"-")</f>
        <v>-</v>
      </c>
      <c r="J277" s="339">
        <f t="shared" si="275"/>
        <v>8248</v>
      </c>
      <c r="K277" s="281">
        <f t="shared" si="270"/>
        <v>7200</v>
      </c>
      <c r="L277" s="250">
        <f t="shared" si="271"/>
        <v>1048</v>
      </c>
      <c r="M277" s="265" t="str">
        <f t="shared" si="276"/>
        <v>-</v>
      </c>
      <c r="N277" s="268">
        <f t="shared" ref="N277" si="277">IFERROR(L277/J277,"-")</f>
        <v>0.1270611057225994</v>
      </c>
      <c r="O277" s="519">
        <v>55.4758</v>
      </c>
      <c r="P277" s="410">
        <f t="shared" si="272"/>
        <v>0</v>
      </c>
      <c r="Q277" s="459">
        <f t="shared" si="273"/>
        <v>399425.76</v>
      </c>
    </row>
    <row r="278" spans="1:17" ht="23.4" x14ac:dyDescent="0.4">
      <c r="A278" s="248" t="s">
        <v>109</v>
      </c>
      <c r="B278" s="980"/>
      <c r="C278" s="558" t="s">
        <v>75</v>
      </c>
      <c r="D278" s="279"/>
      <c r="E278" s="542"/>
      <c r="F278" s="340">
        <f t="shared" si="274"/>
        <v>0</v>
      </c>
      <c r="G278" s="281">
        <v>0</v>
      </c>
      <c r="H278" s="281">
        <v>0</v>
      </c>
      <c r="I278" s="358" t="str">
        <f>IFERROR(F278/#REF!,"-")</f>
        <v>-</v>
      </c>
      <c r="J278" s="339">
        <f t="shared" si="275"/>
        <v>2350</v>
      </c>
      <c r="K278" s="281">
        <f t="shared" si="270"/>
        <v>1900</v>
      </c>
      <c r="L278" s="250">
        <f t="shared" si="271"/>
        <v>450</v>
      </c>
      <c r="M278" s="522"/>
      <c r="N278" s="378"/>
      <c r="O278" s="553">
        <v>58.836300000000001</v>
      </c>
      <c r="P278" s="410">
        <f t="shared" si="272"/>
        <v>0</v>
      </c>
      <c r="Q278" s="459">
        <f t="shared" si="273"/>
        <v>111788.97</v>
      </c>
    </row>
    <row r="279" spans="1:17" ht="24" thickBot="1" x14ac:dyDescent="0.45">
      <c r="A279" s="248" t="s">
        <v>109</v>
      </c>
      <c r="B279" s="981"/>
      <c r="C279" s="558" t="s">
        <v>142</v>
      </c>
      <c r="D279" s="279"/>
      <c r="E279" s="441"/>
      <c r="F279" s="340">
        <f t="shared" si="274"/>
        <v>0</v>
      </c>
      <c r="G279" s="281">
        <v>0</v>
      </c>
      <c r="H279" s="281">
        <v>0</v>
      </c>
      <c r="I279" s="358" t="str">
        <f>IFERROR(F279/#REF!,"-")</f>
        <v>-</v>
      </c>
      <c r="J279" s="339">
        <f t="shared" si="275"/>
        <v>0</v>
      </c>
      <c r="K279" s="281">
        <f t="shared" si="270"/>
        <v>0</v>
      </c>
      <c r="L279" s="250">
        <f t="shared" si="271"/>
        <v>0</v>
      </c>
      <c r="M279" s="265" t="str">
        <f t="shared" ref="M279:M305" si="278">IFERROR(J279/D279,"-")</f>
        <v>-</v>
      </c>
      <c r="N279" s="264" t="str">
        <f t="shared" ref="N279:N304" si="279">IFERROR(L279/J279,"-")</f>
        <v>-</v>
      </c>
      <c r="O279" s="519">
        <v>53.515999999999998</v>
      </c>
      <c r="P279" s="410">
        <f t="shared" si="272"/>
        <v>0</v>
      </c>
      <c r="Q279" s="459">
        <f t="shared" si="273"/>
        <v>0</v>
      </c>
    </row>
    <row r="280" spans="1:17" ht="23.4" x14ac:dyDescent="0.4">
      <c r="A280" s="248" t="s">
        <v>109</v>
      </c>
      <c r="B280" s="979" t="s">
        <v>79</v>
      </c>
      <c r="C280" s="556" t="s">
        <v>80</v>
      </c>
      <c r="D280" s="279"/>
      <c r="E280" s="442"/>
      <c r="F280" s="339">
        <f t="shared" si="274"/>
        <v>0</v>
      </c>
      <c r="G280" s="281">
        <v>0</v>
      </c>
      <c r="H280" s="281">
        <v>0</v>
      </c>
      <c r="I280" s="358" t="str">
        <f>IFERROR(F280/#REF!,"-")</f>
        <v>-</v>
      </c>
      <c r="J280" s="339">
        <f t="shared" si="275"/>
        <v>0</v>
      </c>
      <c r="K280" s="281">
        <f t="shared" si="270"/>
        <v>0</v>
      </c>
      <c r="L280" s="250">
        <f t="shared" si="271"/>
        <v>0</v>
      </c>
      <c r="M280" s="265" t="str">
        <f t="shared" si="278"/>
        <v>-</v>
      </c>
      <c r="N280" s="264" t="str">
        <f t="shared" si="279"/>
        <v>-</v>
      </c>
      <c r="O280" s="519">
        <v>25.687200000000001</v>
      </c>
      <c r="P280" s="410">
        <f t="shared" si="272"/>
        <v>0</v>
      </c>
      <c r="Q280" s="459">
        <f t="shared" si="273"/>
        <v>0</v>
      </c>
    </row>
    <row r="281" spans="1:17" ht="24" thickBot="1" x14ac:dyDescent="0.45">
      <c r="A281" s="248" t="s">
        <v>109</v>
      </c>
      <c r="B281" s="981"/>
      <c r="C281" s="556" t="s">
        <v>125</v>
      </c>
      <c r="D281" s="279"/>
      <c r="E281" s="442"/>
      <c r="F281" s="339">
        <f t="shared" si="274"/>
        <v>0</v>
      </c>
      <c r="G281" s="281">
        <v>0</v>
      </c>
      <c r="H281" s="281">
        <v>0</v>
      </c>
      <c r="I281" s="358" t="str">
        <f>IFERROR(F281/#REF!,"-")</f>
        <v>-</v>
      </c>
      <c r="J281" s="339">
        <f t="shared" si="275"/>
        <v>0</v>
      </c>
      <c r="K281" s="281">
        <f t="shared" si="270"/>
        <v>0</v>
      </c>
      <c r="L281" s="250">
        <f t="shared" si="271"/>
        <v>0</v>
      </c>
      <c r="M281" s="265" t="str">
        <f t="shared" si="278"/>
        <v>-</v>
      </c>
      <c r="N281" s="264" t="str">
        <f t="shared" si="279"/>
        <v>-</v>
      </c>
      <c r="O281" s="519">
        <v>25.033899999999999</v>
      </c>
      <c r="P281" s="410">
        <f t="shared" si="272"/>
        <v>0</v>
      </c>
      <c r="Q281" s="459">
        <f t="shared" si="273"/>
        <v>0</v>
      </c>
    </row>
    <row r="282" spans="1:17" ht="23.4" x14ac:dyDescent="0.4">
      <c r="A282" s="248"/>
      <c r="B282" s="979" t="s">
        <v>81</v>
      </c>
      <c r="C282" s="556" t="s">
        <v>82</v>
      </c>
      <c r="D282" s="279"/>
      <c r="E282" s="442"/>
      <c r="F282" s="339">
        <f t="shared" si="274"/>
        <v>2846</v>
      </c>
      <c r="G282" s="281">
        <v>2840</v>
      </c>
      <c r="H282" s="281">
        <v>6</v>
      </c>
      <c r="I282" s="358" t="str">
        <f>IFERROR(F282/#REF!,"-")</f>
        <v>-</v>
      </c>
      <c r="J282" s="339">
        <f t="shared" si="275"/>
        <v>4854</v>
      </c>
      <c r="K282" s="281">
        <f t="shared" si="270"/>
        <v>4840</v>
      </c>
      <c r="L282" s="250">
        <f t="shared" si="271"/>
        <v>14</v>
      </c>
      <c r="M282" s="265" t="str">
        <f t="shared" si="278"/>
        <v>-</v>
      </c>
      <c r="N282" s="264">
        <f t="shared" si="279"/>
        <v>2.88421920065925E-3</v>
      </c>
      <c r="O282" s="519">
        <v>41.992699999999999</v>
      </c>
      <c r="P282" s="410">
        <f t="shared" si="272"/>
        <v>119259.268</v>
      </c>
      <c r="Q282" s="459">
        <f t="shared" si="273"/>
        <v>203244.66800000001</v>
      </c>
    </row>
    <row r="283" spans="1:17" ht="24" thickBot="1" x14ac:dyDescent="0.45">
      <c r="A283" s="248"/>
      <c r="B283" s="980"/>
      <c r="C283" s="556" t="s">
        <v>364</v>
      </c>
      <c r="D283" s="279"/>
      <c r="E283" s="442"/>
      <c r="F283" s="339">
        <f t="shared" si="274"/>
        <v>0</v>
      </c>
      <c r="G283" s="281">
        <v>0</v>
      </c>
      <c r="H283" s="281">
        <v>0</v>
      </c>
      <c r="I283" s="358" t="str">
        <f>IFERROR(F283/#REF!,"-")</f>
        <v>-</v>
      </c>
      <c r="J283" s="339">
        <f t="shared" si="275"/>
        <v>0</v>
      </c>
      <c r="K283" s="281">
        <f t="shared" si="270"/>
        <v>0</v>
      </c>
      <c r="L283" s="250">
        <f t="shared" si="271"/>
        <v>0</v>
      </c>
      <c r="M283" s="265" t="str">
        <f t="shared" si="278"/>
        <v>-</v>
      </c>
      <c r="N283" s="264" t="str">
        <f t="shared" si="279"/>
        <v>-</v>
      </c>
      <c r="O283" s="519">
        <v>41.992699999999999</v>
      </c>
      <c r="P283" s="410">
        <f t="shared" si="272"/>
        <v>0</v>
      </c>
      <c r="Q283" s="459">
        <f t="shared" si="273"/>
        <v>0</v>
      </c>
    </row>
    <row r="284" spans="1:17" ht="24" thickBot="1" x14ac:dyDescent="0.45">
      <c r="A284" s="248"/>
      <c r="B284" s="559" t="s">
        <v>83</v>
      </c>
      <c r="C284" s="556" t="s">
        <v>84</v>
      </c>
      <c r="D284" s="279"/>
      <c r="E284" s="442"/>
      <c r="F284" s="339">
        <f t="shared" si="274"/>
        <v>0</v>
      </c>
      <c r="G284" s="281">
        <v>0</v>
      </c>
      <c r="H284" s="281">
        <v>0</v>
      </c>
      <c r="I284" s="358" t="str">
        <f>IFERROR(F284/#REF!,"-")</f>
        <v>-</v>
      </c>
      <c r="J284" s="339">
        <f t="shared" si="275"/>
        <v>0</v>
      </c>
      <c r="K284" s="281">
        <f t="shared" si="270"/>
        <v>0</v>
      </c>
      <c r="L284" s="250">
        <f t="shared" si="271"/>
        <v>0</v>
      </c>
      <c r="M284" s="265" t="str">
        <f t="shared" si="278"/>
        <v>-</v>
      </c>
      <c r="N284" s="264" t="str">
        <f t="shared" si="279"/>
        <v>-</v>
      </c>
      <c r="O284" s="519">
        <v>4.3535000000000004</v>
      </c>
      <c r="P284" s="410">
        <f t="shared" si="272"/>
        <v>0</v>
      </c>
      <c r="Q284" s="459">
        <f t="shared" si="273"/>
        <v>0</v>
      </c>
    </row>
    <row r="285" spans="1:17" ht="23.4" x14ac:dyDescent="0.4">
      <c r="A285" s="248"/>
      <c r="B285" s="979" t="s">
        <v>280</v>
      </c>
      <c r="C285" s="556" t="s">
        <v>80</v>
      </c>
      <c r="D285" s="279"/>
      <c r="E285" s="442"/>
      <c r="F285" s="339">
        <f t="shared" si="274"/>
        <v>0</v>
      </c>
      <c r="G285" s="281">
        <v>0</v>
      </c>
      <c r="H285" s="281">
        <v>0</v>
      </c>
      <c r="I285" s="358" t="str">
        <f>IFERROR(F285/#REF!,"-")</f>
        <v>-</v>
      </c>
      <c r="J285" s="339">
        <f t="shared" si="275"/>
        <v>0</v>
      </c>
      <c r="K285" s="281">
        <f t="shared" si="270"/>
        <v>0</v>
      </c>
      <c r="L285" s="250">
        <f t="shared" si="271"/>
        <v>0</v>
      </c>
      <c r="M285" s="265" t="str">
        <f t="shared" si="278"/>
        <v>-</v>
      </c>
      <c r="N285" s="264" t="str">
        <f t="shared" si="279"/>
        <v>-</v>
      </c>
      <c r="O285" s="519">
        <v>4.6184000000000003</v>
      </c>
      <c r="P285" s="410">
        <f t="shared" si="272"/>
        <v>0</v>
      </c>
      <c r="Q285" s="459">
        <f t="shared" si="273"/>
        <v>0</v>
      </c>
    </row>
    <row r="286" spans="1:17" ht="23.4" x14ac:dyDescent="0.4">
      <c r="A286" s="248"/>
      <c r="B286" s="980"/>
      <c r="C286" s="556" t="s">
        <v>407</v>
      </c>
      <c r="D286" s="279"/>
      <c r="E286" s="442"/>
      <c r="F286" s="339">
        <f t="shared" si="274"/>
        <v>27795</v>
      </c>
      <c r="G286" s="281">
        <v>27500</v>
      </c>
      <c r="H286" s="281">
        <v>295</v>
      </c>
      <c r="I286" s="358" t="str">
        <f>IFERROR(F286/#REF!,"-")</f>
        <v>-</v>
      </c>
      <c r="J286" s="339">
        <f t="shared" si="275"/>
        <v>120029</v>
      </c>
      <c r="K286" s="281">
        <f t="shared" si="270"/>
        <v>118800</v>
      </c>
      <c r="L286" s="250">
        <f t="shared" si="271"/>
        <v>1229</v>
      </c>
      <c r="M286" s="265" t="str">
        <f t="shared" si="278"/>
        <v>-</v>
      </c>
      <c r="N286" s="264">
        <f t="shared" si="279"/>
        <v>1.0239192195219489E-2</v>
      </c>
      <c r="O286" s="519">
        <v>4.6184000000000003</v>
      </c>
      <c r="P286" s="410">
        <f t="shared" si="272"/>
        <v>127006.00000000001</v>
      </c>
      <c r="Q286" s="459">
        <f t="shared" si="273"/>
        <v>548665.92000000004</v>
      </c>
    </row>
    <row r="287" spans="1:17" ht="23.4" x14ac:dyDescent="0.4">
      <c r="A287" s="248"/>
      <c r="B287" s="980"/>
      <c r="C287" s="556" t="s">
        <v>279</v>
      </c>
      <c r="D287" s="279"/>
      <c r="E287" s="442"/>
      <c r="F287" s="339">
        <f t="shared" si="274"/>
        <v>0</v>
      </c>
      <c r="G287" s="281">
        <v>0</v>
      </c>
      <c r="H287" s="281">
        <v>0</v>
      </c>
      <c r="I287" s="358" t="str">
        <f>IFERROR(F287/#REF!,"-")</f>
        <v>-</v>
      </c>
      <c r="J287" s="339">
        <f t="shared" si="275"/>
        <v>0</v>
      </c>
      <c r="K287" s="281">
        <f t="shared" si="270"/>
        <v>0</v>
      </c>
      <c r="L287" s="250">
        <f t="shared" si="271"/>
        <v>0</v>
      </c>
      <c r="M287" s="265" t="str">
        <f t="shared" si="278"/>
        <v>-</v>
      </c>
      <c r="N287" s="264" t="str">
        <f t="shared" si="279"/>
        <v>-</v>
      </c>
      <c r="O287" s="519">
        <v>4.6184000000000003</v>
      </c>
      <c r="P287" s="410">
        <f t="shared" si="272"/>
        <v>0</v>
      </c>
      <c r="Q287" s="459">
        <f t="shared" si="273"/>
        <v>0</v>
      </c>
    </row>
    <row r="288" spans="1:17" ht="23.4" x14ac:dyDescent="0.4">
      <c r="A288" s="248"/>
      <c r="B288" s="980"/>
      <c r="C288" s="556" t="s">
        <v>132</v>
      </c>
      <c r="D288" s="279"/>
      <c r="E288" s="442"/>
      <c r="F288" s="339">
        <f t="shared" si="274"/>
        <v>0</v>
      </c>
      <c r="G288" s="281">
        <v>0</v>
      </c>
      <c r="H288" s="281">
        <v>0</v>
      </c>
      <c r="I288" s="358" t="str">
        <f>IFERROR(F288/#REF!,"-")</f>
        <v>-</v>
      </c>
      <c r="J288" s="339">
        <f t="shared" si="275"/>
        <v>0</v>
      </c>
      <c r="K288" s="281">
        <f t="shared" si="270"/>
        <v>0</v>
      </c>
      <c r="L288" s="250">
        <f t="shared" si="271"/>
        <v>0</v>
      </c>
      <c r="M288" s="265" t="str">
        <f t="shared" si="278"/>
        <v>-</v>
      </c>
      <c r="N288" s="264" t="str">
        <f t="shared" si="279"/>
        <v>-</v>
      </c>
      <c r="O288" s="519">
        <v>4.7636000000000003</v>
      </c>
      <c r="P288" s="410">
        <f t="shared" si="272"/>
        <v>0</v>
      </c>
      <c r="Q288" s="459">
        <f t="shared" si="273"/>
        <v>0</v>
      </c>
    </row>
    <row r="289" spans="1:17" ht="24" thickBot="1" x14ac:dyDescent="0.45">
      <c r="A289" s="248"/>
      <c r="B289" s="981"/>
      <c r="C289" s="556" t="s">
        <v>429</v>
      </c>
      <c r="D289" s="279"/>
      <c r="E289" s="442"/>
      <c r="F289" s="339">
        <f t="shared" si="274"/>
        <v>12296</v>
      </c>
      <c r="G289" s="281">
        <v>12100</v>
      </c>
      <c r="H289" s="281">
        <v>196</v>
      </c>
      <c r="I289" s="358" t="str">
        <f>IFERROR(F289/#REF!,"-")</f>
        <v>-</v>
      </c>
      <c r="J289" s="339">
        <f t="shared" si="275"/>
        <v>12296</v>
      </c>
      <c r="K289" s="281">
        <f t="shared" si="270"/>
        <v>12100</v>
      </c>
      <c r="L289" s="250">
        <f t="shared" si="271"/>
        <v>196</v>
      </c>
      <c r="M289" s="265" t="str">
        <f t="shared" si="278"/>
        <v>-</v>
      </c>
      <c r="N289" s="264">
        <f t="shared" si="279"/>
        <v>1.594014313597918E-2</v>
      </c>
      <c r="O289" s="519">
        <v>4.8738000000000001</v>
      </c>
      <c r="P289" s="410">
        <f t="shared" si="272"/>
        <v>58972.98</v>
      </c>
      <c r="Q289" s="459">
        <f t="shared" si="273"/>
        <v>58972.98</v>
      </c>
    </row>
    <row r="290" spans="1:17" ht="24" thickBot="1" x14ac:dyDescent="0.45">
      <c r="A290" s="248"/>
      <c r="B290" s="559" t="s">
        <v>281</v>
      </c>
      <c r="C290" s="556" t="s">
        <v>132</v>
      </c>
      <c r="D290" s="279"/>
      <c r="E290" s="442"/>
      <c r="F290" s="339">
        <f t="shared" si="274"/>
        <v>0</v>
      </c>
      <c r="G290" s="281">
        <v>0</v>
      </c>
      <c r="H290" s="281">
        <v>0</v>
      </c>
      <c r="I290" s="358" t="str">
        <f>IFERROR(F290/#REF!,"-")</f>
        <v>-</v>
      </c>
      <c r="J290" s="339">
        <f t="shared" si="275"/>
        <v>0</v>
      </c>
      <c r="K290" s="281">
        <f t="shared" si="270"/>
        <v>0</v>
      </c>
      <c r="L290" s="250">
        <f t="shared" si="271"/>
        <v>0</v>
      </c>
      <c r="M290" s="265" t="str">
        <f t="shared" si="278"/>
        <v>-</v>
      </c>
      <c r="N290" s="264" t="str">
        <f t="shared" si="279"/>
        <v>-</v>
      </c>
      <c r="O290" s="519">
        <v>4.8738000000000001</v>
      </c>
      <c r="P290" s="410">
        <f t="shared" si="272"/>
        <v>0</v>
      </c>
      <c r="Q290" s="459">
        <f t="shared" si="273"/>
        <v>0</v>
      </c>
    </row>
    <row r="291" spans="1:17" ht="23.4" x14ac:dyDescent="0.4">
      <c r="A291" s="248"/>
      <c r="B291" s="979" t="s">
        <v>283</v>
      </c>
      <c r="C291" s="556" t="s">
        <v>80</v>
      </c>
      <c r="D291" s="279"/>
      <c r="E291" s="442"/>
      <c r="F291" s="339">
        <f t="shared" si="274"/>
        <v>11059</v>
      </c>
      <c r="G291" s="281">
        <v>10650</v>
      </c>
      <c r="H291" s="281">
        <v>409</v>
      </c>
      <c r="I291" s="358" t="str">
        <f>IFERROR(F291/#REF!,"-")</f>
        <v>-</v>
      </c>
      <c r="J291" s="339">
        <f t="shared" si="275"/>
        <v>107756</v>
      </c>
      <c r="K291" s="281">
        <f t="shared" si="270"/>
        <v>105350</v>
      </c>
      <c r="L291" s="281">
        <f t="shared" si="271"/>
        <v>2406</v>
      </c>
      <c r="M291" s="265" t="str">
        <f t="shared" si="278"/>
        <v>-</v>
      </c>
      <c r="N291" s="264">
        <f t="shared" si="279"/>
        <v>2.2328223022383905E-2</v>
      </c>
      <c r="O291" s="519">
        <v>4.9344999999999999</v>
      </c>
      <c r="P291" s="410">
        <f t="shared" si="272"/>
        <v>52552.424999999996</v>
      </c>
      <c r="Q291" s="459">
        <f t="shared" si="273"/>
        <v>519849.57500000001</v>
      </c>
    </row>
    <row r="292" spans="1:17" ht="23.4" x14ac:dyDescent="0.4">
      <c r="A292" s="248"/>
      <c r="B292" s="980"/>
      <c r="C292" s="556" t="s">
        <v>143</v>
      </c>
      <c r="D292" s="279"/>
      <c r="E292" s="442"/>
      <c r="F292" s="339">
        <f t="shared" si="274"/>
        <v>0</v>
      </c>
      <c r="G292" s="281">
        <v>0</v>
      </c>
      <c r="H292" s="281">
        <v>0</v>
      </c>
      <c r="I292" s="358" t="str">
        <f>IFERROR(F292/#REF!,"-")</f>
        <v>-</v>
      </c>
      <c r="J292" s="339">
        <f t="shared" si="275"/>
        <v>0</v>
      </c>
      <c r="K292" s="281">
        <f t="shared" si="270"/>
        <v>0</v>
      </c>
      <c r="L292" s="250">
        <f t="shared" si="271"/>
        <v>0</v>
      </c>
      <c r="M292" s="265" t="str">
        <f t="shared" si="278"/>
        <v>-</v>
      </c>
      <c r="N292" s="264" t="str">
        <f t="shared" si="279"/>
        <v>-</v>
      </c>
      <c r="O292" s="519">
        <v>4.9344999999999999</v>
      </c>
      <c r="P292" s="410">
        <f t="shared" si="272"/>
        <v>0</v>
      </c>
      <c r="Q292" s="459">
        <f t="shared" si="273"/>
        <v>0</v>
      </c>
    </row>
    <row r="293" spans="1:17" ht="23.4" x14ac:dyDescent="0.4">
      <c r="A293" s="248"/>
      <c r="B293" s="980"/>
      <c r="C293" s="556" t="s">
        <v>137</v>
      </c>
      <c r="D293" s="279"/>
      <c r="E293" s="442"/>
      <c r="F293" s="339">
        <f t="shared" si="274"/>
        <v>0</v>
      </c>
      <c r="G293" s="281">
        <v>0</v>
      </c>
      <c r="H293" s="281">
        <v>0</v>
      </c>
      <c r="I293" s="358" t="str">
        <f>IFERROR(F293/#REF!,"-")</f>
        <v>-</v>
      </c>
      <c r="J293" s="339">
        <f t="shared" si="275"/>
        <v>0</v>
      </c>
      <c r="K293" s="281">
        <f t="shared" si="270"/>
        <v>0</v>
      </c>
      <c r="L293" s="250">
        <f t="shared" si="271"/>
        <v>0</v>
      </c>
      <c r="M293" s="265" t="str">
        <f t="shared" si="278"/>
        <v>-</v>
      </c>
      <c r="N293" s="264" t="str">
        <f t="shared" si="279"/>
        <v>-</v>
      </c>
      <c r="O293" s="519">
        <v>4.9344999999999999</v>
      </c>
      <c r="P293" s="410">
        <f t="shared" si="272"/>
        <v>0</v>
      </c>
      <c r="Q293" s="459">
        <f t="shared" si="273"/>
        <v>0</v>
      </c>
    </row>
    <row r="294" spans="1:17" ht="24" thickBot="1" x14ac:dyDescent="0.45">
      <c r="A294" s="248"/>
      <c r="B294" s="981"/>
      <c r="C294" s="556" t="s">
        <v>282</v>
      </c>
      <c r="D294" s="279"/>
      <c r="E294" s="442"/>
      <c r="F294" s="339">
        <f t="shared" si="274"/>
        <v>0</v>
      </c>
      <c r="G294" s="281">
        <v>0</v>
      </c>
      <c r="H294" s="281">
        <v>0</v>
      </c>
      <c r="I294" s="358" t="str">
        <f>IFERROR(F294/#REF!,"-")</f>
        <v>-</v>
      </c>
      <c r="J294" s="339">
        <f t="shared" si="275"/>
        <v>0</v>
      </c>
      <c r="K294" s="281">
        <f t="shared" si="270"/>
        <v>0</v>
      </c>
      <c r="L294" s="250">
        <f t="shared" si="271"/>
        <v>0</v>
      </c>
      <c r="M294" s="265" t="str">
        <f t="shared" si="278"/>
        <v>-</v>
      </c>
      <c r="N294" s="264" t="str">
        <f t="shared" si="279"/>
        <v>-</v>
      </c>
      <c r="O294" s="519">
        <v>5.5069999999999997</v>
      </c>
      <c r="P294" s="410">
        <f t="shared" si="272"/>
        <v>0</v>
      </c>
      <c r="Q294" s="459">
        <f t="shared" si="273"/>
        <v>0</v>
      </c>
    </row>
    <row r="295" spans="1:17" ht="23.4" x14ac:dyDescent="0.4">
      <c r="A295" s="248"/>
      <c r="B295" s="979" t="s">
        <v>288</v>
      </c>
      <c r="C295" s="556" t="s">
        <v>284</v>
      </c>
      <c r="D295" s="279"/>
      <c r="E295" s="442"/>
      <c r="F295" s="339">
        <f t="shared" si="274"/>
        <v>0</v>
      </c>
      <c r="G295" s="281">
        <v>0</v>
      </c>
      <c r="H295" s="281">
        <v>0</v>
      </c>
      <c r="I295" s="358" t="str">
        <f>IFERROR(F295/#REF!,"-")</f>
        <v>-</v>
      </c>
      <c r="J295" s="339">
        <f t="shared" si="275"/>
        <v>0</v>
      </c>
      <c r="K295" s="281">
        <f t="shared" si="270"/>
        <v>0</v>
      </c>
      <c r="L295" s="250">
        <f t="shared" si="271"/>
        <v>0</v>
      </c>
      <c r="M295" s="265" t="str">
        <f t="shared" si="278"/>
        <v>-</v>
      </c>
      <c r="N295" s="264" t="str">
        <f t="shared" si="279"/>
        <v>-</v>
      </c>
      <c r="O295" s="519">
        <v>5.6550000000000002</v>
      </c>
      <c r="P295" s="410">
        <f t="shared" si="272"/>
        <v>0</v>
      </c>
      <c r="Q295" s="459">
        <f t="shared" si="273"/>
        <v>0</v>
      </c>
    </row>
    <row r="296" spans="1:17" ht="23.4" x14ac:dyDescent="0.4">
      <c r="A296" s="248"/>
      <c r="B296" s="980"/>
      <c r="C296" s="556" t="s">
        <v>285</v>
      </c>
      <c r="D296" s="279"/>
      <c r="E296" s="442"/>
      <c r="F296" s="339">
        <f t="shared" si="274"/>
        <v>0</v>
      </c>
      <c r="G296" s="281">
        <v>0</v>
      </c>
      <c r="H296" s="281">
        <v>0</v>
      </c>
      <c r="I296" s="358" t="str">
        <f>IFERROR(F296/#REF!,"-")</f>
        <v>-</v>
      </c>
      <c r="J296" s="339">
        <f t="shared" si="275"/>
        <v>0</v>
      </c>
      <c r="K296" s="281">
        <f t="shared" si="270"/>
        <v>0</v>
      </c>
      <c r="L296" s="250">
        <f t="shared" si="271"/>
        <v>0</v>
      </c>
      <c r="M296" s="265" t="str">
        <f t="shared" si="278"/>
        <v>-</v>
      </c>
      <c r="N296" s="264" t="str">
        <f t="shared" si="279"/>
        <v>-</v>
      </c>
      <c r="O296" s="519">
        <v>5.6550000000000002</v>
      </c>
      <c r="P296" s="410">
        <f t="shared" si="272"/>
        <v>0</v>
      </c>
      <c r="Q296" s="459">
        <f t="shared" si="273"/>
        <v>0</v>
      </c>
    </row>
    <row r="297" spans="1:17" ht="23.4" x14ac:dyDescent="0.4">
      <c r="A297" s="248"/>
      <c r="B297" s="980"/>
      <c r="C297" s="556" t="s">
        <v>374</v>
      </c>
      <c r="D297" s="279"/>
      <c r="E297" s="442"/>
      <c r="F297" s="339">
        <f t="shared" si="274"/>
        <v>21169</v>
      </c>
      <c r="G297" s="281">
        <v>20700</v>
      </c>
      <c r="H297" s="281">
        <v>469</v>
      </c>
      <c r="I297" s="358" t="str">
        <f>IFERROR(F297/#REF!,"-")</f>
        <v>-</v>
      </c>
      <c r="J297" s="339">
        <f t="shared" si="275"/>
        <v>93916</v>
      </c>
      <c r="K297" s="281">
        <f t="shared" si="270"/>
        <v>93100</v>
      </c>
      <c r="L297" s="250">
        <f t="shared" si="271"/>
        <v>816</v>
      </c>
      <c r="M297" s="265" t="str">
        <f t="shared" si="278"/>
        <v>-</v>
      </c>
      <c r="N297" s="264">
        <f t="shared" si="279"/>
        <v>8.6886153584053837E-3</v>
      </c>
      <c r="O297" s="519">
        <v>5.6550000000000002</v>
      </c>
      <c r="P297" s="410">
        <f t="shared" si="272"/>
        <v>117058.5</v>
      </c>
      <c r="Q297" s="459">
        <f t="shared" si="273"/>
        <v>526480.5</v>
      </c>
    </row>
    <row r="298" spans="1:17" ht="23.4" x14ac:dyDescent="0.4">
      <c r="A298" s="248"/>
      <c r="B298" s="980"/>
      <c r="C298" s="556" t="s">
        <v>286</v>
      </c>
      <c r="D298" s="279"/>
      <c r="E298" s="442"/>
      <c r="F298" s="339">
        <f t="shared" si="274"/>
        <v>0</v>
      </c>
      <c r="G298" s="281">
        <v>0</v>
      </c>
      <c r="H298" s="281">
        <v>0</v>
      </c>
      <c r="I298" s="358" t="str">
        <f>IFERROR(F298/#REF!,"-")</f>
        <v>-</v>
      </c>
      <c r="J298" s="339">
        <f t="shared" si="275"/>
        <v>0</v>
      </c>
      <c r="K298" s="281">
        <f t="shared" si="270"/>
        <v>0</v>
      </c>
      <c r="L298" s="250">
        <f t="shared" si="271"/>
        <v>0</v>
      </c>
      <c r="M298" s="265" t="str">
        <f t="shared" si="278"/>
        <v>-</v>
      </c>
      <c r="N298" s="264" t="str">
        <f t="shared" si="279"/>
        <v>-</v>
      </c>
      <c r="O298" s="519">
        <v>5.6550000000000002</v>
      </c>
      <c r="P298" s="410">
        <f t="shared" si="272"/>
        <v>0</v>
      </c>
      <c r="Q298" s="459">
        <f t="shared" si="273"/>
        <v>0</v>
      </c>
    </row>
    <row r="299" spans="1:17" ht="23.4" x14ac:dyDescent="0.4">
      <c r="A299" s="248" t="s">
        <v>109</v>
      </c>
      <c r="B299" s="980"/>
      <c r="C299" s="556" t="s">
        <v>287</v>
      </c>
      <c r="D299" s="279"/>
      <c r="E299" s="442"/>
      <c r="F299" s="339">
        <f t="shared" si="274"/>
        <v>0</v>
      </c>
      <c r="G299" s="281">
        <v>0</v>
      </c>
      <c r="H299" s="281">
        <v>0</v>
      </c>
      <c r="I299" s="358" t="str">
        <f>IFERROR(F299/#REF!,"-")</f>
        <v>-</v>
      </c>
      <c r="J299" s="339">
        <f t="shared" si="275"/>
        <v>0</v>
      </c>
      <c r="K299" s="281">
        <f t="shared" si="270"/>
        <v>0</v>
      </c>
      <c r="L299" s="250">
        <f t="shared" si="271"/>
        <v>0</v>
      </c>
      <c r="M299" s="265" t="str">
        <f t="shared" si="278"/>
        <v>-</v>
      </c>
      <c r="N299" s="264" t="str">
        <f t="shared" si="279"/>
        <v>-</v>
      </c>
      <c r="O299" s="519">
        <v>3.2963</v>
      </c>
      <c r="P299" s="410">
        <f t="shared" si="272"/>
        <v>0</v>
      </c>
      <c r="Q299" s="459">
        <f t="shared" si="273"/>
        <v>0</v>
      </c>
    </row>
    <row r="300" spans="1:17" ht="24" thickBot="1" x14ac:dyDescent="0.45">
      <c r="A300" s="248" t="s">
        <v>109</v>
      </c>
      <c r="B300" s="981"/>
      <c r="C300" s="556" t="s">
        <v>282</v>
      </c>
      <c r="D300" s="279"/>
      <c r="E300" s="442"/>
      <c r="F300" s="339">
        <f t="shared" si="274"/>
        <v>0</v>
      </c>
      <c r="G300" s="281">
        <v>0</v>
      </c>
      <c r="H300" s="281">
        <v>0</v>
      </c>
      <c r="I300" s="358" t="str">
        <f>IFERROR(F300/#REF!,"-")</f>
        <v>-</v>
      </c>
      <c r="J300" s="339">
        <f t="shared" si="275"/>
        <v>0</v>
      </c>
      <c r="K300" s="281">
        <f t="shared" si="270"/>
        <v>0</v>
      </c>
      <c r="L300" s="250">
        <f t="shared" si="271"/>
        <v>0</v>
      </c>
      <c r="M300" s="265" t="str">
        <f t="shared" si="278"/>
        <v>-</v>
      </c>
      <c r="N300" s="264" t="str">
        <f t="shared" si="279"/>
        <v>-</v>
      </c>
      <c r="O300" s="519">
        <v>3.2963</v>
      </c>
      <c r="P300" s="410">
        <f t="shared" si="272"/>
        <v>0</v>
      </c>
      <c r="Q300" s="459">
        <f t="shared" si="273"/>
        <v>0</v>
      </c>
    </row>
    <row r="301" spans="1:17" ht="23.4" x14ac:dyDescent="0.4">
      <c r="A301" s="248" t="s">
        <v>109</v>
      </c>
      <c r="B301" s="560"/>
      <c r="C301" s="557" t="s">
        <v>92</v>
      </c>
      <c r="D301" s="523"/>
      <c r="E301" s="442"/>
      <c r="F301" s="339">
        <f t="shared" si="274"/>
        <v>0</v>
      </c>
      <c r="G301" s="281">
        <v>0</v>
      </c>
      <c r="H301" s="281">
        <v>0</v>
      </c>
      <c r="I301" s="358" t="str">
        <f>IFERROR(F301/#REF!,"-")</f>
        <v>-</v>
      </c>
      <c r="J301" s="339">
        <f t="shared" si="275"/>
        <v>0</v>
      </c>
      <c r="K301" s="281">
        <f t="shared" si="270"/>
        <v>0</v>
      </c>
      <c r="L301" s="250">
        <f t="shared" si="271"/>
        <v>0</v>
      </c>
      <c r="M301" s="265" t="str">
        <f t="shared" si="278"/>
        <v>-</v>
      </c>
      <c r="N301" s="264" t="str">
        <f t="shared" si="279"/>
        <v>-</v>
      </c>
      <c r="O301" s="519">
        <v>2.3201000000000001</v>
      </c>
      <c r="P301" s="410">
        <f t="shared" si="272"/>
        <v>0</v>
      </c>
      <c r="Q301" s="459">
        <f t="shared" si="273"/>
        <v>0</v>
      </c>
    </row>
    <row r="302" spans="1:17" ht="24" thickBot="1" x14ac:dyDescent="0.35">
      <c r="A302" s="248" t="s">
        <v>109</v>
      </c>
      <c r="B302" s="537"/>
      <c r="C302" s="554"/>
      <c r="D302" s="543"/>
      <c r="E302" s="473"/>
      <c r="F302" s="471">
        <f t="shared" si="274"/>
        <v>0</v>
      </c>
      <c r="G302" s="472"/>
      <c r="H302" s="472"/>
      <c r="I302" s="545" t="str">
        <f>IFERROR(F302/#REF!,"-")</f>
        <v>-</v>
      </c>
      <c r="J302" s="471">
        <f t="shared" si="275"/>
        <v>0</v>
      </c>
      <c r="K302" s="472">
        <f t="shared" si="270"/>
        <v>0</v>
      </c>
      <c r="L302" s="257">
        <f t="shared" si="271"/>
        <v>0</v>
      </c>
      <c r="M302" s="267" t="str">
        <f t="shared" si="278"/>
        <v>-</v>
      </c>
      <c r="N302" s="266" t="str">
        <f t="shared" si="279"/>
        <v>-</v>
      </c>
      <c r="O302" s="552"/>
      <c r="P302" s="549">
        <f t="shared" si="272"/>
        <v>0</v>
      </c>
      <c r="Q302" s="550">
        <f t="shared" si="273"/>
        <v>0</v>
      </c>
    </row>
    <row r="303" spans="1:17" ht="24" thickBot="1" x14ac:dyDescent="0.35">
      <c r="A303" s="277" t="s">
        <v>109</v>
      </c>
      <c r="B303" s="982" t="s">
        <v>25</v>
      </c>
      <c r="C303" s="983"/>
      <c r="D303" s="525">
        <f t="shared" ref="D303" si="280">SUM(D279:D302)</f>
        <v>0</v>
      </c>
      <c r="E303" s="539">
        <v>100000</v>
      </c>
      <c r="F303" s="525">
        <f>SUM(F279:F302)</f>
        <v>75165</v>
      </c>
      <c r="G303" s="531">
        <f t="shared" ref="G303:H303" si="281">SUM(G279:G302)</f>
        <v>73790</v>
      </c>
      <c r="H303" s="531">
        <f t="shared" si="281"/>
        <v>1375</v>
      </c>
      <c r="I303" s="532" t="str">
        <f>IFERROR(F303/#REF!,"-")</f>
        <v>-</v>
      </c>
      <c r="J303" s="525">
        <f t="shared" ref="J303" si="282">SUM(J279:J302)</f>
        <v>338851</v>
      </c>
      <c r="K303" s="531">
        <f>SUM(K274:K302)</f>
        <v>362290</v>
      </c>
      <c r="L303" s="533">
        <f t="shared" ref="L303" si="283">SUM(L279:L302)</f>
        <v>4661</v>
      </c>
      <c r="M303" s="534" t="str">
        <f t="shared" si="278"/>
        <v>-</v>
      </c>
      <c r="N303" s="532">
        <f t="shared" si="279"/>
        <v>1.3755308380379578E-2</v>
      </c>
      <c r="O303" s="535"/>
      <c r="P303" s="536">
        <f>SUM(P274:P302)</f>
        <v>606634.37299999991</v>
      </c>
      <c r="Q303" s="536">
        <f>SUM(Q274:Q302)</f>
        <v>2994408.0730000003</v>
      </c>
    </row>
    <row r="304" spans="1:17" ht="24" thickBot="1" x14ac:dyDescent="0.35">
      <c r="A304" s="324" t="s">
        <v>109</v>
      </c>
      <c r="B304" s="984" t="s">
        <v>276</v>
      </c>
      <c r="C304" s="927"/>
      <c r="D304" s="332">
        <f>+D278+D303</f>
        <v>0</v>
      </c>
      <c r="E304" s="333">
        <f>+E278+E303</f>
        <v>100000</v>
      </c>
      <c r="F304" s="332">
        <f>+F278+F303</f>
        <v>75165</v>
      </c>
      <c r="G304" s="330">
        <f>+G278+G303</f>
        <v>73790</v>
      </c>
      <c r="H304" s="330">
        <f>+H278+H303</f>
        <v>1375</v>
      </c>
      <c r="I304" s="355" t="str">
        <f>IFERROR(F304/#REF!,"-")</f>
        <v>-</v>
      </c>
      <c r="J304" s="332">
        <f>+J278+J303</f>
        <v>341201</v>
      </c>
      <c r="K304" s="330">
        <f>K303</f>
        <v>362290</v>
      </c>
      <c r="L304" s="331">
        <f>+L278+L303</f>
        <v>5111</v>
      </c>
      <c r="M304" s="347" t="str">
        <f t="shared" si="278"/>
        <v>-</v>
      </c>
      <c r="N304" s="355">
        <f t="shared" si="279"/>
        <v>1.4979440271277048E-2</v>
      </c>
      <c r="O304" s="400"/>
      <c r="P304" s="416">
        <f>+P278+P303</f>
        <v>606634.37299999991</v>
      </c>
      <c r="Q304" s="434">
        <f>Q303</f>
        <v>2994408.0730000003</v>
      </c>
    </row>
    <row r="305" spans="1:17" ht="24.6" thickBot="1" x14ac:dyDescent="0.35">
      <c r="A305" s="325"/>
      <c r="B305" s="915" t="s">
        <v>183</v>
      </c>
      <c r="C305" s="916"/>
      <c r="D305" s="380">
        <f>+D304+D273+D264</f>
        <v>0</v>
      </c>
      <c r="E305" s="380">
        <f>+E304+E273+E264</f>
        <v>230000</v>
      </c>
      <c r="F305" s="380">
        <f>+F304+F273+F264</f>
        <v>298762</v>
      </c>
      <c r="G305" s="380">
        <f>+G304+G273+G264</f>
        <v>294710</v>
      </c>
      <c r="H305" s="380">
        <f>+H304+H273+H264</f>
        <v>4052</v>
      </c>
      <c r="I305" s="381" t="str">
        <f>IFERROR(F305/#REF!,"-")</f>
        <v>-</v>
      </c>
      <c r="J305" s="380">
        <f>+J304+J273+J264</f>
        <v>1369892</v>
      </c>
      <c r="K305" s="380">
        <f>+K304+K273+K264</f>
        <v>1371450</v>
      </c>
      <c r="L305" s="380">
        <f>+L304+L273+L264</f>
        <v>24642</v>
      </c>
      <c r="M305" s="381" t="str">
        <f t="shared" si="278"/>
        <v>-</v>
      </c>
      <c r="N305" s="381">
        <f>IFERROR(L305/J305,"-")</f>
        <v>1.7988279368008574E-2</v>
      </c>
      <c r="O305" s="407"/>
      <c r="P305" s="424">
        <f>+P304+P273+P264</f>
        <v>1824555.5049999999</v>
      </c>
      <c r="Q305" s="424">
        <f>+Q304+Q273+Q264</f>
        <v>8400363.381000001</v>
      </c>
    </row>
    <row r="306" spans="1:17" ht="23.4" x14ac:dyDescent="0.3">
      <c r="A306" s="935" t="s">
        <v>1</v>
      </c>
      <c r="B306" s="938" t="s">
        <v>2</v>
      </c>
      <c r="C306" s="941" t="s">
        <v>3</v>
      </c>
      <c r="D306" s="944" t="s">
        <v>4</v>
      </c>
      <c r="E306" s="945"/>
      <c r="F306" s="945"/>
      <c r="G306" s="945"/>
      <c r="H306" s="945"/>
      <c r="I306" s="945"/>
      <c r="J306" s="945"/>
      <c r="K306" s="945"/>
      <c r="L306" s="945"/>
      <c r="M306" s="945"/>
      <c r="N306" s="946"/>
      <c r="O306" s="965" t="s">
        <v>176</v>
      </c>
      <c r="P306" s="966"/>
      <c r="Q306" s="990"/>
    </row>
    <row r="307" spans="1:17" ht="23.4" x14ac:dyDescent="0.3">
      <c r="A307" s="936"/>
      <c r="B307" s="939"/>
      <c r="C307" s="942"/>
      <c r="D307" s="947" t="s">
        <v>7</v>
      </c>
      <c r="E307" s="949" t="s">
        <v>116</v>
      </c>
      <c r="F307" s="991" t="s">
        <v>431</v>
      </c>
      <c r="G307" s="952"/>
      <c r="H307" s="952"/>
      <c r="I307" s="953"/>
      <c r="J307" s="954" t="s">
        <v>8</v>
      </c>
      <c r="K307" s="955"/>
      <c r="L307" s="956"/>
      <c r="M307" s="957" t="s">
        <v>174</v>
      </c>
      <c r="N307" s="959" t="s">
        <v>173</v>
      </c>
      <c r="O307" s="967" t="s">
        <v>178</v>
      </c>
      <c r="P307" s="968"/>
      <c r="Q307" s="969"/>
    </row>
    <row r="308" spans="1:17" ht="47.4" thickBot="1" x14ac:dyDescent="0.35">
      <c r="A308" s="937"/>
      <c r="B308" s="940"/>
      <c r="C308" s="943"/>
      <c r="D308" s="948"/>
      <c r="E308" s="950"/>
      <c r="F308" s="462" t="s">
        <v>13</v>
      </c>
      <c r="G308" s="463" t="s">
        <v>14</v>
      </c>
      <c r="H308" s="463" t="s">
        <v>15</v>
      </c>
      <c r="I308" s="464" t="s">
        <v>175</v>
      </c>
      <c r="J308" s="462" t="s">
        <v>13</v>
      </c>
      <c r="K308" s="463" t="s">
        <v>14</v>
      </c>
      <c r="L308" s="465" t="s">
        <v>15</v>
      </c>
      <c r="M308" s="958"/>
      <c r="N308" s="960"/>
      <c r="O308" s="453" t="s">
        <v>179</v>
      </c>
      <c r="P308" s="454" t="s">
        <v>11</v>
      </c>
      <c r="Q308" s="455" t="s">
        <v>12</v>
      </c>
    </row>
    <row r="309" spans="1:17" ht="23.4" x14ac:dyDescent="0.3">
      <c r="A309" s="271" t="s">
        <v>111</v>
      </c>
      <c r="B309" s="445"/>
      <c r="C309" s="272" t="s">
        <v>272</v>
      </c>
      <c r="D309" s="273"/>
      <c r="E309" s="274"/>
      <c r="F309" s="338">
        <f>+G309+H309</f>
        <v>51390</v>
      </c>
      <c r="G309" s="275">
        <v>46760</v>
      </c>
      <c r="H309" s="275">
        <v>4630</v>
      </c>
      <c r="I309" s="357" t="str">
        <f>IFERROR(F309/#REF!,"-")</f>
        <v>-</v>
      </c>
      <c r="J309" s="468">
        <f>+K309+L309</f>
        <v>130110</v>
      </c>
      <c r="K309" s="469">
        <f>+G309+K250</f>
        <v>117600</v>
      </c>
      <c r="L309" s="470">
        <f>+H309+L250</f>
        <v>12510</v>
      </c>
      <c r="M309" s="342" t="str">
        <f>IFERROR(J309/D309,"-")</f>
        <v>-</v>
      </c>
      <c r="N309" s="349">
        <f t="shared" ref="N309:N310" si="284">IFERROR(L309/J309,"-")</f>
        <v>9.6149412035969564E-2</v>
      </c>
      <c r="O309" s="518">
        <v>1.5669</v>
      </c>
      <c r="P309" s="408">
        <f>+O309*G309</f>
        <v>73268.243999999992</v>
      </c>
      <c r="Q309" s="457">
        <f>+O309*K309</f>
        <v>184267.44</v>
      </c>
    </row>
    <row r="310" spans="1:17" ht="23.4" x14ac:dyDescent="0.3">
      <c r="A310" s="277" t="s">
        <v>111</v>
      </c>
      <c r="B310" s="444"/>
      <c r="C310" s="278" t="s">
        <v>271</v>
      </c>
      <c r="D310" s="279"/>
      <c r="E310" s="280"/>
      <c r="F310" s="339">
        <f t="shared" ref="F310:F313" si="285">+G310+H310</f>
        <v>0</v>
      </c>
      <c r="G310" s="281">
        <v>0</v>
      </c>
      <c r="H310" s="281">
        <v>0</v>
      </c>
      <c r="I310" s="358" t="str">
        <f>IFERROR(F310/#REF!,"-")</f>
        <v>-</v>
      </c>
      <c r="J310" s="339">
        <f t="shared" ref="J310:J313" si="286">+K310+L310</f>
        <v>0</v>
      </c>
      <c r="K310" s="281">
        <f t="shared" ref="K310:K313" si="287">+G310+K251</f>
        <v>0</v>
      </c>
      <c r="L310" s="442">
        <f t="shared" ref="L310:L313" si="288">+H310+L251</f>
        <v>0</v>
      </c>
      <c r="M310" s="343" t="str">
        <f t="shared" ref="M310:M313" si="289">IFERROR(J310/D310,"-")</f>
        <v>-</v>
      </c>
      <c r="N310" s="268" t="str">
        <f t="shared" si="284"/>
        <v>-</v>
      </c>
      <c r="O310" s="519">
        <v>2.3978999999999999</v>
      </c>
      <c r="P310" s="410">
        <f t="shared" ref="P310:P313" si="290">+O310*G310</f>
        <v>0</v>
      </c>
      <c r="Q310" s="459">
        <f t="shared" ref="Q310:Q313" si="291">+O310*K310</f>
        <v>0</v>
      </c>
    </row>
    <row r="311" spans="1:17" ht="23.4" x14ac:dyDescent="0.3">
      <c r="A311" s="277" t="s">
        <v>111</v>
      </c>
      <c r="B311" s="444"/>
      <c r="C311" s="278" t="s">
        <v>273</v>
      </c>
      <c r="D311" s="279"/>
      <c r="E311" s="280"/>
      <c r="F311" s="339">
        <f t="shared" si="285"/>
        <v>0</v>
      </c>
      <c r="G311" s="281">
        <v>0</v>
      </c>
      <c r="H311" s="281">
        <v>0</v>
      </c>
      <c r="I311" s="358" t="str">
        <f>IFERROR(F311/#REF!,"-")</f>
        <v>-</v>
      </c>
      <c r="J311" s="339">
        <f t="shared" si="286"/>
        <v>0</v>
      </c>
      <c r="K311" s="281">
        <f t="shared" si="287"/>
        <v>0</v>
      </c>
      <c r="L311" s="251">
        <f t="shared" si="288"/>
        <v>0</v>
      </c>
      <c r="M311" s="343" t="str">
        <f t="shared" si="289"/>
        <v>-</v>
      </c>
      <c r="N311" s="268" t="str">
        <f>IFERROR(L311/J311,"-")</f>
        <v>-</v>
      </c>
      <c r="O311" s="519">
        <v>4.0426000000000002</v>
      </c>
      <c r="P311" s="410">
        <f t="shared" si="290"/>
        <v>0</v>
      </c>
      <c r="Q311" s="459">
        <f t="shared" si="291"/>
        <v>0</v>
      </c>
    </row>
    <row r="312" spans="1:17" ht="23.4" x14ac:dyDescent="0.3">
      <c r="A312" s="277"/>
      <c r="B312" s="461"/>
      <c r="C312" s="278" t="s">
        <v>372</v>
      </c>
      <c r="D312" s="283"/>
      <c r="E312" s="284"/>
      <c r="F312" s="339">
        <f t="shared" si="285"/>
        <v>41895</v>
      </c>
      <c r="G312" s="285">
        <v>41400</v>
      </c>
      <c r="H312" s="285">
        <v>495</v>
      </c>
      <c r="I312" s="358" t="str">
        <f>IFERROR(F312/#REF!,"-")</f>
        <v>-</v>
      </c>
      <c r="J312" s="339">
        <f t="shared" si="286"/>
        <v>249009</v>
      </c>
      <c r="K312" s="281">
        <f t="shared" si="287"/>
        <v>244400</v>
      </c>
      <c r="L312" s="286">
        <f t="shared" si="288"/>
        <v>4609</v>
      </c>
      <c r="M312" s="343" t="str">
        <f t="shared" si="289"/>
        <v>-</v>
      </c>
      <c r="N312" s="268">
        <f>IFERROR(L312/J312,"-")</f>
        <v>1.8509371147227609E-2</v>
      </c>
      <c r="O312" s="520">
        <v>12.284700000000001</v>
      </c>
      <c r="P312" s="410">
        <f t="shared" si="290"/>
        <v>508586.58</v>
      </c>
      <c r="Q312" s="459">
        <f t="shared" si="291"/>
        <v>3002380.68</v>
      </c>
    </row>
    <row r="313" spans="1:17" ht="24" thickBot="1" x14ac:dyDescent="0.35">
      <c r="A313" s="277" t="s">
        <v>111</v>
      </c>
      <c r="B313" s="461"/>
      <c r="C313" s="278" t="s">
        <v>361</v>
      </c>
      <c r="D313" s="283"/>
      <c r="E313" s="284"/>
      <c r="F313" s="340">
        <f t="shared" si="285"/>
        <v>0</v>
      </c>
      <c r="G313" s="285">
        <v>0</v>
      </c>
      <c r="H313" s="285">
        <v>0</v>
      </c>
      <c r="I313" s="359" t="str">
        <f>IFERROR(F313/#REF!,"-")</f>
        <v>-</v>
      </c>
      <c r="J313" s="471">
        <f t="shared" si="286"/>
        <v>0</v>
      </c>
      <c r="K313" s="472">
        <f t="shared" si="287"/>
        <v>0</v>
      </c>
      <c r="L313" s="258">
        <f t="shared" si="288"/>
        <v>0</v>
      </c>
      <c r="M313" s="344" t="str">
        <f t="shared" si="289"/>
        <v>-</v>
      </c>
      <c r="N313" s="350" t="str">
        <f t="shared" ref="N313:N325" si="292">IFERROR(L313/J313,"-")</f>
        <v>-</v>
      </c>
      <c r="O313" s="520">
        <v>4.6797000000000004</v>
      </c>
      <c r="P313" s="411">
        <f t="shared" si="290"/>
        <v>0</v>
      </c>
      <c r="Q313" s="460">
        <f t="shared" si="291"/>
        <v>0</v>
      </c>
    </row>
    <row r="314" spans="1:17" ht="24" thickBot="1" x14ac:dyDescent="0.35">
      <c r="A314" s="277" t="s">
        <v>111</v>
      </c>
      <c r="B314" s="906" t="s">
        <v>21</v>
      </c>
      <c r="C314" s="907"/>
      <c r="D314" s="326">
        <f>SUM(D309:D313)</f>
        <v>0</v>
      </c>
      <c r="E314" s="289">
        <v>15000</v>
      </c>
      <c r="F314" s="326">
        <f>SUM(F309:F313)</f>
        <v>93285</v>
      </c>
      <c r="G314" s="327">
        <f>SUM(G309:G313)</f>
        <v>88160</v>
      </c>
      <c r="H314" s="327">
        <f>SUM(H309:H313)</f>
        <v>5125</v>
      </c>
      <c r="I314" s="351" t="str">
        <f>IFERROR(F314/#REF!,"-")</f>
        <v>-</v>
      </c>
      <c r="J314" s="326">
        <f>SUM(J309:J313)</f>
        <v>379119</v>
      </c>
      <c r="K314" s="327">
        <f>SUM(K309:K313)</f>
        <v>362000</v>
      </c>
      <c r="L314" s="328">
        <f>SUM(L309:L313)</f>
        <v>17119</v>
      </c>
      <c r="M314" s="345" t="str">
        <f>IFERROR(J314/D314,"-")</f>
        <v>-</v>
      </c>
      <c r="N314" s="351">
        <f t="shared" si="292"/>
        <v>4.5154687578306547E-2</v>
      </c>
      <c r="O314" s="397"/>
      <c r="P314" s="412">
        <f>SUM(P309:P313)</f>
        <v>581854.82400000002</v>
      </c>
      <c r="Q314" s="431">
        <f>SUM(Q309:Q313)</f>
        <v>3186648.12</v>
      </c>
    </row>
    <row r="315" spans="1:17" ht="23.4" x14ac:dyDescent="0.3">
      <c r="A315" s="277" t="s">
        <v>111</v>
      </c>
      <c r="B315" s="445"/>
      <c r="C315" s="272" t="s">
        <v>270</v>
      </c>
      <c r="D315" s="273"/>
      <c r="E315" s="274"/>
      <c r="F315" s="338">
        <f t="shared" ref="F315:F321" si="293">+G315+H315</f>
        <v>0</v>
      </c>
      <c r="G315" s="275">
        <v>0</v>
      </c>
      <c r="H315" s="275">
        <v>0</v>
      </c>
      <c r="I315" s="357" t="str">
        <f>IFERROR(F315/#REF!,"-")</f>
        <v>-</v>
      </c>
      <c r="J315" s="338">
        <f t="shared" ref="J315:J321" si="294">+K315+L315</f>
        <v>4462</v>
      </c>
      <c r="K315" s="275">
        <f t="shared" ref="K315:K321" si="295">+G315+K256</f>
        <v>4320</v>
      </c>
      <c r="L315" s="276">
        <f t="shared" ref="L315:L321" si="296">+H315+L256</f>
        <v>142</v>
      </c>
      <c r="M315" s="342" t="str">
        <f t="shared" ref="M315:M323" si="297">IFERROR(J315/D315,"-")</f>
        <v>-</v>
      </c>
      <c r="N315" s="352">
        <f t="shared" si="292"/>
        <v>3.1824294038547737E-2</v>
      </c>
      <c r="O315" s="518">
        <v>18.2316</v>
      </c>
      <c r="P315" s="408">
        <f t="shared" ref="P315:P321" si="298">+O315*G315</f>
        <v>0</v>
      </c>
      <c r="Q315" s="457">
        <f t="shared" ref="Q315:Q321" si="299">+O315*K315</f>
        <v>78760.512000000002</v>
      </c>
    </row>
    <row r="316" spans="1:17" ht="23.4" x14ac:dyDescent="0.3">
      <c r="A316" s="277" t="s">
        <v>111</v>
      </c>
      <c r="B316" s="444"/>
      <c r="C316" s="278" t="s">
        <v>92</v>
      </c>
      <c r="D316" s="279"/>
      <c r="E316" s="280"/>
      <c r="F316" s="339">
        <f t="shared" si="293"/>
        <v>60000</v>
      </c>
      <c r="G316" s="281">
        <v>60000</v>
      </c>
      <c r="H316" s="281">
        <v>0</v>
      </c>
      <c r="I316" s="358" t="str">
        <f>IFERROR(F316/#REF!,"-")</f>
        <v>-</v>
      </c>
      <c r="J316" s="339">
        <f t="shared" si="294"/>
        <v>120000</v>
      </c>
      <c r="K316" s="281">
        <f t="shared" si="295"/>
        <v>120000</v>
      </c>
      <c r="L316" s="251">
        <f t="shared" si="296"/>
        <v>0</v>
      </c>
      <c r="M316" s="343" t="str">
        <f t="shared" si="297"/>
        <v>-</v>
      </c>
      <c r="N316" s="264">
        <f t="shared" si="292"/>
        <v>0</v>
      </c>
      <c r="O316" s="519">
        <v>0</v>
      </c>
      <c r="P316" s="410">
        <f t="shared" si="298"/>
        <v>0</v>
      </c>
      <c r="Q316" s="459">
        <f t="shared" si="299"/>
        <v>0</v>
      </c>
    </row>
    <row r="317" spans="1:17" ht="23.4" x14ac:dyDescent="0.3">
      <c r="A317" s="277" t="s">
        <v>111</v>
      </c>
      <c r="B317" s="444"/>
      <c r="C317" s="278" t="s">
        <v>340</v>
      </c>
      <c r="D317" s="279"/>
      <c r="E317" s="280"/>
      <c r="F317" s="339">
        <f t="shared" si="293"/>
        <v>0</v>
      </c>
      <c r="G317" s="281">
        <v>0</v>
      </c>
      <c r="H317" s="281">
        <v>0</v>
      </c>
      <c r="I317" s="358" t="str">
        <f>IFERROR(F317/#REF!,"-")</f>
        <v>-</v>
      </c>
      <c r="J317" s="339">
        <f t="shared" si="294"/>
        <v>0</v>
      </c>
      <c r="K317" s="281">
        <f t="shared" si="295"/>
        <v>0</v>
      </c>
      <c r="L317" s="251">
        <f t="shared" si="296"/>
        <v>0</v>
      </c>
      <c r="M317" s="343" t="str">
        <f t="shared" si="297"/>
        <v>-</v>
      </c>
      <c r="N317" s="264" t="str">
        <f t="shared" si="292"/>
        <v>-</v>
      </c>
      <c r="O317" s="519">
        <v>5.7342000000000004</v>
      </c>
      <c r="P317" s="410">
        <f t="shared" si="298"/>
        <v>0</v>
      </c>
      <c r="Q317" s="459">
        <f t="shared" si="299"/>
        <v>0</v>
      </c>
    </row>
    <row r="318" spans="1:17" ht="23.4" x14ac:dyDescent="0.3">
      <c r="A318" s="277" t="s">
        <v>111</v>
      </c>
      <c r="B318" s="444"/>
      <c r="C318" s="278" t="s">
        <v>363</v>
      </c>
      <c r="D318" s="279"/>
      <c r="E318" s="280"/>
      <c r="F318" s="339">
        <f t="shared" si="293"/>
        <v>0</v>
      </c>
      <c r="G318" s="281">
        <v>0</v>
      </c>
      <c r="H318" s="281">
        <v>0</v>
      </c>
      <c r="I318" s="358" t="str">
        <f>IFERROR(F318/#REF!,"-")</f>
        <v>-</v>
      </c>
      <c r="J318" s="339">
        <f t="shared" si="294"/>
        <v>0</v>
      </c>
      <c r="K318" s="281">
        <f t="shared" si="295"/>
        <v>0</v>
      </c>
      <c r="L318" s="251">
        <f t="shared" si="296"/>
        <v>0</v>
      </c>
      <c r="M318" s="343" t="str">
        <f t="shared" si="297"/>
        <v>-</v>
      </c>
      <c r="N318" s="264" t="str">
        <f t="shared" si="292"/>
        <v>-</v>
      </c>
      <c r="O318" s="519"/>
      <c r="P318" s="410">
        <f t="shared" si="298"/>
        <v>0</v>
      </c>
      <c r="Q318" s="459">
        <f t="shared" si="299"/>
        <v>0</v>
      </c>
    </row>
    <row r="319" spans="1:17" ht="23.4" x14ac:dyDescent="0.3">
      <c r="A319" s="277" t="s">
        <v>111</v>
      </c>
      <c r="B319" s="444"/>
      <c r="C319" s="278" t="s">
        <v>373</v>
      </c>
      <c r="D319" s="279"/>
      <c r="E319" s="280"/>
      <c r="F319" s="339">
        <f t="shared" si="293"/>
        <v>37145</v>
      </c>
      <c r="G319" s="281">
        <v>37000</v>
      </c>
      <c r="H319" s="281">
        <v>145</v>
      </c>
      <c r="I319" s="358" t="str">
        <f>IFERROR(F319/#REF!,"-")</f>
        <v>-</v>
      </c>
      <c r="J319" s="339">
        <f t="shared" si="294"/>
        <v>163687</v>
      </c>
      <c r="K319" s="281">
        <f t="shared" si="295"/>
        <v>163000</v>
      </c>
      <c r="L319" s="251">
        <f t="shared" si="296"/>
        <v>687</v>
      </c>
      <c r="M319" s="343" t="str">
        <f t="shared" si="297"/>
        <v>-</v>
      </c>
      <c r="N319" s="264">
        <f t="shared" si="292"/>
        <v>4.1970345842980809E-3</v>
      </c>
      <c r="O319" s="519">
        <v>12.029500000000001</v>
      </c>
      <c r="P319" s="410">
        <f t="shared" si="298"/>
        <v>445091.5</v>
      </c>
      <c r="Q319" s="459">
        <f t="shared" si="299"/>
        <v>1960808.5</v>
      </c>
    </row>
    <row r="320" spans="1:17" ht="23.4" x14ac:dyDescent="0.3">
      <c r="A320" s="277" t="s">
        <v>111</v>
      </c>
      <c r="B320" s="444"/>
      <c r="C320" s="278"/>
      <c r="D320" s="279"/>
      <c r="E320" s="280"/>
      <c r="F320" s="339">
        <f t="shared" si="293"/>
        <v>0</v>
      </c>
      <c r="G320" s="281">
        <v>0</v>
      </c>
      <c r="H320" s="281">
        <v>0</v>
      </c>
      <c r="I320" s="358" t="str">
        <f>IFERROR(F320/#REF!,"-")</f>
        <v>-</v>
      </c>
      <c r="J320" s="339">
        <f t="shared" si="294"/>
        <v>0</v>
      </c>
      <c r="K320" s="281">
        <f t="shared" si="295"/>
        <v>0</v>
      </c>
      <c r="L320" s="251">
        <f t="shared" si="296"/>
        <v>0</v>
      </c>
      <c r="M320" s="343" t="str">
        <f t="shared" si="297"/>
        <v>-</v>
      </c>
      <c r="N320" s="264" t="str">
        <f t="shared" si="292"/>
        <v>-</v>
      </c>
      <c r="O320" s="519"/>
      <c r="P320" s="410">
        <f t="shared" si="298"/>
        <v>0</v>
      </c>
      <c r="Q320" s="459">
        <f t="shared" si="299"/>
        <v>0</v>
      </c>
    </row>
    <row r="321" spans="1:17" ht="24" thickBot="1" x14ac:dyDescent="0.35">
      <c r="A321" s="277" t="s">
        <v>111</v>
      </c>
      <c r="B321" s="461"/>
      <c r="C321" s="282"/>
      <c r="D321" s="283">
        <v>0</v>
      </c>
      <c r="E321" s="284"/>
      <c r="F321" s="340">
        <f t="shared" si="293"/>
        <v>0</v>
      </c>
      <c r="G321" s="285">
        <v>0</v>
      </c>
      <c r="H321" s="285">
        <v>0</v>
      </c>
      <c r="I321" s="359" t="str">
        <f>IFERROR(F321/#REF!,"-")</f>
        <v>-</v>
      </c>
      <c r="J321" s="340">
        <f t="shared" si="294"/>
        <v>0</v>
      </c>
      <c r="K321" s="285">
        <f t="shared" si="295"/>
        <v>0</v>
      </c>
      <c r="L321" s="286">
        <f t="shared" si="296"/>
        <v>0</v>
      </c>
      <c r="M321" s="344" t="str">
        <f t="shared" si="297"/>
        <v>-</v>
      </c>
      <c r="N321" s="353" t="str">
        <f t="shared" si="292"/>
        <v>-</v>
      </c>
      <c r="O321" s="520"/>
      <c r="P321" s="411">
        <f t="shared" si="298"/>
        <v>0</v>
      </c>
      <c r="Q321" s="460">
        <f t="shared" si="299"/>
        <v>0</v>
      </c>
    </row>
    <row r="322" spans="1:17" ht="24" thickBot="1" x14ac:dyDescent="0.35">
      <c r="A322" s="277" t="s">
        <v>111</v>
      </c>
      <c r="B322" s="906" t="s">
        <v>25</v>
      </c>
      <c r="C322" s="907"/>
      <c r="D322" s="326">
        <f t="shared" ref="D322" si="300">SUM(D315:D321)</f>
        <v>0</v>
      </c>
      <c r="E322" s="289">
        <v>100000</v>
      </c>
      <c r="F322" s="326">
        <f>SUM(F315:F321)</f>
        <v>97145</v>
      </c>
      <c r="G322" s="327">
        <f t="shared" ref="G322:H322" si="301">SUM(G315:G321)</f>
        <v>97000</v>
      </c>
      <c r="H322" s="327">
        <f t="shared" si="301"/>
        <v>145</v>
      </c>
      <c r="I322" s="351" t="str">
        <f>IFERROR(F322/#REF!,"-")</f>
        <v>-</v>
      </c>
      <c r="J322" s="326">
        <f t="shared" ref="J322:L322" si="302">SUM(J315:J321)</f>
        <v>288149</v>
      </c>
      <c r="K322" s="327">
        <f t="shared" si="302"/>
        <v>287320</v>
      </c>
      <c r="L322" s="328">
        <f t="shared" si="302"/>
        <v>829</v>
      </c>
      <c r="M322" s="345" t="str">
        <f t="shared" si="297"/>
        <v>-</v>
      </c>
      <c r="N322" s="351">
        <f t="shared" si="292"/>
        <v>2.8769837826957581E-3</v>
      </c>
      <c r="O322" s="397"/>
      <c r="P322" s="412">
        <f t="shared" ref="P322:Q322" si="303">SUM(P315:P321)</f>
        <v>445091.5</v>
      </c>
      <c r="Q322" s="431">
        <f t="shared" si="303"/>
        <v>2039569.0120000001</v>
      </c>
    </row>
    <row r="323" spans="1:17" ht="24" thickBot="1" x14ac:dyDescent="0.35">
      <c r="A323" s="277" t="s">
        <v>111</v>
      </c>
      <c r="B323" s="985" t="s">
        <v>181</v>
      </c>
      <c r="C323" s="986"/>
      <c r="D323" s="332">
        <f>+D314+D322</f>
        <v>0</v>
      </c>
      <c r="E323" s="333">
        <f t="shared" ref="E323:H323" si="304">+E314+E322</f>
        <v>115000</v>
      </c>
      <c r="F323" s="332">
        <f t="shared" si="304"/>
        <v>190430</v>
      </c>
      <c r="G323" s="330">
        <f t="shared" si="304"/>
        <v>185160</v>
      </c>
      <c r="H323" s="330">
        <f t="shared" si="304"/>
        <v>5270</v>
      </c>
      <c r="I323" s="355" t="str">
        <f>IFERROR(F323/#REF!,"-")</f>
        <v>-</v>
      </c>
      <c r="J323" s="332">
        <f t="shared" ref="J323:L323" si="305">+J314+J322</f>
        <v>667268</v>
      </c>
      <c r="K323" s="330">
        <f t="shared" si="305"/>
        <v>649320</v>
      </c>
      <c r="L323" s="331">
        <f t="shared" si="305"/>
        <v>17948</v>
      </c>
      <c r="M323" s="347" t="str">
        <f t="shared" si="297"/>
        <v>-</v>
      </c>
      <c r="N323" s="355">
        <f t="shared" si="292"/>
        <v>2.6897738240107424E-2</v>
      </c>
      <c r="O323" s="400"/>
      <c r="P323" s="416">
        <f t="shared" ref="P323:Q323" si="306">+P314+P322</f>
        <v>1026946.324</v>
      </c>
      <c r="Q323" s="434">
        <f t="shared" si="306"/>
        <v>5226217.1320000002</v>
      </c>
    </row>
    <row r="324" spans="1:17" ht="23.4" x14ac:dyDescent="0.3">
      <c r="A324" s="244" t="s">
        <v>109</v>
      </c>
      <c r="B324" s="599"/>
      <c r="C324" s="600" t="s">
        <v>314</v>
      </c>
      <c r="D324" s="540"/>
      <c r="E324" s="470"/>
      <c r="F324" s="468">
        <f>+G324+H324</f>
        <v>0</v>
      </c>
      <c r="G324" s="469">
        <v>0</v>
      </c>
      <c r="H324" s="469">
        <v>0</v>
      </c>
      <c r="I324" s="544" t="str">
        <f>IFERROR(F324/#REF!,"-")</f>
        <v>-</v>
      </c>
      <c r="J324" s="468">
        <f>+K324+L324</f>
        <v>0</v>
      </c>
      <c r="K324" s="469">
        <f t="shared" ref="K324:K330" si="307">+G324+K265</f>
        <v>0</v>
      </c>
      <c r="L324" s="247">
        <f t="shared" ref="L324:L330" si="308">+H324+L265</f>
        <v>0</v>
      </c>
      <c r="M324" s="604" t="str">
        <f>IFERROR(J324/D324,"-")</f>
        <v>-</v>
      </c>
      <c r="N324" s="546" t="str">
        <f t="shared" si="292"/>
        <v>-</v>
      </c>
      <c r="O324" s="648">
        <v>4.8285999999999998</v>
      </c>
      <c r="P324" s="547">
        <f t="shared" ref="P324:P330" si="309">+O324*G324</f>
        <v>0</v>
      </c>
      <c r="Q324" s="548">
        <f>+O324*K324</f>
        <v>0</v>
      </c>
    </row>
    <row r="325" spans="1:17" ht="23.4" x14ac:dyDescent="0.3">
      <c r="A325" s="248" t="s">
        <v>109</v>
      </c>
      <c r="B325" s="601"/>
      <c r="C325" s="278" t="s">
        <v>315</v>
      </c>
      <c r="D325" s="279"/>
      <c r="E325" s="442"/>
      <c r="F325" s="339">
        <f t="shared" ref="F325:F330" si="310">+G325+H325</f>
        <v>0</v>
      </c>
      <c r="G325" s="281">
        <v>0</v>
      </c>
      <c r="H325" s="281">
        <v>0</v>
      </c>
      <c r="I325" s="358" t="str">
        <f>IFERROR(F325/#REF!,"-")</f>
        <v>-</v>
      </c>
      <c r="J325" s="339">
        <f t="shared" ref="J325:J330" si="311">+K325+L325</f>
        <v>0</v>
      </c>
      <c r="K325" s="281">
        <f t="shared" si="307"/>
        <v>0</v>
      </c>
      <c r="L325" s="251">
        <f t="shared" si="308"/>
        <v>0</v>
      </c>
      <c r="M325" s="343" t="str">
        <f t="shared" ref="M325:M327" si="312">IFERROR(J325/D325,"-")</f>
        <v>-</v>
      </c>
      <c r="N325" s="268" t="str">
        <f t="shared" si="292"/>
        <v>-</v>
      </c>
      <c r="O325" s="649">
        <v>1.4086000000000001</v>
      </c>
      <c r="P325" s="410">
        <f t="shared" si="309"/>
        <v>0</v>
      </c>
      <c r="Q325" s="459">
        <f t="shared" ref="Q325:Q330" si="313">+O325*K325</f>
        <v>0</v>
      </c>
    </row>
    <row r="326" spans="1:17" ht="23.4" x14ac:dyDescent="0.3">
      <c r="A326" s="248" t="s">
        <v>109</v>
      </c>
      <c r="B326" s="601"/>
      <c r="C326" s="278" t="s">
        <v>367</v>
      </c>
      <c r="D326" s="279"/>
      <c r="E326" s="442"/>
      <c r="F326" s="339">
        <f t="shared" si="310"/>
        <v>21760</v>
      </c>
      <c r="G326" s="281">
        <v>21000</v>
      </c>
      <c r="H326" s="281">
        <v>760</v>
      </c>
      <c r="I326" s="358" t="str">
        <f>IFERROR(F326/#REF!,"-")</f>
        <v>-</v>
      </c>
      <c r="J326" s="339">
        <f t="shared" si="311"/>
        <v>573613</v>
      </c>
      <c r="K326" s="281">
        <f t="shared" si="307"/>
        <v>566000</v>
      </c>
      <c r="L326" s="251">
        <f t="shared" si="308"/>
        <v>7613</v>
      </c>
      <c r="M326" s="343" t="str">
        <f t="shared" si="312"/>
        <v>-</v>
      </c>
      <c r="N326" s="268">
        <f>IFERROR(L326/J326,"-")</f>
        <v>1.3272014406925924E-2</v>
      </c>
      <c r="O326" s="649">
        <v>2.2141000000000002</v>
      </c>
      <c r="P326" s="410">
        <f t="shared" si="309"/>
        <v>46496.100000000006</v>
      </c>
      <c r="Q326" s="459">
        <f t="shared" si="313"/>
        <v>1253180.6000000001</v>
      </c>
    </row>
    <row r="327" spans="1:17" ht="23.4" x14ac:dyDescent="0.3">
      <c r="A327" s="248" t="s">
        <v>109</v>
      </c>
      <c r="B327" s="602"/>
      <c r="C327" s="278" t="s">
        <v>436</v>
      </c>
      <c r="D327" s="283"/>
      <c r="E327" s="541"/>
      <c r="F327" s="340">
        <f t="shared" si="310"/>
        <v>40882</v>
      </c>
      <c r="G327" s="285">
        <v>40000</v>
      </c>
      <c r="H327" s="285">
        <v>882</v>
      </c>
      <c r="I327" s="359" t="str">
        <f>IFERROR(F327/#REF!,"-")</f>
        <v>-</v>
      </c>
      <c r="J327" s="339">
        <f t="shared" si="311"/>
        <v>40882</v>
      </c>
      <c r="K327" s="285">
        <f t="shared" si="307"/>
        <v>40000</v>
      </c>
      <c r="L327" s="286">
        <f t="shared" si="308"/>
        <v>882</v>
      </c>
      <c r="M327" s="344" t="str">
        <f t="shared" si="312"/>
        <v>-</v>
      </c>
      <c r="N327" s="350">
        <f t="shared" ref="N327:N334" si="314">IFERROR(L327/J327,"-")</f>
        <v>2.157428697226163E-2</v>
      </c>
      <c r="O327" s="650">
        <v>2.4565999999999999</v>
      </c>
      <c r="P327" s="411">
        <f t="shared" si="309"/>
        <v>98264</v>
      </c>
      <c r="Q327" s="460">
        <f t="shared" si="313"/>
        <v>98264</v>
      </c>
    </row>
    <row r="328" spans="1:17" ht="23.4" x14ac:dyDescent="0.3">
      <c r="A328" s="248" t="s">
        <v>109</v>
      </c>
      <c r="B328" s="446"/>
      <c r="C328" s="647" t="s">
        <v>398</v>
      </c>
      <c r="D328" s="521"/>
      <c r="E328" s="542"/>
      <c r="F328" s="339">
        <f t="shared" si="310"/>
        <v>0</v>
      </c>
      <c r="G328" s="561">
        <v>0</v>
      </c>
      <c r="H328" s="561">
        <v>0</v>
      </c>
      <c r="I328" s="358" t="str">
        <f>IFERROR(F328/#REF!,"-")</f>
        <v>-</v>
      </c>
      <c r="J328" s="339">
        <f t="shared" si="311"/>
        <v>0</v>
      </c>
      <c r="K328" s="285">
        <f t="shared" si="307"/>
        <v>0</v>
      </c>
      <c r="L328" s="286">
        <f t="shared" si="308"/>
        <v>0</v>
      </c>
      <c r="M328" s="522"/>
      <c r="N328" s="268" t="str">
        <f t="shared" si="314"/>
        <v>-</v>
      </c>
      <c r="O328" s="553">
        <v>4.4065000000000003</v>
      </c>
      <c r="P328" s="410">
        <f t="shared" si="309"/>
        <v>0</v>
      </c>
      <c r="Q328" s="459">
        <f t="shared" si="313"/>
        <v>0</v>
      </c>
    </row>
    <row r="329" spans="1:17" ht="23.4" x14ac:dyDescent="0.3">
      <c r="A329" s="248" t="s">
        <v>109</v>
      </c>
      <c r="B329" s="603"/>
      <c r="C329" s="272"/>
      <c r="D329" s="273"/>
      <c r="E329" s="441"/>
      <c r="F329" s="338">
        <f t="shared" si="310"/>
        <v>0</v>
      </c>
      <c r="G329" s="275"/>
      <c r="H329" s="275"/>
      <c r="I329" s="357" t="str">
        <f>IFERROR(F329/#REF!,"-")</f>
        <v>-</v>
      </c>
      <c r="J329" s="339">
        <f t="shared" si="311"/>
        <v>0</v>
      </c>
      <c r="K329" s="285">
        <f t="shared" si="307"/>
        <v>0</v>
      </c>
      <c r="L329" s="286">
        <f t="shared" si="308"/>
        <v>0</v>
      </c>
      <c r="M329" s="342" t="str">
        <f t="shared" ref="M329:M330" si="315">IFERROR(J329/D329,"-")</f>
        <v>-</v>
      </c>
      <c r="N329" s="352" t="str">
        <f t="shared" si="314"/>
        <v>-</v>
      </c>
      <c r="O329" s="456"/>
      <c r="P329" s="408">
        <f t="shared" si="309"/>
        <v>0</v>
      </c>
      <c r="Q329" s="457">
        <f t="shared" si="313"/>
        <v>0</v>
      </c>
    </row>
    <row r="330" spans="1:17" ht="24" thickBot="1" x14ac:dyDescent="0.35">
      <c r="A330" s="248" t="s">
        <v>109</v>
      </c>
      <c r="B330" s="601"/>
      <c r="C330" s="278"/>
      <c r="D330" s="279"/>
      <c r="E330" s="442"/>
      <c r="F330" s="339">
        <f t="shared" si="310"/>
        <v>0</v>
      </c>
      <c r="G330" s="281"/>
      <c r="H330" s="281"/>
      <c r="I330" s="358" t="str">
        <f>IFERROR(F330/#REF!,"-")</f>
        <v>-</v>
      </c>
      <c r="J330" s="339">
        <f t="shared" si="311"/>
        <v>0</v>
      </c>
      <c r="K330" s="281">
        <f t="shared" si="307"/>
        <v>0</v>
      </c>
      <c r="L330" s="251">
        <f t="shared" si="308"/>
        <v>0</v>
      </c>
      <c r="M330" s="343" t="str">
        <f t="shared" si="315"/>
        <v>-</v>
      </c>
      <c r="N330" s="264" t="str">
        <f t="shared" si="314"/>
        <v>-</v>
      </c>
      <c r="O330" s="458"/>
      <c r="P330" s="410">
        <f t="shared" si="309"/>
        <v>0</v>
      </c>
      <c r="Q330" s="459">
        <f t="shared" si="313"/>
        <v>0</v>
      </c>
    </row>
    <row r="331" spans="1:17" ht="24" thickBot="1" x14ac:dyDescent="0.35">
      <c r="A331" s="277" t="s">
        <v>109</v>
      </c>
      <c r="B331" s="987" t="s">
        <v>21</v>
      </c>
      <c r="C331" s="925"/>
      <c r="D331" s="326">
        <v>0</v>
      </c>
      <c r="E331" s="289">
        <v>15000</v>
      </c>
      <c r="F331" s="326">
        <f>SUM(F324:F330)</f>
        <v>62642</v>
      </c>
      <c r="G331" s="327">
        <f t="shared" ref="G331:H331" si="316">SUM(G324:G330)</f>
        <v>61000</v>
      </c>
      <c r="H331" s="327">
        <f t="shared" si="316"/>
        <v>1642</v>
      </c>
      <c r="I331" s="351" t="str">
        <f>IFERROR(F331/#REF!,"-")</f>
        <v>-</v>
      </c>
      <c r="J331" s="326">
        <f t="shared" ref="J331" si="317">SUM(J324:J330)</f>
        <v>614495</v>
      </c>
      <c r="K331" s="327">
        <f>SUM(K324:K330)</f>
        <v>606000</v>
      </c>
      <c r="L331" s="327">
        <f>SUM(L324:L330)</f>
        <v>8495</v>
      </c>
      <c r="M331" s="345" t="str">
        <f>IFERROR(J331/D331,"-")</f>
        <v>-</v>
      </c>
      <c r="N331" s="351">
        <f t="shared" si="314"/>
        <v>1.382435984019398E-2</v>
      </c>
      <c r="O331" s="397"/>
      <c r="P331" s="412">
        <f>SUM(P324:P330)</f>
        <v>144760.1</v>
      </c>
      <c r="Q331" s="431">
        <f>SUM(Q324:Q330)</f>
        <v>1351444.6</v>
      </c>
    </row>
    <row r="332" spans="1:17" ht="24" thickBot="1" x14ac:dyDescent="0.35">
      <c r="A332" s="277" t="s">
        <v>109</v>
      </c>
      <c r="B332" s="988" t="s">
        <v>275</v>
      </c>
      <c r="C332" s="989"/>
      <c r="D332" s="524">
        <f>+D328+D331</f>
        <v>0</v>
      </c>
      <c r="E332" s="538">
        <f>+E328+E331</f>
        <v>15000</v>
      </c>
      <c r="F332" s="524">
        <f>+F328+F331</f>
        <v>62642</v>
      </c>
      <c r="G332" s="526">
        <f>+G328+G331</f>
        <v>61000</v>
      </c>
      <c r="H332" s="526">
        <f>+H328+H331</f>
        <v>1642</v>
      </c>
      <c r="I332" s="527" t="str">
        <f>IFERROR(F332/#REF!,"-")</f>
        <v>-</v>
      </c>
      <c r="J332" s="524">
        <f>+J328+J331</f>
        <v>614495</v>
      </c>
      <c r="K332" s="526">
        <f>+K331</f>
        <v>606000</v>
      </c>
      <c r="L332" s="526">
        <f>+L331</f>
        <v>8495</v>
      </c>
      <c r="M332" s="528" t="str">
        <f t="shared" ref="M332" si="318">IFERROR(J332/D332,"-")</f>
        <v>-</v>
      </c>
      <c r="N332" s="527">
        <f t="shared" si="314"/>
        <v>1.382435984019398E-2</v>
      </c>
      <c r="O332" s="529"/>
      <c r="P332" s="530">
        <f>+P331</f>
        <v>144760.1</v>
      </c>
      <c r="Q332" s="530">
        <f>+Q331</f>
        <v>1351444.6</v>
      </c>
    </row>
    <row r="333" spans="1:17" ht="23.4" x14ac:dyDescent="0.4">
      <c r="A333" s="244" t="s">
        <v>109</v>
      </c>
      <c r="B333" s="979" t="s">
        <v>277</v>
      </c>
      <c r="C333" s="555" t="s">
        <v>74</v>
      </c>
      <c r="D333" s="540"/>
      <c r="E333" s="470"/>
      <c r="F333" s="468">
        <f>+G333+H333</f>
        <v>9004</v>
      </c>
      <c r="G333" s="469">
        <v>9000</v>
      </c>
      <c r="H333" s="469">
        <v>4</v>
      </c>
      <c r="I333" s="544" t="str">
        <f>IFERROR(F333/#REF!,"-")</f>
        <v>-</v>
      </c>
      <c r="J333" s="468">
        <f>+K333+L333</f>
        <v>23017</v>
      </c>
      <c r="K333" s="469">
        <f t="shared" ref="K333:K361" si="319">+G333+K274</f>
        <v>23000</v>
      </c>
      <c r="L333" s="246">
        <f t="shared" ref="L333:L361" si="320">+H333+L274</f>
        <v>17</v>
      </c>
      <c r="M333" s="263" t="str">
        <f>IFERROR(J333/D333,"-")</f>
        <v>-</v>
      </c>
      <c r="N333" s="546">
        <f t="shared" si="314"/>
        <v>7.3858452448190466E-4</v>
      </c>
      <c r="O333" s="551">
        <v>32.946300000000001</v>
      </c>
      <c r="P333" s="547">
        <f t="shared" ref="P333:P361" si="321">+O333*G333</f>
        <v>296516.7</v>
      </c>
      <c r="Q333" s="548">
        <f t="shared" ref="Q333:Q361" si="322">+O333*K333</f>
        <v>757764.9</v>
      </c>
    </row>
    <row r="334" spans="1:17" ht="23.4" x14ac:dyDescent="0.4">
      <c r="A334" s="248" t="s">
        <v>109</v>
      </c>
      <c r="B334" s="980"/>
      <c r="C334" s="556" t="s">
        <v>75</v>
      </c>
      <c r="D334" s="523"/>
      <c r="E334" s="442"/>
      <c r="F334" s="339">
        <f t="shared" ref="F334:F361" si="323">+G334+H334</f>
        <v>0</v>
      </c>
      <c r="G334" s="281">
        <v>0</v>
      </c>
      <c r="H334" s="281">
        <v>0</v>
      </c>
      <c r="I334" s="358" t="str">
        <f>IFERROR(F334/#REF!,"-")</f>
        <v>-</v>
      </c>
      <c r="J334" s="339">
        <f t="shared" ref="J334:J361" si="324">+K334+L334</f>
        <v>0</v>
      </c>
      <c r="K334" s="281">
        <f t="shared" si="319"/>
        <v>0</v>
      </c>
      <c r="L334" s="250">
        <f t="shared" si="320"/>
        <v>0</v>
      </c>
      <c r="M334" s="265" t="str">
        <f t="shared" ref="M334:M336" si="325">IFERROR(J334/D334,"-")</f>
        <v>-</v>
      </c>
      <c r="N334" s="268" t="str">
        <f t="shared" si="314"/>
        <v>-</v>
      </c>
      <c r="O334" s="519">
        <v>35.398400000000002</v>
      </c>
      <c r="P334" s="410">
        <f t="shared" si="321"/>
        <v>0</v>
      </c>
      <c r="Q334" s="459">
        <f t="shared" si="322"/>
        <v>0</v>
      </c>
    </row>
    <row r="335" spans="1:17" ht="24" thickBot="1" x14ac:dyDescent="0.45">
      <c r="A335" s="248" t="s">
        <v>109</v>
      </c>
      <c r="B335" s="980"/>
      <c r="C335" s="556" t="s">
        <v>76</v>
      </c>
      <c r="D335" s="279"/>
      <c r="E335" s="442"/>
      <c r="F335" s="339">
        <f t="shared" si="323"/>
        <v>5000</v>
      </c>
      <c r="G335" s="281">
        <v>5000</v>
      </c>
      <c r="H335" s="281">
        <v>0</v>
      </c>
      <c r="I335" s="358" t="str">
        <f>IFERROR(F335/#REF!,"-")</f>
        <v>-</v>
      </c>
      <c r="J335" s="339">
        <f t="shared" si="324"/>
        <v>10000</v>
      </c>
      <c r="K335" s="281">
        <f t="shared" si="319"/>
        <v>10000</v>
      </c>
      <c r="L335" s="250">
        <f t="shared" si="320"/>
        <v>0</v>
      </c>
      <c r="M335" s="265" t="str">
        <f t="shared" si="325"/>
        <v>-</v>
      </c>
      <c r="N335" s="268">
        <f>IFERROR(L335/J335,"-")</f>
        <v>0</v>
      </c>
      <c r="O335" s="519">
        <v>32.946300000000001</v>
      </c>
      <c r="P335" s="410">
        <f t="shared" si="321"/>
        <v>164731.5</v>
      </c>
      <c r="Q335" s="459">
        <f t="shared" si="322"/>
        <v>329463</v>
      </c>
    </row>
    <row r="336" spans="1:17" ht="23.4" x14ac:dyDescent="0.4">
      <c r="A336" s="248" t="s">
        <v>109</v>
      </c>
      <c r="B336" s="979" t="s">
        <v>278</v>
      </c>
      <c r="C336" s="558" t="s">
        <v>78</v>
      </c>
      <c r="D336" s="279"/>
      <c r="E336" s="541"/>
      <c r="F336" s="340">
        <f t="shared" si="323"/>
        <v>0</v>
      </c>
      <c r="G336" s="281">
        <v>0</v>
      </c>
      <c r="H336" s="281">
        <v>0</v>
      </c>
      <c r="I336" s="358" t="str">
        <f>IFERROR(F336/#REF!,"-")</f>
        <v>-</v>
      </c>
      <c r="J336" s="339">
        <f t="shared" si="324"/>
        <v>8248</v>
      </c>
      <c r="K336" s="281">
        <f t="shared" si="319"/>
        <v>7200</v>
      </c>
      <c r="L336" s="250">
        <f t="shared" si="320"/>
        <v>1048</v>
      </c>
      <c r="M336" s="265" t="str">
        <f t="shared" si="325"/>
        <v>-</v>
      </c>
      <c r="N336" s="268">
        <f t="shared" ref="N336" si="326">IFERROR(L336/J336,"-")</f>
        <v>0.1270611057225994</v>
      </c>
      <c r="O336" s="519">
        <v>55.4758</v>
      </c>
      <c r="P336" s="410">
        <f t="shared" si="321"/>
        <v>0</v>
      </c>
      <c r="Q336" s="459">
        <f t="shared" si="322"/>
        <v>399425.76</v>
      </c>
    </row>
    <row r="337" spans="1:17" ht="23.4" x14ac:dyDescent="0.4">
      <c r="A337" s="248" t="s">
        <v>109</v>
      </c>
      <c r="B337" s="980"/>
      <c r="C337" s="558" t="s">
        <v>75</v>
      </c>
      <c r="D337" s="279"/>
      <c r="E337" s="542"/>
      <c r="F337" s="340">
        <f t="shared" si="323"/>
        <v>1877</v>
      </c>
      <c r="G337" s="281">
        <v>1400</v>
      </c>
      <c r="H337" s="281">
        <v>477</v>
      </c>
      <c r="I337" s="358" t="str">
        <f>IFERROR(F337/#REF!,"-")</f>
        <v>-</v>
      </c>
      <c r="J337" s="339">
        <f t="shared" si="324"/>
        <v>4227</v>
      </c>
      <c r="K337" s="281">
        <f t="shared" si="319"/>
        <v>3300</v>
      </c>
      <c r="L337" s="250">
        <f t="shared" si="320"/>
        <v>927</v>
      </c>
      <c r="M337" s="522"/>
      <c r="N337" s="378"/>
      <c r="O337" s="553">
        <v>58.836300000000001</v>
      </c>
      <c r="P337" s="410">
        <f t="shared" si="321"/>
        <v>82370.820000000007</v>
      </c>
      <c r="Q337" s="459">
        <f t="shared" si="322"/>
        <v>194159.79</v>
      </c>
    </row>
    <row r="338" spans="1:17" ht="24" thickBot="1" x14ac:dyDescent="0.45">
      <c r="A338" s="248" t="s">
        <v>109</v>
      </c>
      <c r="B338" s="981"/>
      <c r="C338" s="558" t="s">
        <v>435</v>
      </c>
      <c r="D338" s="279"/>
      <c r="E338" s="441"/>
      <c r="F338" s="340">
        <f t="shared" si="323"/>
        <v>1262</v>
      </c>
      <c r="G338" s="281">
        <v>1000</v>
      </c>
      <c r="H338" s="281">
        <v>262</v>
      </c>
      <c r="I338" s="358" t="str">
        <f>IFERROR(F338/#REF!,"-")</f>
        <v>-</v>
      </c>
      <c r="J338" s="339">
        <f t="shared" si="324"/>
        <v>1262</v>
      </c>
      <c r="K338" s="281">
        <f t="shared" si="319"/>
        <v>1000</v>
      </c>
      <c r="L338" s="250">
        <f t="shared" si="320"/>
        <v>262</v>
      </c>
      <c r="M338" s="265" t="str">
        <f t="shared" ref="M338:M364" si="327">IFERROR(J338/D338,"-")</f>
        <v>-</v>
      </c>
      <c r="N338" s="264">
        <f t="shared" ref="N338:N363" si="328">IFERROR(L338/J338,"-")</f>
        <v>0.2076069730586371</v>
      </c>
      <c r="O338" s="519">
        <v>55.4758</v>
      </c>
      <c r="P338" s="410">
        <f t="shared" si="321"/>
        <v>55475.8</v>
      </c>
      <c r="Q338" s="459">
        <f t="shared" si="322"/>
        <v>55475.8</v>
      </c>
    </row>
    <row r="339" spans="1:17" ht="23.4" x14ac:dyDescent="0.4">
      <c r="A339" s="248" t="s">
        <v>109</v>
      </c>
      <c r="B339" s="979" t="s">
        <v>79</v>
      </c>
      <c r="C339" s="556" t="s">
        <v>80</v>
      </c>
      <c r="D339" s="279"/>
      <c r="E339" s="442"/>
      <c r="F339" s="339">
        <f t="shared" si="323"/>
        <v>0</v>
      </c>
      <c r="G339" s="281">
        <v>0</v>
      </c>
      <c r="H339" s="281">
        <v>0</v>
      </c>
      <c r="I339" s="358" t="str">
        <f>IFERROR(F339/#REF!,"-")</f>
        <v>-</v>
      </c>
      <c r="J339" s="339">
        <f t="shared" si="324"/>
        <v>0</v>
      </c>
      <c r="K339" s="281">
        <f t="shared" si="319"/>
        <v>0</v>
      </c>
      <c r="L339" s="250">
        <f t="shared" si="320"/>
        <v>0</v>
      </c>
      <c r="M339" s="265" t="str">
        <f t="shared" si="327"/>
        <v>-</v>
      </c>
      <c r="N339" s="264" t="str">
        <f t="shared" si="328"/>
        <v>-</v>
      </c>
      <c r="O339" s="519">
        <v>25.687200000000001</v>
      </c>
      <c r="P339" s="410">
        <f t="shared" si="321"/>
        <v>0</v>
      </c>
      <c r="Q339" s="459">
        <f t="shared" si="322"/>
        <v>0</v>
      </c>
    </row>
    <row r="340" spans="1:17" ht="24" thickBot="1" x14ac:dyDescent="0.45">
      <c r="A340" s="248" t="s">
        <v>109</v>
      </c>
      <c r="B340" s="981"/>
      <c r="C340" s="556" t="s">
        <v>125</v>
      </c>
      <c r="D340" s="279"/>
      <c r="E340" s="442"/>
      <c r="F340" s="339">
        <f t="shared" si="323"/>
        <v>0</v>
      </c>
      <c r="G340" s="281">
        <v>0</v>
      </c>
      <c r="H340" s="281">
        <v>0</v>
      </c>
      <c r="I340" s="358" t="str">
        <f>IFERROR(F340/#REF!,"-")</f>
        <v>-</v>
      </c>
      <c r="J340" s="339">
        <f t="shared" si="324"/>
        <v>0</v>
      </c>
      <c r="K340" s="281">
        <f t="shared" si="319"/>
        <v>0</v>
      </c>
      <c r="L340" s="250">
        <f t="shared" si="320"/>
        <v>0</v>
      </c>
      <c r="M340" s="265" t="str">
        <f t="shared" si="327"/>
        <v>-</v>
      </c>
      <c r="N340" s="264" t="str">
        <f t="shared" si="328"/>
        <v>-</v>
      </c>
      <c r="O340" s="519">
        <v>25.033899999999999</v>
      </c>
      <c r="P340" s="410">
        <f t="shared" si="321"/>
        <v>0</v>
      </c>
      <c r="Q340" s="459">
        <f t="shared" si="322"/>
        <v>0</v>
      </c>
    </row>
    <row r="341" spans="1:17" ht="23.4" x14ac:dyDescent="0.4">
      <c r="A341" s="248"/>
      <c r="B341" s="979" t="s">
        <v>81</v>
      </c>
      <c r="C341" s="556" t="s">
        <v>82</v>
      </c>
      <c r="D341" s="279"/>
      <c r="E341" s="442"/>
      <c r="F341" s="339">
        <f t="shared" si="323"/>
        <v>6</v>
      </c>
      <c r="G341" s="281">
        <v>0</v>
      </c>
      <c r="H341" s="281">
        <v>6</v>
      </c>
      <c r="I341" s="358" t="str">
        <f>IFERROR(F341/#REF!,"-")</f>
        <v>-</v>
      </c>
      <c r="J341" s="339">
        <f t="shared" si="324"/>
        <v>4860</v>
      </c>
      <c r="K341" s="281">
        <f t="shared" si="319"/>
        <v>4840</v>
      </c>
      <c r="L341" s="250">
        <f t="shared" si="320"/>
        <v>20</v>
      </c>
      <c r="M341" s="265" t="str">
        <f t="shared" si="327"/>
        <v>-</v>
      </c>
      <c r="N341" s="264">
        <f t="shared" si="328"/>
        <v>4.11522633744856E-3</v>
      </c>
      <c r="O341" s="519">
        <v>41.992699999999999</v>
      </c>
      <c r="P341" s="410">
        <f t="shared" si="321"/>
        <v>0</v>
      </c>
      <c r="Q341" s="459">
        <f t="shared" si="322"/>
        <v>203244.66800000001</v>
      </c>
    </row>
    <row r="342" spans="1:17" ht="24" thickBot="1" x14ac:dyDescent="0.45">
      <c r="A342" s="248"/>
      <c r="B342" s="980"/>
      <c r="C342" s="556" t="s">
        <v>364</v>
      </c>
      <c r="D342" s="279"/>
      <c r="E342" s="442"/>
      <c r="F342" s="339">
        <f t="shared" si="323"/>
        <v>0</v>
      </c>
      <c r="G342" s="281">
        <v>0</v>
      </c>
      <c r="H342" s="281">
        <v>0</v>
      </c>
      <c r="I342" s="358" t="str">
        <f>IFERROR(F342/#REF!,"-")</f>
        <v>-</v>
      </c>
      <c r="J342" s="339">
        <f t="shared" si="324"/>
        <v>0</v>
      </c>
      <c r="K342" s="281">
        <f t="shared" si="319"/>
        <v>0</v>
      </c>
      <c r="L342" s="250">
        <f t="shared" si="320"/>
        <v>0</v>
      </c>
      <c r="M342" s="265" t="str">
        <f t="shared" si="327"/>
        <v>-</v>
      </c>
      <c r="N342" s="264" t="str">
        <f t="shared" si="328"/>
        <v>-</v>
      </c>
      <c r="O342" s="519">
        <v>41.992699999999999</v>
      </c>
      <c r="P342" s="410">
        <f t="shared" si="321"/>
        <v>0</v>
      </c>
      <c r="Q342" s="459">
        <f t="shared" si="322"/>
        <v>0</v>
      </c>
    </row>
    <row r="343" spans="1:17" ht="24" thickBot="1" x14ac:dyDescent="0.45">
      <c r="A343" s="248"/>
      <c r="B343" s="559" t="s">
        <v>83</v>
      </c>
      <c r="C343" s="556" t="s">
        <v>84</v>
      </c>
      <c r="D343" s="279"/>
      <c r="E343" s="442"/>
      <c r="F343" s="339">
        <f t="shared" si="323"/>
        <v>0</v>
      </c>
      <c r="G343" s="281">
        <v>0</v>
      </c>
      <c r="H343" s="281">
        <v>0</v>
      </c>
      <c r="I343" s="358" t="str">
        <f>IFERROR(F343/#REF!,"-")</f>
        <v>-</v>
      </c>
      <c r="J343" s="339">
        <f t="shared" si="324"/>
        <v>0</v>
      </c>
      <c r="K343" s="281">
        <f t="shared" si="319"/>
        <v>0</v>
      </c>
      <c r="L343" s="250">
        <f t="shared" si="320"/>
        <v>0</v>
      </c>
      <c r="M343" s="265" t="str">
        <f t="shared" si="327"/>
        <v>-</v>
      </c>
      <c r="N343" s="264" t="str">
        <f t="shared" si="328"/>
        <v>-</v>
      </c>
      <c r="O343" s="519">
        <v>4.3535000000000004</v>
      </c>
      <c r="P343" s="410">
        <f t="shared" si="321"/>
        <v>0</v>
      </c>
      <c r="Q343" s="459">
        <f t="shared" si="322"/>
        <v>0</v>
      </c>
    </row>
    <row r="344" spans="1:17" ht="23.4" x14ac:dyDescent="0.4">
      <c r="A344" s="248"/>
      <c r="B344" s="979" t="s">
        <v>280</v>
      </c>
      <c r="C344" s="556" t="s">
        <v>80</v>
      </c>
      <c r="D344" s="279"/>
      <c r="E344" s="442"/>
      <c r="F344" s="339">
        <f t="shared" si="323"/>
        <v>0</v>
      </c>
      <c r="G344" s="281">
        <v>0</v>
      </c>
      <c r="H344" s="281">
        <v>0</v>
      </c>
      <c r="I344" s="358" t="str">
        <f>IFERROR(F344/#REF!,"-")</f>
        <v>-</v>
      </c>
      <c r="J344" s="339">
        <f t="shared" si="324"/>
        <v>0</v>
      </c>
      <c r="K344" s="281">
        <f t="shared" si="319"/>
        <v>0</v>
      </c>
      <c r="L344" s="250">
        <f t="shared" si="320"/>
        <v>0</v>
      </c>
      <c r="M344" s="265" t="str">
        <f t="shared" si="327"/>
        <v>-</v>
      </c>
      <c r="N344" s="264" t="str">
        <f t="shared" si="328"/>
        <v>-</v>
      </c>
      <c r="O344" s="519">
        <v>4.6184000000000003</v>
      </c>
      <c r="P344" s="410">
        <f t="shared" si="321"/>
        <v>0</v>
      </c>
      <c r="Q344" s="459">
        <f t="shared" si="322"/>
        <v>0</v>
      </c>
    </row>
    <row r="345" spans="1:17" ht="23.4" x14ac:dyDescent="0.4">
      <c r="A345" s="248"/>
      <c r="B345" s="980"/>
      <c r="C345" s="556" t="s">
        <v>407</v>
      </c>
      <c r="D345" s="279"/>
      <c r="E345" s="442"/>
      <c r="F345" s="339">
        <f t="shared" si="323"/>
        <v>22069</v>
      </c>
      <c r="G345" s="281">
        <v>22000</v>
      </c>
      <c r="H345" s="281">
        <v>69</v>
      </c>
      <c r="I345" s="358" t="str">
        <f>IFERROR(F345/#REF!,"-")</f>
        <v>-</v>
      </c>
      <c r="J345" s="339">
        <f t="shared" si="324"/>
        <v>142098</v>
      </c>
      <c r="K345" s="281">
        <f t="shared" si="319"/>
        <v>140800</v>
      </c>
      <c r="L345" s="250">
        <f t="shared" si="320"/>
        <v>1298</v>
      </c>
      <c r="M345" s="265" t="str">
        <f t="shared" si="327"/>
        <v>-</v>
      </c>
      <c r="N345" s="264">
        <f t="shared" si="328"/>
        <v>9.1345409506115496E-3</v>
      </c>
      <c r="O345" s="519">
        <v>4.6184000000000003</v>
      </c>
      <c r="P345" s="410">
        <f t="shared" si="321"/>
        <v>101604.8</v>
      </c>
      <c r="Q345" s="459">
        <f t="shared" si="322"/>
        <v>650270.72000000009</v>
      </c>
    </row>
    <row r="346" spans="1:17" ht="23.4" x14ac:dyDescent="0.4">
      <c r="A346" s="248"/>
      <c r="B346" s="980"/>
      <c r="C346" s="556" t="s">
        <v>279</v>
      </c>
      <c r="D346" s="279"/>
      <c r="E346" s="442"/>
      <c r="F346" s="339">
        <f t="shared" si="323"/>
        <v>0</v>
      </c>
      <c r="G346" s="281">
        <v>0</v>
      </c>
      <c r="H346" s="281">
        <v>0</v>
      </c>
      <c r="I346" s="358" t="str">
        <f>IFERROR(F346/#REF!,"-")</f>
        <v>-</v>
      </c>
      <c r="J346" s="339">
        <f t="shared" si="324"/>
        <v>0</v>
      </c>
      <c r="K346" s="281">
        <f t="shared" si="319"/>
        <v>0</v>
      </c>
      <c r="L346" s="250">
        <f t="shared" si="320"/>
        <v>0</v>
      </c>
      <c r="M346" s="265" t="str">
        <f t="shared" si="327"/>
        <v>-</v>
      </c>
      <c r="N346" s="264" t="str">
        <f t="shared" si="328"/>
        <v>-</v>
      </c>
      <c r="O346" s="519">
        <v>4.6184000000000003</v>
      </c>
      <c r="P346" s="410">
        <f t="shared" si="321"/>
        <v>0</v>
      </c>
      <c r="Q346" s="459">
        <f t="shared" si="322"/>
        <v>0</v>
      </c>
    </row>
    <row r="347" spans="1:17" ht="23.4" x14ac:dyDescent="0.4">
      <c r="A347" s="248"/>
      <c r="B347" s="980"/>
      <c r="C347" s="556" t="s">
        <v>132</v>
      </c>
      <c r="D347" s="279"/>
      <c r="E347" s="442"/>
      <c r="F347" s="339">
        <f t="shared" si="323"/>
        <v>0</v>
      </c>
      <c r="G347" s="281">
        <v>0</v>
      </c>
      <c r="H347" s="281">
        <v>0</v>
      </c>
      <c r="I347" s="358" t="str">
        <f>IFERROR(F347/#REF!,"-")</f>
        <v>-</v>
      </c>
      <c r="J347" s="339">
        <f t="shared" si="324"/>
        <v>0</v>
      </c>
      <c r="K347" s="281">
        <f t="shared" si="319"/>
        <v>0</v>
      </c>
      <c r="L347" s="250">
        <f t="shared" si="320"/>
        <v>0</v>
      </c>
      <c r="M347" s="265" t="str">
        <f t="shared" si="327"/>
        <v>-</v>
      </c>
      <c r="N347" s="264" t="str">
        <f t="shared" si="328"/>
        <v>-</v>
      </c>
      <c r="O347" s="519">
        <v>4.7636000000000003</v>
      </c>
      <c r="P347" s="410">
        <f t="shared" si="321"/>
        <v>0</v>
      </c>
      <c r="Q347" s="459">
        <f t="shared" si="322"/>
        <v>0</v>
      </c>
    </row>
    <row r="348" spans="1:17" ht="24" thickBot="1" x14ac:dyDescent="0.45">
      <c r="A348" s="248"/>
      <c r="B348" s="981"/>
      <c r="C348" s="556" t="s">
        <v>429</v>
      </c>
      <c r="D348" s="279"/>
      <c r="E348" s="442"/>
      <c r="F348" s="339">
        <f t="shared" si="323"/>
        <v>0</v>
      </c>
      <c r="G348" s="281">
        <v>0</v>
      </c>
      <c r="H348" s="281">
        <v>0</v>
      </c>
      <c r="I348" s="358" t="str">
        <f>IFERROR(F348/#REF!,"-")</f>
        <v>-</v>
      </c>
      <c r="J348" s="339">
        <f t="shared" si="324"/>
        <v>12296</v>
      </c>
      <c r="K348" s="281">
        <f t="shared" si="319"/>
        <v>12100</v>
      </c>
      <c r="L348" s="250">
        <f t="shared" si="320"/>
        <v>196</v>
      </c>
      <c r="M348" s="265" t="str">
        <f t="shared" si="327"/>
        <v>-</v>
      </c>
      <c r="N348" s="264">
        <f t="shared" si="328"/>
        <v>1.594014313597918E-2</v>
      </c>
      <c r="O348" s="519">
        <v>4.8738000000000001</v>
      </c>
      <c r="P348" s="410">
        <f t="shared" si="321"/>
        <v>0</v>
      </c>
      <c r="Q348" s="459">
        <f t="shared" si="322"/>
        <v>58972.98</v>
      </c>
    </row>
    <row r="349" spans="1:17" ht="24" thickBot="1" x14ac:dyDescent="0.45">
      <c r="A349" s="248"/>
      <c r="B349" s="559" t="s">
        <v>281</v>
      </c>
      <c r="C349" s="556" t="s">
        <v>132</v>
      </c>
      <c r="D349" s="279"/>
      <c r="E349" s="442"/>
      <c r="F349" s="339">
        <f t="shared" si="323"/>
        <v>0</v>
      </c>
      <c r="G349" s="281">
        <v>0</v>
      </c>
      <c r="H349" s="281">
        <v>0</v>
      </c>
      <c r="I349" s="358" t="str">
        <f>IFERROR(F349/#REF!,"-")</f>
        <v>-</v>
      </c>
      <c r="J349" s="339">
        <f t="shared" si="324"/>
        <v>0</v>
      </c>
      <c r="K349" s="281">
        <f t="shared" si="319"/>
        <v>0</v>
      </c>
      <c r="L349" s="250">
        <f t="shared" si="320"/>
        <v>0</v>
      </c>
      <c r="M349" s="265" t="str">
        <f t="shared" si="327"/>
        <v>-</v>
      </c>
      <c r="N349" s="264" t="str">
        <f t="shared" si="328"/>
        <v>-</v>
      </c>
      <c r="O349" s="519">
        <v>4.8738000000000001</v>
      </c>
      <c r="P349" s="410">
        <f t="shared" si="321"/>
        <v>0</v>
      </c>
      <c r="Q349" s="459">
        <f t="shared" si="322"/>
        <v>0</v>
      </c>
    </row>
    <row r="350" spans="1:17" ht="23.4" x14ac:dyDescent="0.4">
      <c r="A350" s="248"/>
      <c r="B350" s="979" t="s">
        <v>283</v>
      </c>
      <c r="C350" s="556" t="s">
        <v>80</v>
      </c>
      <c r="D350" s="279"/>
      <c r="E350" s="442"/>
      <c r="F350" s="339">
        <f t="shared" si="323"/>
        <v>24238</v>
      </c>
      <c r="G350" s="281">
        <v>23750</v>
      </c>
      <c r="H350" s="281">
        <v>488</v>
      </c>
      <c r="I350" s="358" t="str">
        <f>IFERROR(F350/#REF!,"-")</f>
        <v>-</v>
      </c>
      <c r="J350" s="339">
        <f t="shared" si="324"/>
        <v>131994</v>
      </c>
      <c r="K350" s="281">
        <f t="shared" si="319"/>
        <v>129100</v>
      </c>
      <c r="L350" s="281">
        <f t="shared" si="320"/>
        <v>2894</v>
      </c>
      <c r="M350" s="265" t="str">
        <f t="shared" si="327"/>
        <v>-</v>
      </c>
      <c r="N350" s="264">
        <f t="shared" si="328"/>
        <v>2.1925239026016334E-2</v>
      </c>
      <c r="O350" s="519">
        <v>4.9344999999999999</v>
      </c>
      <c r="P350" s="410">
        <f t="shared" si="321"/>
        <v>117194.375</v>
      </c>
      <c r="Q350" s="459">
        <f t="shared" si="322"/>
        <v>637043.94999999995</v>
      </c>
    </row>
    <row r="351" spans="1:17" ht="23.4" x14ac:dyDescent="0.4">
      <c r="A351" s="248"/>
      <c r="B351" s="980"/>
      <c r="C351" s="556" t="s">
        <v>143</v>
      </c>
      <c r="D351" s="279"/>
      <c r="E351" s="442"/>
      <c r="F351" s="339">
        <f t="shared" si="323"/>
        <v>0</v>
      </c>
      <c r="G351" s="281">
        <v>0</v>
      </c>
      <c r="H351" s="281">
        <v>0</v>
      </c>
      <c r="I351" s="358" t="str">
        <f>IFERROR(F351/#REF!,"-")</f>
        <v>-</v>
      </c>
      <c r="J351" s="339">
        <f t="shared" si="324"/>
        <v>0</v>
      </c>
      <c r="K351" s="281">
        <f t="shared" si="319"/>
        <v>0</v>
      </c>
      <c r="L351" s="250">
        <f t="shared" si="320"/>
        <v>0</v>
      </c>
      <c r="M351" s="265" t="str">
        <f t="shared" si="327"/>
        <v>-</v>
      </c>
      <c r="N351" s="264" t="str">
        <f t="shared" si="328"/>
        <v>-</v>
      </c>
      <c r="O351" s="519">
        <v>4.9344999999999999</v>
      </c>
      <c r="P351" s="410">
        <f t="shared" si="321"/>
        <v>0</v>
      </c>
      <c r="Q351" s="459">
        <f t="shared" si="322"/>
        <v>0</v>
      </c>
    </row>
    <row r="352" spans="1:17" ht="23.4" x14ac:dyDescent="0.4">
      <c r="A352" s="248"/>
      <c r="B352" s="980"/>
      <c r="C352" s="556" t="s">
        <v>137</v>
      </c>
      <c r="D352" s="279"/>
      <c r="E352" s="442"/>
      <c r="F352" s="339">
        <f t="shared" si="323"/>
        <v>0</v>
      </c>
      <c r="G352" s="281">
        <v>0</v>
      </c>
      <c r="H352" s="281">
        <v>0</v>
      </c>
      <c r="I352" s="358" t="str">
        <f>IFERROR(F352/#REF!,"-")</f>
        <v>-</v>
      </c>
      <c r="J352" s="339">
        <f t="shared" si="324"/>
        <v>0</v>
      </c>
      <c r="K352" s="281">
        <f t="shared" si="319"/>
        <v>0</v>
      </c>
      <c r="L352" s="250">
        <f t="shared" si="320"/>
        <v>0</v>
      </c>
      <c r="M352" s="265" t="str">
        <f t="shared" si="327"/>
        <v>-</v>
      </c>
      <c r="N352" s="264" t="str">
        <f t="shared" si="328"/>
        <v>-</v>
      </c>
      <c r="O352" s="519">
        <v>4.9344999999999999</v>
      </c>
      <c r="P352" s="410">
        <f t="shared" si="321"/>
        <v>0</v>
      </c>
      <c r="Q352" s="459">
        <f t="shared" si="322"/>
        <v>0</v>
      </c>
    </row>
    <row r="353" spans="1:17" ht="24" thickBot="1" x14ac:dyDescent="0.45">
      <c r="A353" s="248"/>
      <c r="B353" s="981"/>
      <c r="C353" s="556" t="s">
        <v>282</v>
      </c>
      <c r="D353" s="279"/>
      <c r="E353" s="442"/>
      <c r="F353" s="339">
        <f t="shared" si="323"/>
        <v>0</v>
      </c>
      <c r="G353" s="281">
        <v>0</v>
      </c>
      <c r="H353" s="281">
        <v>0</v>
      </c>
      <c r="I353" s="358" t="str">
        <f>IFERROR(F353/#REF!,"-")</f>
        <v>-</v>
      </c>
      <c r="J353" s="339">
        <f t="shared" si="324"/>
        <v>0</v>
      </c>
      <c r="K353" s="281">
        <f t="shared" si="319"/>
        <v>0</v>
      </c>
      <c r="L353" s="250">
        <f t="shared" si="320"/>
        <v>0</v>
      </c>
      <c r="M353" s="265" t="str">
        <f t="shared" si="327"/>
        <v>-</v>
      </c>
      <c r="N353" s="264" t="str">
        <f t="shared" si="328"/>
        <v>-</v>
      </c>
      <c r="O353" s="519">
        <v>5.5069999999999997</v>
      </c>
      <c r="P353" s="410">
        <f t="shared" si="321"/>
        <v>0</v>
      </c>
      <c r="Q353" s="459">
        <f t="shared" si="322"/>
        <v>0</v>
      </c>
    </row>
    <row r="354" spans="1:17" ht="23.4" x14ac:dyDescent="0.4">
      <c r="A354" s="248"/>
      <c r="B354" s="979" t="s">
        <v>288</v>
      </c>
      <c r="C354" s="556" t="s">
        <v>284</v>
      </c>
      <c r="D354" s="279"/>
      <c r="E354" s="442"/>
      <c r="F354" s="339">
        <f t="shared" si="323"/>
        <v>0</v>
      </c>
      <c r="G354" s="281">
        <v>0</v>
      </c>
      <c r="H354" s="281">
        <v>0</v>
      </c>
      <c r="I354" s="358" t="str">
        <f>IFERROR(F354/#REF!,"-")</f>
        <v>-</v>
      </c>
      <c r="J354" s="339">
        <f t="shared" si="324"/>
        <v>0</v>
      </c>
      <c r="K354" s="281">
        <f t="shared" si="319"/>
        <v>0</v>
      </c>
      <c r="L354" s="250">
        <f t="shared" si="320"/>
        <v>0</v>
      </c>
      <c r="M354" s="265" t="str">
        <f t="shared" si="327"/>
        <v>-</v>
      </c>
      <c r="N354" s="264" t="str">
        <f t="shared" si="328"/>
        <v>-</v>
      </c>
      <c r="O354" s="519">
        <v>5.6550000000000002</v>
      </c>
      <c r="P354" s="410">
        <f t="shared" si="321"/>
        <v>0</v>
      </c>
      <c r="Q354" s="459">
        <f t="shared" si="322"/>
        <v>0</v>
      </c>
    </row>
    <row r="355" spans="1:17" ht="23.4" x14ac:dyDescent="0.4">
      <c r="A355" s="248"/>
      <c r="B355" s="980"/>
      <c r="C355" s="556" t="s">
        <v>285</v>
      </c>
      <c r="D355" s="279"/>
      <c r="E355" s="442"/>
      <c r="F355" s="339">
        <f t="shared" si="323"/>
        <v>0</v>
      </c>
      <c r="G355" s="281">
        <v>0</v>
      </c>
      <c r="H355" s="281">
        <v>0</v>
      </c>
      <c r="I355" s="358" t="str">
        <f>IFERROR(F355/#REF!,"-")</f>
        <v>-</v>
      </c>
      <c r="J355" s="339">
        <f t="shared" si="324"/>
        <v>0</v>
      </c>
      <c r="K355" s="281">
        <f t="shared" si="319"/>
        <v>0</v>
      </c>
      <c r="L355" s="250">
        <f t="shared" si="320"/>
        <v>0</v>
      </c>
      <c r="M355" s="265" t="str">
        <f t="shared" si="327"/>
        <v>-</v>
      </c>
      <c r="N355" s="264" t="str">
        <f t="shared" si="328"/>
        <v>-</v>
      </c>
      <c r="O355" s="519">
        <v>5.6550000000000002</v>
      </c>
      <c r="P355" s="410">
        <f t="shared" si="321"/>
        <v>0</v>
      </c>
      <c r="Q355" s="459">
        <f t="shared" si="322"/>
        <v>0</v>
      </c>
    </row>
    <row r="356" spans="1:17" ht="23.4" x14ac:dyDescent="0.4">
      <c r="A356" s="248"/>
      <c r="B356" s="980"/>
      <c r="C356" s="556" t="s">
        <v>374</v>
      </c>
      <c r="D356" s="279"/>
      <c r="E356" s="442"/>
      <c r="F356" s="339">
        <f t="shared" si="323"/>
        <v>24239</v>
      </c>
      <c r="G356" s="281">
        <v>23850</v>
      </c>
      <c r="H356" s="281">
        <v>389</v>
      </c>
      <c r="I356" s="358" t="str">
        <f>IFERROR(F356/#REF!,"-")</f>
        <v>-</v>
      </c>
      <c r="J356" s="339">
        <f t="shared" si="324"/>
        <v>118155</v>
      </c>
      <c r="K356" s="281">
        <f t="shared" si="319"/>
        <v>116950</v>
      </c>
      <c r="L356" s="250">
        <f t="shared" si="320"/>
        <v>1205</v>
      </c>
      <c r="M356" s="265" t="str">
        <f t="shared" si="327"/>
        <v>-</v>
      </c>
      <c r="N356" s="264">
        <f t="shared" si="328"/>
        <v>1.0198468113918158E-2</v>
      </c>
      <c r="O356" s="519">
        <v>5.6550000000000002</v>
      </c>
      <c r="P356" s="410">
        <f t="shared" si="321"/>
        <v>134871.75</v>
      </c>
      <c r="Q356" s="459">
        <f t="shared" si="322"/>
        <v>661352.25</v>
      </c>
    </row>
    <row r="357" spans="1:17" ht="23.4" x14ac:dyDescent="0.4">
      <c r="A357" s="248"/>
      <c r="B357" s="980"/>
      <c r="C357" s="556" t="s">
        <v>286</v>
      </c>
      <c r="D357" s="279"/>
      <c r="E357" s="442"/>
      <c r="F357" s="339">
        <f t="shared" si="323"/>
        <v>0</v>
      </c>
      <c r="G357" s="281">
        <v>0</v>
      </c>
      <c r="H357" s="281">
        <v>0</v>
      </c>
      <c r="I357" s="358" t="str">
        <f>IFERROR(F357/#REF!,"-")</f>
        <v>-</v>
      </c>
      <c r="J357" s="339">
        <f t="shared" si="324"/>
        <v>0</v>
      </c>
      <c r="K357" s="281">
        <f t="shared" si="319"/>
        <v>0</v>
      </c>
      <c r="L357" s="250">
        <f t="shared" si="320"/>
        <v>0</v>
      </c>
      <c r="M357" s="265" t="str">
        <f t="shared" si="327"/>
        <v>-</v>
      </c>
      <c r="N357" s="264" t="str">
        <f t="shared" si="328"/>
        <v>-</v>
      </c>
      <c r="O357" s="519">
        <v>5.6550000000000002</v>
      </c>
      <c r="P357" s="410">
        <f t="shared" si="321"/>
        <v>0</v>
      </c>
      <c r="Q357" s="459">
        <f t="shared" si="322"/>
        <v>0</v>
      </c>
    </row>
    <row r="358" spans="1:17" ht="23.4" x14ac:dyDescent="0.4">
      <c r="A358" s="248" t="s">
        <v>109</v>
      </c>
      <c r="B358" s="980"/>
      <c r="C358" s="556" t="s">
        <v>287</v>
      </c>
      <c r="D358" s="279"/>
      <c r="E358" s="442"/>
      <c r="F358" s="339">
        <f t="shared" si="323"/>
        <v>0</v>
      </c>
      <c r="G358" s="281">
        <v>0</v>
      </c>
      <c r="H358" s="281">
        <v>0</v>
      </c>
      <c r="I358" s="358" t="str">
        <f>IFERROR(F358/#REF!,"-")</f>
        <v>-</v>
      </c>
      <c r="J358" s="339">
        <f t="shared" si="324"/>
        <v>0</v>
      </c>
      <c r="K358" s="281">
        <f t="shared" si="319"/>
        <v>0</v>
      </c>
      <c r="L358" s="250">
        <f t="shared" si="320"/>
        <v>0</v>
      </c>
      <c r="M358" s="265" t="str">
        <f t="shared" si="327"/>
        <v>-</v>
      </c>
      <c r="N358" s="264" t="str">
        <f t="shared" si="328"/>
        <v>-</v>
      </c>
      <c r="O358" s="519">
        <v>3.2963</v>
      </c>
      <c r="P358" s="410">
        <f t="shared" si="321"/>
        <v>0</v>
      </c>
      <c r="Q358" s="459">
        <f t="shared" si="322"/>
        <v>0</v>
      </c>
    </row>
    <row r="359" spans="1:17" ht="24" thickBot="1" x14ac:dyDescent="0.45">
      <c r="A359" s="248" t="s">
        <v>109</v>
      </c>
      <c r="B359" s="981"/>
      <c r="C359" s="556" t="s">
        <v>282</v>
      </c>
      <c r="D359" s="279"/>
      <c r="E359" s="442"/>
      <c r="F359" s="339">
        <f t="shared" si="323"/>
        <v>0</v>
      </c>
      <c r="G359" s="281">
        <v>0</v>
      </c>
      <c r="H359" s="281">
        <v>0</v>
      </c>
      <c r="I359" s="358" t="str">
        <f>IFERROR(F359/#REF!,"-")</f>
        <v>-</v>
      </c>
      <c r="J359" s="339">
        <f t="shared" si="324"/>
        <v>0</v>
      </c>
      <c r="K359" s="281">
        <f t="shared" si="319"/>
        <v>0</v>
      </c>
      <c r="L359" s="250">
        <f t="shared" si="320"/>
        <v>0</v>
      </c>
      <c r="M359" s="265" t="str">
        <f t="shared" si="327"/>
        <v>-</v>
      </c>
      <c r="N359" s="264" t="str">
        <f t="shared" si="328"/>
        <v>-</v>
      </c>
      <c r="O359" s="519">
        <v>3.2963</v>
      </c>
      <c r="P359" s="410">
        <f t="shared" si="321"/>
        <v>0</v>
      </c>
      <c r="Q359" s="459">
        <f t="shared" si="322"/>
        <v>0</v>
      </c>
    </row>
    <row r="360" spans="1:17" ht="23.4" x14ac:dyDescent="0.4">
      <c r="A360" s="248" t="s">
        <v>109</v>
      </c>
      <c r="B360" s="560"/>
      <c r="C360" s="557" t="s">
        <v>92</v>
      </c>
      <c r="D360" s="523"/>
      <c r="E360" s="442"/>
      <c r="F360" s="339">
        <f t="shared" si="323"/>
        <v>0</v>
      </c>
      <c r="G360" s="281">
        <v>0</v>
      </c>
      <c r="H360" s="281">
        <v>0</v>
      </c>
      <c r="I360" s="358" t="str">
        <f>IFERROR(F360/#REF!,"-")</f>
        <v>-</v>
      </c>
      <c r="J360" s="339">
        <f t="shared" si="324"/>
        <v>0</v>
      </c>
      <c r="K360" s="281">
        <f t="shared" si="319"/>
        <v>0</v>
      </c>
      <c r="L360" s="250">
        <f t="shared" si="320"/>
        <v>0</v>
      </c>
      <c r="M360" s="265" t="str">
        <f t="shared" si="327"/>
        <v>-</v>
      </c>
      <c r="N360" s="264" t="str">
        <f t="shared" si="328"/>
        <v>-</v>
      </c>
      <c r="O360" s="519">
        <v>2.3201000000000001</v>
      </c>
      <c r="P360" s="410">
        <f t="shared" si="321"/>
        <v>0</v>
      </c>
      <c r="Q360" s="459">
        <f t="shared" si="322"/>
        <v>0</v>
      </c>
    </row>
    <row r="361" spans="1:17" ht="24" thickBot="1" x14ac:dyDescent="0.35">
      <c r="A361" s="248" t="s">
        <v>109</v>
      </c>
      <c r="B361" s="537"/>
      <c r="C361" s="554"/>
      <c r="D361" s="543"/>
      <c r="E361" s="473"/>
      <c r="F361" s="471">
        <f t="shared" si="323"/>
        <v>0</v>
      </c>
      <c r="G361" s="472"/>
      <c r="H361" s="472"/>
      <c r="I361" s="545" t="str">
        <f>IFERROR(F361/#REF!,"-")</f>
        <v>-</v>
      </c>
      <c r="J361" s="471">
        <f t="shared" si="324"/>
        <v>0</v>
      </c>
      <c r="K361" s="472">
        <f t="shared" si="319"/>
        <v>0</v>
      </c>
      <c r="L361" s="257">
        <f t="shared" si="320"/>
        <v>0</v>
      </c>
      <c r="M361" s="267" t="str">
        <f t="shared" si="327"/>
        <v>-</v>
      </c>
      <c r="N361" s="266" t="str">
        <f t="shared" si="328"/>
        <v>-</v>
      </c>
      <c r="O361" s="552"/>
      <c r="P361" s="549">
        <f t="shared" si="321"/>
        <v>0</v>
      </c>
      <c r="Q361" s="550">
        <f t="shared" si="322"/>
        <v>0</v>
      </c>
    </row>
    <row r="362" spans="1:17" ht="24" thickBot="1" x14ac:dyDescent="0.35">
      <c r="A362" s="277" t="s">
        <v>109</v>
      </c>
      <c r="B362" s="982" t="s">
        <v>25</v>
      </c>
      <c r="C362" s="983"/>
      <c r="D362" s="525">
        <f t="shared" ref="D362" si="329">SUM(D338:D361)</f>
        <v>0</v>
      </c>
      <c r="E362" s="539">
        <v>100000</v>
      </c>
      <c r="F362" s="525">
        <f>SUM(F338:F361)</f>
        <v>71814</v>
      </c>
      <c r="G362" s="531">
        <f t="shared" ref="G362:H362" si="330">SUM(G338:G361)</f>
        <v>70600</v>
      </c>
      <c r="H362" s="531">
        <f t="shared" si="330"/>
        <v>1214</v>
      </c>
      <c r="I362" s="532" t="str">
        <f>IFERROR(F362/#REF!,"-")</f>
        <v>-</v>
      </c>
      <c r="J362" s="525">
        <f t="shared" ref="J362" si="331">SUM(J338:J361)</f>
        <v>410665</v>
      </c>
      <c r="K362" s="531">
        <f>SUM(K333:K361)</f>
        <v>448290</v>
      </c>
      <c r="L362" s="533">
        <f t="shared" ref="L362" si="332">SUM(L338:L361)</f>
        <v>5875</v>
      </c>
      <c r="M362" s="534" t="str">
        <f t="shared" si="327"/>
        <v>-</v>
      </c>
      <c r="N362" s="532">
        <f t="shared" si="328"/>
        <v>1.4306064553833417E-2</v>
      </c>
      <c r="O362" s="535"/>
      <c r="P362" s="536">
        <f>SUM(P333:P361)</f>
        <v>952765.74500000011</v>
      </c>
      <c r="Q362" s="536">
        <f>SUM(Q333:Q361)</f>
        <v>3947173.818</v>
      </c>
    </row>
    <row r="363" spans="1:17" ht="24" thickBot="1" x14ac:dyDescent="0.35">
      <c r="A363" s="324" t="s">
        <v>109</v>
      </c>
      <c r="B363" s="984" t="s">
        <v>276</v>
      </c>
      <c r="C363" s="927"/>
      <c r="D363" s="332">
        <f>+D337+D362</f>
        <v>0</v>
      </c>
      <c r="E363" s="333">
        <f>+E337+E362</f>
        <v>100000</v>
      </c>
      <c r="F363" s="332">
        <f>+F337+F362</f>
        <v>73691</v>
      </c>
      <c r="G363" s="330">
        <f>+G337+G362</f>
        <v>72000</v>
      </c>
      <c r="H363" s="330">
        <f>+H337+H362</f>
        <v>1691</v>
      </c>
      <c r="I363" s="355" t="str">
        <f>IFERROR(F363/#REF!,"-")</f>
        <v>-</v>
      </c>
      <c r="J363" s="332">
        <f>+J337+J362</f>
        <v>414892</v>
      </c>
      <c r="K363" s="330">
        <f>K362</f>
        <v>448290</v>
      </c>
      <c r="L363" s="331">
        <f>+L337+L362</f>
        <v>6802</v>
      </c>
      <c r="M363" s="347" t="str">
        <f t="shared" si="327"/>
        <v>-</v>
      </c>
      <c r="N363" s="355">
        <f t="shared" si="328"/>
        <v>1.6394627999575792E-2</v>
      </c>
      <c r="O363" s="400"/>
      <c r="P363" s="416">
        <f>+P337+P362</f>
        <v>1035136.5650000002</v>
      </c>
      <c r="Q363" s="434">
        <f>Q362</f>
        <v>3947173.818</v>
      </c>
    </row>
    <row r="364" spans="1:17" ht="24.6" thickBot="1" x14ac:dyDescent="0.35">
      <c r="A364" s="325"/>
      <c r="B364" s="915" t="s">
        <v>183</v>
      </c>
      <c r="C364" s="916"/>
      <c r="D364" s="380">
        <f>+D363+D332+D323</f>
        <v>0</v>
      </c>
      <c r="E364" s="380">
        <f>+E363+E332+E323</f>
        <v>230000</v>
      </c>
      <c r="F364" s="380">
        <f>+F363+F332+F323</f>
        <v>326763</v>
      </c>
      <c r="G364" s="380">
        <f>+G363+G332+G323</f>
        <v>318160</v>
      </c>
      <c r="H364" s="380">
        <f>+H363+H332+H323</f>
        <v>8603</v>
      </c>
      <c r="I364" s="381" t="str">
        <f>IFERROR(F364/#REF!,"-")</f>
        <v>-</v>
      </c>
      <c r="J364" s="380">
        <f>+J363+J332+J323</f>
        <v>1696655</v>
      </c>
      <c r="K364" s="380">
        <f>+K363+K332+K323</f>
        <v>1703610</v>
      </c>
      <c r="L364" s="380">
        <f>+L363+L332+L323</f>
        <v>33245</v>
      </c>
      <c r="M364" s="381" t="str">
        <f t="shared" si="327"/>
        <v>-</v>
      </c>
      <c r="N364" s="381">
        <f>IFERROR(L364/J364,"-")</f>
        <v>1.9594437289843839E-2</v>
      </c>
      <c r="O364" s="407"/>
      <c r="P364" s="424">
        <f>+P363+P332+P323</f>
        <v>2206842.9890000001</v>
      </c>
      <c r="Q364" s="424">
        <f>+Q363+Q332+Q323</f>
        <v>10524835.550000001</v>
      </c>
    </row>
    <row r="365" spans="1:17" ht="23.4" x14ac:dyDescent="0.3">
      <c r="A365" s="935" t="s">
        <v>1</v>
      </c>
      <c r="B365" s="938" t="s">
        <v>2</v>
      </c>
      <c r="C365" s="941" t="s">
        <v>3</v>
      </c>
      <c r="D365" s="944" t="s">
        <v>4</v>
      </c>
      <c r="E365" s="945"/>
      <c r="F365" s="945"/>
      <c r="G365" s="945"/>
      <c r="H365" s="945"/>
      <c r="I365" s="945"/>
      <c r="J365" s="945"/>
      <c r="K365" s="945"/>
      <c r="L365" s="945"/>
      <c r="M365" s="945"/>
      <c r="N365" s="946"/>
      <c r="O365" s="965" t="s">
        <v>176</v>
      </c>
      <c r="P365" s="966"/>
      <c r="Q365" s="990"/>
    </row>
    <row r="366" spans="1:17" ht="23.4" x14ac:dyDescent="0.3">
      <c r="A366" s="936"/>
      <c r="B366" s="939"/>
      <c r="C366" s="942"/>
      <c r="D366" s="947" t="s">
        <v>7</v>
      </c>
      <c r="E366" s="949" t="s">
        <v>116</v>
      </c>
      <c r="F366" s="991" t="s">
        <v>437</v>
      </c>
      <c r="G366" s="952"/>
      <c r="H366" s="952"/>
      <c r="I366" s="953"/>
      <c r="J366" s="954" t="s">
        <v>8</v>
      </c>
      <c r="K366" s="955"/>
      <c r="L366" s="956"/>
      <c r="M366" s="957" t="s">
        <v>174</v>
      </c>
      <c r="N366" s="959" t="s">
        <v>173</v>
      </c>
      <c r="O366" s="967" t="s">
        <v>178</v>
      </c>
      <c r="P366" s="968"/>
      <c r="Q366" s="969"/>
    </row>
    <row r="367" spans="1:17" ht="47.4" thickBot="1" x14ac:dyDescent="0.35">
      <c r="A367" s="937"/>
      <c r="B367" s="940"/>
      <c r="C367" s="943"/>
      <c r="D367" s="948"/>
      <c r="E367" s="950"/>
      <c r="F367" s="462" t="s">
        <v>13</v>
      </c>
      <c r="G367" s="463" t="s">
        <v>14</v>
      </c>
      <c r="H367" s="463" t="s">
        <v>15</v>
      </c>
      <c r="I367" s="464" t="s">
        <v>175</v>
      </c>
      <c r="J367" s="462" t="s">
        <v>13</v>
      </c>
      <c r="K367" s="463" t="s">
        <v>14</v>
      </c>
      <c r="L367" s="465" t="s">
        <v>15</v>
      </c>
      <c r="M367" s="958"/>
      <c r="N367" s="960"/>
      <c r="O367" s="453" t="s">
        <v>179</v>
      </c>
      <c r="P367" s="454" t="s">
        <v>11</v>
      </c>
      <c r="Q367" s="455" t="s">
        <v>12</v>
      </c>
    </row>
    <row r="368" spans="1:17" ht="23.4" x14ac:dyDescent="0.3">
      <c r="A368" s="271" t="s">
        <v>111</v>
      </c>
      <c r="B368" s="445"/>
      <c r="C368" s="272" t="s">
        <v>272</v>
      </c>
      <c r="D368" s="273"/>
      <c r="E368" s="274"/>
      <c r="F368" s="338">
        <f>+G368+H368</f>
        <v>95230</v>
      </c>
      <c r="G368" s="275">
        <v>88480</v>
      </c>
      <c r="H368" s="275">
        <v>6750</v>
      </c>
      <c r="I368" s="357" t="str">
        <f>IFERROR(F368/#REF!,"-")</f>
        <v>-</v>
      </c>
      <c r="J368" s="468">
        <f>+K368+L368</f>
        <v>225340</v>
      </c>
      <c r="K368" s="469">
        <f>+G368+K309</f>
        <v>206080</v>
      </c>
      <c r="L368" s="470">
        <f>+H368+L309</f>
        <v>19260</v>
      </c>
      <c r="M368" s="342" t="str">
        <f>IFERROR(J368/D368,"-")</f>
        <v>-</v>
      </c>
      <c r="N368" s="349">
        <f t="shared" ref="N368:N369" si="333">IFERROR(L368/J368,"-")</f>
        <v>8.5470844057868117E-2</v>
      </c>
      <c r="O368" s="518">
        <v>1.5669</v>
      </c>
      <c r="P368" s="408">
        <f>+O368*G368</f>
        <v>138639.31200000001</v>
      </c>
      <c r="Q368" s="457">
        <f>+O368*K368</f>
        <v>322906.75199999998</v>
      </c>
    </row>
    <row r="369" spans="1:17" ht="23.4" x14ac:dyDescent="0.3">
      <c r="A369" s="277" t="s">
        <v>111</v>
      </c>
      <c r="B369" s="444"/>
      <c r="C369" s="278" t="s">
        <v>271</v>
      </c>
      <c r="D369" s="279"/>
      <c r="E369" s="280"/>
      <c r="F369" s="339">
        <f t="shared" ref="F369:F372" si="334">+G369+H369</f>
        <v>0</v>
      </c>
      <c r="G369" s="281">
        <v>0</v>
      </c>
      <c r="H369" s="281">
        <v>0</v>
      </c>
      <c r="I369" s="358" t="str">
        <f>IFERROR(F369/#REF!,"-")</f>
        <v>-</v>
      </c>
      <c r="J369" s="339">
        <f t="shared" ref="J369:J372" si="335">+K369+L369</f>
        <v>0</v>
      </c>
      <c r="K369" s="281">
        <f t="shared" ref="K369:K372" si="336">+G369+K310</f>
        <v>0</v>
      </c>
      <c r="L369" s="442">
        <f t="shared" ref="L369:L372" si="337">+H369+L310</f>
        <v>0</v>
      </c>
      <c r="M369" s="343" t="str">
        <f t="shared" ref="M369:M372" si="338">IFERROR(J369/D369,"-")</f>
        <v>-</v>
      </c>
      <c r="N369" s="268" t="str">
        <f t="shared" si="333"/>
        <v>-</v>
      </c>
      <c r="O369" s="519">
        <v>2.3978999999999999</v>
      </c>
      <c r="P369" s="410">
        <f t="shared" ref="P369:P372" si="339">+O369*G369</f>
        <v>0</v>
      </c>
      <c r="Q369" s="459">
        <f t="shared" ref="Q369:Q372" si="340">+O369*K369</f>
        <v>0</v>
      </c>
    </row>
    <row r="370" spans="1:17" ht="23.4" x14ac:dyDescent="0.3">
      <c r="A370" s="277" t="s">
        <v>111</v>
      </c>
      <c r="B370" s="444"/>
      <c r="C370" s="278" t="s">
        <v>273</v>
      </c>
      <c r="D370" s="279"/>
      <c r="E370" s="280"/>
      <c r="F370" s="339">
        <f t="shared" si="334"/>
        <v>0</v>
      </c>
      <c r="G370" s="281">
        <v>0</v>
      </c>
      <c r="H370" s="281">
        <v>0</v>
      </c>
      <c r="I370" s="358" t="str">
        <f>IFERROR(F370/#REF!,"-")</f>
        <v>-</v>
      </c>
      <c r="J370" s="339">
        <f t="shared" si="335"/>
        <v>0</v>
      </c>
      <c r="K370" s="281">
        <f t="shared" si="336"/>
        <v>0</v>
      </c>
      <c r="L370" s="251">
        <f t="shared" si="337"/>
        <v>0</v>
      </c>
      <c r="M370" s="343" t="str">
        <f t="shared" si="338"/>
        <v>-</v>
      </c>
      <c r="N370" s="268" t="str">
        <f>IFERROR(L370/J370,"-")</f>
        <v>-</v>
      </c>
      <c r="O370" s="519">
        <v>4.0426000000000002</v>
      </c>
      <c r="P370" s="410">
        <f t="shared" si="339"/>
        <v>0</v>
      </c>
      <c r="Q370" s="459">
        <f t="shared" si="340"/>
        <v>0</v>
      </c>
    </row>
    <row r="371" spans="1:17" ht="23.4" x14ac:dyDescent="0.3">
      <c r="A371" s="277"/>
      <c r="B371" s="461"/>
      <c r="C371" s="278" t="s">
        <v>372</v>
      </c>
      <c r="D371" s="283"/>
      <c r="E371" s="284"/>
      <c r="F371" s="339">
        <f t="shared" si="334"/>
        <v>47036</v>
      </c>
      <c r="G371" s="285">
        <v>46200</v>
      </c>
      <c r="H371" s="285">
        <v>836</v>
      </c>
      <c r="I371" s="358" t="str">
        <f>IFERROR(F371/#REF!,"-")</f>
        <v>-</v>
      </c>
      <c r="J371" s="339">
        <f t="shared" si="335"/>
        <v>296045</v>
      </c>
      <c r="K371" s="281">
        <f t="shared" si="336"/>
        <v>290600</v>
      </c>
      <c r="L371" s="286">
        <f t="shared" si="337"/>
        <v>5445</v>
      </c>
      <c r="M371" s="343" t="str">
        <f t="shared" si="338"/>
        <v>-</v>
      </c>
      <c r="N371" s="268">
        <f>IFERROR(L371/J371,"-")</f>
        <v>1.8392474117110574E-2</v>
      </c>
      <c r="O371" s="520">
        <v>12.284700000000001</v>
      </c>
      <c r="P371" s="410">
        <f t="shared" si="339"/>
        <v>567553.14</v>
      </c>
      <c r="Q371" s="459">
        <f t="shared" si="340"/>
        <v>3569933.8200000003</v>
      </c>
    </row>
    <row r="372" spans="1:17" ht="24" thickBot="1" x14ac:dyDescent="0.35">
      <c r="A372" s="277" t="s">
        <v>111</v>
      </c>
      <c r="B372" s="461"/>
      <c r="C372" s="278" t="s">
        <v>361</v>
      </c>
      <c r="D372" s="283"/>
      <c r="E372" s="284"/>
      <c r="F372" s="340">
        <f t="shared" si="334"/>
        <v>0</v>
      </c>
      <c r="G372" s="285">
        <v>0</v>
      </c>
      <c r="H372" s="285">
        <v>0</v>
      </c>
      <c r="I372" s="359" t="str">
        <f>IFERROR(F372/#REF!,"-")</f>
        <v>-</v>
      </c>
      <c r="J372" s="471">
        <f t="shared" si="335"/>
        <v>0</v>
      </c>
      <c r="K372" s="472">
        <f t="shared" si="336"/>
        <v>0</v>
      </c>
      <c r="L372" s="258">
        <f t="shared" si="337"/>
        <v>0</v>
      </c>
      <c r="M372" s="344" t="str">
        <f t="shared" si="338"/>
        <v>-</v>
      </c>
      <c r="N372" s="350" t="str">
        <f t="shared" ref="N372:N384" si="341">IFERROR(L372/J372,"-")</f>
        <v>-</v>
      </c>
      <c r="O372" s="520">
        <v>4.6797000000000004</v>
      </c>
      <c r="P372" s="411">
        <f t="shared" si="339"/>
        <v>0</v>
      </c>
      <c r="Q372" s="460">
        <f t="shared" si="340"/>
        <v>0</v>
      </c>
    </row>
    <row r="373" spans="1:17" ht="24" thickBot="1" x14ac:dyDescent="0.35">
      <c r="A373" s="277" t="s">
        <v>111</v>
      </c>
      <c r="B373" s="906" t="s">
        <v>21</v>
      </c>
      <c r="C373" s="907"/>
      <c r="D373" s="326">
        <f>SUM(D368:D372)</f>
        <v>0</v>
      </c>
      <c r="E373" s="289">
        <v>15000</v>
      </c>
      <c r="F373" s="326">
        <f>SUM(F368:F372)</f>
        <v>142266</v>
      </c>
      <c r="G373" s="327">
        <f>SUM(G368:G372)</f>
        <v>134680</v>
      </c>
      <c r="H373" s="327">
        <f>SUM(H368:H372)</f>
        <v>7586</v>
      </c>
      <c r="I373" s="351" t="str">
        <f>IFERROR(F373/#REF!,"-")</f>
        <v>-</v>
      </c>
      <c r="J373" s="326">
        <f>SUM(J368:J372)</f>
        <v>521385</v>
      </c>
      <c r="K373" s="327">
        <f>SUM(K368:K372)</f>
        <v>496680</v>
      </c>
      <c r="L373" s="328">
        <f>SUM(L368:L372)</f>
        <v>24705</v>
      </c>
      <c r="M373" s="345" t="str">
        <f>IFERROR(J373/D373,"-")</f>
        <v>-</v>
      </c>
      <c r="N373" s="351">
        <f t="shared" si="341"/>
        <v>4.7383411490549213E-2</v>
      </c>
      <c r="O373" s="397"/>
      <c r="P373" s="412">
        <f>SUM(P368:P372)</f>
        <v>706192.45200000005</v>
      </c>
      <c r="Q373" s="431">
        <f>SUM(Q368:Q372)</f>
        <v>3892840.5720000002</v>
      </c>
    </row>
    <row r="374" spans="1:17" ht="23.4" x14ac:dyDescent="0.3">
      <c r="A374" s="277" t="s">
        <v>111</v>
      </c>
      <c r="B374" s="445"/>
      <c r="C374" s="272" t="s">
        <v>270</v>
      </c>
      <c r="D374" s="273"/>
      <c r="E374" s="274"/>
      <c r="F374" s="338">
        <f t="shared" ref="F374:F380" si="342">+G374+H374</f>
        <v>0</v>
      </c>
      <c r="G374" s="275">
        <v>0</v>
      </c>
      <c r="H374" s="275">
        <v>0</v>
      </c>
      <c r="I374" s="357" t="str">
        <f>IFERROR(F374/#REF!,"-")</f>
        <v>-</v>
      </c>
      <c r="J374" s="338">
        <f t="shared" ref="J374:J380" si="343">+K374+L374</f>
        <v>4462</v>
      </c>
      <c r="K374" s="275">
        <f t="shared" ref="K374:K380" si="344">+G374+K315</f>
        <v>4320</v>
      </c>
      <c r="L374" s="276">
        <f t="shared" ref="L374:L380" si="345">+H374+L315</f>
        <v>142</v>
      </c>
      <c r="M374" s="342" t="str">
        <f t="shared" ref="M374:M382" si="346">IFERROR(J374/D374,"-")</f>
        <v>-</v>
      </c>
      <c r="N374" s="352">
        <f t="shared" si="341"/>
        <v>3.1824294038547737E-2</v>
      </c>
      <c r="O374" s="518">
        <v>18.2316</v>
      </c>
      <c r="P374" s="408">
        <f t="shared" ref="P374:P380" si="347">+O374*G374</f>
        <v>0</v>
      </c>
      <c r="Q374" s="457">
        <f t="shared" ref="Q374:Q380" si="348">+O374*K374</f>
        <v>78760.512000000002</v>
      </c>
    </row>
    <row r="375" spans="1:17" ht="23.4" x14ac:dyDescent="0.3">
      <c r="A375" s="277" t="s">
        <v>111</v>
      </c>
      <c r="B375" s="444"/>
      <c r="C375" s="278" t="s">
        <v>92</v>
      </c>
      <c r="D375" s="279"/>
      <c r="E375" s="280"/>
      <c r="F375" s="339">
        <f t="shared" si="342"/>
        <v>0</v>
      </c>
      <c r="G375" s="281">
        <v>0</v>
      </c>
      <c r="H375" s="281">
        <v>0</v>
      </c>
      <c r="I375" s="358" t="str">
        <f>IFERROR(F375/#REF!,"-")</f>
        <v>-</v>
      </c>
      <c r="J375" s="339">
        <f t="shared" si="343"/>
        <v>120000</v>
      </c>
      <c r="K375" s="281">
        <f t="shared" si="344"/>
        <v>120000</v>
      </c>
      <c r="L375" s="251">
        <f t="shared" si="345"/>
        <v>0</v>
      </c>
      <c r="M375" s="343" t="str">
        <f t="shared" si="346"/>
        <v>-</v>
      </c>
      <c r="N375" s="264">
        <f t="shared" si="341"/>
        <v>0</v>
      </c>
      <c r="O375" s="519">
        <v>0</v>
      </c>
      <c r="P375" s="410">
        <f t="shared" si="347"/>
        <v>0</v>
      </c>
      <c r="Q375" s="459">
        <f t="shared" si="348"/>
        <v>0</v>
      </c>
    </row>
    <row r="376" spans="1:17" ht="23.4" x14ac:dyDescent="0.3">
      <c r="A376" s="277" t="s">
        <v>111</v>
      </c>
      <c r="B376" s="444"/>
      <c r="C376" s="278" t="s">
        <v>340</v>
      </c>
      <c r="D376" s="279"/>
      <c r="E376" s="280"/>
      <c r="F376" s="339">
        <f t="shared" si="342"/>
        <v>0</v>
      </c>
      <c r="G376" s="281">
        <v>0</v>
      </c>
      <c r="H376" s="281">
        <v>0</v>
      </c>
      <c r="I376" s="358" t="str">
        <f>IFERROR(F376/#REF!,"-")</f>
        <v>-</v>
      </c>
      <c r="J376" s="339">
        <f t="shared" si="343"/>
        <v>0</v>
      </c>
      <c r="K376" s="281">
        <f t="shared" si="344"/>
        <v>0</v>
      </c>
      <c r="L376" s="251">
        <f t="shared" si="345"/>
        <v>0</v>
      </c>
      <c r="M376" s="343" t="str">
        <f t="shared" si="346"/>
        <v>-</v>
      </c>
      <c r="N376" s="264" t="str">
        <f t="shared" si="341"/>
        <v>-</v>
      </c>
      <c r="O376" s="519">
        <v>5.7342000000000004</v>
      </c>
      <c r="P376" s="410">
        <f t="shared" si="347"/>
        <v>0</v>
      </c>
      <c r="Q376" s="459">
        <f t="shared" si="348"/>
        <v>0</v>
      </c>
    </row>
    <row r="377" spans="1:17" ht="23.4" x14ac:dyDescent="0.3">
      <c r="A377" s="277" t="s">
        <v>111</v>
      </c>
      <c r="B377" s="444"/>
      <c r="C377" s="278" t="s">
        <v>363</v>
      </c>
      <c r="D377" s="279"/>
      <c r="E377" s="280"/>
      <c r="F377" s="339">
        <f t="shared" si="342"/>
        <v>0</v>
      </c>
      <c r="G377" s="281">
        <v>0</v>
      </c>
      <c r="H377" s="281">
        <v>0</v>
      </c>
      <c r="I377" s="358" t="str">
        <f>IFERROR(F377/#REF!,"-")</f>
        <v>-</v>
      </c>
      <c r="J377" s="339">
        <f t="shared" si="343"/>
        <v>0</v>
      </c>
      <c r="K377" s="281">
        <f t="shared" si="344"/>
        <v>0</v>
      </c>
      <c r="L377" s="251">
        <f t="shared" si="345"/>
        <v>0</v>
      </c>
      <c r="M377" s="343" t="str">
        <f t="shared" si="346"/>
        <v>-</v>
      </c>
      <c r="N377" s="264" t="str">
        <f t="shared" si="341"/>
        <v>-</v>
      </c>
      <c r="O377" s="519"/>
      <c r="P377" s="410">
        <f t="shared" si="347"/>
        <v>0</v>
      </c>
      <c r="Q377" s="459">
        <f t="shared" si="348"/>
        <v>0</v>
      </c>
    </row>
    <row r="378" spans="1:17" ht="23.4" x14ac:dyDescent="0.3">
      <c r="A378" s="277" t="s">
        <v>111</v>
      </c>
      <c r="B378" s="444"/>
      <c r="C378" s="278" t="s">
        <v>373</v>
      </c>
      <c r="D378" s="279"/>
      <c r="E378" s="280"/>
      <c r="F378" s="339">
        <f t="shared" si="342"/>
        <v>36136</v>
      </c>
      <c r="G378" s="281">
        <v>36000</v>
      </c>
      <c r="H378" s="281">
        <v>136</v>
      </c>
      <c r="I378" s="358" t="str">
        <f>IFERROR(F378/#REF!,"-")</f>
        <v>-</v>
      </c>
      <c r="J378" s="339">
        <f t="shared" si="343"/>
        <v>199823</v>
      </c>
      <c r="K378" s="281">
        <f t="shared" si="344"/>
        <v>199000</v>
      </c>
      <c r="L378" s="251">
        <f t="shared" si="345"/>
        <v>823</v>
      </c>
      <c r="M378" s="343" t="str">
        <f t="shared" si="346"/>
        <v>-</v>
      </c>
      <c r="N378" s="264">
        <f t="shared" si="341"/>
        <v>4.1186450008257307E-3</v>
      </c>
      <c r="O378" s="519">
        <v>12.029500000000001</v>
      </c>
      <c r="P378" s="410">
        <f t="shared" si="347"/>
        <v>433062</v>
      </c>
      <c r="Q378" s="459">
        <f t="shared" si="348"/>
        <v>2393870.5</v>
      </c>
    </row>
    <row r="379" spans="1:17" ht="23.4" x14ac:dyDescent="0.3">
      <c r="A379" s="277" t="s">
        <v>111</v>
      </c>
      <c r="B379" s="444"/>
      <c r="C379" s="278"/>
      <c r="D379" s="279"/>
      <c r="E379" s="280"/>
      <c r="F379" s="339">
        <f t="shared" si="342"/>
        <v>0</v>
      </c>
      <c r="G379" s="281">
        <v>0</v>
      </c>
      <c r="H379" s="281">
        <v>0</v>
      </c>
      <c r="I379" s="358" t="str">
        <f>IFERROR(F379/#REF!,"-")</f>
        <v>-</v>
      </c>
      <c r="J379" s="339">
        <f t="shared" si="343"/>
        <v>0</v>
      </c>
      <c r="K379" s="281">
        <f t="shared" si="344"/>
        <v>0</v>
      </c>
      <c r="L379" s="251">
        <f t="shared" si="345"/>
        <v>0</v>
      </c>
      <c r="M379" s="343" t="str">
        <f t="shared" si="346"/>
        <v>-</v>
      </c>
      <c r="N379" s="264" t="str">
        <f t="shared" si="341"/>
        <v>-</v>
      </c>
      <c r="O379" s="519"/>
      <c r="P379" s="410">
        <f t="shared" si="347"/>
        <v>0</v>
      </c>
      <c r="Q379" s="459">
        <f t="shared" si="348"/>
        <v>0</v>
      </c>
    </row>
    <row r="380" spans="1:17" ht="24" thickBot="1" x14ac:dyDescent="0.35">
      <c r="A380" s="277" t="s">
        <v>111</v>
      </c>
      <c r="B380" s="461"/>
      <c r="C380" s="282"/>
      <c r="D380" s="283">
        <v>0</v>
      </c>
      <c r="E380" s="284"/>
      <c r="F380" s="340">
        <f t="shared" si="342"/>
        <v>0</v>
      </c>
      <c r="G380" s="285">
        <v>0</v>
      </c>
      <c r="H380" s="285">
        <v>0</v>
      </c>
      <c r="I380" s="359" t="str">
        <f>IFERROR(F380/#REF!,"-")</f>
        <v>-</v>
      </c>
      <c r="J380" s="340">
        <f t="shared" si="343"/>
        <v>0</v>
      </c>
      <c r="K380" s="285">
        <f t="shared" si="344"/>
        <v>0</v>
      </c>
      <c r="L380" s="286">
        <f t="shared" si="345"/>
        <v>0</v>
      </c>
      <c r="M380" s="344" t="str">
        <f t="shared" si="346"/>
        <v>-</v>
      </c>
      <c r="N380" s="353" t="str">
        <f t="shared" si="341"/>
        <v>-</v>
      </c>
      <c r="O380" s="520"/>
      <c r="P380" s="411">
        <f t="shared" si="347"/>
        <v>0</v>
      </c>
      <c r="Q380" s="460">
        <f t="shared" si="348"/>
        <v>0</v>
      </c>
    </row>
    <row r="381" spans="1:17" ht="24" thickBot="1" x14ac:dyDescent="0.35">
      <c r="A381" s="277" t="s">
        <v>111</v>
      </c>
      <c r="B381" s="906" t="s">
        <v>25</v>
      </c>
      <c r="C381" s="907"/>
      <c r="D381" s="326">
        <f t="shared" ref="D381" si="349">SUM(D374:D380)</f>
        <v>0</v>
      </c>
      <c r="E381" s="289">
        <v>100000</v>
      </c>
      <c r="F381" s="326">
        <f>SUM(F374:F380)</f>
        <v>36136</v>
      </c>
      <c r="G381" s="327">
        <f t="shared" ref="G381:H381" si="350">SUM(G374:G380)</f>
        <v>36000</v>
      </c>
      <c r="H381" s="327">
        <f t="shared" si="350"/>
        <v>136</v>
      </c>
      <c r="I381" s="351" t="str">
        <f>IFERROR(F381/#REF!,"-")</f>
        <v>-</v>
      </c>
      <c r="J381" s="326">
        <f t="shared" ref="J381:L381" si="351">SUM(J374:J380)</f>
        <v>324285</v>
      </c>
      <c r="K381" s="327">
        <f t="shared" si="351"/>
        <v>323320</v>
      </c>
      <c r="L381" s="328">
        <f t="shared" si="351"/>
        <v>965</v>
      </c>
      <c r="M381" s="345" t="str">
        <f t="shared" si="346"/>
        <v>-</v>
      </c>
      <c r="N381" s="351">
        <f t="shared" si="341"/>
        <v>2.9757774796860788E-3</v>
      </c>
      <c r="O381" s="397"/>
      <c r="P381" s="412">
        <f t="shared" ref="P381:Q381" si="352">SUM(P374:P380)</f>
        <v>433062</v>
      </c>
      <c r="Q381" s="431">
        <f t="shared" si="352"/>
        <v>2472631.0120000001</v>
      </c>
    </row>
    <row r="382" spans="1:17" ht="24" thickBot="1" x14ac:dyDescent="0.35">
      <c r="A382" s="277" t="s">
        <v>111</v>
      </c>
      <c r="B382" s="985" t="s">
        <v>181</v>
      </c>
      <c r="C382" s="986"/>
      <c r="D382" s="332">
        <f>+D373+D381</f>
        <v>0</v>
      </c>
      <c r="E382" s="333">
        <f t="shared" ref="E382:H382" si="353">+E373+E381</f>
        <v>115000</v>
      </c>
      <c r="F382" s="332">
        <f t="shared" si="353"/>
        <v>178402</v>
      </c>
      <c r="G382" s="330">
        <f t="shared" si="353"/>
        <v>170680</v>
      </c>
      <c r="H382" s="330">
        <f t="shared" si="353"/>
        <v>7722</v>
      </c>
      <c r="I382" s="355" t="str">
        <f>IFERROR(F382/#REF!,"-")</f>
        <v>-</v>
      </c>
      <c r="J382" s="332">
        <f t="shared" ref="J382:L382" si="354">+J373+J381</f>
        <v>845670</v>
      </c>
      <c r="K382" s="330">
        <f t="shared" si="354"/>
        <v>820000</v>
      </c>
      <c r="L382" s="331">
        <f t="shared" si="354"/>
        <v>25670</v>
      </c>
      <c r="M382" s="347" t="str">
        <f t="shared" si="346"/>
        <v>-</v>
      </c>
      <c r="N382" s="355">
        <f t="shared" si="341"/>
        <v>3.035463005664148E-2</v>
      </c>
      <c r="O382" s="400"/>
      <c r="P382" s="416">
        <f t="shared" ref="P382:Q382" si="355">+P373+P381</f>
        <v>1139254.452</v>
      </c>
      <c r="Q382" s="434">
        <f t="shared" si="355"/>
        <v>6365471.5840000007</v>
      </c>
    </row>
    <row r="383" spans="1:17" ht="23.4" x14ac:dyDescent="0.3">
      <c r="A383" s="244" t="s">
        <v>109</v>
      </c>
      <c r="B383" s="599"/>
      <c r="C383" s="600" t="s">
        <v>314</v>
      </c>
      <c r="D383" s="540"/>
      <c r="E383" s="470"/>
      <c r="F383" s="468">
        <f>+G383+H383</f>
        <v>0</v>
      </c>
      <c r="G383" s="469">
        <v>0</v>
      </c>
      <c r="H383" s="469">
        <v>0</v>
      </c>
      <c r="I383" s="544" t="str">
        <f>IFERROR(F383/#REF!,"-")</f>
        <v>-</v>
      </c>
      <c r="J383" s="468">
        <f>+K383+L383</f>
        <v>0</v>
      </c>
      <c r="K383" s="469">
        <f t="shared" ref="K383:K389" si="356">+G383+K324</f>
        <v>0</v>
      </c>
      <c r="L383" s="247">
        <f t="shared" ref="L383:L389" si="357">+H383+L324</f>
        <v>0</v>
      </c>
      <c r="M383" s="604" t="str">
        <f>IFERROR(J383/D383,"-")</f>
        <v>-</v>
      </c>
      <c r="N383" s="546" t="str">
        <f t="shared" si="341"/>
        <v>-</v>
      </c>
      <c r="O383" s="648">
        <v>4.8285999999999998</v>
      </c>
      <c r="P383" s="547">
        <f t="shared" ref="P383:P389" si="358">+O383*G383</f>
        <v>0</v>
      </c>
      <c r="Q383" s="548">
        <f>+O383*K383</f>
        <v>0</v>
      </c>
    </row>
    <row r="384" spans="1:17" ht="23.4" x14ac:dyDescent="0.3">
      <c r="A384" s="248" t="s">
        <v>109</v>
      </c>
      <c r="B384" s="601"/>
      <c r="C384" s="278" t="s">
        <v>315</v>
      </c>
      <c r="D384" s="279"/>
      <c r="E384" s="442"/>
      <c r="F384" s="339">
        <f t="shared" ref="F384:F389" si="359">+G384+H384</f>
        <v>0</v>
      </c>
      <c r="G384" s="281">
        <v>0</v>
      </c>
      <c r="H384" s="281">
        <v>0</v>
      </c>
      <c r="I384" s="358" t="str">
        <f>IFERROR(F384/#REF!,"-")</f>
        <v>-</v>
      </c>
      <c r="J384" s="339">
        <f t="shared" ref="J384:J389" si="360">+K384+L384</f>
        <v>0</v>
      </c>
      <c r="K384" s="281">
        <f t="shared" si="356"/>
        <v>0</v>
      </c>
      <c r="L384" s="251">
        <f t="shared" si="357"/>
        <v>0</v>
      </c>
      <c r="M384" s="343" t="str">
        <f t="shared" ref="M384:M386" si="361">IFERROR(J384/D384,"-")</f>
        <v>-</v>
      </c>
      <c r="N384" s="268" t="str">
        <f t="shared" si="341"/>
        <v>-</v>
      </c>
      <c r="O384" s="649">
        <v>1.4086000000000001</v>
      </c>
      <c r="P384" s="410">
        <f t="shared" si="358"/>
        <v>0</v>
      </c>
      <c r="Q384" s="459">
        <f t="shared" ref="Q384:Q389" si="362">+O384*K384</f>
        <v>0</v>
      </c>
    </row>
    <row r="385" spans="1:17" ht="23.4" x14ac:dyDescent="0.3">
      <c r="A385" s="248" t="s">
        <v>109</v>
      </c>
      <c r="B385" s="601"/>
      <c r="C385" s="278" t="s">
        <v>367</v>
      </c>
      <c r="D385" s="279"/>
      <c r="E385" s="442"/>
      <c r="F385" s="339">
        <f t="shared" si="359"/>
        <v>0</v>
      </c>
      <c r="G385" s="281">
        <v>0</v>
      </c>
      <c r="H385" s="281">
        <v>0</v>
      </c>
      <c r="I385" s="358" t="str">
        <f>IFERROR(F385/#REF!,"-")</f>
        <v>-</v>
      </c>
      <c r="J385" s="339">
        <f t="shared" si="360"/>
        <v>573613</v>
      </c>
      <c r="K385" s="281">
        <f t="shared" si="356"/>
        <v>566000</v>
      </c>
      <c r="L385" s="251">
        <f t="shared" si="357"/>
        <v>7613</v>
      </c>
      <c r="M385" s="343" t="str">
        <f t="shared" si="361"/>
        <v>-</v>
      </c>
      <c r="N385" s="268">
        <f>IFERROR(L385/J385,"-")</f>
        <v>1.3272014406925924E-2</v>
      </c>
      <c r="O385" s="649">
        <v>2.2141000000000002</v>
      </c>
      <c r="P385" s="410">
        <f t="shared" si="358"/>
        <v>0</v>
      </c>
      <c r="Q385" s="459">
        <f t="shared" si="362"/>
        <v>1253180.6000000001</v>
      </c>
    </row>
    <row r="386" spans="1:17" ht="23.4" x14ac:dyDescent="0.3">
      <c r="A386" s="248" t="s">
        <v>109</v>
      </c>
      <c r="B386" s="602"/>
      <c r="C386" s="278" t="s">
        <v>436</v>
      </c>
      <c r="D386" s="283"/>
      <c r="E386" s="541"/>
      <c r="F386" s="340">
        <f t="shared" si="359"/>
        <v>0</v>
      </c>
      <c r="G386" s="285">
        <v>0</v>
      </c>
      <c r="H386" s="285">
        <v>0</v>
      </c>
      <c r="I386" s="359" t="str">
        <f>IFERROR(F386/#REF!,"-")</f>
        <v>-</v>
      </c>
      <c r="J386" s="339">
        <f t="shared" si="360"/>
        <v>40882</v>
      </c>
      <c r="K386" s="285">
        <f t="shared" si="356"/>
        <v>40000</v>
      </c>
      <c r="L386" s="286">
        <f t="shared" si="357"/>
        <v>882</v>
      </c>
      <c r="M386" s="344" t="str">
        <f t="shared" si="361"/>
        <v>-</v>
      </c>
      <c r="N386" s="350">
        <f t="shared" ref="N386:N393" si="363">IFERROR(L386/J386,"-")</f>
        <v>2.157428697226163E-2</v>
      </c>
      <c r="O386" s="650">
        <v>2.4565999999999999</v>
      </c>
      <c r="P386" s="411">
        <f t="shared" si="358"/>
        <v>0</v>
      </c>
      <c r="Q386" s="460">
        <f t="shared" si="362"/>
        <v>98264</v>
      </c>
    </row>
    <row r="387" spans="1:17" ht="23.4" x14ac:dyDescent="0.3">
      <c r="A387" s="248" t="s">
        <v>109</v>
      </c>
      <c r="B387" s="446"/>
      <c r="C387" s="647" t="s">
        <v>398</v>
      </c>
      <c r="D387" s="521"/>
      <c r="E387" s="542"/>
      <c r="F387" s="339">
        <f t="shared" si="359"/>
        <v>0</v>
      </c>
      <c r="G387" s="561">
        <v>0</v>
      </c>
      <c r="H387" s="561">
        <v>0</v>
      </c>
      <c r="I387" s="358" t="str">
        <f>IFERROR(F387/#REF!,"-")</f>
        <v>-</v>
      </c>
      <c r="J387" s="339">
        <f t="shared" si="360"/>
        <v>0</v>
      </c>
      <c r="K387" s="285">
        <f t="shared" si="356"/>
        <v>0</v>
      </c>
      <c r="L387" s="286">
        <f t="shared" si="357"/>
        <v>0</v>
      </c>
      <c r="M387" s="522"/>
      <c r="N387" s="268" t="str">
        <f t="shared" si="363"/>
        <v>-</v>
      </c>
      <c r="O387" s="553">
        <v>4.4065000000000003</v>
      </c>
      <c r="P387" s="410">
        <f t="shared" si="358"/>
        <v>0</v>
      </c>
      <c r="Q387" s="459">
        <f t="shared" si="362"/>
        <v>0</v>
      </c>
    </row>
    <row r="388" spans="1:17" ht="23.4" x14ac:dyDescent="0.3">
      <c r="A388" s="248" t="s">
        <v>109</v>
      </c>
      <c r="B388" s="603"/>
      <c r="C388" s="647" t="s">
        <v>439</v>
      </c>
      <c r="D388" s="273"/>
      <c r="E388" s="441"/>
      <c r="F388" s="338">
        <f t="shared" si="359"/>
        <v>15325</v>
      </c>
      <c r="G388" s="275">
        <v>14250</v>
      </c>
      <c r="H388" s="275">
        <v>1075</v>
      </c>
      <c r="I388" s="357" t="str">
        <f>IFERROR(F388/#REF!,"-")</f>
        <v>-</v>
      </c>
      <c r="J388" s="339">
        <f t="shared" si="360"/>
        <v>15325</v>
      </c>
      <c r="K388" s="285">
        <f t="shared" si="356"/>
        <v>14250</v>
      </c>
      <c r="L388" s="286">
        <f t="shared" si="357"/>
        <v>1075</v>
      </c>
      <c r="M388" s="342" t="str">
        <f t="shared" ref="M388:M389" si="364">IFERROR(J388/D388,"-")</f>
        <v>-</v>
      </c>
      <c r="N388" s="352">
        <f t="shared" si="363"/>
        <v>7.01468189233279E-2</v>
      </c>
      <c r="O388" s="518">
        <v>4.1712999999999996</v>
      </c>
      <c r="P388" s="408">
        <f t="shared" si="358"/>
        <v>59441.024999999994</v>
      </c>
      <c r="Q388" s="457">
        <f t="shared" si="362"/>
        <v>59441.024999999994</v>
      </c>
    </row>
    <row r="389" spans="1:17" ht="24" thickBot="1" x14ac:dyDescent="0.35">
      <c r="A389" s="248" t="s">
        <v>109</v>
      </c>
      <c r="B389" s="601"/>
      <c r="C389" s="278"/>
      <c r="D389" s="279"/>
      <c r="E389" s="442"/>
      <c r="F389" s="339">
        <f t="shared" si="359"/>
        <v>0</v>
      </c>
      <c r="G389" s="281"/>
      <c r="H389" s="281"/>
      <c r="I389" s="358" t="str">
        <f>IFERROR(F389/#REF!,"-")</f>
        <v>-</v>
      </c>
      <c r="J389" s="339">
        <f t="shared" si="360"/>
        <v>0</v>
      </c>
      <c r="K389" s="281">
        <f t="shared" si="356"/>
        <v>0</v>
      </c>
      <c r="L389" s="251">
        <f t="shared" si="357"/>
        <v>0</v>
      </c>
      <c r="M389" s="343" t="str">
        <f t="shared" si="364"/>
        <v>-</v>
      </c>
      <c r="N389" s="264" t="str">
        <f t="shared" si="363"/>
        <v>-</v>
      </c>
      <c r="O389" s="458"/>
      <c r="P389" s="410">
        <f t="shared" si="358"/>
        <v>0</v>
      </c>
      <c r="Q389" s="459">
        <f t="shared" si="362"/>
        <v>0</v>
      </c>
    </row>
    <row r="390" spans="1:17" ht="24" thickBot="1" x14ac:dyDescent="0.35">
      <c r="A390" s="277" t="s">
        <v>109</v>
      </c>
      <c r="B390" s="987" t="s">
        <v>21</v>
      </c>
      <c r="C390" s="925"/>
      <c r="D390" s="326">
        <v>0</v>
      </c>
      <c r="E390" s="289">
        <v>15000</v>
      </c>
      <c r="F390" s="326">
        <f>SUM(F383:F389)</f>
        <v>15325</v>
      </c>
      <c r="G390" s="327">
        <f t="shared" ref="G390:H390" si="365">SUM(G383:G389)</f>
        <v>14250</v>
      </c>
      <c r="H390" s="327">
        <f t="shared" si="365"/>
        <v>1075</v>
      </c>
      <c r="I390" s="351" t="str">
        <f>IFERROR(F390/#REF!,"-")</f>
        <v>-</v>
      </c>
      <c r="J390" s="326">
        <f t="shared" ref="J390" si="366">SUM(J383:J389)</f>
        <v>629820</v>
      </c>
      <c r="K390" s="327">
        <f>SUM(K383:K389)</f>
        <v>620250</v>
      </c>
      <c r="L390" s="327">
        <f>SUM(L383:L389)</f>
        <v>9570</v>
      </c>
      <c r="M390" s="345" t="str">
        <f>IFERROR(J390/D390,"-")</f>
        <v>-</v>
      </c>
      <c r="N390" s="351">
        <f t="shared" si="363"/>
        <v>1.5194817566923882E-2</v>
      </c>
      <c r="O390" s="397"/>
      <c r="P390" s="412">
        <f>SUM(P383:P389)</f>
        <v>59441.024999999994</v>
      </c>
      <c r="Q390" s="431">
        <f>SUM(Q383:Q389)</f>
        <v>1410885.625</v>
      </c>
    </row>
    <row r="391" spans="1:17" ht="24" thickBot="1" x14ac:dyDescent="0.35">
      <c r="A391" s="277" t="s">
        <v>109</v>
      </c>
      <c r="B391" s="988" t="s">
        <v>275</v>
      </c>
      <c r="C391" s="989"/>
      <c r="D391" s="524">
        <f>+D387+D390</f>
        <v>0</v>
      </c>
      <c r="E391" s="538">
        <f>+E387+E390</f>
        <v>15000</v>
      </c>
      <c r="F391" s="524">
        <f>+F387+F390</f>
        <v>15325</v>
      </c>
      <c r="G391" s="526">
        <f>+G387+G390</f>
        <v>14250</v>
      </c>
      <c r="H391" s="526">
        <f>+H387+H390</f>
        <v>1075</v>
      </c>
      <c r="I391" s="527" t="str">
        <f>IFERROR(F391/#REF!,"-")</f>
        <v>-</v>
      </c>
      <c r="J391" s="524">
        <f>+J387+J390</f>
        <v>629820</v>
      </c>
      <c r="K391" s="526">
        <f>+K390</f>
        <v>620250</v>
      </c>
      <c r="L391" s="526">
        <f>+L390</f>
        <v>9570</v>
      </c>
      <c r="M391" s="528" t="str">
        <f t="shared" ref="M391" si="367">IFERROR(J391/D391,"-")</f>
        <v>-</v>
      </c>
      <c r="N391" s="527">
        <f t="shared" si="363"/>
        <v>1.5194817566923882E-2</v>
      </c>
      <c r="O391" s="529"/>
      <c r="P391" s="530">
        <f>+P390</f>
        <v>59441.024999999994</v>
      </c>
      <c r="Q391" s="530">
        <f>+Q390</f>
        <v>1410885.625</v>
      </c>
    </row>
    <row r="392" spans="1:17" ht="23.4" x14ac:dyDescent="0.4">
      <c r="A392" s="244" t="s">
        <v>109</v>
      </c>
      <c r="B392" s="979" t="s">
        <v>277</v>
      </c>
      <c r="C392" s="555" t="s">
        <v>74</v>
      </c>
      <c r="D392" s="540"/>
      <c r="E392" s="470"/>
      <c r="F392" s="468">
        <f>+G392+H392</f>
        <v>0</v>
      </c>
      <c r="G392" s="469">
        <v>0</v>
      </c>
      <c r="H392" s="469">
        <v>0</v>
      </c>
      <c r="I392" s="544" t="str">
        <f>IFERROR(F392/#REF!,"-")</f>
        <v>-</v>
      </c>
      <c r="J392" s="468">
        <f>+K392+L392</f>
        <v>23017</v>
      </c>
      <c r="K392" s="469">
        <f t="shared" ref="K392:K420" si="368">+G392+K333</f>
        <v>23000</v>
      </c>
      <c r="L392" s="246">
        <f t="shared" ref="L392:L420" si="369">+H392+L333</f>
        <v>17</v>
      </c>
      <c r="M392" s="263" t="str">
        <f>IFERROR(J392/D392,"-")</f>
        <v>-</v>
      </c>
      <c r="N392" s="546">
        <f t="shared" si="363"/>
        <v>7.3858452448190466E-4</v>
      </c>
      <c r="O392" s="551">
        <v>32.946300000000001</v>
      </c>
      <c r="P392" s="547">
        <f t="shared" ref="P392:P420" si="370">+O392*G392</f>
        <v>0</v>
      </c>
      <c r="Q392" s="548">
        <f t="shared" ref="Q392:Q420" si="371">+O392*K392</f>
        <v>757764.9</v>
      </c>
    </row>
    <row r="393" spans="1:17" ht="23.4" x14ac:dyDescent="0.4">
      <c r="A393" s="248" t="s">
        <v>109</v>
      </c>
      <c r="B393" s="980"/>
      <c r="C393" s="556" t="s">
        <v>75</v>
      </c>
      <c r="D393" s="523"/>
      <c r="E393" s="442"/>
      <c r="F393" s="339">
        <f t="shared" ref="F393:F420" si="372">+G393+H393</f>
        <v>0</v>
      </c>
      <c r="G393" s="281">
        <v>0</v>
      </c>
      <c r="H393" s="281">
        <v>0</v>
      </c>
      <c r="I393" s="358" t="str">
        <f>IFERROR(F393/#REF!,"-")</f>
        <v>-</v>
      </c>
      <c r="J393" s="339">
        <f t="shared" ref="J393:J420" si="373">+K393+L393</f>
        <v>0</v>
      </c>
      <c r="K393" s="281">
        <f t="shared" si="368"/>
        <v>0</v>
      </c>
      <c r="L393" s="250">
        <f t="shared" si="369"/>
        <v>0</v>
      </c>
      <c r="M393" s="265" t="str">
        <f t="shared" ref="M393:M395" si="374">IFERROR(J393/D393,"-")</f>
        <v>-</v>
      </c>
      <c r="N393" s="268" t="str">
        <f t="shared" si="363"/>
        <v>-</v>
      </c>
      <c r="O393" s="519">
        <v>35.398400000000002</v>
      </c>
      <c r="P393" s="410">
        <f t="shared" si="370"/>
        <v>0</v>
      </c>
      <c r="Q393" s="459">
        <f t="shared" si="371"/>
        <v>0</v>
      </c>
    </row>
    <row r="394" spans="1:17" ht="24" thickBot="1" x14ac:dyDescent="0.45">
      <c r="A394" s="248" t="s">
        <v>109</v>
      </c>
      <c r="B394" s="980"/>
      <c r="C394" s="556" t="s">
        <v>76</v>
      </c>
      <c r="D394" s="279"/>
      <c r="E394" s="442"/>
      <c r="F394" s="339">
        <f t="shared" si="372"/>
        <v>0</v>
      </c>
      <c r="G394" s="281">
        <v>0</v>
      </c>
      <c r="H394" s="281">
        <v>0</v>
      </c>
      <c r="I394" s="358" t="str">
        <f>IFERROR(F394/#REF!,"-")</f>
        <v>-</v>
      </c>
      <c r="J394" s="339">
        <f t="shared" si="373"/>
        <v>10000</v>
      </c>
      <c r="K394" s="281">
        <f t="shared" si="368"/>
        <v>10000</v>
      </c>
      <c r="L394" s="250">
        <f t="shared" si="369"/>
        <v>0</v>
      </c>
      <c r="M394" s="265" t="str">
        <f t="shared" si="374"/>
        <v>-</v>
      </c>
      <c r="N394" s="268">
        <f>IFERROR(L394/J394,"-")</f>
        <v>0</v>
      </c>
      <c r="O394" s="519">
        <v>32.946300000000001</v>
      </c>
      <c r="P394" s="410">
        <f t="shared" si="370"/>
        <v>0</v>
      </c>
      <c r="Q394" s="459">
        <f t="shared" si="371"/>
        <v>329463</v>
      </c>
    </row>
    <row r="395" spans="1:17" ht="23.4" x14ac:dyDescent="0.4">
      <c r="A395" s="248" t="s">
        <v>109</v>
      </c>
      <c r="B395" s="979" t="s">
        <v>278</v>
      </c>
      <c r="C395" s="558" t="s">
        <v>78</v>
      </c>
      <c r="D395" s="279"/>
      <c r="E395" s="541"/>
      <c r="F395" s="340">
        <f t="shared" si="372"/>
        <v>0</v>
      </c>
      <c r="G395" s="281">
        <v>0</v>
      </c>
      <c r="H395" s="281">
        <v>0</v>
      </c>
      <c r="I395" s="358" t="str">
        <f>IFERROR(F395/#REF!,"-")</f>
        <v>-</v>
      </c>
      <c r="J395" s="339">
        <f t="shared" si="373"/>
        <v>8248</v>
      </c>
      <c r="K395" s="281">
        <f t="shared" si="368"/>
        <v>7200</v>
      </c>
      <c r="L395" s="250">
        <f t="shared" si="369"/>
        <v>1048</v>
      </c>
      <c r="M395" s="265" t="str">
        <f t="shared" si="374"/>
        <v>-</v>
      </c>
      <c r="N395" s="268">
        <f t="shared" ref="N395" si="375">IFERROR(L395/J395,"-")</f>
        <v>0.1270611057225994</v>
      </c>
      <c r="O395" s="519">
        <v>55.4758</v>
      </c>
      <c r="P395" s="410">
        <f t="shared" si="370"/>
        <v>0</v>
      </c>
      <c r="Q395" s="459">
        <f t="shared" si="371"/>
        <v>399425.76</v>
      </c>
    </row>
    <row r="396" spans="1:17" ht="23.4" x14ac:dyDescent="0.4">
      <c r="A396" s="248" t="s">
        <v>109</v>
      </c>
      <c r="B396" s="980"/>
      <c r="C396" s="558" t="s">
        <v>75</v>
      </c>
      <c r="D396" s="279"/>
      <c r="E396" s="542"/>
      <c r="F396" s="340">
        <f t="shared" si="372"/>
        <v>1123</v>
      </c>
      <c r="G396" s="281">
        <v>850</v>
      </c>
      <c r="H396" s="281">
        <v>273</v>
      </c>
      <c r="I396" s="358" t="str">
        <f>IFERROR(F396/#REF!,"-")</f>
        <v>-</v>
      </c>
      <c r="J396" s="339">
        <f t="shared" si="373"/>
        <v>5350</v>
      </c>
      <c r="K396" s="281">
        <f t="shared" si="368"/>
        <v>4150</v>
      </c>
      <c r="L396" s="250">
        <f t="shared" si="369"/>
        <v>1200</v>
      </c>
      <c r="M396" s="522"/>
      <c r="N396" s="378"/>
      <c r="O396" s="553">
        <v>58.836300000000001</v>
      </c>
      <c r="P396" s="410">
        <f t="shared" si="370"/>
        <v>50010.855000000003</v>
      </c>
      <c r="Q396" s="459">
        <f t="shared" si="371"/>
        <v>244170.64500000002</v>
      </c>
    </row>
    <row r="397" spans="1:17" ht="24" thickBot="1" x14ac:dyDescent="0.45">
      <c r="A397" s="248" t="s">
        <v>109</v>
      </c>
      <c r="B397" s="981"/>
      <c r="C397" s="558" t="s">
        <v>435</v>
      </c>
      <c r="D397" s="279"/>
      <c r="E397" s="441"/>
      <c r="F397" s="340">
        <f t="shared" si="372"/>
        <v>1138</v>
      </c>
      <c r="G397" s="281">
        <v>950</v>
      </c>
      <c r="H397" s="281">
        <v>188</v>
      </c>
      <c r="I397" s="358" t="str">
        <f>IFERROR(F397/#REF!,"-")</f>
        <v>-</v>
      </c>
      <c r="J397" s="339">
        <f t="shared" si="373"/>
        <v>2400</v>
      </c>
      <c r="K397" s="281">
        <f t="shared" si="368"/>
        <v>1950</v>
      </c>
      <c r="L397" s="250">
        <f t="shared" si="369"/>
        <v>450</v>
      </c>
      <c r="M397" s="265" t="str">
        <f t="shared" ref="M397:M423" si="376">IFERROR(J397/D397,"-")</f>
        <v>-</v>
      </c>
      <c r="N397" s="264">
        <f t="shared" ref="N397:N422" si="377">IFERROR(L397/J397,"-")</f>
        <v>0.1875</v>
      </c>
      <c r="O397" s="519">
        <v>55.4758</v>
      </c>
      <c r="P397" s="410">
        <f t="shared" si="370"/>
        <v>52702.01</v>
      </c>
      <c r="Q397" s="459">
        <f t="shared" si="371"/>
        <v>108177.81</v>
      </c>
    </row>
    <row r="398" spans="1:17" ht="23.4" x14ac:dyDescent="0.4">
      <c r="A398" s="248" t="s">
        <v>109</v>
      </c>
      <c r="B398" s="979" t="s">
        <v>79</v>
      </c>
      <c r="C398" s="556" t="s">
        <v>80</v>
      </c>
      <c r="D398" s="279"/>
      <c r="E398" s="442"/>
      <c r="F398" s="339">
        <f t="shared" si="372"/>
        <v>0</v>
      </c>
      <c r="G398" s="281">
        <v>0</v>
      </c>
      <c r="H398" s="281">
        <v>0</v>
      </c>
      <c r="I398" s="358" t="str">
        <f>IFERROR(F398/#REF!,"-")</f>
        <v>-</v>
      </c>
      <c r="J398" s="339">
        <f t="shared" si="373"/>
        <v>0</v>
      </c>
      <c r="K398" s="281">
        <f t="shared" si="368"/>
        <v>0</v>
      </c>
      <c r="L398" s="250">
        <f t="shared" si="369"/>
        <v>0</v>
      </c>
      <c r="M398" s="265" t="str">
        <f t="shared" si="376"/>
        <v>-</v>
      </c>
      <c r="N398" s="264" t="str">
        <f t="shared" si="377"/>
        <v>-</v>
      </c>
      <c r="O398" s="519">
        <v>25.687200000000001</v>
      </c>
      <c r="P398" s="410">
        <f t="shared" si="370"/>
        <v>0</v>
      </c>
      <c r="Q398" s="459">
        <f t="shared" si="371"/>
        <v>0</v>
      </c>
    </row>
    <row r="399" spans="1:17" ht="24" thickBot="1" x14ac:dyDescent="0.45">
      <c r="A399" s="248" t="s">
        <v>109</v>
      </c>
      <c r="B399" s="981"/>
      <c r="C399" s="556" t="s">
        <v>125</v>
      </c>
      <c r="D399" s="279"/>
      <c r="E399" s="442"/>
      <c r="F399" s="339">
        <f t="shared" si="372"/>
        <v>0</v>
      </c>
      <c r="G399" s="281">
        <v>0</v>
      </c>
      <c r="H399" s="281">
        <v>0</v>
      </c>
      <c r="I399" s="358" t="str">
        <f>IFERROR(F399/#REF!,"-")</f>
        <v>-</v>
      </c>
      <c r="J399" s="339">
        <f t="shared" si="373"/>
        <v>0</v>
      </c>
      <c r="K399" s="281">
        <f t="shared" si="368"/>
        <v>0</v>
      </c>
      <c r="L399" s="250">
        <f t="shared" si="369"/>
        <v>0</v>
      </c>
      <c r="M399" s="265" t="str">
        <f t="shared" si="376"/>
        <v>-</v>
      </c>
      <c r="N399" s="264" t="str">
        <f t="shared" si="377"/>
        <v>-</v>
      </c>
      <c r="O399" s="519">
        <v>25.033899999999999</v>
      </c>
      <c r="P399" s="410">
        <f t="shared" si="370"/>
        <v>0</v>
      </c>
      <c r="Q399" s="459">
        <f t="shared" si="371"/>
        <v>0</v>
      </c>
    </row>
    <row r="400" spans="1:17" ht="23.4" x14ac:dyDescent="0.4">
      <c r="A400" s="248"/>
      <c r="B400" s="979" t="s">
        <v>81</v>
      </c>
      <c r="C400" s="556" t="s">
        <v>82</v>
      </c>
      <c r="D400" s="279"/>
      <c r="E400" s="442"/>
      <c r="F400" s="339">
        <f t="shared" si="372"/>
        <v>0</v>
      </c>
      <c r="G400" s="281">
        <v>0</v>
      </c>
      <c r="H400" s="281">
        <v>0</v>
      </c>
      <c r="I400" s="358" t="str">
        <f>IFERROR(F400/#REF!,"-")</f>
        <v>-</v>
      </c>
      <c r="J400" s="339">
        <f t="shared" si="373"/>
        <v>4860</v>
      </c>
      <c r="K400" s="281">
        <f t="shared" si="368"/>
        <v>4840</v>
      </c>
      <c r="L400" s="250">
        <f t="shared" si="369"/>
        <v>20</v>
      </c>
      <c r="M400" s="265" t="str">
        <f t="shared" si="376"/>
        <v>-</v>
      </c>
      <c r="N400" s="264">
        <f t="shared" si="377"/>
        <v>4.11522633744856E-3</v>
      </c>
      <c r="O400" s="519">
        <v>41.992699999999999</v>
      </c>
      <c r="P400" s="410">
        <f t="shared" si="370"/>
        <v>0</v>
      </c>
      <c r="Q400" s="459">
        <f t="shared" si="371"/>
        <v>203244.66800000001</v>
      </c>
    </row>
    <row r="401" spans="1:17" ht="24" thickBot="1" x14ac:dyDescent="0.45">
      <c r="A401" s="248"/>
      <c r="B401" s="980"/>
      <c r="C401" s="556" t="s">
        <v>364</v>
      </c>
      <c r="D401" s="279"/>
      <c r="E401" s="442"/>
      <c r="F401" s="339">
        <f t="shared" si="372"/>
        <v>0</v>
      </c>
      <c r="G401" s="281">
        <v>0</v>
      </c>
      <c r="H401" s="281">
        <v>0</v>
      </c>
      <c r="I401" s="358" t="str">
        <f>IFERROR(F401/#REF!,"-")</f>
        <v>-</v>
      </c>
      <c r="J401" s="339">
        <f t="shared" si="373"/>
        <v>0</v>
      </c>
      <c r="K401" s="281">
        <f t="shared" si="368"/>
        <v>0</v>
      </c>
      <c r="L401" s="250">
        <f t="shared" si="369"/>
        <v>0</v>
      </c>
      <c r="M401" s="265" t="str">
        <f t="shared" si="376"/>
        <v>-</v>
      </c>
      <c r="N401" s="264" t="str">
        <f t="shared" si="377"/>
        <v>-</v>
      </c>
      <c r="O401" s="519">
        <v>41.992699999999999</v>
      </c>
      <c r="P401" s="410">
        <f t="shared" si="370"/>
        <v>0</v>
      </c>
      <c r="Q401" s="459">
        <f t="shared" si="371"/>
        <v>0</v>
      </c>
    </row>
    <row r="402" spans="1:17" ht="24" thickBot="1" x14ac:dyDescent="0.45">
      <c r="A402" s="248"/>
      <c r="B402" s="559" t="s">
        <v>83</v>
      </c>
      <c r="C402" s="556" t="s">
        <v>84</v>
      </c>
      <c r="D402" s="279"/>
      <c r="E402" s="442"/>
      <c r="F402" s="339">
        <f t="shared" si="372"/>
        <v>0</v>
      </c>
      <c r="G402" s="281">
        <v>0</v>
      </c>
      <c r="H402" s="281">
        <v>0</v>
      </c>
      <c r="I402" s="358" t="str">
        <f>IFERROR(F402/#REF!,"-")</f>
        <v>-</v>
      </c>
      <c r="J402" s="339">
        <f t="shared" si="373"/>
        <v>0</v>
      </c>
      <c r="K402" s="281">
        <f t="shared" si="368"/>
        <v>0</v>
      </c>
      <c r="L402" s="250">
        <f t="shared" si="369"/>
        <v>0</v>
      </c>
      <c r="M402" s="265" t="str">
        <f t="shared" si="376"/>
        <v>-</v>
      </c>
      <c r="N402" s="264" t="str">
        <f t="shared" si="377"/>
        <v>-</v>
      </c>
      <c r="O402" s="519">
        <v>4.3535000000000004</v>
      </c>
      <c r="P402" s="410">
        <f t="shared" si="370"/>
        <v>0</v>
      </c>
      <c r="Q402" s="459">
        <f t="shared" si="371"/>
        <v>0</v>
      </c>
    </row>
    <row r="403" spans="1:17" ht="23.4" x14ac:dyDescent="0.4">
      <c r="A403" s="248"/>
      <c r="B403" s="979" t="s">
        <v>280</v>
      </c>
      <c r="C403" s="556" t="s">
        <v>80</v>
      </c>
      <c r="D403" s="279"/>
      <c r="E403" s="442"/>
      <c r="F403" s="339">
        <f t="shared" si="372"/>
        <v>0</v>
      </c>
      <c r="G403" s="281">
        <v>0</v>
      </c>
      <c r="H403" s="281">
        <v>0</v>
      </c>
      <c r="I403" s="358" t="str">
        <f>IFERROR(F403/#REF!,"-")</f>
        <v>-</v>
      </c>
      <c r="J403" s="339">
        <f t="shared" si="373"/>
        <v>0</v>
      </c>
      <c r="K403" s="281">
        <f t="shared" si="368"/>
        <v>0</v>
      </c>
      <c r="L403" s="250">
        <f t="shared" si="369"/>
        <v>0</v>
      </c>
      <c r="M403" s="265" t="str">
        <f t="shared" si="376"/>
        <v>-</v>
      </c>
      <c r="N403" s="264" t="str">
        <f t="shared" si="377"/>
        <v>-</v>
      </c>
      <c r="O403" s="519">
        <v>4.6184000000000003</v>
      </c>
      <c r="P403" s="410">
        <f t="shared" si="370"/>
        <v>0</v>
      </c>
      <c r="Q403" s="459">
        <f t="shared" si="371"/>
        <v>0</v>
      </c>
    </row>
    <row r="404" spans="1:17" ht="23.4" x14ac:dyDescent="0.4">
      <c r="A404" s="248"/>
      <c r="B404" s="980"/>
      <c r="C404" s="556" t="s">
        <v>407</v>
      </c>
      <c r="D404" s="279"/>
      <c r="E404" s="442"/>
      <c r="F404" s="339">
        <f t="shared" si="372"/>
        <v>4042</v>
      </c>
      <c r="G404" s="281">
        <v>4042</v>
      </c>
      <c r="H404" s="281">
        <v>0</v>
      </c>
      <c r="I404" s="358" t="str">
        <f>IFERROR(F404/#REF!,"-")</f>
        <v>-</v>
      </c>
      <c r="J404" s="339">
        <f t="shared" si="373"/>
        <v>146140</v>
      </c>
      <c r="K404" s="281">
        <f t="shared" si="368"/>
        <v>144842</v>
      </c>
      <c r="L404" s="250">
        <f t="shared" si="369"/>
        <v>1298</v>
      </c>
      <c r="M404" s="265" t="str">
        <f t="shared" si="376"/>
        <v>-</v>
      </c>
      <c r="N404" s="264">
        <f t="shared" si="377"/>
        <v>8.8818940741754483E-3</v>
      </c>
      <c r="O404" s="519">
        <v>4.6184000000000003</v>
      </c>
      <c r="P404" s="410">
        <f t="shared" si="370"/>
        <v>18667.572800000002</v>
      </c>
      <c r="Q404" s="459">
        <f t="shared" si="371"/>
        <v>668938.29280000005</v>
      </c>
    </row>
    <row r="405" spans="1:17" ht="23.4" x14ac:dyDescent="0.4">
      <c r="A405" s="248"/>
      <c r="B405" s="980"/>
      <c r="C405" s="556" t="s">
        <v>279</v>
      </c>
      <c r="D405" s="279"/>
      <c r="E405" s="442"/>
      <c r="F405" s="339">
        <f t="shared" si="372"/>
        <v>0</v>
      </c>
      <c r="G405" s="281">
        <v>0</v>
      </c>
      <c r="H405" s="281">
        <v>0</v>
      </c>
      <c r="I405" s="358" t="str">
        <f>IFERROR(F405/#REF!,"-")</f>
        <v>-</v>
      </c>
      <c r="J405" s="339">
        <f t="shared" si="373"/>
        <v>0</v>
      </c>
      <c r="K405" s="281">
        <f t="shared" si="368"/>
        <v>0</v>
      </c>
      <c r="L405" s="250">
        <f t="shared" si="369"/>
        <v>0</v>
      </c>
      <c r="M405" s="265" t="str">
        <f t="shared" si="376"/>
        <v>-</v>
      </c>
      <c r="N405" s="264" t="str">
        <f t="shared" si="377"/>
        <v>-</v>
      </c>
      <c r="O405" s="519">
        <v>4.6184000000000003</v>
      </c>
      <c r="P405" s="410">
        <f t="shared" si="370"/>
        <v>0</v>
      </c>
      <c r="Q405" s="459">
        <f t="shared" si="371"/>
        <v>0</v>
      </c>
    </row>
    <row r="406" spans="1:17" ht="23.4" x14ac:dyDescent="0.4">
      <c r="A406" s="248"/>
      <c r="B406" s="980"/>
      <c r="C406" s="556" t="s">
        <v>440</v>
      </c>
      <c r="D406" s="279"/>
      <c r="E406" s="442"/>
      <c r="F406" s="339">
        <f t="shared" si="372"/>
        <v>14398</v>
      </c>
      <c r="G406" s="281">
        <v>14300</v>
      </c>
      <c r="H406" s="281">
        <v>98</v>
      </c>
      <c r="I406" s="358" t="str">
        <f>IFERROR(F406/#REF!,"-")</f>
        <v>-</v>
      </c>
      <c r="J406" s="339">
        <f t="shared" si="373"/>
        <v>14398</v>
      </c>
      <c r="K406" s="281">
        <f t="shared" si="368"/>
        <v>14300</v>
      </c>
      <c r="L406" s="250">
        <f t="shared" si="369"/>
        <v>98</v>
      </c>
      <c r="M406" s="265" t="str">
        <f t="shared" si="376"/>
        <v>-</v>
      </c>
      <c r="N406" s="264">
        <f t="shared" si="377"/>
        <v>6.8065009029031811E-3</v>
      </c>
      <c r="O406" s="519">
        <v>4.7636000000000003</v>
      </c>
      <c r="P406" s="410">
        <f t="shared" si="370"/>
        <v>68119.48000000001</v>
      </c>
      <c r="Q406" s="459">
        <f t="shared" si="371"/>
        <v>68119.48000000001</v>
      </c>
    </row>
    <row r="407" spans="1:17" ht="24" thickBot="1" x14ac:dyDescent="0.45">
      <c r="A407" s="248"/>
      <c r="B407" s="981"/>
      <c r="C407" s="556" t="s">
        <v>429</v>
      </c>
      <c r="D407" s="279"/>
      <c r="E407" s="442"/>
      <c r="F407" s="339">
        <f t="shared" si="372"/>
        <v>0</v>
      </c>
      <c r="G407" s="281">
        <v>0</v>
      </c>
      <c r="H407" s="281">
        <v>0</v>
      </c>
      <c r="I407" s="358" t="str">
        <f>IFERROR(F407/#REF!,"-")</f>
        <v>-</v>
      </c>
      <c r="J407" s="339">
        <f t="shared" si="373"/>
        <v>12296</v>
      </c>
      <c r="K407" s="281">
        <f t="shared" si="368"/>
        <v>12100</v>
      </c>
      <c r="L407" s="250">
        <f t="shared" si="369"/>
        <v>196</v>
      </c>
      <c r="M407" s="265" t="str">
        <f t="shared" si="376"/>
        <v>-</v>
      </c>
      <c r="N407" s="264">
        <f t="shared" si="377"/>
        <v>1.594014313597918E-2</v>
      </c>
      <c r="O407" s="519">
        <v>4.8738000000000001</v>
      </c>
      <c r="P407" s="410">
        <f t="shared" si="370"/>
        <v>0</v>
      </c>
      <c r="Q407" s="459">
        <f t="shared" si="371"/>
        <v>58972.98</v>
      </c>
    </row>
    <row r="408" spans="1:17" ht="24" thickBot="1" x14ac:dyDescent="0.45">
      <c r="A408" s="248"/>
      <c r="B408" s="559" t="s">
        <v>281</v>
      </c>
      <c r="C408" s="556" t="s">
        <v>132</v>
      </c>
      <c r="D408" s="279"/>
      <c r="E408" s="442"/>
      <c r="F408" s="339">
        <f t="shared" si="372"/>
        <v>0</v>
      </c>
      <c r="G408" s="281">
        <v>0</v>
      </c>
      <c r="H408" s="281">
        <v>0</v>
      </c>
      <c r="I408" s="358" t="str">
        <f>IFERROR(F408/#REF!,"-")</f>
        <v>-</v>
      </c>
      <c r="J408" s="339">
        <f t="shared" si="373"/>
        <v>0</v>
      </c>
      <c r="K408" s="281">
        <f t="shared" si="368"/>
        <v>0</v>
      </c>
      <c r="L408" s="250">
        <f t="shared" si="369"/>
        <v>0</v>
      </c>
      <c r="M408" s="265" t="str">
        <f t="shared" si="376"/>
        <v>-</v>
      </c>
      <c r="N408" s="264" t="str">
        <f t="shared" si="377"/>
        <v>-</v>
      </c>
      <c r="O408" s="519">
        <v>4.8738000000000001</v>
      </c>
      <c r="P408" s="410">
        <f t="shared" si="370"/>
        <v>0</v>
      </c>
      <c r="Q408" s="459">
        <f t="shared" si="371"/>
        <v>0</v>
      </c>
    </row>
    <row r="409" spans="1:17" ht="23.4" x14ac:dyDescent="0.4">
      <c r="A409" s="248"/>
      <c r="B409" s="979" t="s">
        <v>283</v>
      </c>
      <c r="C409" s="556" t="s">
        <v>80</v>
      </c>
      <c r="D409" s="279"/>
      <c r="E409" s="442"/>
      <c r="F409" s="339">
        <f t="shared" si="372"/>
        <v>11136</v>
      </c>
      <c r="G409" s="281">
        <v>10650</v>
      </c>
      <c r="H409" s="281">
        <v>486</v>
      </c>
      <c r="I409" s="358" t="str">
        <f>IFERROR(F409/#REF!,"-")</f>
        <v>-</v>
      </c>
      <c r="J409" s="339">
        <f t="shared" si="373"/>
        <v>143130</v>
      </c>
      <c r="K409" s="281">
        <f t="shared" si="368"/>
        <v>139750</v>
      </c>
      <c r="L409" s="281">
        <f t="shared" si="369"/>
        <v>3380</v>
      </c>
      <c r="M409" s="265" t="str">
        <f t="shared" si="376"/>
        <v>-</v>
      </c>
      <c r="N409" s="264">
        <f t="shared" si="377"/>
        <v>2.3614895549500452E-2</v>
      </c>
      <c r="O409" s="519">
        <v>4.9344999999999999</v>
      </c>
      <c r="P409" s="410">
        <f t="shared" si="370"/>
        <v>52552.424999999996</v>
      </c>
      <c r="Q409" s="459">
        <f t="shared" si="371"/>
        <v>689596.375</v>
      </c>
    </row>
    <row r="410" spans="1:17" ht="23.4" x14ac:dyDescent="0.4">
      <c r="A410" s="248"/>
      <c r="B410" s="980"/>
      <c r="C410" s="556" t="s">
        <v>143</v>
      </c>
      <c r="D410" s="279"/>
      <c r="E410" s="442"/>
      <c r="F410" s="339">
        <f t="shared" si="372"/>
        <v>0</v>
      </c>
      <c r="G410" s="281">
        <v>0</v>
      </c>
      <c r="H410" s="281">
        <v>0</v>
      </c>
      <c r="I410" s="358" t="str">
        <f>IFERROR(F410/#REF!,"-")</f>
        <v>-</v>
      </c>
      <c r="J410" s="339">
        <f t="shared" si="373"/>
        <v>0</v>
      </c>
      <c r="K410" s="281">
        <f t="shared" si="368"/>
        <v>0</v>
      </c>
      <c r="L410" s="250">
        <f t="shared" si="369"/>
        <v>0</v>
      </c>
      <c r="M410" s="265" t="str">
        <f t="shared" si="376"/>
        <v>-</v>
      </c>
      <c r="N410" s="264" t="str">
        <f t="shared" si="377"/>
        <v>-</v>
      </c>
      <c r="O410" s="519">
        <v>4.9344999999999999</v>
      </c>
      <c r="P410" s="410">
        <f t="shared" si="370"/>
        <v>0</v>
      </c>
      <c r="Q410" s="459">
        <f t="shared" si="371"/>
        <v>0</v>
      </c>
    </row>
    <row r="411" spans="1:17" ht="23.4" x14ac:dyDescent="0.4">
      <c r="A411" s="248"/>
      <c r="B411" s="980"/>
      <c r="C411" s="556" t="s">
        <v>137</v>
      </c>
      <c r="D411" s="279"/>
      <c r="E411" s="442"/>
      <c r="F411" s="339">
        <f t="shared" si="372"/>
        <v>0</v>
      </c>
      <c r="G411" s="281">
        <v>0</v>
      </c>
      <c r="H411" s="281">
        <v>0</v>
      </c>
      <c r="I411" s="358" t="str">
        <f>IFERROR(F411/#REF!,"-")</f>
        <v>-</v>
      </c>
      <c r="J411" s="339">
        <f t="shared" si="373"/>
        <v>0</v>
      </c>
      <c r="K411" s="281">
        <f t="shared" si="368"/>
        <v>0</v>
      </c>
      <c r="L411" s="250">
        <f t="shared" si="369"/>
        <v>0</v>
      </c>
      <c r="M411" s="265" t="str">
        <f t="shared" si="376"/>
        <v>-</v>
      </c>
      <c r="N411" s="264" t="str">
        <f t="shared" si="377"/>
        <v>-</v>
      </c>
      <c r="O411" s="519">
        <v>4.9344999999999999</v>
      </c>
      <c r="P411" s="410">
        <f t="shared" si="370"/>
        <v>0</v>
      </c>
      <c r="Q411" s="459">
        <f t="shared" si="371"/>
        <v>0</v>
      </c>
    </row>
    <row r="412" spans="1:17" ht="24" thickBot="1" x14ac:dyDescent="0.45">
      <c r="A412" s="248"/>
      <c r="B412" s="981"/>
      <c r="C412" s="556" t="s">
        <v>282</v>
      </c>
      <c r="D412" s="279"/>
      <c r="E412" s="442"/>
      <c r="F412" s="339">
        <f t="shared" si="372"/>
        <v>0</v>
      </c>
      <c r="G412" s="281">
        <v>0</v>
      </c>
      <c r="H412" s="281">
        <v>0</v>
      </c>
      <c r="I412" s="358" t="str">
        <f>IFERROR(F412/#REF!,"-")</f>
        <v>-</v>
      </c>
      <c r="J412" s="339">
        <f t="shared" si="373"/>
        <v>0</v>
      </c>
      <c r="K412" s="281">
        <f t="shared" si="368"/>
        <v>0</v>
      </c>
      <c r="L412" s="250">
        <f t="shared" si="369"/>
        <v>0</v>
      </c>
      <c r="M412" s="265" t="str">
        <f t="shared" si="376"/>
        <v>-</v>
      </c>
      <c r="N412" s="264" t="str">
        <f t="shared" si="377"/>
        <v>-</v>
      </c>
      <c r="O412" s="519">
        <v>5.5069999999999997</v>
      </c>
      <c r="P412" s="410">
        <f t="shared" si="370"/>
        <v>0</v>
      </c>
      <c r="Q412" s="459">
        <f t="shared" si="371"/>
        <v>0</v>
      </c>
    </row>
    <row r="413" spans="1:17" ht="23.4" x14ac:dyDescent="0.4">
      <c r="A413" s="248"/>
      <c r="B413" s="979" t="s">
        <v>288</v>
      </c>
      <c r="C413" s="556" t="s">
        <v>284</v>
      </c>
      <c r="D413" s="279"/>
      <c r="E413" s="442"/>
      <c r="F413" s="339">
        <f t="shared" si="372"/>
        <v>0</v>
      </c>
      <c r="G413" s="281">
        <v>0</v>
      </c>
      <c r="H413" s="281">
        <v>0</v>
      </c>
      <c r="I413" s="358" t="str">
        <f>IFERROR(F413/#REF!,"-")</f>
        <v>-</v>
      </c>
      <c r="J413" s="339">
        <f t="shared" si="373"/>
        <v>0</v>
      </c>
      <c r="K413" s="281">
        <f t="shared" si="368"/>
        <v>0</v>
      </c>
      <c r="L413" s="250">
        <f t="shared" si="369"/>
        <v>0</v>
      </c>
      <c r="M413" s="265" t="str">
        <f t="shared" si="376"/>
        <v>-</v>
      </c>
      <c r="N413" s="264" t="str">
        <f t="shared" si="377"/>
        <v>-</v>
      </c>
      <c r="O413" s="519">
        <v>5.6550000000000002</v>
      </c>
      <c r="P413" s="410">
        <f t="shared" si="370"/>
        <v>0</v>
      </c>
      <c r="Q413" s="459">
        <f t="shared" si="371"/>
        <v>0</v>
      </c>
    </row>
    <row r="414" spans="1:17" ht="23.4" x14ac:dyDescent="0.4">
      <c r="A414" s="248"/>
      <c r="B414" s="980"/>
      <c r="C414" s="556" t="s">
        <v>285</v>
      </c>
      <c r="D414" s="279"/>
      <c r="E414" s="442"/>
      <c r="F414" s="339">
        <f t="shared" si="372"/>
        <v>0</v>
      </c>
      <c r="G414" s="281">
        <v>0</v>
      </c>
      <c r="H414" s="281">
        <v>0</v>
      </c>
      <c r="I414" s="358" t="str">
        <f>IFERROR(F414/#REF!,"-")</f>
        <v>-</v>
      </c>
      <c r="J414" s="339">
        <f t="shared" si="373"/>
        <v>0</v>
      </c>
      <c r="K414" s="281">
        <f t="shared" si="368"/>
        <v>0</v>
      </c>
      <c r="L414" s="250">
        <f t="shared" si="369"/>
        <v>0</v>
      </c>
      <c r="M414" s="265" t="str">
        <f t="shared" si="376"/>
        <v>-</v>
      </c>
      <c r="N414" s="264" t="str">
        <f t="shared" si="377"/>
        <v>-</v>
      </c>
      <c r="O414" s="519">
        <v>5.6550000000000002</v>
      </c>
      <c r="P414" s="410">
        <f t="shared" si="370"/>
        <v>0</v>
      </c>
      <c r="Q414" s="459">
        <f t="shared" si="371"/>
        <v>0</v>
      </c>
    </row>
    <row r="415" spans="1:17" ht="23.4" x14ac:dyDescent="0.4">
      <c r="A415" s="248"/>
      <c r="B415" s="980"/>
      <c r="C415" s="556" t="s">
        <v>374</v>
      </c>
      <c r="D415" s="279"/>
      <c r="E415" s="442"/>
      <c r="F415" s="339">
        <f t="shared" si="372"/>
        <v>23926</v>
      </c>
      <c r="G415" s="281">
        <v>23500</v>
      </c>
      <c r="H415" s="281">
        <v>426</v>
      </c>
      <c r="I415" s="358" t="str">
        <f>IFERROR(F415/#REF!,"-")</f>
        <v>-</v>
      </c>
      <c r="J415" s="339">
        <f t="shared" si="373"/>
        <v>142081</v>
      </c>
      <c r="K415" s="281">
        <f t="shared" si="368"/>
        <v>140450</v>
      </c>
      <c r="L415" s="250">
        <f t="shared" si="369"/>
        <v>1631</v>
      </c>
      <c r="M415" s="265" t="str">
        <f t="shared" si="376"/>
        <v>-</v>
      </c>
      <c r="N415" s="264">
        <f t="shared" si="377"/>
        <v>1.1479367403101048E-2</v>
      </c>
      <c r="O415" s="519">
        <v>5.6550000000000002</v>
      </c>
      <c r="P415" s="410">
        <f t="shared" si="370"/>
        <v>132892.5</v>
      </c>
      <c r="Q415" s="459">
        <f t="shared" si="371"/>
        <v>794244.75</v>
      </c>
    </row>
    <row r="416" spans="1:17" ht="23.4" x14ac:dyDescent="0.4">
      <c r="A416" s="248"/>
      <c r="B416" s="980"/>
      <c r="C416" s="556" t="s">
        <v>286</v>
      </c>
      <c r="D416" s="279"/>
      <c r="E416" s="442"/>
      <c r="F416" s="339">
        <f t="shared" si="372"/>
        <v>0</v>
      </c>
      <c r="G416" s="281">
        <v>0</v>
      </c>
      <c r="H416" s="281">
        <v>0</v>
      </c>
      <c r="I416" s="358" t="str">
        <f>IFERROR(F416/#REF!,"-")</f>
        <v>-</v>
      </c>
      <c r="J416" s="339">
        <f t="shared" si="373"/>
        <v>0</v>
      </c>
      <c r="K416" s="281">
        <f t="shared" si="368"/>
        <v>0</v>
      </c>
      <c r="L416" s="250">
        <f t="shared" si="369"/>
        <v>0</v>
      </c>
      <c r="M416" s="265" t="str">
        <f t="shared" si="376"/>
        <v>-</v>
      </c>
      <c r="N416" s="264" t="str">
        <f t="shared" si="377"/>
        <v>-</v>
      </c>
      <c r="O416" s="519">
        <v>5.6550000000000002</v>
      </c>
      <c r="P416" s="410">
        <f t="shared" si="370"/>
        <v>0</v>
      </c>
      <c r="Q416" s="459">
        <f t="shared" si="371"/>
        <v>0</v>
      </c>
    </row>
    <row r="417" spans="1:17" ht="23.4" x14ac:dyDescent="0.4">
      <c r="A417" s="248" t="s">
        <v>109</v>
      </c>
      <c r="B417" s="980"/>
      <c r="C417" s="556" t="s">
        <v>287</v>
      </c>
      <c r="D417" s="279"/>
      <c r="E417" s="442"/>
      <c r="F417" s="339">
        <f t="shared" si="372"/>
        <v>0</v>
      </c>
      <c r="G417" s="281">
        <v>0</v>
      </c>
      <c r="H417" s="281">
        <v>0</v>
      </c>
      <c r="I417" s="358" t="str">
        <f>IFERROR(F417/#REF!,"-")</f>
        <v>-</v>
      </c>
      <c r="J417" s="339">
        <f t="shared" si="373"/>
        <v>0</v>
      </c>
      <c r="K417" s="281">
        <f t="shared" si="368"/>
        <v>0</v>
      </c>
      <c r="L417" s="250">
        <f t="shared" si="369"/>
        <v>0</v>
      </c>
      <c r="M417" s="265" t="str">
        <f t="shared" si="376"/>
        <v>-</v>
      </c>
      <c r="N417" s="264" t="str">
        <f t="shared" si="377"/>
        <v>-</v>
      </c>
      <c r="O417" s="519">
        <v>3.2963</v>
      </c>
      <c r="P417" s="410">
        <f t="shared" si="370"/>
        <v>0</v>
      </c>
      <c r="Q417" s="459">
        <f t="shared" si="371"/>
        <v>0</v>
      </c>
    </row>
    <row r="418" spans="1:17" ht="24" thickBot="1" x14ac:dyDescent="0.45">
      <c r="A418" s="248" t="s">
        <v>109</v>
      </c>
      <c r="B418" s="981"/>
      <c r="C418" s="556" t="s">
        <v>282</v>
      </c>
      <c r="D418" s="279"/>
      <c r="E418" s="442"/>
      <c r="F418" s="339">
        <f t="shared" si="372"/>
        <v>0</v>
      </c>
      <c r="G418" s="281">
        <v>0</v>
      </c>
      <c r="H418" s="281">
        <v>0</v>
      </c>
      <c r="I418" s="358" t="str">
        <f>IFERROR(F418/#REF!,"-")</f>
        <v>-</v>
      </c>
      <c r="J418" s="339">
        <f t="shared" si="373"/>
        <v>0</v>
      </c>
      <c r="K418" s="281">
        <f t="shared" si="368"/>
        <v>0</v>
      </c>
      <c r="L418" s="250">
        <f t="shared" si="369"/>
        <v>0</v>
      </c>
      <c r="M418" s="265" t="str">
        <f t="shared" si="376"/>
        <v>-</v>
      </c>
      <c r="N418" s="264" t="str">
        <f t="shared" si="377"/>
        <v>-</v>
      </c>
      <c r="O418" s="519">
        <v>3.2963</v>
      </c>
      <c r="P418" s="410">
        <f t="shared" si="370"/>
        <v>0</v>
      </c>
      <c r="Q418" s="459">
        <f t="shared" si="371"/>
        <v>0</v>
      </c>
    </row>
    <row r="419" spans="1:17" ht="23.4" x14ac:dyDescent="0.4">
      <c r="A419" s="248" t="s">
        <v>109</v>
      </c>
      <c r="B419" s="560"/>
      <c r="C419" s="557" t="s">
        <v>92</v>
      </c>
      <c r="D419" s="523"/>
      <c r="E419" s="442"/>
      <c r="F419" s="339">
        <f t="shared" si="372"/>
        <v>0</v>
      </c>
      <c r="G419" s="281">
        <v>0</v>
      </c>
      <c r="H419" s="281">
        <v>0</v>
      </c>
      <c r="I419" s="358" t="str">
        <f>IFERROR(F419/#REF!,"-")</f>
        <v>-</v>
      </c>
      <c r="J419" s="339">
        <f t="shared" si="373"/>
        <v>0</v>
      </c>
      <c r="K419" s="281">
        <f t="shared" si="368"/>
        <v>0</v>
      </c>
      <c r="L419" s="250">
        <f t="shared" si="369"/>
        <v>0</v>
      </c>
      <c r="M419" s="265" t="str">
        <f t="shared" si="376"/>
        <v>-</v>
      </c>
      <c r="N419" s="264" t="str">
        <f t="shared" si="377"/>
        <v>-</v>
      </c>
      <c r="O419" s="519">
        <v>2.3201000000000001</v>
      </c>
      <c r="P419" s="410">
        <f t="shared" si="370"/>
        <v>0</v>
      </c>
      <c r="Q419" s="459">
        <f t="shared" si="371"/>
        <v>0</v>
      </c>
    </row>
    <row r="420" spans="1:17" ht="24" thickBot="1" x14ac:dyDescent="0.35">
      <c r="A420" s="248" t="s">
        <v>109</v>
      </c>
      <c r="B420" s="537"/>
      <c r="C420" s="554"/>
      <c r="D420" s="543"/>
      <c r="E420" s="473"/>
      <c r="F420" s="471">
        <f t="shared" si="372"/>
        <v>0</v>
      </c>
      <c r="G420" s="472"/>
      <c r="H420" s="472"/>
      <c r="I420" s="545" t="str">
        <f>IFERROR(F420/#REF!,"-")</f>
        <v>-</v>
      </c>
      <c r="J420" s="471">
        <f t="shared" si="373"/>
        <v>0</v>
      </c>
      <c r="K420" s="472">
        <f t="shared" si="368"/>
        <v>0</v>
      </c>
      <c r="L420" s="257">
        <f t="shared" si="369"/>
        <v>0</v>
      </c>
      <c r="M420" s="267" t="str">
        <f t="shared" si="376"/>
        <v>-</v>
      </c>
      <c r="N420" s="266" t="str">
        <f t="shared" si="377"/>
        <v>-</v>
      </c>
      <c r="O420" s="552"/>
      <c r="P420" s="549">
        <f t="shared" si="370"/>
        <v>0</v>
      </c>
      <c r="Q420" s="550">
        <f t="shared" si="371"/>
        <v>0</v>
      </c>
    </row>
    <row r="421" spans="1:17" ht="24" thickBot="1" x14ac:dyDescent="0.35">
      <c r="A421" s="277" t="s">
        <v>109</v>
      </c>
      <c r="B421" s="982" t="s">
        <v>25</v>
      </c>
      <c r="C421" s="983"/>
      <c r="D421" s="525">
        <f t="shared" ref="D421" si="378">SUM(D397:D420)</f>
        <v>0</v>
      </c>
      <c r="E421" s="539">
        <v>100000</v>
      </c>
      <c r="F421" s="525">
        <f>SUM(F397:F420)</f>
        <v>54640</v>
      </c>
      <c r="G421" s="531">
        <f t="shared" ref="G421:H421" si="379">SUM(G397:G420)</f>
        <v>53442</v>
      </c>
      <c r="H421" s="531">
        <f t="shared" si="379"/>
        <v>1198</v>
      </c>
      <c r="I421" s="532" t="str">
        <f>IFERROR(F421/#REF!,"-")</f>
        <v>-</v>
      </c>
      <c r="J421" s="525">
        <f t="shared" ref="J421" si="380">SUM(J397:J420)</f>
        <v>465305</v>
      </c>
      <c r="K421" s="531">
        <f>SUM(K392:K420)</f>
        <v>502582</v>
      </c>
      <c r="L421" s="533">
        <f t="shared" ref="L421" si="381">SUM(L397:L420)</f>
        <v>7073</v>
      </c>
      <c r="M421" s="534" t="str">
        <f t="shared" si="376"/>
        <v>-</v>
      </c>
      <c r="N421" s="532">
        <f t="shared" si="377"/>
        <v>1.5200782282588839E-2</v>
      </c>
      <c r="O421" s="535"/>
      <c r="P421" s="536">
        <f>SUM(P392:P420)</f>
        <v>374944.84279999998</v>
      </c>
      <c r="Q421" s="536">
        <f>SUM(Q392:Q420)</f>
        <v>4322118.6608000007</v>
      </c>
    </row>
    <row r="422" spans="1:17" ht="24" thickBot="1" x14ac:dyDescent="0.35">
      <c r="A422" s="324" t="s">
        <v>109</v>
      </c>
      <c r="B422" s="984" t="s">
        <v>276</v>
      </c>
      <c r="C422" s="927"/>
      <c r="D422" s="332">
        <f>+D396+D421</f>
        <v>0</v>
      </c>
      <c r="E422" s="333">
        <f>+E396+E421</f>
        <v>100000</v>
      </c>
      <c r="F422" s="332">
        <f>+F396+F421</f>
        <v>55763</v>
      </c>
      <c r="G422" s="330">
        <f>+G396+G421</f>
        <v>54292</v>
      </c>
      <c r="H422" s="330">
        <f>+H396+H421</f>
        <v>1471</v>
      </c>
      <c r="I422" s="355" t="str">
        <f>IFERROR(F422/#REF!,"-")</f>
        <v>-</v>
      </c>
      <c r="J422" s="332">
        <f>+J396+J421</f>
        <v>470655</v>
      </c>
      <c r="K422" s="330">
        <f>K421</f>
        <v>502582</v>
      </c>
      <c r="L422" s="331">
        <f>+L396+L421</f>
        <v>8273</v>
      </c>
      <c r="M422" s="347" t="str">
        <f t="shared" si="376"/>
        <v>-</v>
      </c>
      <c r="N422" s="355">
        <f t="shared" si="377"/>
        <v>1.757763117357725E-2</v>
      </c>
      <c r="O422" s="400"/>
      <c r="P422" s="416">
        <f>+P396+P421</f>
        <v>424955.69779999997</v>
      </c>
      <c r="Q422" s="434">
        <f>Q421</f>
        <v>4322118.6608000007</v>
      </c>
    </row>
    <row r="423" spans="1:17" ht="24.6" thickBot="1" x14ac:dyDescent="0.35">
      <c r="A423" s="325"/>
      <c r="B423" s="915" t="s">
        <v>183</v>
      </c>
      <c r="C423" s="916"/>
      <c r="D423" s="380">
        <f>+D422+D391+D382</f>
        <v>0</v>
      </c>
      <c r="E423" s="380">
        <f>+E422+E391+E382</f>
        <v>230000</v>
      </c>
      <c r="F423" s="380">
        <f>+F422+F391+F382</f>
        <v>249490</v>
      </c>
      <c r="G423" s="380">
        <f>+G422+G391+G382</f>
        <v>239222</v>
      </c>
      <c r="H423" s="380">
        <f>+H422+H391+H382</f>
        <v>10268</v>
      </c>
      <c r="I423" s="381" t="str">
        <f>IFERROR(F423/#REF!,"-")</f>
        <v>-</v>
      </c>
      <c r="J423" s="380">
        <f>+J422+J391+J382</f>
        <v>1946145</v>
      </c>
      <c r="K423" s="380">
        <f>+K422+K391+K382</f>
        <v>1942832</v>
      </c>
      <c r="L423" s="380">
        <f>+L422+L391+L382</f>
        <v>43513</v>
      </c>
      <c r="M423" s="381" t="str">
        <f t="shared" si="376"/>
        <v>-</v>
      </c>
      <c r="N423" s="381">
        <f>IFERROR(L423/J423,"-")</f>
        <v>2.2358560127842479E-2</v>
      </c>
      <c r="O423" s="407"/>
      <c r="P423" s="424">
        <f>+P422+P391+P382</f>
        <v>1623651.1748000002</v>
      </c>
      <c r="Q423" s="424">
        <f>+Q422+Q391+Q382</f>
        <v>12098475.869800001</v>
      </c>
    </row>
    <row r="424" spans="1:17" ht="23.4" x14ac:dyDescent="0.3">
      <c r="A424" s="935" t="s">
        <v>1</v>
      </c>
      <c r="B424" s="938" t="s">
        <v>2</v>
      </c>
      <c r="C424" s="941" t="s">
        <v>3</v>
      </c>
      <c r="D424" s="944" t="s">
        <v>4</v>
      </c>
      <c r="E424" s="945"/>
      <c r="F424" s="945"/>
      <c r="G424" s="945"/>
      <c r="H424" s="945"/>
      <c r="I424" s="945"/>
      <c r="J424" s="945"/>
      <c r="K424" s="945"/>
      <c r="L424" s="945"/>
      <c r="M424" s="945"/>
      <c r="N424" s="946"/>
      <c r="O424" s="965" t="s">
        <v>176</v>
      </c>
      <c r="P424" s="966"/>
      <c r="Q424" s="990"/>
    </row>
    <row r="425" spans="1:17" ht="23.4" x14ac:dyDescent="0.3">
      <c r="A425" s="936"/>
      <c r="B425" s="939"/>
      <c r="C425" s="942"/>
      <c r="D425" s="947" t="s">
        <v>7</v>
      </c>
      <c r="E425" s="949" t="s">
        <v>116</v>
      </c>
      <c r="F425" s="991" t="s">
        <v>442</v>
      </c>
      <c r="G425" s="952"/>
      <c r="H425" s="952"/>
      <c r="I425" s="953"/>
      <c r="J425" s="954" t="s">
        <v>8</v>
      </c>
      <c r="K425" s="955"/>
      <c r="L425" s="956"/>
      <c r="M425" s="957" t="s">
        <v>174</v>
      </c>
      <c r="N425" s="959" t="s">
        <v>173</v>
      </c>
      <c r="O425" s="967" t="s">
        <v>178</v>
      </c>
      <c r="P425" s="968"/>
      <c r="Q425" s="969"/>
    </row>
    <row r="426" spans="1:17" ht="47.4" thickBot="1" x14ac:dyDescent="0.35">
      <c r="A426" s="937"/>
      <c r="B426" s="940"/>
      <c r="C426" s="943"/>
      <c r="D426" s="948"/>
      <c r="E426" s="950"/>
      <c r="F426" s="462" t="s">
        <v>13</v>
      </c>
      <c r="G426" s="463" t="s">
        <v>14</v>
      </c>
      <c r="H426" s="463" t="s">
        <v>15</v>
      </c>
      <c r="I426" s="464" t="s">
        <v>175</v>
      </c>
      <c r="J426" s="462" t="s">
        <v>13</v>
      </c>
      <c r="K426" s="463" t="s">
        <v>14</v>
      </c>
      <c r="L426" s="465" t="s">
        <v>15</v>
      </c>
      <c r="M426" s="958"/>
      <c r="N426" s="960"/>
      <c r="O426" s="453" t="s">
        <v>179</v>
      </c>
      <c r="P426" s="454" t="s">
        <v>11</v>
      </c>
      <c r="Q426" s="455" t="s">
        <v>12</v>
      </c>
    </row>
    <row r="427" spans="1:17" ht="23.4" x14ac:dyDescent="0.3">
      <c r="A427" s="271" t="s">
        <v>111</v>
      </c>
      <c r="B427" s="445"/>
      <c r="C427" s="272" t="s">
        <v>272</v>
      </c>
      <c r="D427" s="273"/>
      <c r="E427" s="274"/>
      <c r="F427" s="338">
        <f>+G427+H427</f>
        <v>96310</v>
      </c>
      <c r="G427" s="275">
        <v>89880</v>
      </c>
      <c r="H427" s="275">
        <v>6430</v>
      </c>
      <c r="I427" s="357" t="str">
        <f>IFERROR(F427/#REF!,"-")</f>
        <v>-</v>
      </c>
      <c r="J427" s="468">
        <f>+K427+L427</f>
        <v>321650</v>
      </c>
      <c r="K427" s="469">
        <f>+G427+K368</f>
        <v>295960</v>
      </c>
      <c r="L427" s="470">
        <f>+H427+L368</f>
        <v>25690</v>
      </c>
      <c r="M427" s="342" t="str">
        <f>IFERROR(J427/D427,"-")</f>
        <v>-</v>
      </c>
      <c r="N427" s="349">
        <f t="shared" ref="N427:N428" si="382">IFERROR(L427/J427,"-")</f>
        <v>7.986942328618063E-2</v>
      </c>
      <c r="O427" s="518">
        <v>1.5669</v>
      </c>
      <c r="P427" s="408">
        <f>+O427*G427</f>
        <v>140832.97200000001</v>
      </c>
      <c r="Q427" s="457">
        <f>+O427*K427</f>
        <v>463739.72399999999</v>
      </c>
    </row>
    <row r="428" spans="1:17" ht="23.4" x14ac:dyDescent="0.3">
      <c r="A428" s="277" t="s">
        <v>111</v>
      </c>
      <c r="B428" s="444"/>
      <c r="C428" s="278" t="s">
        <v>271</v>
      </c>
      <c r="D428" s="279"/>
      <c r="E428" s="280"/>
      <c r="F428" s="339">
        <f t="shared" ref="F428:F431" si="383">+G428+H428</f>
        <v>0</v>
      </c>
      <c r="G428" s="281">
        <v>0</v>
      </c>
      <c r="H428" s="281">
        <v>0</v>
      </c>
      <c r="I428" s="358" t="str">
        <f>IFERROR(F428/#REF!,"-")</f>
        <v>-</v>
      </c>
      <c r="J428" s="339">
        <f t="shared" ref="J428:J431" si="384">+K428+L428</f>
        <v>0</v>
      </c>
      <c r="K428" s="281">
        <f t="shared" ref="K428:K431" si="385">+G428+K369</f>
        <v>0</v>
      </c>
      <c r="L428" s="442">
        <f t="shared" ref="L428:L431" si="386">+H428+L369</f>
        <v>0</v>
      </c>
      <c r="M428" s="343" t="str">
        <f t="shared" ref="M428:M431" si="387">IFERROR(J428/D428,"-")</f>
        <v>-</v>
      </c>
      <c r="N428" s="268" t="str">
        <f t="shared" si="382"/>
        <v>-</v>
      </c>
      <c r="O428" s="519">
        <v>2.3978999999999999</v>
      </c>
      <c r="P428" s="410">
        <f t="shared" ref="P428:P431" si="388">+O428*G428</f>
        <v>0</v>
      </c>
      <c r="Q428" s="459">
        <f t="shared" ref="Q428:Q431" si="389">+O428*K428</f>
        <v>0</v>
      </c>
    </row>
    <row r="429" spans="1:17" ht="23.4" x14ac:dyDescent="0.3">
      <c r="A429" s="277" t="s">
        <v>111</v>
      </c>
      <c r="B429" s="444"/>
      <c r="C429" s="278" t="s">
        <v>273</v>
      </c>
      <c r="D429" s="279"/>
      <c r="E429" s="280"/>
      <c r="F429" s="339">
        <f t="shared" si="383"/>
        <v>0</v>
      </c>
      <c r="G429" s="281">
        <v>0</v>
      </c>
      <c r="H429" s="281">
        <v>0</v>
      </c>
      <c r="I429" s="358" t="str">
        <f>IFERROR(F429/#REF!,"-")</f>
        <v>-</v>
      </c>
      <c r="J429" s="339">
        <f t="shared" si="384"/>
        <v>0</v>
      </c>
      <c r="K429" s="281">
        <f t="shared" si="385"/>
        <v>0</v>
      </c>
      <c r="L429" s="251">
        <f t="shared" si="386"/>
        <v>0</v>
      </c>
      <c r="M429" s="343" t="str">
        <f t="shared" si="387"/>
        <v>-</v>
      </c>
      <c r="N429" s="268" t="str">
        <f>IFERROR(L429/J429,"-")</f>
        <v>-</v>
      </c>
      <c r="O429" s="519">
        <v>4.0426000000000002</v>
      </c>
      <c r="P429" s="410">
        <f t="shared" si="388"/>
        <v>0</v>
      </c>
      <c r="Q429" s="459">
        <f t="shared" si="389"/>
        <v>0</v>
      </c>
    </row>
    <row r="430" spans="1:17" ht="23.4" x14ac:dyDescent="0.3">
      <c r="A430" s="277"/>
      <c r="B430" s="461"/>
      <c r="C430" s="278" t="s">
        <v>372</v>
      </c>
      <c r="D430" s="283"/>
      <c r="E430" s="284"/>
      <c r="F430" s="339">
        <f t="shared" si="383"/>
        <v>50662</v>
      </c>
      <c r="G430" s="285">
        <v>41800</v>
      </c>
      <c r="H430" s="285">
        <v>8862</v>
      </c>
      <c r="I430" s="358" t="str">
        <f>IFERROR(F430/#REF!,"-")</f>
        <v>-</v>
      </c>
      <c r="J430" s="339">
        <f t="shared" si="384"/>
        <v>346707</v>
      </c>
      <c r="K430" s="281">
        <f t="shared" si="385"/>
        <v>332400</v>
      </c>
      <c r="L430" s="286">
        <f t="shared" si="386"/>
        <v>14307</v>
      </c>
      <c r="M430" s="343" t="str">
        <f t="shared" si="387"/>
        <v>-</v>
      </c>
      <c r="N430" s="268">
        <f>IFERROR(L430/J430,"-")</f>
        <v>4.1265391238134795E-2</v>
      </c>
      <c r="O430" s="520">
        <v>12.284700000000001</v>
      </c>
      <c r="P430" s="410">
        <f t="shared" si="388"/>
        <v>513500.46</v>
      </c>
      <c r="Q430" s="459">
        <f t="shared" si="389"/>
        <v>4083434.2800000003</v>
      </c>
    </row>
    <row r="431" spans="1:17" ht="24" thickBot="1" x14ac:dyDescent="0.35">
      <c r="A431" s="277" t="s">
        <v>111</v>
      </c>
      <c r="B431" s="461"/>
      <c r="C431" s="278" t="s">
        <v>496</v>
      </c>
      <c r="D431" s="283"/>
      <c r="E431" s="284"/>
      <c r="F431" s="340">
        <f t="shared" si="383"/>
        <v>0</v>
      </c>
      <c r="G431" s="285">
        <v>0</v>
      </c>
      <c r="H431" s="285">
        <v>0</v>
      </c>
      <c r="I431" s="359" t="str">
        <f>IFERROR(F431/#REF!,"-")</f>
        <v>-</v>
      </c>
      <c r="J431" s="471">
        <f t="shared" si="384"/>
        <v>0</v>
      </c>
      <c r="K431" s="472">
        <f t="shared" si="385"/>
        <v>0</v>
      </c>
      <c r="L431" s="258">
        <f t="shared" si="386"/>
        <v>0</v>
      </c>
      <c r="M431" s="344" t="str">
        <f t="shared" si="387"/>
        <v>-</v>
      </c>
      <c r="N431" s="350" t="str">
        <f t="shared" ref="N431:N443" si="390">IFERROR(L431/J431,"-")</f>
        <v>-</v>
      </c>
      <c r="O431" s="520">
        <v>4.6797000000000004</v>
      </c>
      <c r="P431" s="411">
        <f t="shared" si="388"/>
        <v>0</v>
      </c>
      <c r="Q431" s="460">
        <f t="shared" si="389"/>
        <v>0</v>
      </c>
    </row>
    <row r="432" spans="1:17" ht="24" thickBot="1" x14ac:dyDescent="0.35">
      <c r="A432" s="277" t="s">
        <v>111</v>
      </c>
      <c r="B432" s="906" t="s">
        <v>21</v>
      </c>
      <c r="C432" s="907"/>
      <c r="D432" s="326">
        <f>SUM(D427:D431)</f>
        <v>0</v>
      </c>
      <c r="E432" s="289">
        <v>15000</v>
      </c>
      <c r="F432" s="326">
        <f>SUM(F427:F431)</f>
        <v>146972</v>
      </c>
      <c r="G432" s="327">
        <f>SUM(G427:G431)</f>
        <v>131680</v>
      </c>
      <c r="H432" s="327">
        <f>SUM(H427:H431)</f>
        <v>15292</v>
      </c>
      <c r="I432" s="351" t="str">
        <f>IFERROR(F432/#REF!,"-")</f>
        <v>-</v>
      </c>
      <c r="J432" s="326">
        <f>SUM(J427:J431)</f>
        <v>668357</v>
      </c>
      <c r="K432" s="327">
        <f>SUM(K427:K431)</f>
        <v>628360</v>
      </c>
      <c r="L432" s="328">
        <f>SUM(L427:L431)</f>
        <v>39997</v>
      </c>
      <c r="M432" s="345" t="str">
        <f>IFERROR(J432/D432,"-")</f>
        <v>-</v>
      </c>
      <c r="N432" s="351">
        <f t="shared" si="390"/>
        <v>5.9843766130974911E-2</v>
      </c>
      <c r="O432" s="397"/>
      <c r="P432" s="412">
        <f>SUM(P427:P431)</f>
        <v>654333.43200000003</v>
      </c>
      <c r="Q432" s="431">
        <f>SUM(Q427:Q431)</f>
        <v>4547174.0040000007</v>
      </c>
    </row>
    <row r="433" spans="1:17" ht="23.4" x14ac:dyDescent="0.3">
      <c r="A433" s="277" t="s">
        <v>111</v>
      </c>
      <c r="B433" s="445"/>
      <c r="C433" s="272" t="s">
        <v>270</v>
      </c>
      <c r="D433" s="273"/>
      <c r="E433" s="274"/>
      <c r="F433" s="338">
        <f t="shared" ref="F433:F439" si="391">+G433+H433</f>
        <v>0</v>
      </c>
      <c r="G433" s="275">
        <v>0</v>
      </c>
      <c r="H433" s="275">
        <v>0</v>
      </c>
      <c r="I433" s="357" t="str">
        <f>IFERROR(F433/#REF!,"-")</f>
        <v>-</v>
      </c>
      <c r="J433" s="338">
        <f t="shared" ref="J433:J439" si="392">+K433+L433</f>
        <v>4462</v>
      </c>
      <c r="K433" s="275">
        <f t="shared" ref="K433:K439" si="393">+G433+K374</f>
        <v>4320</v>
      </c>
      <c r="L433" s="276">
        <f t="shared" ref="L433:L439" si="394">+H433+L374</f>
        <v>142</v>
      </c>
      <c r="M433" s="342" t="str">
        <f t="shared" ref="M433:M441" si="395">IFERROR(J433/D433,"-")</f>
        <v>-</v>
      </c>
      <c r="N433" s="352">
        <f t="shared" si="390"/>
        <v>3.1824294038547737E-2</v>
      </c>
      <c r="O433" s="518">
        <v>18.2316</v>
      </c>
      <c r="P433" s="408">
        <f t="shared" ref="P433:P439" si="396">+O433*G433</f>
        <v>0</v>
      </c>
      <c r="Q433" s="457">
        <f t="shared" ref="Q433:Q439" si="397">+O433*K433</f>
        <v>78760.512000000002</v>
      </c>
    </row>
    <row r="434" spans="1:17" ht="23.4" x14ac:dyDescent="0.3">
      <c r="A434" s="277" t="s">
        <v>111</v>
      </c>
      <c r="B434" s="444"/>
      <c r="C434" s="278" t="s">
        <v>92</v>
      </c>
      <c r="D434" s="279"/>
      <c r="E434" s="280"/>
      <c r="F434" s="339">
        <f t="shared" si="391"/>
        <v>0</v>
      </c>
      <c r="G434" s="281">
        <v>0</v>
      </c>
      <c r="H434" s="281">
        <v>0</v>
      </c>
      <c r="I434" s="358" t="str">
        <f>IFERROR(F434/#REF!,"-")</f>
        <v>-</v>
      </c>
      <c r="J434" s="339">
        <f t="shared" si="392"/>
        <v>120000</v>
      </c>
      <c r="K434" s="281">
        <f t="shared" si="393"/>
        <v>120000</v>
      </c>
      <c r="L434" s="251">
        <f t="shared" si="394"/>
        <v>0</v>
      </c>
      <c r="M434" s="343" t="str">
        <f t="shared" si="395"/>
        <v>-</v>
      </c>
      <c r="N434" s="264">
        <f t="shared" si="390"/>
        <v>0</v>
      </c>
      <c r="O434" s="519">
        <v>0</v>
      </c>
      <c r="P434" s="410">
        <f t="shared" si="396"/>
        <v>0</v>
      </c>
      <c r="Q434" s="459">
        <f t="shared" si="397"/>
        <v>0</v>
      </c>
    </row>
    <row r="435" spans="1:17" ht="23.4" x14ac:dyDescent="0.3">
      <c r="A435" s="277" t="s">
        <v>111</v>
      </c>
      <c r="B435" s="444"/>
      <c r="C435" s="278" t="s">
        <v>340</v>
      </c>
      <c r="D435" s="279"/>
      <c r="E435" s="280"/>
      <c r="F435" s="339">
        <f t="shared" si="391"/>
        <v>0</v>
      </c>
      <c r="G435" s="281">
        <v>0</v>
      </c>
      <c r="H435" s="281">
        <v>0</v>
      </c>
      <c r="I435" s="358" t="str">
        <f>IFERROR(F435/#REF!,"-")</f>
        <v>-</v>
      </c>
      <c r="J435" s="339">
        <f t="shared" si="392"/>
        <v>0</v>
      </c>
      <c r="K435" s="281">
        <f t="shared" si="393"/>
        <v>0</v>
      </c>
      <c r="L435" s="251">
        <f t="shared" si="394"/>
        <v>0</v>
      </c>
      <c r="M435" s="343" t="str">
        <f t="shared" si="395"/>
        <v>-</v>
      </c>
      <c r="N435" s="264" t="str">
        <f t="shared" si="390"/>
        <v>-</v>
      </c>
      <c r="O435" s="519">
        <v>5.7342000000000004</v>
      </c>
      <c r="P435" s="410">
        <f t="shared" si="396"/>
        <v>0</v>
      </c>
      <c r="Q435" s="459">
        <f t="shared" si="397"/>
        <v>0</v>
      </c>
    </row>
    <row r="436" spans="1:17" ht="23.4" x14ac:dyDescent="0.3">
      <c r="A436" s="277" t="s">
        <v>111</v>
      </c>
      <c r="B436" s="444"/>
      <c r="C436" s="278" t="s">
        <v>363</v>
      </c>
      <c r="D436" s="279"/>
      <c r="E436" s="280"/>
      <c r="F436" s="339">
        <f t="shared" si="391"/>
        <v>0</v>
      </c>
      <c r="G436" s="281">
        <v>0</v>
      </c>
      <c r="H436" s="281">
        <v>0</v>
      </c>
      <c r="I436" s="358" t="str">
        <f>IFERROR(F436/#REF!,"-")</f>
        <v>-</v>
      </c>
      <c r="J436" s="339">
        <f t="shared" si="392"/>
        <v>0</v>
      </c>
      <c r="K436" s="281">
        <f t="shared" si="393"/>
        <v>0</v>
      </c>
      <c r="L436" s="251">
        <f t="shared" si="394"/>
        <v>0</v>
      </c>
      <c r="M436" s="343" t="str">
        <f t="shared" si="395"/>
        <v>-</v>
      </c>
      <c r="N436" s="264" t="str">
        <f t="shared" si="390"/>
        <v>-</v>
      </c>
      <c r="O436" s="519"/>
      <c r="P436" s="410">
        <f t="shared" si="396"/>
        <v>0</v>
      </c>
      <c r="Q436" s="459">
        <f t="shared" si="397"/>
        <v>0</v>
      </c>
    </row>
    <row r="437" spans="1:17" ht="23.4" x14ac:dyDescent="0.3">
      <c r="A437" s="277" t="s">
        <v>111</v>
      </c>
      <c r="B437" s="444"/>
      <c r="C437" s="278" t="s">
        <v>373</v>
      </c>
      <c r="D437" s="279"/>
      <c r="E437" s="280"/>
      <c r="F437" s="339">
        <f t="shared" si="391"/>
        <v>18084</v>
      </c>
      <c r="G437" s="281">
        <v>18000</v>
      </c>
      <c r="H437" s="281">
        <v>84</v>
      </c>
      <c r="I437" s="358" t="str">
        <f>IFERROR(F437/#REF!,"-")</f>
        <v>-</v>
      </c>
      <c r="J437" s="339">
        <f t="shared" si="392"/>
        <v>217907</v>
      </c>
      <c r="K437" s="281">
        <f t="shared" si="393"/>
        <v>217000</v>
      </c>
      <c r="L437" s="251">
        <f t="shared" si="394"/>
        <v>907</v>
      </c>
      <c r="M437" s="343" t="str">
        <f t="shared" si="395"/>
        <v>-</v>
      </c>
      <c r="N437" s="264">
        <f t="shared" si="390"/>
        <v>4.162326129954522E-3</v>
      </c>
      <c r="O437" s="519">
        <v>12.029500000000001</v>
      </c>
      <c r="P437" s="410">
        <f t="shared" si="396"/>
        <v>216531</v>
      </c>
      <c r="Q437" s="459">
        <f t="shared" si="397"/>
        <v>2610401.5</v>
      </c>
    </row>
    <row r="438" spans="1:17" ht="23.4" x14ac:dyDescent="0.3">
      <c r="A438" s="277" t="s">
        <v>111</v>
      </c>
      <c r="B438" s="444"/>
      <c r="C438" s="278"/>
      <c r="D438" s="279"/>
      <c r="E438" s="280"/>
      <c r="F438" s="339">
        <f t="shared" si="391"/>
        <v>0</v>
      </c>
      <c r="G438" s="281">
        <v>0</v>
      </c>
      <c r="H438" s="281">
        <v>0</v>
      </c>
      <c r="I438" s="358" t="str">
        <f>IFERROR(F438/#REF!,"-")</f>
        <v>-</v>
      </c>
      <c r="J438" s="339">
        <f t="shared" si="392"/>
        <v>0</v>
      </c>
      <c r="K438" s="281">
        <f t="shared" si="393"/>
        <v>0</v>
      </c>
      <c r="L438" s="251">
        <f t="shared" si="394"/>
        <v>0</v>
      </c>
      <c r="M438" s="343" t="str">
        <f t="shared" si="395"/>
        <v>-</v>
      </c>
      <c r="N438" s="264" t="str">
        <f t="shared" si="390"/>
        <v>-</v>
      </c>
      <c r="O438" s="519"/>
      <c r="P438" s="410">
        <f t="shared" si="396"/>
        <v>0</v>
      </c>
      <c r="Q438" s="459">
        <f t="shared" si="397"/>
        <v>0</v>
      </c>
    </row>
    <row r="439" spans="1:17" ht="24" thickBot="1" x14ac:dyDescent="0.35">
      <c r="A439" s="277" t="s">
        <v>111</v>
      </c>
      <c r="B439" s="461"/>
      <c r="C439" s="282"/>
      <c r="D439" s="283">
        <v>0</v>
      </c>
      <c r="E439" s="284"/>
      <c r="F439" s="340">
        <f t="shared" si="391"/>
        <v>0</v>
      </c>
      <c r="G439" s="285">
        <v>0</v>
      </c>
      <c r="H439" s="285">
        <v>0</v>
      </c>
      <c r="I439" s="359" t="str">
        <f>IFERROR(F439/#REF!,"-")</f>
        <v>-</v>
      </c>
      <c r="J439" s="340">
        <f t="shared" si="392"/>
        <v>0</v>
      </c>
      <c r="K439" s="285">
        <f t="shared" si="393"/>
        <v>0</v>
      </c>
      <c r="L439" s="286">
        <f t="shared" si="394"/>
        <v>0</v>
      </c>
      <c r="M439" s="344" t="str">
        <f t="shared" si="395"/>
        <v>-</v>
      </c>
      <c r="N439" s="353" t="str">
        <f t="shared" si="390"/>
        <v>-</v>
      </c>
      <c r="O439" s="520"/>
      <c r="P439" s="411">
        <f t="shared" si="396"/>
        <v>0</v>
      </c>
      <c r="Q439" s="460">
        <f t="shared" si="397"/>
        <v>0</v>
      </c>
    </row>
    <row r="440" spans="1:17" ht="24" thickBot="1" x14ac:dyDescent="0.35">
      <c r="A440" s="277" t="s">
        <v>111</v>
      </c>
      <c r="B440" s="906" t="s">
        <v>25</v>
      </c>
      <c r="C440" s="907"/>
      <c r="D440" s="326">
        <f t="shared" ref="D440" si="398">SUM(D433:D439)</f>
        <v>0</v>
      </c>
      <c r="E440" s="289">
        <v>100000</v>
      </c>
      <c r="F440" s="326">
        <f>SUM(F433:F439)</f>
        <v>18084</v>
      </c>
      <c r="G440" s="327">
        <f t="shared" ref="G440:H440" si="399">SUM(G433:G439)</f>
        <v>18000</v>
      </c>
      <c r="H440" s="327">
        <f t="shared" si="399"/>
        <v>84</v>
      </c>
      <c r="I440" s="351" t="str">
        <f>IFERROR(F440/#REF!,"-")</f>
        <v>-</v>
      </c>
      <c r="J440" s="326">
        <f t="shared" ref="J440:L440" si="400">SUM(J433:J439)</f>
        <v>342369</v>
      </c>
      <c r="K440" s="327">
        <f t="shared" si="400"/>
        <v>341320</v>
      </c>
      <c r="L440" s="328">
        <f t="shared" si="400"/>
        <v>1049</v>
      </c>
      <c r="M440" s="345" t="str">
        <f t="shared" si="395"/>
        <v>-</v>
      </c>
      <c r="N440" s="351">
        <f t="shared" si="390"/>
        <v>3.0639456259182346E-3</v>
      </c>
      <c r="O440" s="397"/>
      <c r="P440" s="412">
        <f t="shared" ref="P440:Q440" si="401">SUM(P433:P439)</f>
        <v>216531</v>
      </c>
      <c r="Q440" s="431">
        <f t="shared" si="401"/>
        <v>2689162.0120000001</v>
      </c>
    </row>
    <row r="441" spans="1:17" ht="24" thickBot="1" x14ac:dyDescent="0.35">
      <c r="A441" s="277" t="s">
        <v>111</v>
      </c>
      <c r="B441" s="985" t="s">
        <v>181</v>
      </c>
      <c r="C441" s="986"/>
      <c r="D441" s="332">
        <f>+D432+D440</f>
        <v>0</v>
      </c>
      <c r="E441" s="333">
        <f t="shared" ref="E441:H441" si="402">+E432+E440</f>
        <v>115000</v>
      </c>
      <c r="F441" s="332">
        <f t="shared" si="402"/>
        <v>165056</v>
      </c>
      <c r="G441" s="330">
        <f t="shared" si="402"/>
        <v>149680</v>
      </c>
      <c r="H441" s="330">
        <f t="shared" si="402"/>
        <v>15376</v>
      </c>
      <c r="I441" s="355" t="str">
        <f>IFERROR(F441/#REF!,"-")</f>
        <v>-</v>
      </c>
      <c r="J441" s="332">
        <f t="shared" ref="J441:L441" si="403">+J432+J440</f>
        <v>1010726</v>
      </c>
      <c r="K441" s="330">
        <f t="shared" si="403"/>
        <v>969680</v>
      </c>
      <c r="L441" s="331">
        <f t="shared" si="403"/>
        <v>41046</v>
      </c>
      <c r="M441" s="347" t="str">
        <f t="shared" si="395"/>
        <v>-</v>
      </c>
      <c r="N441" s="355">
        <f t="shared" si="390"/>
        <v>4.0610412713237815E-2</v>
      </c>
      <c r="O441" s="400"/>
      <c r="P441" s="416">
        <f t="shared" ref="P441:Q441" si="404">+P432+P440</f>
        <v>870864.43200000003</v>
      </c>
      <c r="Q441" s="434">
        <f t="shared" si="404"/>
        <v>7236336.0160000008</v>
      </c>
    </row>
    <row r="442" spans="1:17" ht="23.4" x14ac:dyDescent="0.3">
      <c r="A442" s="244" t="s">
        <v>109</v>
      </c>
      <c r="B442" s="599"/>
      <c r="C442" s="600" t="s">
        <v>314</v>
      </c>
      <c r="D442" s="540"/>
      <c r="E442" s="470"/>
      <c r="F442" s="468">
        <f>+G442+H442</f>
        <v>0</v>
      </c>
      <c r="G442" s="469">
        <v>0</v>
      </c>
      <c r="H442" s="469">
        <v>0</v>
      </c>
      <c r="I442" s="544" t="str">
        <f>IFERROR(F442/#REF!,"-")</f>
        <v>-</v>
      </c>
      <c r="J442" s="468">
        <f>+K442+L442</f>
        <v>0</v>
      </c>
      <c r="K442" s="469">
        <f t="shared" ref="K442:K448" si="405">+G442+K383</f>
        <v>0</v>
      </c>
      <c r="L442" s="247">
        <f t="shared" ref="L442:L448" si="406">+H442+L383</f>
        <v>0</v>
      </c>
      <c r="M442" s="604" t="str">
        <f>IFERROR(J442/D442,"-")</f>
        <v>-</v>
      </c>
      <c r="N442" s="546" t="str">
        <f t="shared" si="390"/>
        <v>-</v>
      </c>
      <c r="O442" s="648">
        <v>4.8285999999999998</v>
      </c>
      <c r="P442" s="547">
        <f t="shared" ref="P442:P448" si="407">+O442*G442</f>
        <v>0</v>
      </c>
      <c r="Q442" s="548">
        <f>+O442*K442</f>
        <v>0</v>
      </c>
    </row>
    <row r="443" spans="1:17" ht="23.4" x14ac:dyDescent="0.3">
      <c r="A443" s="248" t="s">
        <v>109</v>
      </c>
      <c r="B443" s="601"/>
      <c r="C443" s="278" t="s">
        <v>315</v>
      </c>
      <c r="D443" s="279"/>
      <c r="E443" s="442"/>
      <c r="F443" s="339">
        <f t="shared" ref="F443:F448" si="408">+G443+H443</f>
        <v>0</v>
      </c>
      <c r="G443" s="281">
        <v>0</v>
      </c>
      <c r="H443" s="281">
        <v>0</v>
      </c>
      <c r="I443" s="358" t="str">
        <f>IFERROR(F443/#REF!,"-")</f>
        <v>-</v>
      </c>
      <c r="J443" s="339">
        <f t="shared" ref="J443:J448" si="409">+K443+L443</f>
        <v>0</v>
      </c>
      <c r="K443" s="281">
        <f t="shared" si="405"/>
        <v>0</v>
      </c>
      <c r="L443" s="251">
        <f t="shared" si="406"/>
        <v>0</v>
      </c>
      <c r="M443" s="343" t="str">
        <f t="shared" ref="M443:M445" si="410">IFERROR(J443/D443,"-")</f>
        <v>-</v>
      </c>
      <c r="N443" s="268" t="str">
        <f t="shared" si="390"/>
        <v>-</v>
      </c>
      <c r="O443" s="649">
        <v>1.4086000000000001</v>
      </c>
      <c r="P443" s="410">
        <f t="shared" si="407"/>
        <v>0</v>
      </c>
      <c r="Q443" s="459">
        <f t="shared" ref="Q443:Q448" si="411">+O443*K443</f>
        <v>0</v>
      </c>
    </row>
    <row r="444" spans="1:17" ht="23.4" x14ac:dyDescent="0.3">
      <c r="A444" s="248" t="s">
        <v>109</v>
      </c>
      <c r="B444" s="601"/>
      <c r="C444" s="278" t="s">
        <v>367</v>
      </c>
      <c r="D444" s="279"/>
      <c r="E444" s="442"/>
      <c r="F444" s="339">
        <f t="shared" si="408"/>
        <v>0</v>
      </c>
      <c r="G444" s="281">
        <v>0</v>
      </c>
      <c r="H444" s="281">
        <v>0</v>
      </c>
      <c r="I444" s="358" t="str">
        <f>IFERROR(F444/#REF!,"-")</f>
        <v>-</v>
      </c>
      <c r="J444" s="339">
        <f t="shared" si="409"/>
        <v>573613</v>
      </c>
      <c r="K444" s="281">
        <f t="shared" si="405"/>
        <v>566000</v>
      </c>
      <c r="L444" s="251">
        <f t="shared" si="406"/>
        <v>7613</v>
      </c>
      <c r="M444" s="343" t="str">
        <f t="shared" si="410"/>
        <v>-</v>
      </c>
      <c r="N444" s="268">
        <f>IFERROR(L444/J444,"-")</f>
        <v>1.3272014406925924E-2</v>
      </c>
      <c r="O444" s="649">
        <v>2.2141000000000002</v>
      </c>
      <c r="P444" s="410">
        <f t="shared" si="407"/>
        <v>0</v>
      </c>
      <c r="Q444" s="459">
        <f t="shared" si="411"/>
        <v>1253180.6000000001</v>
      </c>
    </row>
    <row r="445" spans="1:17" ht="23.4" x14ac:dyDescent="0.3">
      <c r="A445" s="248" t="s">
        <v>109</v>
      </c>
      <c r="B445" s="602"/>
      <c r="C445" s="278" t="s">
        <v>436</v>
      </c>
      <c r="D445" s="283"/>
      <c r="E445" s="541"/>
      <c r="F445" s="340">
        <f t="shared" si="408"/>
        <v>0</v>
      </c>
      <c r="G445" s="285">
        <v>0</v>
      </c>
      <c r="H445" s="285">
        <v>0</v>
      </c>
      <c r="I445" s="359" t="str">
        <f>IFERROR(F445/#REF!,"-")</f>
        <v>-</v>
      </c>
      <c r="J445" s="339">
        <f t="shared" si="409"/>
        <v>40882</v>
      </c>
      <c r="K445" s="285">
        <f t="shared" si="405"/>
        <v>40000</v>
      </c>
      <c r="L445" s="286">
        <f t="shared" si="406"/>
        <v>882</v>
      </c>
      <c r="M445" s="344" t="str">
        <f t="shared" si="410"/>
        <v>-</v>
      </c>
      <c r="N445" s="350">
        <f t="shared" ref="N445:N452" si="412">IFERROR(L445/J445,"-")</f>
        <v>2.157428697226163E-2</v>
      </c>
      <c r="O445" s="650">
        <v>2.4565999999999999</v>
      </c>
      <c r="P445" s="411">
        <f t="shared" si="407"/>
        <v>0</v>
      </c>
      <c r="Q445" s="460">
        <f t="shared" si="411"/>
        <v>98264</v>
      </c>
    </row>
    <row r="446" spans="1:17" ht="23.4" x14ac:dyDescent="0.3">
      <c r="A446" s="248" t="s">
        <v>109</v>
      </c>
      <c r="B446" s="446"/>
      <c r="C446" s="647" t="s">
        <v>444</v>
      </c>
      <c r="D446" s="521"/>
      <c r="E446" s="542"/>
      <c r="F446" s="339">
        <f t="shared" si="408"/>
        <v>16280</v>
      </c>
      <c r="G446" s="561">
        <v>15000</v>
      </c>
      <c r="H446" s="561">
        <v>1280</v>
      </c>
      <c r="I446" s="358" t="str">
        <f>IFERROR(F446/#REF!,"-")</f>
        <v>-</v>
      </c>
      <c r="J446" s="339">
        <f t="shared" si="409"/>
        <v>16280</v>
      </c>
      <c r="K446" s="285">
        <f t="shared" si="405"/>
        <v>15000</v>
      </c>
      <c r="L446" s="286">
        <f t="shared" si="406"/>
        <v>1280</v>
      </c>
      <c r="M446" s="522"/>
      <c r="N446" s="268">
        <f t="shared" si="412"/>
        <v>7.8624078624078622E-2</v>
      </c>
      <c r="O446" s="553">
        <v>4.8285999999999998</v>
      </c>
      <c r="P446" s="410">
        <f t="shared" si="407"/>
        <v>72429</v>
      </c>
      <c r="Q446" s="459">
        <f t="shared" si="411"/>
        <v>72429</v>
      </c>
    </row>
    <row r="447" spans="1:17" ht="23.4" x14ac:dyDescent="0.3">
      <c r="A447" s="248" t="s">
        <v>109</v>
      </c>
      <c r="B447" s="603"/>
      <c r="C447" s="647" t="s">
        <v>439</v>
      </c>
      <c r="D447" s="273"/>
      <c r="E447" s="441"/>
      <c r="F447" s="338">
        <f t="shared" si="408"/>
        <v>0</v>
      </c>
      <c r="G447" s="275">
        <v>0</v>
      </c>
      <c r="H447" s="275">
        <v>0</v>
      </c>
      <c r="I447" s="357" t="str">
        <f>IFERROR(F447/#REF!,"-")</f>
        <v>-</v>
      </c>
      <c r="J447" s="339">
        <f t="shared" si="409"/>
        <v>15325</v>
      </c>
      <c r="K447" s="285">
        <f t="shared" si="405"/>
        <v>14250</v>
      </c>
      <c r="L447" s="286">
        <f t="shared" si="406"/>
        <v>1075</v>
      </c>
      <c r="M447" s="342" t="str">
        <f t="shared" ref="M447:M448" si="413">IFERROR(J447/D447,"-")</f>
        <v>-</v>
      </c>
      <c r="N447" s="352">
        <f t="shared" si="412"/>
        <v>7.01468189233279E-2</v>
      </c>
      <c r="O447" s="518">
        <v>4.1712999999999996</v>
      </c>
      <c r="P447" s="408">
        <f t="shared" si="407"/>
        <v>0</v>
      </c>
      <c r="Q447" s="457">
        <f t="shared" si="411"/>
        <v>59441.024999999994</v>
      </c>
    </row>
    <row r="448" spans="1:17" ht="24" thickBot="1" x14ac:dyDescent="0.35">
      <c r="A448" s="248" t="s">
        <v>109</v>
      </c>
      <c r="B448" s="601"/>
      <c r="C448" s="278"/>
      <c r="D448" s="279"/>
      <c r="E448" s="442"/>
      <c r="F448" s="339">
        <f t="shared" si="408"/>
        <v>0</v>
      </c>
      <c r="G448" s="281"/>
      <c r="H448" s="281"/>
      <c r="I448" s="358" t="str">
        <f>IFERROR(F448/#REF!,"-")</f>
        <v>-</v>
      </c>
      <c r="J448" s="339">
        <f t="shared" si="409"/>
        <v>0</v>
      </c>
      <c r="K448" s="281">
        <f t="shared" si="405"/>
        <v>0</v>
      </c>
      <c r="L448" s="251">
        <f t="shared" si="406"/>
        <v>0</v>
      </c>
      <c r="M448" s="343" t="str">
        <f t="shared" si="413"/>
        <v>-</v>
      </c>
      <c r="N448" s="264" t="str">
        <f t="shared" si="412"/>
        <v>-</v>
      </c>
      <c r="O448" s="458"/>
      <c r="P448" s="410">
        <f t="shared" si="407"/>
        <v>0</v>
      </c>
      <c r="Q448" s="459">
        <f t="shared" si="411"/>
        <v>0</v>
      </c>
    </row>
    <row r="449" spans="1:17" ht="24" thickBot="1" x14ac:dyDescent="0.35">
      <c r="A449" s="277" t="s">
        <v>109</v>
      </c>
      <c r="B449" s="987" t="s">
        <v>21</v>
      </c>
      <c r="C449" s="925"/>
      <c r="D449" s="326">
        <v>0</v>
      </c>
      <c r="E449" s="289">
        <v>15000</v>
      </c>
      <c r="F449" s="326">
        <f>SUM(F442:F448)</f>
        <v>16280</v>
      </c>
      <c r="G449" s="327">
        <f t="shared" ref="G449:H449" si="414">SUM(G442:G448)</f>
        <v>15000</v>
      </c>
      <c r="H449" s="327">
        <f t="shared" si="414"/>
        <v>1280</v>
      </c>
      <c r="I449" s="351" t="str">
        <f>IFERROR(F449/#REF!,"-")</f>
        <v>-</v>
      </c>
      <c r="J449" s="326">
        <f t="shared" ref="J449" si="415">SUM(J442:J448)</f>
        <v>646100</v>
      </c>
      <c r="K449" s="327">
        <f>SUM(K442:K448)</f>
        <v>635250</v>
      </c>
      <c r="L449" s="327">
        <f>SUM(L442:L448)</f>
        <v>10850</v>
      </c>
      <c r="M449" s="345" t="str">
        <f>IFERROR(J449/D449,"-")</f>
        <v>-</v>
      </c>
      <c r="N449" s="351">
        <f t="shared" si="412"/>
        <v>1.6793066088840736E-2</v>
      </c>
      <c r="O449" s="397"/>
      <c r="P449" s="412">
        <f>SUM(P442:P448)</f>
        <v>72429</v>
      </c>
      <c r="Q449" s="431">
        <f>SUM(Q442:Q448)</f>
        <v>1483314.625</v>
      </c>
    </row>
    <row r="450" spans="1:17" ht="24" thickBot="1" x14ac:dyDescent="0.35">
      <c r="A450" s="277" t="s">
        <v>109</v>
      </c>
      <c r="B450" s="988" t="s">
        <v>275</v>
      </c>
      <c r="C450" s="989"/>
      <c r="D450" s="524">
        <f>+D446+D449</f>
        <v>0</v>
      </c>
      <c r="E450" s="538">
        <f>+E446+E449</f>
        <v>15000</v>
      </c>
      <c r="F450" s="524">
        <f>+F446+F449</f>
        <v>32560</v>
      </c>
      <c r="G450" s="526">
        <f>+G446+G449</f>
        <v>30000</v>
      </c>
      <c r="H450" s="526">
        <f>+H446+H449</f>
        <v>2560</v>
      </c>
      <c r="I450" s="527" t="str">
        <f>IFERROR(F450/#REF!,"-")</f>
        <v>-</v>
      </c>
      <c r="J450" s="524">
        <f>+J446+J449</f>
        <v>662380</v>
      </c>
      <c r="K450" s="526">
        <f>+K449</f>
        <v>635250</v>
      </c>
      <c r="L450" s="526">
        <f>+L449</f>
        <v>10850</v>
      </c>
      <c r="M450" s="528" t="str">
        <f t="shared" ref="M450" si="416">IFERROR(J450/D450,"-")</f>
        <v>-</v>
      </c>
      <c r="N450" s="527">
        <f t="shared" si="412"/>
        <v>1.6380325492919474E-2</v>
      </c>
      <c r="O450" s="529"/>
      <c r="P450" s="530">
        <f>+P449</f>
        <v>72429</v>
      </c>
      <c r="Q450" s="530">
        <f>+Q449</f>
        <v>1483314.625</v>
      </c>
    </row>
    <row r="451" spans="1:17" ht="23.4" x14ac:dyDescent="0.4">
      <c r="A451" s="244" t="s">
        <v>109</v>
      </c>
      <c r="B451" s="979" t="s">
        <v>277</v>
      </c>
      <c r="C451" s="555" t="s">
        <v>74</v>
      </c>
      <c r="D451" s="540"/>
      <c r="E451" s="470"/>
      <c r="F451" s="468">
        <f>+G451+H451</f>
        <v>0</v>
      </c>
      <c r="G451" s="469">
        <v>0</v>
      </c>
      <c r="H451" s="469">
        <v>0</v>
      </c>
      <c r="I451" s="544" t="str">
        <f>IFERROR(F451/#REF!,"-")</f>
        <v>-</v>
      </c>
      <c r="J451" s="468">
        <f>+K451+L451</f>
        <v>23017</v>
      </c>
      <c r="K451" s="469">
        <f t="shared" ref="K451:K479" si="417">+G451+K392</f>
        <v>23000</v>
      </c>
      <c r="L451" s="246">
        <f t="shared" ref="L451:L479" si="418">+H451+L392</f>
        <v>17</v>
      </c>
      <c r="M451" s="263" t="str">
        <f>IFERROR(J451/D451,"-")</f>
        <v>-</v>
      </c>
      <c r="N451" s="546">
        <f t="shared" si="412"/>
        <v>7.3858452448190466E-4</v>
      </c>
      <c r="O451" s="551">
        <v>32.946300000000001</v>
      </c>
      <c r="P451" s="547">
        <f t="shared" ref="P451:P479" si="419">+O451*G451</f>
        <v>0</v>
      </c>
      <c r="Q451" s="548">
        <f t="shared" ref="Q451:Q479" si="420">+O451*K451</f>
        <v>757764.9</v>
      </c>
    </row>
    <row r="452" spans="1:17" ht="23.4" x14ac:dyDescent="0.4">
      <c r="A452" s="248" t="s">
        <v>109</v>
      </c>
      <c r="B452" s="980"/>
      <c r="C452" s="556" t="s">
        <v>75</v>
      </c>
      <c r="D452" s="523"/>
      <c r="E452" s="442"/>
      <c r="F452" s="339">
        <f t="shared" ref="F452:F479" si="421">+G452+H452</f>
        <v>0</v>
      </c>
      <c r="G452" s="281">
        <v>0</v>
      </c>
      <c r="H452" s="281">
        <v>0</v>
      </c>
      <c r="I452" s="358" t="str">
        <f>IFERROR(F452/#REF!,"-")</f>
        <v>-</v>
      </c>
      <c r="J452" s="339">
        <f t="shared" ref="J452:J479" si="422">+K452+L452</f>
        <v>0</v>
      </c>
      <c r="K452" s="281">
        <f t="shared" si="417"/>
        <v>0</v>
      </c>
      <c r="L452" s="250">
        <f t="shared" si="418"/>
        <v>0</v>
      </c>
      <c r="M452" s="265" t="str">
        <f t="shared" ref="M452:M454" si="423">IFERROR(J452/D452,"-")</f>
        <v>-</v>
      </c>
      <c r="N452" s="268" t="str">
        <f t="shared" si="412"/>
        <v>-</v>
      </c>
      <c r="O452" s="519">
        <v>35.398400000000002</v>
      </c>
      <c r="P452" s="410">
        <f t="shared" si="419"/>
        <v>0</v>
      </c>
      <c r="Q452" s="459">
        <f t="shared" si="420"/>
        <v>0</v>
      </c>
    </row>
    <row r="453" spans="1:17" ht="24" thickBot="1" x14ac:dyDescent="0.45">
      <c r="A453" s="248" t="s">
        <v>109</v>
      </c>
      <c r="B453" s="980"/>
      <c r="C453" s="556" t="s">
        <v>76</v>
      </c>
      <c r="D453" s="279"/>
      <c r="E453" s="442"/>
      <c r="F453" s="339">
        <f t="shared" si="421"/>
        <v>0</v>
      </c>
      <c r="G453" s="281">
        <v>0</v>
      </c>
      <c r="H453" s="281">
        <v>0</v>
      </c>
      <c r="I453" s="358" t="str">
        <f>IFERROR(F453/#REF!,"-")</f>
        <v>-</v>
      </c>
      <c r="J453" s="339">
        <f t="shared" si="422"/>
        <v>10000</v>
      </c>
      <c r="K453" s="281">
        <f t="shared" si="417"/>
        <v>10000</v>
      </c>
      <c r="L453" s="250">
        <f t="shared" si="418"/>
        <v>0</v>
      </c>
      <c r="M453" s="265" t="str">
        <f t="shared" si="423"/>
        <v>-</v>
      </c>
      <c r="N453" s="268">
        <f>IFERROR(L453/J453,"-")</f>
        <v>0</v>
      </c>
      <c r="O453" s="519">
        <v>32.946300000000001</v>
      </c>
      <c r="P453" s="410">
        <f t="shared" si="419"/>
        <v>0</v>
      </c>
      <c r="Q453" s="459">
        <f t="shared" si="420"/>
        <v>329463</v>
      </c>
    </row>
    <row r="454" spans="1:17" ht="23.4" x14ac:dyDescent="0.4">
      <c r="A454" s="248" t="s">
        <v>109</v>
      </c>
      <c r="B454" s="979" t="s">
        <v>278</v>
      </c>
      <c r="C454" s="558" t="s">
        <v>78</v>
      </c>
      <c r="D454" s="279"/>
      <c r="E454" s="541"/>
      <c r="F454" s="340">
        <f t="shared" si="421"/>
        <v>0</v>
      </c>
      <c r="G454" s="281">
        <v>0</v>
      </c>
      <c r="H454" s="281">
        <v>0</v>
      </c>
      <c r="I454" s="358" t="str">
        <f>IFERROR(F454/#REF!,"-")</f>
        <v>-</v>
      </c>
      <c r="J454" s="339">
        <f t="shared" si="422"/>
        <v>8248</v>
      </c>
      <c r="K454" s="281">
        <f t="shared" si="417"/>
        <v>7200</v>
      </c>
      <c r="L454" s="250">
        <f t="shared" si="418"/>
        <v>1048</v>
      </c>
      <c r="M454" s="265" t="str">
        <f t="shared" si="423"/>
        <v>-</v>
      </c>
      <c r="N454" s="268">
        <f t="shared" ref="N454" si="424">IFERROR(L454/J454,"-")</f>
        <v>0.1270611057225994</v>
      </c>
      <c r="O454" s="519">
        <v>55.4758</v>
      </c>
      <c r="P454" s="410">
        <f t="shared" si="419"/>
        <v>0</v>
      </c>
      <c r="Q454" s="459">
        <f t="shared" si="420"/>
        <v>399425.76</v>
      </c>
    </row>
    <row r="455" spans="1:17" ht="23.4" x14ac:dyDescent="0.4">
      <c r="A455" s="248" t="s">
        <v>109</v>
      </c>
      <c r="B455" s="980"/>
      <c r="C455" s="558" t="s">
        <v>75</v>
      </c>
      <c r="D455" s="279"/>
      <c r="E455" s="542"/>
      <c r="F455" s="340">
        <f t="shared" si="421"/>
        <v>0</v>
      </c>
      <c r="G455" s="281">
        <v>0</v>
      </c>
      <c r="H455" s="281">
        <v>0</v>
      </c>
      <c r="I455" s="358" t="str">
        <f>IFERROR(F455/#REF!,"-")</f>
        <v>-</v>
      </c>
      <c r="J455" s="339">
        <f t="shared" si="422"/>
        <v>5350</v>
      </c>
      <c r="K455" s="281">
        <f t="shared" si="417"/>
        <v>4150</v>
      </c>
      <c r="L455" s="250">
        <f t="shared" si="418"/>
        <v>1200</v>
      </c>
      <c r="M455" s="522"/>
      <c r="N455" s="378"/>
      <c r="O455" s="553">
        <v>58.836300000000001</v>
      </c>
      <c r="P455" s="410">
        <f t="shared" si="419"/>
        <v>0</v>
      </c>
      <c r="Q455" s="459">
        <f t="shared" si="420"/>
        <v>244170.64500000002</v>
      </c>
    </row>
    <row r="456" spans="1:17" ht="24" thickBot="1" x14ac:dyDescent="0.45">
      <c r="A456" s="248" t="s">
        <v>109</v>
      </c>
      <c r="B456" s="981"/>
      <c r="C456" s="558" t="s">
        <v>435</v>
      </c>
      <c r="D456" s="279"/>
      <c r="E456" s="441"/>
      <c r="F456" s="340">
        <f t="shared" si="421"/>
        <v>5428</v>
      </c>
      <c r="G456" s="281">
        <v>4950</v>
      </c>
      <c r="H456" s="281">
        <v>478</v>
      </c>
      <c r="I456" s="358" t="str">
        <f>IFERROR(F456/#REF!,"-")</f>
        <v>-</v>
      </c>
      <c r="J456" s="339">
        <f t="shared" si="422"/>
        <v>7828</v>
      </c>
      <c r="K456" s="281">
        <f t="shared" si="417"/>
        <v>6900</v>
      </c>
      <c r="L456" s="250">
        <f t="shared" si="418"/>
        <v>928</v>
      </c>
      <c r="M456" s="265" t="str">
        <f t="shared" ref="M456:M482" si="425">IFERROR(J456/D456,"-")</f>
        <v>-</v>
      </c>
      <c r="N456" s="264">
        <f t="shared" ref="N456:N481" si="426">IFERROR(L456/J456,"-")</f>
        <v>0.11854879918242207</v>
      </c>
      <c r="O456" s="519">
        <v>55.4758</v>
      </c>
      <c r="P456" s="410">
        <f t="shared" si="419"/>
        <v>274605.21000000002</v>
      </c>
      <c r="Q456" s="459">
        <f t="shared" si="420"/>
        <v>382783.02</v>
      </c>
    </row>
    <row r="457" spans="1:17" ht="23.4" x14ac:dyDescent="0.4">
      <c r="A457" s="248" t="s">
        <v>109</v>
      </c>
      <c r="B457" s="979" t="s">
        <v>79</v>
      </c>
      <c r="C457" s="556" t="s">
        <v>80</v>
      </c>
      <c r="D457" s="279"/>
      <c r="E457" s="442"/>
      <c r="F457" s="339">
        <f t="shared" si="421"/>
        <v>0</v>
      </c>
      <c r="G457" s="281">
        <v>0</v>
      </c>
      <c r="H457" s="281">
        <v>0</v>
      </c>
      <c r="I457" s="358" t="str">
        <f>IFERROR(F457/#REF!,"-")</f>
        <v>-</v>
      </c>
      <c r="J457" s="339">
        <f t="shared" si="422"/>
        <v>0</v>
      </c>
      <c r="K457" s="281">
        <f t="shared" si="417"/>
        <v>0</v>
      </c>
      <c r="L457" s="250">
        <f t="shared" si="418"/>
        <v>0</v>
      </c>
      <c r="M457" s="265" t="str">
        <f t="shared" si="425"/>
        <v>-</v>
      </c>
      <c r="N457" s="264" t="str">
        <f t="shared" si="426"/>
        <v>-</v>
      </c>
      <c r="O457" s="519">
        <v>25.687200000000001</v>
      </c>
      <c r="P457" s="410">
        <f t="shared" si="419"/>
        <v>0</v>
      </c>
      <c r="Q457" s="459">
        <f t="shared" si="420"/>
        <v>0</v>
      </c>
    </row>
    <row r="458" spans="1:17" ht="24" thickBot="1" x14ac:dyDescent="0.45">
      <c r="A458" s="248" t="s">
        <v>109</v>
      </c>
      <c r="B458" s="981"/>
      <c r="C458" s="556" t="s">
        <v>125</v>
      </c>
      <c r="D458" s="279"/>
      <c r="E458" s="442"/>
      <c r="F458" s="339">
        <f t="shared" si="421"/>
        <v>0</v>
      </c>
      <c r="G458" s="281">
        <v>0</v>
      </c>
      <c r="H458" s="281">
        <v>0</v>
      </c>
      <c r="I458" s="358" t="str">
        <f>IFERROR(F458/#REF!,"-")</f>
        <v>-</v>
      </c>
      <c r="J458" s="339">
        <f t="shared" si="422"/>
        <v>0</v>
      </c>
      <c r="K458" s="281">
        <f t="shared" si="417"/>
        <v>0</v>
      </c>
      <c r="L458" s="250">
        <f t="shared" si="418"/>
        <v>0</v>
      </c>
      <c r="M458" s="265" t="str">
        <f t="shared" si="425"/>
        <v>-</v>
      </c>
      <c r="N458" s="264" t="str">
        <f t="shared" si="426"/>
        <v>-</v>
      </c>
      <c r="O458" s="519">
        <v>25.033899999999999</v>
      </c>
      <c r="P458" s="410">
        <f t="shared" si="419"/>
        <v>0</v>
      </c>
      <c r="Q458" s="459">
        <f t="shared" si="420"/>
        <v>0</v>
      </c>
    </row>
    <row r="459" spans="1:17" ht="23.4" x14ac:dyDescent="0.4">
      <c r="A459" s="248"/>
      <c r="B459" s="979" t="s">
        <v>81</v>
      </c>
      <c r="C459" s="556" t="s">
        <v>82</v>
      </c>
      <c r="D459" s="279"/>
      <c r="E459" s="442"/>
      <c r="F459" s="339">
        <f t="shared" si="421"/>
        <v>0</v>
      </c>
      <c r="G459" s="281">
        <v>0</v>
      </c>
      <c r="H459" s="281">
        <v>0</v>
      </c>
      <c r="I459" s="358" t="str">
        <f>IFERROR(F459/#REF!,"-")</f>
        <v>-</v>
      </c>
      <c r="J459" s="339">
        <f t="shared" si="422"/>
        <v>4860</v>
      </c>
      <c r="K459" s="281">
        <f t="shared" si="417"/>
        <v>4840</v>
      </c>
      <c r="L459" s="250">
        <f t="shared" si="418"/>
        <v>20</v>
      </c>
      <c r="M459" s="265" t="str">
        <f t="shared" si="425"/>
        <v>-</v>
      </c>
      <c r="N459" s="264">
        <f t="shared" si="426"/>
        <v>4.11522633744856E-3</v>
      </c>
      <c r="O459" s="519">
        <v>41.992699999999999</v>
      </c>
      <c r="P459" s="410">
        <f t="shared" si="419"/>
        <v>0</v>
      </c>
      <c r="Q459" s="459">
        <f t="shared" si="420"/>
        <v>203244.66800000001</v>
      </c>
    </row>
    <row r="460" spans="1:17" ht="24" thickBot="1" x14ac:dyDescent="0.45">
      <c r="A460" s="248"/>
      <c r="B460" s="980"/>
      <c r="C460" s="556" t="s">
        <v>364</v>
      </c>
      <c r="D460" s="279"/>
      <c r="E460" s="442"/>
      <c r="F460" s="339">
        <f t="shared" si="421"/>
        <v>0</v>
      </c>
      <c r="G460" s="281">
        <v>0</v>
      </c>
      <c r="H460" s="281">
        <v>0</v>
      </c>
      <c r="I460" s="358" t="str">
        <f>IFERROR(F460/#REF!,"-")</f>
        <v>-</v>
      </c>
      <c r="J460" s="339">
        <f t="shared" si="422"/>
        <v>0</v>
      </c>
      <c r="K460" s="281">
        <f t="shared" si="417"/>
        <v>0</v>
      </c>
      <c r="L460" s="250">
        <f t="shared" si="418"/>
        <v>0</v>
      </c>
      <c r="M460" s="265" t="str">
        <f t="shared" si="425"/>
        <v>-</v>
      </c>
      <c r="N460" s="264" t="str">
        <f t="shared" si="426"/>
        <v>-</v>
      </c>
      <c r="O460" s="519">
        <v>41.992699999999999</v>
      </c>
      <c r="P460" s="410">
        <f t="shared" si="419"/>
        <v>0</v>
      </c>
      <c r="Q460" s="459">
        <f t="shared" si="420"/>
        <v>0</v>
      </c>
    </row>
    <row r="461" spans="1:17" ht="24" thickBot="1" x14ac:dyDescent="0.45">
      <c r="A461" s="248"/>
      <c r="B461" s="559" t="s">
        <v>83</v>
      </c>
      <c r="C461" s="556" t="s">
        <v>84</v>
      </c>
      <c r="D461" s="279"/>
      <c r="E461" s="442"/>
      <c r="F461" s="339">
        <f t="shared" si="421"/>
        <v>0</v>
      </c>
      <c r="G461" s="281">
        <v>0</v>
      </c>
      <c r="H461" s="281">
        <v>0</v>
      </c>
      <c r="I461" s="358" t="str">
        <f>IFERROR(F461/#REF!,"-")</f>
        <v>-</v>
      </c>
      <c r="J461" s="339">
        <f t="shared" si="422"/>
        <v>0</v>
      </c>
      <c r="K461" s="281">
        <f t="shared" si="417"/>
        <v>0</v>
      </c>
      <c r="L461" s="250">
        <f t="shared" si="418"/>
        <v>0</v>
      </c>
      <c r="M461" s="265" t="str">
        <f t="shared" si="425"/>
        <v>-</v>
      </c>
      <c r="N461" s="264" t="str">
        <f t="shared" si="426"/>
        <v>-</v>
      </c>
      <c r="O461" s="519">
        <v>4.3535000000000004</v>
      </c>
      <c r="P461" s="410">
        <f t="shared" si="419"/>
        <v>0</v>
      </c>
      <c r="Q461" s="459">
        <f t="shared" si="420"/>
        <v>0</v>
      </c>
    </row>
    <row r="462" spans="1:17" ht="23.4" x14ac:dyDescent="0.4">
      <c r="A462" s="248"/>
      <c r="B462" s="979" t="s">
        <v>280</v>
      </c>
      <c r="C462" s="556" t="s">
        <v>80</v>
      </c>
      <c r="D462" s="279"/>
      <c r="E462" s="442"/>
      <c r="F462" s="339">
        <f t="shared" si="421"/>
        <v>0</v>
      </c>
      <c r="G462" s="281">
        <v>0</v>
      </c>
      <c r="H462" s="281">
        <v>0</v>
      </c>
      <c r="I462" s="358" t="str">
        <f>IFERROR(F462/#REF!,"-")</f>
        <v>-</v>
      </c>
      <c r="J462" s="339">
        <f t="shared" si="422"/>
        <v>0</v>
      </c>
      <c r="K462" s="281">
        <f t="shared" si="417"/>
        <v>0</v>
      </c>
      <c r="L462" s="250">
        <f t="shared" si="418"/>
        <v>0</v>
      </c>
      <c r="M462" s="265" t="str">
        <f t="shared" si="425"/>
        <v>-</v>
      </c>
      <c r="N462" s="264" t="str">
        <f t="shared" si="426"/>
        <v>-</v>
      </c>
      <c r="O462" s="519">
        <v>4.6184000000000003</v>
      </c>
      <c r="P462" s="410">
        <f t="shared" si="419"/>
        <v>0</v>
      </c>
      <c r="Q462" s="459">
        <f t="shared" si="420"/>
        <v>0</v>
      </c>
    </row>
    <row r="463" spans="1:17" ht="23.4" x14ac:dyDescent="0.4">
      <c r="A463" s="248"/>
      <c r="B463" s="980"/>
      <c r="C463" s="556" t="s">
        <v>407</v>
      </c>
      <c r="D463" s="279"/>
      <c r="E463" s="442"/>
      <c r="F463" s="339">
        <f t="shared" si="421"/>
        <v>0</v>
      </c>
      <c r="G463" s="281">
        <v>0</v>
      </c>
      <c r="H463" s="281">
        <v>0</v>
      </c>
      <c r="I463" s="358" t="str">
        <f>IFERROR(F463/#REF!,"-")</f>
        <v>-</v>
      </c>
      <c r="J463" s="339">
        <f t="shared" si="422"/>
        <v>146140</v>
      </c>
      <c r="K463" s="281">
        <f t="shared" si="417"/>
        <v>144842</v>
      </c>
      <c r="L463" s="250">
        <f t="shared" si="418"/>
        <v>1298</v>
      </c>
      <c r="M463" s="265" t="str">
        <f t="shared" si="425"/>
        <v>-</v>
      </c>
      <c r="N463" s="264">
        <f t="shared" si="426"/>
        <v>8.8818940741754483E-3</v>
      </c>
      <c r="O463" s="519">
        <v>4.6184000000000003</v>
      </c>
      <c r="P463" s="410">
        <f t="shared" si="419"/>
        <v>0</v>
      </c>
      <c r="Q463" s="459">
        <f t="shared" si="420"/>
        <v>668938.29280000005</v>
      </c>
    </row>
    <row r="464" spans="1:17" ht="23.4" x14ac:dyDescent="0.4">
      <c r="A464" s="248"/>
      <c r="B464" s="980"/>
      <c r="C464" s="556" t="s">
        <v>279</v>
      </c>
      <c r="D464" s="279"/>
      <c r="E464" s="442"/>
      <c r="F464" s="339">
        <f t="shared" si="421"/>
        <v>0</v>
      </c>
      <c r="G464" s="281">
        <v>0</v>
      </c>
      <c r="H464" s="281">
        <v>0</v>
      </c>
      <c r="I464" s="358" t="str">
        <f>IFERROR(F464/#REF!,"-")</f>
        <v>-</v>
      </c>
      <c r="J464" s="339">
        <f t="shared" si="422"/>
        <v>0</v>
      </c>
      <c r="K464" s="281">
        <f t="shared" si="417"/>
        <v>0</v>
      </c>
      <c r="L464" s="250">
        <f t="shared" si="418"/>
        <v>0</v>
      </c>
      <c r="M464" s="265" t="str">
        <f t="shared" si="425"/>
        <v>-</v>
      </c>
      <c r="N464" s="264" t="str">
        <f t="shared" si="426"/>
        <v>-</v>
      </c>
      <c r="O464" s="519">
        <v>4.6184000000000003</v>
      </c>
      <c r="P464" s="410">
        <f t="shared" si="419"/>
        <v>0</v>
      </c>
      <c r="Q464" s="459">
        <f t="shared" si="420"/>
        <v>0</v>
      </c>
    </row>
    <row r="465" spans="1:17" ht="23.4" x14ac:dyDescent="0.4">
      <c r="A465" s="248"/>
      <c r="B465" s="980"/>
      <c r="C465" s="556" t="s">
        <v>440</v>
      </c>
      <c r="D465" s="279"/>
      <c r="E465" s="442"/>
      <c r="F465" s="339">
        <f t="shared" si="421"/>
        <v>22123</v>
      </c>
      <c r="G465" s="281">
        <v>22000</v>
      </c>
      <c r="H465" s="281">
        <v>123</v>
      </c>
      <c r="I465" s="358" t="str">
        <f>IFERROR(F465/#REF!,"-")</f>
        <v>-</v>
      </c>
      <c r="J465" s="339">
        <f t="shared" si="422"/>
        <v>36521</v>
      </c>
      <c r="K465" s="281">
        <f t="shared" si="417"/>
        <v>36300</v>
      </c>
      <c r="L465" s="250">
        <f t="shared" si="418"/>
        <v>221</v>
      </c>
      <c r="M465" s="265" t="str">
        <f t="shared" si="425"/>
        <v>-</v>
      </c>
      <c r="N465" s="264">
        <f t="shared" si="426"/>
        <v>6.0513129432381366E-3</v>
      </c>
      <c r="O465" s="519">
        <v>4.7636000000000003</v>
      </c>
      <c r="P465" s="410">
        <f t="shared" si="419"/>
        <v>104799.20000000001</v>
      </c>
      <c r="Q465" s="459">
        <f t="shared" si="420"/>
        <v>172918.68000000002</v>
      </c>
    </row>
    <row r="466" spans="1:17" ht="24" thickBot="1" x14ac:dyDescent="0.45">
      <c r="A466" s="248"/>
      <c r="B466" s="981"/>
      <c r="C466" s="556" t="s">
        <v>429</v>
      </c>
      <c r="D466" s="279"/>
      <c r="E466" s="442"/>
      <c r="F466" s="339">
        <f t="shared" si="421"/>
        <v>0</v>
      </c>
      <c r="G466" s="281">
        <v>0</v>
      </c>
      <c r="H466" s="281">
        <v>0</v>
      </c>
      <c r="I466" s="358" t="str">
        <f>IFERROR(F466/#REF!,"-")</f>
        <v>-</v>
      </c>
      <c r="J466" s="339">
        <f t="shared" si="422"/>
        <v>12296</v>
      </c>
      <c r="K466" s="281">
        <f t="shared" si="417"/>
        <v>12100</v>
      </c>
      <c r="L466" s="250">
        <f t="shared" si="418"/>
        <v>196</v>
      </c>
      <c r="M466" s="265" t="str">
        <f t="shared" si="425"/>
        <v>-</v>
      </c>
      <c r="N466" s="264">
        <f t="shared" si="426"/>
        <v>1.594014313597918E-2</v>
      </c>
      <c r="O466" s="519">
        <v>4.8738000000000001</v>
      </c>
      <c r="P466" s="410">
        <f t="shared" si="419"/>
        <v>0</v>
      </c>
      <c r="Q466" s="459">
        <f t="shared" si="420"/>
        <v>58972.98</v>
      </c>
    </row>
    <row r="467" spans="1:17" ht="24" thickBot="1" x14ac:dyDescent="0.45">
      <c r="A467" s="248"/>
      <c r="B467" s="559" t="s">
        <v>281</v>
      </c>
      <c r="C467" s="556" t="s">
        <v>132</v>
      </c>
      <c r="D467" s="279"/>
      <c r="E467" s="442"/>
      <c r="F467" s="339">
        <f t="shared" si="421"/>
        <v>0</v>
      </c>
      <c r="G467" s="281">
        <v>0</v>
      </c>
      <c r="H467" s="281">
        <v>0</v>
      </c>
      <c r="I467" s="358" t="str">
        <f>IFERROR(F467/#REF!,"-")</f>
        <v>-</v>
      </c>
      <c r="J467" s="339">
        <f t="shared" si="422"/>
        <v>0</v>
      </c>
      <c r="K467" s="281">
        <f t="shared" si="417"/>
        <v>0</v>
      </c>
      <c r="L467" s="250">
        <f t="shared" si="418"/>
        <v>0</v>
      </c>
      <c r="M467" s="265" t="str">
        <f t="shared" si="425"/>
        <v>-</v>
      </c>
      <c r="N467" s="264" t="str">
        <f t="shared" si="426"/>
        <v>-</v>
      </c>
      <c r="O467" s="519">
        <v>4.8738000000000001</v>
      </c>
      <c r="P467" s="410">
        <f t="shared" si="419"/>
        <v>0</v>
      </c>
      <c r="Q467" s="459">
        <f t="shared" si="420"/>
        <v>0</v>
      </c>
    </row>
    <row r="468" spans="1:17" ht="23.4" x14ac:dyDescent="0.4">
      <c r="A468" s="248"/>
      <c r="B468" s="979" t="s">
        <v>283</v>
      </c>
      <c r="C468" s="556" t="s">
        <v>80</v>
      </c>
      <c r="D468" s="279"/>
      <c r="E468" s="442"/>
      <c r="F468" s="339">
        <f t="shared" si="421"/>
        <v>19858</v>
      </c>
      <c r="G468" s="281">
        <v>19500</v>
      </c>
      <c r="H468" s="281">
        <v>358</v>
      </c>
      <c r="I468" s="358" t="str">
        <f>IFERROR(F468/#REF!,"-")</f>
        <v>-</v>
      </c>
      <c r="J468" s="339">
        <f t="shared" si="422"/>
        <v>162988</v>
      </c>
      <c r="K468" s="281">
        <f t="shared" si="417"/>
        <v>159250</v>
      </c>
      <c r="L468" s="281">
        <f t="shared" si="418"/>
        <v>3738</v>
      </c>
      <c r="M468" s="265" t="str">
        <f t="shared" si="425"/>
        <v>-</v>
      </c>
      <c r="N468" s="264">
        <f t="shared" si="426"/>
        <v>2.2934203745060985E-2</v>
      </c>
      <c r="O468" s="519">
        <v>4.9344999999999999</v>
      </c>
      <c r="P468" s="410">
        <f t="shared" si="419"/>
        <v>96222.75</v>
      </c>
      <c r="Q468" s="459">
        <f t="shared" si="420"/>
        <v>785819.125</v>
      </c>
    </row>
    <row r="469" spans="1:17" ht="23.4" x14ac:dyDescent="0.4">
      <c r="A469" s="248"/>
      <c r="B469" s="980"/>
      <c r="C469" s="556" t="s">
        <v>143</v>
      </c>
      <c r="D469" s="279"/>
      <c r="E469" s="442"/>
      <c r="F469" s="339">
        <f t="shared" si="421"/>
        <v>0</v>
      </c>
      <c r="G469" s="281">
        <v>0</v>
      </c>
      <c r="H469" s="281">
        <v>0</v>
      </c>
      <c r="I469" s="358" t="str">
        <f>IFERROR(F469/#REF!,"-")</f>
        <v>-</v>
      </c>
      <c r="J469" s="339">
        <f t="shared" si="422"/>
        <v>0</v>
      </c>
      <c r="K469" s="281">
        <f t="shared" si="417"/>
        <v>0</v>
      </c>
      <c r="L469" s="250">
        <f t="shared" si="418"/>
        <v>0</v>
      </c>
      <c r="M469" s="265" t="str">
        <f t="shared" si="425"/>
        <v>-</v>
      </c>
      <c r="N469" s="264" t="str">
        <f t="shared" si="426"/>
        <v>-</v>
      </c>
      <c r="O469" s="519">
        <v>4.9344999999999999</v>
      </c>
      <c r="P469" s="410">
        <f t="shared" si="419"/>
        <v>0</v>
      </c>
      <c r="Q469" s="459">
        <f t="shared" si="420"/>
        <v>0</v>
      </c>
    </row>
    <row r="470" spans="1:17" ht="23.4" x14ac:dyDescent="0.4">
      <c r="A470" s="248"/>
      <c r="B470" s="980"/>
      <c r="C470" s="556" t="s">
        <v>137</v>
      </c>
      <c r="D470" s="279"/>
      <c r="E470" s="442"/>
      <c r="F470" s="339">
        <f t="shared" si="421"/>
        <v>0</v>
      </c>
      <c r="G470" s="281">
        <v>0</v>
      </c>
      <c r="H470" s="281">
        <v>0</v>
      </c>
      <c r="I470" s="358" t="str">
        <f>IFERROR(F470/#REF!,"-")</f>
        <v>-</v>
      </c>
      <c r="J470" s="339">
        <f t="shared" si="422"/>
        <v>0</v>
      </c>
      <c r="K470" s="281">
        <f t="shared" si="417"/>
        <v>0</v>
      </c>
      <c r="L470" s="250">
        <f t="shared" si="418"/>
        <v>0</v>
      </c>
      <c r="M470" s="265" t="str">
        <f t="shared" si="425"/>
        <v>-</v>
      </c>
      <c r="N470" s="264" t="str">
        <f t="shared" si="426"/>
        <v>-</v>
      </c>
      <c r="O470" s="519">
        <v>4.9344999999999999</v>
      </c>
      <c r="P470" s="410">
        <f t="shared" si="419"/>
        <v>0</v>
      </c>
      <c r="Q470" s="459">
        <f t="shared" si="420"/>
        <v>0</v>
      </c>
    </row>
    <row r="471" spans="1:17" ht="24" thickBot="1" x14ac:dyDescent="0.45">
      <c r="A471" s="248"/>
      <c r="B471" s="981"/>
      <c r="C471" s="556" t="s">
        <v>282</v>
      </c>
      <c r="D471" s="279"/>
      <c r="E471" s="442"/>
      <c r="F471" s="339">
        <f t="shared" si="421"/>
        <v>0</v>
      </c>
      <c r="G471" s="281">
        <v>0</v>
      </c>
      <c r="H471" s="281">
        <v>0</v>
      </c>
      <c r="I471" s="358" t="str">
        <f>IFERROR(F471/#REF!,"-")</f>
        <v>-</v>
      </c>
      <c r="J471" s="339">
        <f t="shared" si="422"/>
        <v>0</v>
      </c>
      <c r="K471" s="281">
        <f t="shared" si="417"/>
        <v>0</v>
      </c>
      <c r="L471" s="250">
        <f t="shared" si="418"/>
        <v>0</v>
      </c>
      <c r="M471" s="265" t="str">
        <f t="shared" si="425"/>
        <v>-</v>
      </c>
      <c r="N471" s="264" t="str">
        <f t="shared" si="426"/>
        <v>-</v>
      </c>
      <c r="O471" s="519">
        <v>5.5069999999999997</v>
      </c>
      <c r="P471" s="410">
        <f t="shared" si="419"/>
        <v>0</v>
      </c>
      <c r="Q471" s="459">
        <f t="shared" si="420"/>
        <v>0</v>
      </c>
    </row>
    <row r="472" spans="1:17" ht="23.4" x14ac:dyDescent="0.4">
      <c r="A472" s="248"/>
      <c r="B472" s="979" t="s">
        <v>288</v>
      </c>
      <c r="C472" s="556" t="s">
        <v>284</v>
      </c>
      <c r="D472" s="279"/>
      <c r="E472" s="442"/>
      <c r="F472" s="339">
        <f t="shared" si="421"/>
        <v>0</v>
      </c>
      <c r="G472" s="281">
        <v>0</v>
      </c>
      <c r="H472" s="281">
        <v>0</v>
      </c>
      <c r="I472" s="358" t="str">
        <f>IFERROR(F472/#REF!,"-")</f>
        <v>-</v>
      </c>
      <c r="J472" s="339">
        <f t="shared" si="422"/>
        <v>0</v>
      </c>
      <c r="K472" s="281">
        <f t="shared" si="417"/>
        <v>0</v>
      </c>
      <c r="L472" s="250">
        <f t="shared" si="418"/>
        <v>0</v>
      </c>
      <c r="M472" s="265" t="str">
        <f t="shared" si="425"/>
        <v>-</v>
      </c>
      <c r="N472" s="264" t="str">
        <f t="shared" si="426"/>
        <v>-</v>
      </c>
      <c r="O472" s="519">
        <v>5.6550000000000002</v>
      </c>
      <c r="P472" s="410">
        <f t="shared" si="419"/>
        <v>0</v>
      </c>
      <c r="Q472" s="459">
        <f t="shared" si="420"/>
        <v>0</v>
      </c>
    </row>
    <row r="473" spans="1:17" ht="23.4" x14ac:dyDescent="0.4">
      <c r="A473" s="248"/>
      <c r="B473" s="980"/>
      <c r="C473" s="556" t="s">
        <v>285</v>
      </c>
      <c r="D473" s="279"/>
      <c r="E473" s="442"/>
      <c r="F473" s="339">
        <f t="shared" si="421"/>
        <v>0</v>
      </c>
      <c r="G473" s="281">
        <v>0</v>
      </c>
      <c r="H473" s="281">
        <v>0</v>
      </c>
      <c r="I473" s="358" t="str">
        <f>IFERROR(F473/#REF!,"-")</f>
        <v>-</v>
      </c>
      <c r="J473" s="339">
        <f t="shared" si="422"/>
        <v>0</v>
      </c>
      <c r="K473" s="281">
        <f t="shared" si="417"/>
        <v>0</v>
      </c>
      <c r="L473" s="250">
        <f t="shared" si="418"/>
        <v>0</v>
      </c>
      <c r="M473" s="265" t="str">
        <f t="shared" si="425"/>
        <v>-</v>
      </c>
      <c r="N473" s="264" t="str">
        <f t="shared" si="426"/>
        <v>-</v>
      </c>
      <c r="O473" s="519">
        <v>5.6550000000000002</v>
      </c>
      <c r="P473" s="410">
        <f t="shared" si="419"/>
        <v>0</v>
      </c>
      <c r="Q473" s="459">
        <f t="shared" si="420"/>
        <v>0</v>
      </c>
    </row>
    <row r="474" spans="1:17" ht="23.4" x14ac:dyDescent="0.4">
      <c r="A474" s="248"/>
      <c r="B474" s="980"/>
      <c r="C474" s="556" t="s">
        <v>374</v>
      </c>
      <c r="D474" s="279"/>
      <c r="E474" s="442"/>
      <c r="F474" s="339">
        <f t="shared" si="421"/>
        <v>20988</v>
      </c>
      <c r="G474" s="281">
        <v>20500</v>
      </c>
      <c r="H474" s="281">
        <v>488</v>
      </c>
      <c r="I474" s="358" t="str">
        <f>IFERROR(F474/#REF!,"-")</f>
        <v>-</v>
      </c>
      <c r="J474" s="339">
        <f t="shared" si="422"/>
        <v>163069</v>
      </c>
      <c r="K474" s="281">
        <f t="shared" si="417"/>
        <v>160950</v>
      </c>
      <c r="L474" s="250">
        <f t="shared" si="418"/>
        <v>2119</v>
      </c>
      <c r="M474" s="265" t="str">
        <f t="shared" si="425"/>
        <v>-</v>
      </c>
      <c r="N474" s="264">
        <f t="shared" si="426"/>
        <v>1.2994499261049003E-2</v>
      </c>
      <c r="O474" s="519">
        <v>5.6550000000000002</v>
      </c>
      <c r="P474" s="410">
        <f t="shared" si="419"/>
        <v>115927.5</v>
      </c>
      <c r="Q474" s="459">
        <f t="shared" si="420"/>
        <v>910172.25</v>
      </c>
    </row>
    <row r="475" spans="1:17" ht="23.4" x14ac:dyDescent="0.4">
      <c r="A475" s="248"/>
      <c r="B475" s="980"/>
      <c r="C475" s="556" t="s">
        <v>286</v>
      </c>
      <c r="D475" s="279"/>
      <c r="E475" s="442"/>
      <c r="F475" s="339">
        <f t="shared" si="421"/>
        <v>0</v>
      </c>
      <c r="G475" s="281">
        <v>0</v>
      </c>
      <c r="H475" s="281">
        <v>0</v>
      </c>
      <c r="I475" s="358" t="str">
        <f>IFERROR(F475/#REF!,"-")</f>
        <v>-</v>
      </c>
      <c r="J475" s="339">
        <f t="shared" si="422"/>
        <v>0</v>
      </c>
      <c r="K475" s="281">
        <f t="shared" si="417"/>
        <v>0</v>
      </c>
      <c r="L475" s="250">
        <f t="shared" si="418"/>
        <v>0</v>
      </c>
      <c r="M475" s="265" t="str">
        <f t="shared" si="425"/>
        <v>-</v>
      </c>
      <c r="N475" s="264" t="str">
        <f t="shared" si="426"/>
        <v>-</v>
      </c>
      <c r="O475" s="519">
        <v>5.6550000000000002</v>
      </c>
      <c r="P475" s="410">
        <f t="shared" si="419"/>
        <v>0</v>
      </c>
      <c r="Q475" s="459">
        <f t="shared" si="420"/>
        <v>0</v>
      </c>
    </row>
    <row r="476" spans="1:17" ht="23.4" x14ac:dyDescent="0.4">
      <c r="A476" s="248" t="s">
        <v>109</v>
      </c>
      <c r="B476" s="980"/>
      <c r="C476" s="556" t="s">
        <v>287</v>
      </c>
      <c r="D476" s="279"/>
      <c r="E476" s="442"/>
      <c r="F476" s="339">
        <f t="shared" si="421"/>
        <v>0</v>
      </c>
      <c r="G476" s="281">
        <v>0</v>
      </c>
      <c r="H476" s="281">
        <v>0</v>
      </c>
      <c r="I476" s="358" t="str">
        <f>IFERROR(F476/#REF!,"-")</f>
        <v>-</v>
      </c>
      <c r="J476" s="339">
        <f t="shared" si="422"/>
        <v>0</v>
      </c>
      <c r="K476" s="281">
        <f t="shared" si="417"/>
        <v>0</v>
      </c>
      <c r="L476" s="250">
        <f t="shared" si="418"/>
        <v>0</v>
      </c>
      <c r="M476" s="265" t="str">
        <f t="shared" si="425"/>
        <v>-</v>
      </c>
      <c r="N476" s="264" t="str">
        <f t="shared" si="426"/>
        <v>-</v>
      </c>
      <c r="O476" s="519">
        <v>3.2963</v>
      </c>
      <c r="P476" s="410">
        <f t="shared" si="419"/>
        <v>0</v>
      </c>
      <c r="Q476" s="459">
        <f t="shared" si="420"/>
        <v>0</v>
      </c>
    </row>
    <row r="477" spans="1:17" ht="24" thickBot="1" x14ac:dyDescent="0.45">
      <c r="A477" s="248" t="s">
        <v>109</v>
      </c>
      <c r="B477" s="981"/>
      <c r="C477" s="556" t="s">
        <v>282</v>
      </c>
      <c r="D477" s="279"/>
      <c r="E477" s="442"/>
      <c r="F477" s="339">
        <f t="shared" si="421"/>
        <v>0</v>
      </c>
      <c r="G477" s="281">
        <v>0</v>
      </c>
      <c r="H477" s="281">
        <v>0</v>
      </c>
      <c r="I477" s="358" t="str">
        <f>IFERROR(F477/#REF!,"-")</f>
        <v>-</v>
      </c>
      <c r="J477" s="339">
        <f t="shared" si="422"/>
        <v>0</v>
      </c>
      <c r="K477" s="281">
        <f t="shared" si="417"/>
        <v>0</v>
      </c>
      <c r="L477" s="250">
        <f t="shared" si="418"/>
        <v>0</v>
      </c>
      <c r="M477" s="265" t="str">
        <f t="shared" si="425"/>
        <v>-</v>
      </c>
      <c r="N477" s="264" t="str">
        <f t="shared" si="426"/>
        <v>-</v>
      </c>
      <c r="O477" s="519">
        <v>3.2963</v>
      </c>
      <c r="P477" s="410">
        <f t="shared" si="419"/>
        <v>0</v>
      </c>
      <c r="Q477" s="459">
        <f t="shared" si="420"/>
        <v>0</v>
      </c>
    </row>
    <row r="478" spans="1:17" ht="23.4" x14ac:dyDescent="0.4">
      <c r="A478" s="248" t="s">
        <v>109</v>
      </c>
      <c r="B478" s="560"/>
      <c r="C478" s="557" t="s">
        <v>92</v>
      </c>
      <c r="D478" s="523"/>
      <c r="E478" s="442"/>
      <c r="F478" s="339">
        <f t="shared" si="421"/>
        <v>0</v>
      </c>
      <c r="G478" s="281">
        <v>0</v>
      </c>
      <c r="H478" s="281">
        <v>0</v>
      </c>
      <c r="I478" s="358" t="str">
        <f>IFERROR(F478/#REF!,"-")</f>
        <v>-</v>
      </c>
      <c r="J478" s="339">
        <f t="shared" si="422"/>
        <v>0</v>
      </c>
      <c r="K478" s="281">
        <f t="shared" si="417"/>
        <v>0</v>
      </c>
      <c r="L478" s="250">
        <f t="shared" si="418"/>
        <v>0</v>
      </c>
      <c r="M478" s="265" t="str">
        <f t="shared" si="425"/>
        <v>-</v>
      </c>
      <c r="N478" s="264" t="str">
        <f t="shared" si="426"/>
        <v>-</v>
      </c>
      <c r="O478" s="519">
        <v>2.3201000000000001</v>
      </c>
      <c r="P478" s="410">
        <f t="shared" si="419"/>
        <v>0</v>
      </c>
      <c r="Q478" s="459">
        <f t="shared" si="420"/>
        <v>0</v>
      </c>
    </row>
    <row r="479" spans="1:17" ht="24" thickBot="1" x14ac:dyDescent="0.35">
      <c r="A479" s="248" t="s">
        <v>109</v>
      </c>
      <c r="B479" s="537"/>
      <c r="C479" s="554"/>
      <c r="D479" s="543"/>
      <c r="E479" s="473"/>
      <c r="F479" s="471">
        <f t="shared" si="421"/>
        <v>0</v>
      </c>
      <c r="G479" s="472"/>
      <c r="H479" s="472"/>
      <c r="I479" s="545" t="str">
        <f>IFERROR(F479/#REF!,"-")</f>
        <v>-</v>
      </c>
      <c r="J479" s="471">
        <f t="shared" si="422"/>
        <v>0</v>
      </c>
      <c r="K479" s="472">
        <f t="shared" si="417"/>
        <v>0</v>
      </c>
      <c r="L479" s="257">
        <f t="shared" si="418"/>
        <v>0</v>
      </c>
      <c r="M479" s="267" t="str">
        <f t="shared" si="425"/>
        <v>-</v>
      </c>
      <c r="N479" s="266" t="str">
        <f t="shared" si="426"/>
        <v>-</v>
      </c>
      <c r="O479" s="552"/>
      <c r="P479" s="549">
        <f t="shared" si="419"/>
        <v>0</v>
      </c>
      <c r="Q479" s="550">
        <f t="shared" si="420"/>
        <v>0</v>
      </c>
    </row>
    <row r="480" spans="1:17" ht="24" thickBot="1" x14ac:dyDescent="0.35">
      <c r="A480" s="277" t="s">
        <v>109</v>
      </c>
      <c r="B480" s="982" t="s">
        <v>25</v>
      </c>
      <c r="C480" s="983"/>
      <c r="D480" s="525">
        <f t="shared" ref="D480" si="427">SUM(D456:D479)</f>
        <v>0</v>
      </c>
      <c r="E480" s="539">
        <v>100000</v>
      </c>
      <c r="F480" s="525">
        <f>SUM(F456:F479)</f>
        <v>68397</v>
      </c>
      <c r="G480" s="531">
        <f t="shared" ref="G480:H480" si="428">SUM(G456:G479)</f>
        <v>66950</v>
      </c>
      <c r="H480" s="531">
        <f t="shared" si="428"/>
        <v>1447</v>
      </c>
      <c r="I480" s="532" t="str">
        <f>IFERROR(F480/#REF!,"-")</f>
        <v>-</v>
      </c>
      <c r="J480" s="525">
        <f t="shared" ref="J480" si="429">SUM(J456:J479)</f>
        <v>533702</v>
      </c>
      <c r="K480" s="531">
        <f>SUM(K451:K479)</f>
        <v>569532</v>
      </c>
      <c r="L480" s="533">
        <f t="shared" ref="L480" si="430">SUM(L456:L479)</f>
        <v>8520</v>
      </c>
      <c r="M480" s="534" t="str">
        <f t="shared" si="425"/>
        <v>-</v>
      </c>
      <c r="N480" s="532">
        <f t="shared" si="426"/>
        <v>1.5963964909256476E-2</v>
      </c>
      <c r="O480" s="535"/>
      <c r="P480" s="536">
        <f>SUM(P451:P479)</f>
        <v>591554.66</v>
      </c>
      <c r="Q480" s="536">
        <f>SUM(Q451:Q479)</f>
        <v>4913673.3208000008</v>
      </c>
    </row>
    <row r="481" spans="1:17" ht="24" thickBot="1" x14ac:dyDescent="0.35">
      <c r="A481" s="324" t="s">
        <v>109</v>
      </c>
      <c r="B481" s="984" t="s">
        <v>276</v>
      </c>
      <c r="C481" s="927"/>
      <c r="D481" s="332">
        <f>+D455+D480</f>
        <v>0</v>
      </c>
      <c r="E481" s="333">
        <f>+E455+E480</f>
        <v>100000</v>
      </c>
      <c r="F481" s="332">
        <f>+F455+F480</f>
        <v>68397</v>
      </c>
      <c r="G481" s="330">
        <f>+G455+G480</f>
        <v>66950</v>
      </c>
      <c r="H481" s="330">
        <f>+H455+H480</f>
        <v>1447</v>
      </c>
      <c r="I481" s="355" t="str">
        <f>IFERROR(F481/#REF!,"-")</f>
        <v>-</v>
      </c>
      <c r="J481" s="332">
        <f>+J455+J480</f>
        <v>539052</v>
      </c>
      <c r="K481" s="330">
        <f>K480</f>
        <v>569532</v>
      </c>
      <c r="L481" s="331">
        <f>+L455+L480</f>
        <v>9720</v>
      </c>
      <c r="M481" s="347" t="str">
        <f t="shared" si="425"/>
        <v>-</v>
      </c>
      <c r="N481" s="355">
        <f t="shared" si="426"/>
        <v>1.8031655573117249E-2</v>
      </c>
      <c r="O481" s="400"/>
      <c r="P481" s="416">
        <f>+P455+P480</f>
        <v>591554.66</v>
      </c>
      <c r="Q481" s="434">
        <f>Q480</f>
        <v>4913673.3208000008</v>
      </c>
    </row>
    <row r="482" spans="1:17" ht="24.6" thickBot="1" x14ac:dyDescent="0.35">
      <c r="A482" s="325"/>
      <c r="B482" s="915" t="s">
        <v>183</v>
      </c>
      <c r="C482" s="916"/>
      <c r="D482" s="380">
        <f>+D481+D450+D441</f>
        <v>0</v>
      </c>
      <c r="E482" s="380">
        <f>+E481+E450+E441</f>
        <v>230000</v>
      </c>
      <c r="F482" s="380">
        <f>+F481+F450+F441</f>
        <v>266013</v>
      </c>
      <c r="G482" s="380">
        <f>+G481+G450+G441</f>
        <v>246630</v>
      </c>
      <c r="H482" s="380">
        <f>+H481+H450+H441</f>
        <v>19383</v>
      </c>
      <c r="I482" s="381" t="str">
        <f>IFERROR(F482/#REF!,"-")</f>
        <v>-</v>
      </c>
      <c r="J482" s="380">
        <f>+J481+J450+J441</f>
        <v>2212158</v>
      </c>
      <c r="K482" s="380">
        <f>+K481+K450+K441</f>
        <v>2174462</v>
      </c>
      <c r="L482" s="380">
        <f>+L481+L450+L441</f>
        <v>61616</v>
      </c>
      <c r="M482" s="381" t="str">
        <f t="shared" si="425"/>
        <v>-</v>
      </c>
      <c r="N482" s="381">
        <f>IFERROR(L482/J482,"-")</f>
        <v>2.7853345014234969E-2</v>
      </c>
      <c r="O482" s="407"/>
      <c r="P482" s="424">
        <f>+P481+P450+P441</f>
        <v>1534848.0920000002</v>
      </c>
      <c r="Q482" s="424">
        <f>+Q481+Q450+Q441</f>
        <v>13633323.961800002</v>
      </c>
    </row>
    <row r="483" spans="1:17" ht="23.4" x14ac:dyDescent="0.3">
      <c r="A483" s="935" t="s">
        <v>1</v>
      </c>
      <c r="B483" s="938" t="s">
        <v>2</v>
      </c>
      <c r="C483" s="941" t="s">
        <v>3</v>
      </c>
      <c r="D483" s="944" t="s">
        <v>4</v>
      </c>
      <c r="E483" s="945"/>
      <c r="F483" s="945"/>
      <c r="G483" s="945"/>
      <c r="H483" s="945"/>
      <c r="I483" s="945"/>
      <c r="J483" s="945"/>
      <c r="K483" s="945"/>
      <c r="L483" s="945"/>
      <c r="M483" s="945"/>
      <c r="N483" s="946"/>
      <c r="O483" s="965" t="s">
        <v>176</v>
      </c>
      <c r="P483" s="966"/>
      <c r="Q483" s="990"/>
    </row>
    <row r="484" spans="1:17" ht="23.4" x14ac:dyDescent="0.3">
      <c r="A484" s="936"/>
      <c r="B484" s="939"/>
      <c r="C484" s="942"/>
      <c r="D484" s="947" t="s">
        <v>7</v>
      </c>
      <c r="E484" s="949" t="s">
        <v>116</v>
      </c>
      <c r="F484" s="991" t="s">
        <v>448</v>
      </c>
      <c r="G484" s="952"/>
      <c r="H484" s="952"/>
      <c r="I484" s="953"/>
      <c r="J484" s="954" t="s">
        <v>8</v>
      </c>
      <c r="K484" s="955"/>
      <c r="L484" s="956"/>
      <c r="M484" s="957" t="s">
        <v>174</v>
      </c>
      <c r="N484" s="959" t="s">
        <v>173</v>
      </c>
      <c r="O484" s="967" t="s">
        <v>178</v>
      </c>
      <c r="P484" s="968"/>
      <c r="Q484" s="969"/>
    </row>
    <row r="485" spans="1:17" ht="47.4" thickBot="1" x14ac:dyDescent="0.35">
      <c r="A485" s="937"/>
      <c r="B485" s="940"/>
      <c r="C485" s="943"/>
      <c r="D485" s="948"/>
      <c r="E485" s="950"/>
      <c r="F485" s="462" t="s">
        <v>13</v>
      </c>
      <c r="G485" s="463" t="s">
        <v>14</v>
      </c>
      <c r="H485" s="463" t="s">
        <v>15</v>
      </c>
      <c r="I485" s="464" t="s">
        <v>175</v>
      </c>
      <c r="J485" s="462" t="s">
        <v>13</v>
      </c>
      <c r="K485" s="463" t="s">
        <v>14</v>
      </c>
      <c r="L485" s="465" t="s">
        <v>15</v>
      </c>
      <c r="M485" s="958"/>
      <c r="N485" s="960"/>
      <c r="O485" s="453" t="s">
        <v>179</v>
      </c>
      <c r="P485" s="454" t="s">
        <v>11</v>
      </c>
      <c r="Q485" s="455" t="s">
        <v>12</v>
      </c>
    </row>
    <row r="486" spans="1:17" ht="23.4" x14ac:dyDescent="0.3">
      <c r="A486" s="271" t="s">
        <v>111</v>
      </c>
      <c r="B486" s="445"/>
      <c r="C486" s="272" t="s">
        <v>272</v>
      </c>
      <c r="D486" s="273"/>
      <c r="E486" s="274"/>
      <c r="F486" s="338">
        <f>+G486+H486</f>
        <v>121304</v>
      </c>
      <c r="G486" s="275">
        <v>112840</v>
      </c>
      <c r="H486" s="275">
        <v>8464</v>
      </c>
      <c r="I486" s="357" t="str">
        <f>IFERROR(F486/#REF!,"-")</f>
        <v>-</v>
      </c>
      <c r="J486" s="468">
        <f>+K486+L486</f>
        <v>442954</v>
      </c>
      <c r="K486" s="469">
        <f>+G486+K427</f>
        <v>408800</v>
      </c>
      <c r="L486" s="470">
        <f>+H486+L427</f>
        <v>34154</v>
      </c>
      <c r="M486" s="342" t="str">
        <f>IFERROR(J486/D486,"-")</f>
        <v>-</v>
      </c>
      <c r="N486" s="349">
        <f t="shared" ref="N486:N487" si="431">IFERROR(L486/J486,"-")</f>
        <v>7.7105071858477398E-2</v>
      </c>
      <c r="O486" s="518">
        <v>1.5669</v>
      </c>
      <c r="P486" s="408">
        <f>+O486*G486</f>
        <v>176808.99599999998</v>
      </c>
      <c r="Q486" s="457">
        <f>+O486*K486</f>
        <v>640548.72</v>
      </c>
    </row>
    <row r="487" spans="1:17" ht="23.4" x14ac:dyDescent="0.3">
      <c r="A487" s="277" t="s">
        <v>111</v>
      </c>
      <c r="B487" s="444"/>
      <c r="C487" s="278" t="s">
        <v>271</v>
      </c>
      <c r="D487" s="279"/>
      <c r="E487" s="280"/>
      <c r="F487" s="339">
        <f t="shared" ref="F487:F490" si="432">+G487+H487</f>
        <v>0</v>
      </c>
      <c r="G487" s="281">
        <v>0</v>
      </c>
      <c r="H487" s="281">
        <v>0</v>
      </c>
      <c r="I487" s="358" t="str">
        <f>IFERROR(F487/#REF!,"-")</f>
        <v>-</v>
      </c>
      <c r="J487" s="339">
        <f t="shared" ref="J487:J490" si="433">+K487+L487</f>
        <v>0</v>
      </c>
      <c r="K487" s="281">
        <f t="shared" ref="K487:K490" si="434">+G487+K428</f>
        <v>0</v>
      </c>
      <c r="L487" s="442">
        <f t="shared" ref="L487:L490" si="435">+H487+L428</f>
        <v>0</v>
      </c>
      <c r="M487" s="343" t="str">
        <f t="shared" ref="M487:M490" si="436">IFERROR(J487/D487,"-")</f>
        <v>-</v>
      </c>
      <c r="N487" s="268" t="str">
        <f t="shared" si="431"/>
        <v>-</v>
      </c>
      <c r="O487" s="519">
        <v>2.3978999999999999</v>
      </c>
      <c r="P487" s="410">
        <f t="shared" ref="P487:P490" si="437">+O487*G487</f>
        <v>0</v>
      </c>
      <c r="Q487" s="459">
        <f t="shared" ref="Q487:Q490" si="438">+O487*K487</f>
        <v>0</v>
      </c>
    </row>
    <row r="488" spans="1:17" ht="23.4" x14ac:dyDescent="0.3">
      <c r="A488" s="277" t="s">
        <v>111</v>
      </c>
      <c r="B488" s="444"/>
      <c r="C488" s="278" t="s">
        <v>273</v>
      </c>
      <c r="D488" s="279"/>
      <c r="E488" s="280"/>
      <c r="F488" s="339">
        <f t="shared" si="432"/>
        <v>0</v>
      </c>
      <c r="G488" s="281">
        <v>0</v>
      </c>
      <c r="H488" s="281">
        <v>0</v>
      </c>
      <c r="I488" s="358" t="str">
        <f>IFERROR(F488/#REF!,"-")</f>
        <v>-</v>
      </c>
      <c r="J488" s="339">
        <f t="shared" si="433"/>
        <v>0</v>
      </c>
      <c r="K488" s="281">
        <f t="shared" si="434"/>
        <v>0</v>
      </c>
      <c r="L488" s="251">
        <f t="shared" si="435"/>
        <v>0</v>
      </c>
      <c r="M488" s="343" t="str">
        <f t="shared" si="436"/>
        <v>-</v>
      </c>
      <c r="N488" s="268" t="str">
        <f>IFERROR(L488/J488,"-")</f>
        <v>-</v>
      </c>
      <c r="O488" s="519">
        <v>4.0426000000000002</v>
      </c>
      <c r="P488" s="410">
        <f t="shared" si="437"/>
        <v>0</v>
      </c>
      <c r="Q488" s="459">
        <f t="shared" si="438"/>
        <v>0</v>
      </c>
    </row>
    <row r="489" spans="1:17" ht="23.4" x14ac:dyDescent="0.3">
      <c r="A489" s="277"/>
      <c r="B489" s="461"/>
      <c r="C489" s="278" t="s">
        <v>372</v>
      </c>
      <c r="D489" s="283"/>
      <c r="E489" s="284"/>
      <c r="F489" s="339">
        <f t="shared" si="432"/>
        <v>72250</v>
      </c>
      <c r="G489" s="285">
        <v>71000</v>
      </c>
      <c r="H489" s="285">
        <v>1250</v>
      </c>
      <c r="I489" s="358" t="str">
        <f>IFERROR(F489/#REF!,"-")</f>
        <v>-</v>
      </c>
      <c r="J489" s="339">
        <f t="shared" si="433"/>
        <v>418957</v>
      </c>
      <c r="K489" s="281">
        <f t="shared" si="434"/>
        <v>403400</v>
      </c>
      <c r="L489" s="286">
        <f t="shared" si="435"/>
        <v>15557</v>
      </c>
      <c r="M489" s="343" t="str">
        <f t="shared" si="436"/>
        <v>-</v>
      </c>
      <c r="N489" s="268">
        <f>IFERROR(L489/J489,"-")</f>
        <v>3.7132689034912889E-2</v>
      </c>
      <c r="O489" s="520">
        <v>12.284700000000001</v>
      </c>
      <c r="P489" s="410">
        <f t="shared" si="437"/>
        <v>872213.70000000007</v>
      </c>
      <c r="Q489" s="459">
        <f t="shared" si="438"/>
        <v>4955647.9800000004</v>
      </c>
    </row>
    <row r="490" spans="1:17" ht="24" thickBot="1" x14ac:dyDescent="0.35">
      <c r="A490" s="277" t="s">
        <v>111</v>
      </c>
      <c r="B490" s="461"/>
      <c r="C490" s="278" t="s">
        <v>361</v>
      </c>
      <c r="D490" s="283"/>
      <c r="E490" s="284"/>
      <c r="F490" s="340">
        <f t="shared" si="432"/>
        <v>0</v>
      </c>
      <c r="G490" s="285">
        <v>0</v>
      </c>
      <c r="H490" s="285">
        <v>0</v>
      </c>
      <c r="I490" s="359" t="str">
        <f>IFERROR(F490/#REF!,"-")</f>
        <v>-</v>
      </c>
      <c r="J490" s="471">
        <f t="shared" si="433"/>
        <v>0</v>
      </c>
      <c r="K490" s="472">
        <f t="shared" si="434"/>
        <v>0</v>
      </c>
      <c r="L490" s="258">
        <f t="shared" si="435"/>
        <v>0</v>
      </c>
      <c r="M490" s="344" t="str">
        <f t="shared" si="436"/>
        <v>-</v>
      </c>
      <c r="N490" s="350" t="str">
        <f t="shared" ref="N490:N502" si="439">IFERROR(L490/J490,"-")</f>
        <v>-</v>
      </c>
      <c r="O490" s="520">
        <v>4.6797000000000004</v>
      </c>
      <c r="P490" s="411">
        <f t="shared" si="437"/>
        <v>0</v>
      </c>
      <c r="Q490" s="460">
        <f t="shared" si="438"/>
        <v>0</v>
      </c>
    </row>
    <row r="491" spans="1:17" ht="24" thickBot="1" x14ac:dyDescent="0.35">
      <c r="A491" s="277" t="s">
        <v>111</v>
      </c>
      <c r="B491" s="906" t="s">
        <v>21</v>
      </c>
      <c r="C491" s="907"/>
      <c r="D491" s="326">
        <f>SUM(D486:D490)</f>
        <v>0</v>
      </c>
      <c r="E491" s="289">
        <v>15000</v>
      </c>
      <c r="F491" s="326">
        <f>SUM(F486:F490)</f>
        <v>193554</v>
      </c>
      <c r="G491" s="327">
        <f>SUM(G486:G490)</f>
        <v>183840</v>
      </c>
      <c r="H491" s="327">
        <f>SUM(H486:H490)</f>
        <v>9714</v>
      </c>
      <c r="I491" s="351" t="str">
        <f>IFERROR(F491/#REF!,"-")</f>
        <v>-</v>
      </c>
      <c r="J491" s="326">
        <f>SUM(J486:J490)</f>
        <v>861911</v>
      </c>
      <c r="K491" s="327">
        <f>SUM(K486:K490)</f>
        <v>812200</v>
      </c>
      <c r="L491" s="328">
        <f>SUM(L486:L490)</f>
        <v>49711</v>
      </c>
      <c r="M491" s="345" t="str">
        <f>IFERROR(J491/D491,"-")</f>
        <v>-</v>
      </c>
      <c r="N491" s="351">
        <f t="shared" si="439"/>
        <v>5.7675328427180997E-2</v>
      </c>
      <c r="O491" s="397"/>
      <c r="P491" s="412">
        <f>SUM(P486:P490)</f>
        <v>1049022.696</v>
      </c>
      <c r="Q491" s="431">
        <f>SUM(Q486:Q490)</f>
        <v>5596196.7000000002</v>
      </c>
    </row>
    <row r="492" spans="1:17" ht="23.4" x14ac:dyDescent="0.3">
      <c r="A492" s="277" t="s">
        <v>111</v>
      </c>
      <c r="B492" s="445"/>
      <c r="C492" s="272" t="s">
        <v>270</v>
      </c>
      <c r="D492" s="273"/>
      <c r="E492" s="274"/>
      <c r="F492" s="338">
        <f t="shared" ref="F492:F498" si="440">+G492+H492</f>
        <v>4422</v>
      </c>
      <c r="G492" s="275">
        <v>4320</v>
      </c>
      <c r="H492" s="275">
        <v>102</v>
      </c>
      <c r="I492" s="357" t="str">
        <f>IFERROR(F492/#REF!,"-")</f>
        <v>-</v>
      </c>
      <c r="J492" s="338">
        <f t="shared" ref="J492:J498" si="441">+K492+L492</f>
        <v>8884</v>
      </c>
      <c r="K492" s="275">
        <f t="shared" ref="K492:K498" si="442">+G492+K433</f>
        <v>8640</v>
      </c>
      <c r="L492" s="276">
        <f t="shared" ref="L492:L498" si="443">+H492+L433</f>
        <v>244</v>
      </c>
      <c r="M492" s="342" t="str">
        <f t="shared" ref="M492:M500" si="444">IFERROR(J492/D492,"-")</f>
        <v>-</v>
      </c>
      <c r="N492" s="352">
        <f t="shared" si="439"/>
        <v>2.7465105808194508E-2</v>
      </c>
      <c r="O492" s="518">
        <v>18.2316</v>
      </c>
      <c r="P492" s="408">
        <f t="shared" ref="P492:P498" si="445">+O492*G492</f>
        <v>78760.512000000002</v>
      </c>
      <c r="Q492" s="457">
        <f t="shared" ref="Q492:Q498" si="446">+O492*K492</f>
        <v>157521.024</v>
      </c>
    </row>
    <row r="493" spans="1:17" ht="23.4" x14ac:dyDescent="0.3">
      <c r="A493" s="277" t="s">
        <v>111</v>
      </c>
      <c r="B493" s="444"/>
      <c r="C493" s="278" t="s">
        <v>92</v>
      </c>
      <c r="D493" s="279"/>
      <c r="E493" s="280"/>
      <c r="F493" s="339">
        <f t="shared" si="440"/>
        <v>0</v>
      </c>
      <c r="G493" s="281">
        <v>0</v>
      </c>
      <c r="H493" s="281">
        <v>0</v>
      </c>
      <c r="I493" s="358" t="str">
        <f>IFERROR(F493/#REF!,"-")</f>
        <v>-</v>
      </c>
      <c r="J493" s="339">
        <f t="shared" si="441"/>
        <v>120000</v>
      </c>
      <c r="K493" s="281">
        <f t="shared" si="442"/>
        <v>120000</v>
      </c>
      <c r="L493" s="251">
        <f t="shared" si="443"/>
        <v>0</v>
      </c>
      <c r="M493" s="343" t="str">
        <f t="shared" si="444"/>
        <v>-</v>
      </c>
      <c r="N493" s="264">
        <f t="shared" si="439"/>
        <v>0</v>
      </c>
      <c r="O493" s="519">
        <v>0</v>
      </c>
      <c r="P493" s="410">
        <f t="shared" si="445"/>
        <v>0</v>
      </c>
      <c r="Q493" s="459">
        <f t="shared" si="446"/>
        <v>0</v>
      </c>
    </row>
    <row r="494" spans="1:17" ht="23.4" x14ac:dyDescent="0.3">
      <c r="A494" s="277" t="s">
        <v>111</v>
      </c>
      <c r="B494" s="444"/>
      <c r="C494" s="278" t="s">
        <v>340</v>
      </c>
      <c r="D494" s="279"/>
      <c r="E494" s="280"/>
      <c r="F494" s="339">
        <f t="shared" si="440"/>
        <v>0</v>
      </c>
      <c r="G494" s="281">
        <v>0</v>
      </c>
      <c r="H494" s="281">
        <v>0</v>
      </c>
      <c r="I494" s="358" t="str">
        <f>IFERROR(F494/#REF!,"-")</f>
        <v>-</v>
      </c>
      <c r="J494" s="339">
        <f t="shared" si="441"/>
        <v>0</v>
      </c>
      <c r="K494" s="281">
        <f t="shared" si="442"/>
        <v>0</v>
      </c>
      <c r="L494" s="251">
        <f t="shared" si="443"/>
        <v>0</v>
      </c>
      <c r="M494" s="343" t="str">
        <f t="shared" si="444"/>
        <v>-</v>
      </c>
      <c r="N494" s="264" t="str">
        <f t="shared" si="439"/>
        <v>-</v>
      </c>
      <c r="O494" s="519">
        <v>5.7342000000000004</v>
      </c>
      <c r="P494" s="410">
        <f t="shared" si="445"/>
        <v>0</v>
      </c>
      <c r="Q494" s="459">
        <f t="shared" si="446"/>
        <v>0</v>
      </c>
    </row>
    <row r="495" spans="1:17" ht="23.4" x14ac:dyDescent="0.3">
      <c r="A495" s="277" t="s">
        <v>111</v>
      </c>
      <c r="B495" s="444"/>
      <c r="C495" s="278" t="s">
        <v>363</v>
      </c>
      <c r="D495" s="279"/>
      <c r="E495" s="280"/>
      <c r="F495" s="339">
        <f t="shared" si="440"/>
        <v>0</v>
      </c>
      <c r="G495" s="281">
        <v>0</v>
      </c>
      <c r="H495" s="281">
        <v>0</v>
      </c>
      <c r="I495" s="358" t="str">
        <f>IFERROR(F495/#REF!,"-")</f>
        <v>-</v>
      </c>
      <c r="J495" s="339">
        <f t="shared" si="441"/>
        <v>0</v>
      </c>
      <c r="K495" s="281">
        <f t="shared" si="442"/>
        <v>0</v>
      </c>
      <c r="L495" s="251">
        <f t="shared" si="443"/>
        <v>0</v>
      </c>
      <c r="M495" s="343" t="str">
        <f t="shared" si="444"/>
        <v>-</v>
      </c>
      <c r="N495" s="264" t="str">
        <f t="shared" si="439"/>
        <v>-</v>
      </c>
      <c r="O495" s="519"/>
      <c r="P495" s="410">
        <f t="shared" si="445"/>
        <v>0</v>
      </c>
      <c r="Q495" s="459">
        <f t="shared" si="446"/>
        <v>0</v>
      </c>
    </row>
    <row r="496" spans="1:17" ht="23.4" x14ac:dyDescent="0.3">
      <c r="A496" s="277" t="s">
        <v>111</v>
      </c>
      <c r="B496" s="444"/>
      <c r="C496" s="278" t="s">
        <v>373</v>
      </c>
      <c r="D496" s="279"/>
      <c r="E496" s="280"/>
      <c r="F496" s="339">
        <f t="shared" si="440"/>
        <v>27000</v>
      </c>
      <c r="G496" s="281">
        <v>27000</v>
      </c>
      <c r="H496" s="281">
        <v>0</v>
      </c>
      <c r="I496" s="358" t="str">
        <f>IFERROR(F496/#REF!,"-")</f>
        <v>-</v>
      </c>
      <c r="J496" s="339">
        <f t="shared" si="441"/>
        <v>244907</v>
      </c>
      <c r="K496" s="281">
        <f t="shared" si="442"/>
        <v>244000</v>
      </c>
      <c r="L496" s="251">
        <f t="shared" si="443"/>
        <v>907</v>
      </c>
      <c r="M496" s="343" t="str">
        <f t="shared" si="444"/>
        <v>-</v>
      </c>
      <c r="N496" s="264">
        <f t="shared" si="439"/>
        <v>3.7034466144291508E-3</v>
      </c>
      <c r="O496" s="519">
        <v>12.029500000000001</v>
      </c>
      <c r="P496" s="410">
        <f t="shared" si="445"/>
        <v>324796.5</v>
      </c>
      <c r="Q496" s="459">
        <f t="shared" si="446"/>
        <v>2935198</v>
      </c>
    </row>
    <row r="497" spans="1:17" ht="23.4" x14ac:dyDescent="0.3">
      <c r="A497" s="277" t="s">
        <v>111</v>
      </c>
      <c r="B497" s="444"/>
      <c r="C497" s="278"/>
      <c r="D497" s="279"/>
      <c r="E497" s="280"/>
      <c r="F497" s="339">
        <f t="shared" si="440"/>
        <v>0</v>
      </c>
      <c r="G497" s="281">
        <v>0</v>
      </c>
      <c r="H497" s="281">
        <v>0</v>
      </c>
      <c r="I497" s="358" t="str">
        <f>IFERROR(F497/#REF!,"-")</f>
        <v>-</v>
      </c>
      <c r="J497" s="339">
        <f t="shared" si="441"/>
        <v>0</v>
      </c>
      <c r="K497" s="281">
        <f t="shared" si="442"/>
        <v>0</v>
      </c>
      <c r="L497" s="251">
        <f t="shared" si="443"/>
        <v>0</v>
      </c>
      <c r="M497" s="343" t="str">
        <f t="shared" si="444"/>
        <v>-</v>
      </c>
      <c r="N497" s="264" t="str">
        <f t="shared" si="439"/>
        <v>-</v>
      </c>
      <c r="O497" s="519"/>
      <c r="P497" s="410">
        <f t="shared" si="445"/>
        <v>0</v>
      </c>
      <c r="Q497" s="459">
        <f t="shared" si="446"/>
        <v>0</v>
      </c>
    </row>
    <row r="498" spans="1:17" ht="24" thickBot="1" x14ac:dyDescent="0.35">
      <c r="A498" s="277" t="s">
        <v>111</v>
      </c>
      <c r="B498" s="461"/>
      <c r="C498" s="282"/>
      <c r="D498" s="283">
        <v>0</v>
      </c>
      <c r="E498" s="284"/>
      <c r="F498" s="340">
        <f t="shared" si="440"/>
        <v>0</v>
      </c>
      <c r="G498" s="285">
        <v>0</v>
      </c>
      <c r="H498" s="285">
        <v>0</v>
      </c>
      <c r="I498" s="359" t="str">
        <f>IFERROR(F498/#REF!,"-")</f>
        <v>-</v>
      </c>
      <c r="J498" s="340">
        <f t="shared" si="441"/>
        <v>0</v>
      </c>
      <c r="K498" s="285">
        <f t="shared" si="442"/>
        <v>0</v>
      </c>
      <c r="L498" s="286">
        <f t="shared" si="443"/>
        <v>0</v>
      </c>
      <c r="M498" s="344" t="str">
        <f t="shared" si="444"/>
        <v>-</v>
      </c>
      <c r="N498" s="353" t="str">
        <f t="shared" si="439"/>
        <v>-</v>
      </c>
      <c r="O498" s="520"/>
      <c r="P498" s="411">
        <f t="shared" si="445"/>
        <v>0</v>
      </c>
      <c r="Q498" s="460">
        <f t="shared" si="446"/>
        <v>0</v>
      </c>
    </row>
    <row r="499" spans="1:17" ht="24" thickBot="1" x14ac:dyDescent="0.35">
      <c r="A499" s="277" t="s">
        <v>111</v>
      </c>
      <c r="B499" s="906" t="s">
        <v>25</v>
      </c>
      <c r="C499" s="907"/>
      <c r="D499" s="326">
        <f t="shared" ref="D499" si="447">SUM(D492:D498)</f>
        <v>0</v>
      </c>
      <c r="E499" s="289">
        <v>100000</v>
      </c>
      <c r="F499" s="326">
        <f>SUM(F492:F498)</f>
        <v>31422</v>
      </c>
      <c r="G499" s="327">
        <f t="shared" ref="G499:H499" si="448">SUM(G492:G498)</f>
        <v>31320</v>
      </c>
      <c r="H499" s="327">
        <f t="shared" si="448"/>
        <v>102</v>
      </c>
      <c r="I499" s="351" t="str">
        <f>IFERROR(F499/#REF!,"-")</f>
        <v>-</v>
      </c>
      <c r="J499" s="326">
        <f t="shared" ref="J499:L499" si="449">SUM(J492:J498)</f>
        <v>373791</v>
      </c>
      <c r="K499" s="327">
        <f t="shared" si="449"/>
        <v>372640</v>
      </c>
      <c r="L499" s="328">
        <f t="shared" si="449"/>
        <v>1151</v>
      </c>
      <c r="M499" s="345" t="str">
        <f t="shared" si="444"/>
        <v>-</v>
      </c>
      <c r="N499" s="351">
        <f t="shared" si="439"/>
        <v>3.0792608703794368E-3</v>
      </c>
      <c r="O499" s="397"/>
      <c r="P499" s="412">
        <f t="shared" ref="P499:Q499" si="450">SUM(P492:P498)</f>
        <v>403557.01199999999</v>
      </c>
      <c r="Q499" s="431">
        <f t="shared" si="450"/>
        <v>3092719.0240000002</v>
      </c>
    </row>
    <row r="500" spans="1:17" ht="24" thickBot="1" x14ac:dyDescent="0.35">
      <c r="A500" s="277" t="s">
        <v>111</v>
      </c>
      <c r="B500" s="985" t="s">
        <v>181</v>
      </c>
      <c r="C500" s="986"/>
      <c r="D500" s="332">
        <f>+D491+D499</f>
        <v>0</v>
      </c>
      <c r="E500" s="333">
        <f t="shared" ref="E500:H500" si="451">+E491+E499</f>
        <v>115000</v>
      </c>
      <c r="F500" s="332">
        <f t="shared" si="451"/>
        <v>224976</v>
      </c>
      <c r="G500" s="330">
        <f t="shared" si="451"/>
        <v>215160</v>
      </c>
      <c r="H500" s="330">
        <f t="shared" si="451"/>
        <v>9816</v>
      </c>
      <c r="I500" s="355" t="str">
        <f>IFERROR(F500/#REF!,"-")</f>
        <v>-</v>
      </c>
      <c r="J500" s="332">
        <f t="shared" ref="J500:L500" si="452">+J491+J499</f>
        <v>1235702</v>
      </c>
      <c r="K500" s="330">
        <f t="shared" si="452"/>
        <v>1184840</v>
      </c>
      <c r="L500" s="331">
        <f t="shared" si="452"/>
        <v>50862</v>
      </c>
      <c r="M500" s="347" t="str">
        <f t="shared" si="444"/>
        <v>-</v>
      </c>
      <c r="N500" s="355">
        <f t="shared" si="439"/>
        <v>4.1160409224877841E-2</v>
      </c>
      <c r="O500" s="400"/>
      <c r="P500" s="416">
        <f t="shared" ref="P500:Q500" si="453">+P491+P499</f>
        <v>1452579.7080000001</v>
      </c>
      <c r="Q500" s="434">
        <f t="shared" si="453"/>
        <v>8688915.7239999995</v>
      </c>
    </row>
    <row r="501" spans="1:17" ht="23.4" x14ac:dyDescent="0.3">
      <c r="A501" s="244" t="s">
        <v>109</v>
      </c>
      <c r="B501" s="599"/>
      <c r="C501" s="600" t="s">
        <v>314</v>
      </c>
      <c r="D501" s="540"/>
      <c r="E501" s="470"/>
      <c r="F501" s="468">
        <f>+G501+H501</f>
        <v>0</v>
      </c>
      <c r="G501" s="469">
        <v>0</v>
      </c>
      <c r="H501" s="469">
        <v>0</v>
      </c>
      <c r="I501" s="544" t="str">
        <f>IFERROR(F501/#REF!,"-")</f>
        <v>-</v>
      </c>
      <c r="J501" s="468">
        <f>+K501+L501</f>
        <v>0</v>
      </c>
      <c r="K501" s="469">
        <f t="shared" ref="K501:K507" si="454">+G501+K442</f>
        <v>0</v>
      </c>
      <c r="L501" s="247">
        <f t="shared" ref="L501:L507" si="455">+H501+L442</f>
        <v>0</v>
      </c>
      <c r="M501" s="604" t="str">
        <f>IFERROR(J501/D501,"-")</f>
        <v>-</v>
      </c>
      <c r="N501" s="546" t="str">
        <f t="shared" si="439"/>
        <v>-</v>
      </c>
      <c r="O501" s="648">
        <v>4.8285999999999998</v>
      </c>
      <c r="P501" s="547">
        <f t="shared" ref="P501:P507" si="456">+O501*G501</f>
        <v>0</v>
      </c>
      <c r="Q501" s="548">
        <f>+O501*K501</f>
        <v>0</v>
      </c>
    </row>
    <row r="502" spans="1:17" ht="23.4" x14ac:dyDescent="0.3">
      <c r="A502" s="248" t="s">
        <v>109</v>
      </c>
      <c r="B502" s="601"/>
      <c r="C502" s="278" t="s">
        <v>315</v>
      </c>
      <c r="D502" s="279"/>
      <c r="E502" s="442"/>
      <c r="F502" s="339">
        <f t="shared" ref="F502:F507" si="457">+G502+H502</f>
        <v>0</v>
      </c>
      <c r="G502" s="281">
        <v>0</v>
      </c>
      <c r="H502" s="281">
        <v>0</v>
      </c>
      <c r="I502" s="358" t="str">
        <f>IFERROR(F502/#REF!,"-")</f>
        <v>-</v>
      </c>
      <c r="J502" s="339">
        <f t="shared" ref="J502:J507" si="458">+K502+L502</f>
        <v>0</v>
      </c>
      <c r="K502" s="281">
        <f t="shared" si="454"/>
        <v>0</v>
      </c>
      <c r="L502" s="251">
        <f t="shared" si="455"/>
        <v>0</v>
      </c>
      <c r="M502" s="343" t="str">
        <f t="shared" ref="M502:M504" si="459">IFERROR(J502/D502,"-")</f>
        <v>-</v>
      </c>
      <c r="N502" s="268" t="str">
        <f t="shared" si="439"/>
        <v>-</v>
      </c>
      <c r="O502" s="649">
        <v>1.4086000000000001</v>
      </c>
      <c r="P502" s="410">
        <f t="shared" si="456"/>
        <v>0</v>
      </c>
      <c r="Q502" s="459">
        <f t="shared" ref="Q502:Q507" si="460">+O502*K502</f>
        <v>0</v>
      </c>
    </row>
    <row r="503" spans="1:17" ht="23.4" x14ac:dyDescent="0.3">
      <c r="A503" s="248" t="s">
        <v>109</v>
      </c>
      <c r="B503" s="601"/>
      <c r="C503" s="278" t="s">
        <v>367</v>
      </c>
      <c r="D503" s="279"/>
      <c r="E503" s="442"/>
      <c r="F503" s="339">
        <f t="shared" si="457"/>
        <v>0</v>
      </c>
      <c r="G503" s="281">
        <v>0</v>
      </c>
      <c r="H503" s="281">
        <v>0</v>
      </c>
      <c r="I503" s="358" t="str">
        <f>IFERROR(F503/#REF!,"-")</f>
        <v>-</v>
      </c>
      <c r="J503" s="339">
        <f t="shared" si="458"/>
        <v>573613</v>
      </c>
      <c r="K503" s="281">
        <f t="shared" si="454"/>
        <v>566000</v>
      </c>
      <c r="L503" s="251">
        <f t="shared" si="455"/>
        <v>7613</v>
      </c>
      <c r="M503" s="343" t="str">
        <f t="shared" si="459"/>
        <v>-</v>
      </c>
      <c r="N503" s="268">
        <f>IFERROR(L503/J503,"-")</f>
        <v>1.3272014406925924E-2</v>
      </c>
      <c r="O503" s="649">
        <v>2.2141000000000002</v>
      </c>
      <c r="P503" s="410">
        <f t="shared" si="456"/>
        <v>0</v>
      </c>
      <c r="Q503" s="459">
        <f t="shared" si="460"/>
        <v>1253180.6000000001</v>
      </c>
    </row>
    <row r="504" spans="1:17" ht="23.4" x14ac:dyDescent="0.3">
      <c r="A504" s="248" t="s">
        <v>109</v>
      </c>
      <c r="B504" s="602"/>
      <c r="C504" s="278" t="s">
        <v>436</v>
      </c>
      <c r="D504" s="283"/>
      <c r="E504" s="541"/>
      <c r="F504" s="340">
        <f t="shared" si="457"/>
        <v>0</v>
      </c>
      <c r="G504" s="285">
        <v>0</v>
      </c>
      <c r="H504" s="285">
        <v>0</v>
      </c>
      <c r="I504" s="359" t="str">
        <f>IFERROR(F504/#REF!,"-")</f>
        <v>-</v>
      </c>
      <c r="J504" s="339">
        <f t="shared" si="458"/>
        <v>40882</v>
      </c>
      <c r="K504" s="285">
        <f t="shared" si="454"/>
        <v>40000</v>
      </c>
      <c r="L504" s="286">
        <f t="shared" si="455"/>
        <v>882</v>
      </c>
      <c r="M504" s="344" t="str">
        <f t="shared" si="459"/>
        <v>-</v>
      </c>
      <c r="N504" s="350">
        <f t="shared" ref="N504:N511" si="461">IFERROR(L504/J504,"-")</f>
        <v>2.157428697226163E-2</v>
      </c>
      <c r="O504" s="650">
        <v>2.4565999999999999</v>
      </c>
      <c r="P504" s="411">
        <f t="shared" si="456"/>
        <v>0</v>
      </c>
      <c r="Q504" s="460">
        <f t="shared" si="460"/>
        <v>98264</v>
      </c>
    </row>
    <row r="505" spans="1:17" ht="23.4" x14ac:dyDescent="0.3">
      <c r="A505" s="248" t="s">
        <v>109</v>
      </c>
      <c r="B505" s="446"/>
      <c r="C505" s="647" t="s">
        <v>444</v>
      </c>
      <c r="D505" s="521"/>
      <c r="E505" s="542"/>
      <c r="F505" s="339">
        <f t="shared" si="457"/>
        <v>0</v>
      </c>
      <c r="G505" s="561">
        <v>0</v>
      </c>
      <c r="H505" s="561">
        <v>0</v>
      </c>
      <c r="I505" s="358" t="str">
        <f>IFERROR(F505/#REF!,"-")</f>
        <v>-</v>
      </c>
      <c r="J505" s="339">
        <f t="shared" si="458"/>
        <v>16280</v>
      </c>
      <c r="K505" s="285">
        <f t="shared" si="454"/>
        <v>15000</v>
      </c>
      <c r="L505" s="286">
        <f t="shared" si="455"/>
        <v>1280</v>
      </c>
      <c r="M505" s="522"/>
      <c r="N505" s="268">
        <f t="shared" si="461"/>
        <v>7.8624078624078622E-2</v>
      </c>
      <c r="O505" s="553">
        <v>4.8285999999999998</v>
      </c>
      <c r="P505" s="410">
        <f t="shared" si="456"/>
        <v>0</v>
      </c>
      <c r="Q505" s="459">
        <f t="shared" si="460"/>
        <v>72429</v>
      </c>
    </row>
    <row r="506" spans="1:17" ht="23.4" x14ac:dyDescent="0.3">
      <c r="A506" s="248" t="s">
        <v>109</v>
      </c>
      <c r="B506" s="603"/>
      <c r="C506" s="647" t="s">
        <v>439</v>
      </c>
      <c r="D506" s="273"/>
      <c r="E506" s="441"/>
      <c r="F506" s="338">
        <f t="shared" si="457"/>
        <v>28700</v>
      </c>
      <c r="G506" s="275">
        <v>27500</v>
      </c>
      <c r="H506" s="275">
        <v>1200</v>
      </c>
      <c r="I506" s="357" t="str">
        <f>IFERROR(F506/#REF!,"-")</f>
        <v>-</v>
      </c>
      <c r="J506" s="339">
        <f t="shared" si="458"/>
        <v>44025</v>
      </c>
      <c r="K506" s="285">
        <f t="shared" si="454"/>
        <v>41750</v>
      </c>
      <c r="L506" s="286">
        <f t="shared" si="455"/>
        <v>2275</v>
      </c>
      <c r="M506" s="342" t="str">
        <f t="shared" ref="M506:M507" si="462">IFERROR(J506/D506,"-")</f>
        <v>-</v>
      </c>
      <c r="N506" s="352">
        <f t="shared" si="461"/>
        <v>5.1675184554230549E-2</v>
      </c>
      <c r="O506" s="518">
        <v>4.1712999999999996</v>
      </c>
      <c r="P506" s="408">
        <f t="shared" si="456"/>
        <v>114710.74999999999</v>
      </c>
      <c r="Q506" s="457">
        <f t="shared" si="460"/>
        <v>174151.77499999999</v>
      </c>
    </row>
    <row r="507" spans="1:17" ht="24" thickBot="1" x14ac:dyDescent="0.35">
      <c r="A507" s="248" t="s">
        <v>109</v>
      </c>
      <c r="B507" s="601"/>
      <c r="C507" s="278"/>
      <c r="D507" s="279"/>
      <c r="E507" s="442"/>
      <c r="F507" s="339">
        <f t="shared" si="457"/>
        <v>0</v>
      </c>
      <c r="G507" s="281"/>
      <c r="H507" s="281"/>
      <c r="I507" s="358" t="str">
        <f>IFERROR(F507/#REF!,"-")</f>
        <v>-</v>
      </c>
      <c r="J507" s="339">
        <f t="shared" si="458"/>
        <v>0</v>
      </c>
      <c r="K507" s="281">
        <f t="shared" si="454"/>
        <v>0</v>
      </c>
      <c r="L507" s="251">
        <f t="shared" si="455"/>
        <v>0</v>
      </c>
      <c r="M507" s="343" t="str">
        <f t="shared" si="462"/>
        <v>-</v>
      </c>
      <c r="N507" s="264" t="str">
        <f t="shared" si="461"/>
        <v>-</v>
      </c>
      <c r="O507" s="458"/>
      <c r="P507" s="410">
        <f t="shared" si="456"/>
        <v>0</v>
      </c>
      <c r="Q507" s="459">
        <f t="shared" si="460"/>
        <v>0</v>
      </c>
    </row>
    <row r="508" spans="1:17" ht="24" thickBot="1" x14ac:dyDescent="0.35">
      <c r="A508" s="277" t="s">
        <v>109</v>
      </c>
      <c r="B508" s="987" t="s">
        <v>21</v>
      </c>
      <c r="C508" s="925"/>
      <c r="D508" s="326">
        <v>0</v>
      </c>
      <c r="E508" s="289">
        <v>15000</v>
      </c>
      <c r="F508" s="326">
        <f>SUM(F501:F507)</f>
        <v>28700</v>
      </c>
      <c r="G508" s="327">
        <f t="shared" ref="G508:H508" si="463">SUM(G501:G507)</f>
        <v>27500</v>
      </c>
      <c r="H508" s="327">
        <f t="shared" si="463"/>
        <v>1200</v>
      </c>
      <c r="I508" s="351" t="str">
        <f>IFERROR(F508/#REF!,"-")</f>
        <v>-</v>
      </c>
      <c r="J508" s="326">
        <f t="shared" ref="J508" si="464">SUM(J501:J507)</f>
        <v>674800</v>
      </c>
      <c r="K508" s="327">
        <f>SUM(K501:K507)</f>
        <v>662750</v>
      </c>
      <c r="L508" s="327">
        <f>SUM(L501:L507)</f>
        <v>12050</v>
      </c>
      <c r="M508" s="345" t="str">
        <f>IFERROR(J508/D508,"-")</f>
        <v>-</v>
      </c>
      <c r="N508" s="351">
        <f t="shared" si="461"/>
        <v>1.7857142857142856E-2</v>
      </c>
      <c r="O508" s="397"/>
      <c r="P508" s="412">
        <f>SUM(P501:P507)</f>
        <v>114710.74999999999</v>
      </c>
      <c r="Q508" s="431">
        <f>SUM(Q501:Q507)</f>
        <v>1598025.375</v>
      </c>
    </row>
    <row r="509" spans="1:17" ht="24" thickBot="1" x14ac:dyDescent="0.35">
      <c r="A509" s="277" t="s">
        <v>109</v>
      </c>
      <c r="B509" s="988" t="s">
        <v>275</v>
      </c>
      <c r="C509" s="989"/>
      <c r="D509" s="524">
        <f>+D505+D508</f>
        <v>0</v>
      </c>
      <c r="E509" s="538">
        <f>+E505+E508</f>
        <v>15000</v>
      </c>
      <c r="F509" s="524">
        <f>+F505+F508</f>
        <v>28700</v>
      </c>
      <c r="G509" s="526">
        <f>+G505+G508</f>
        <v>27500</v>
      </c>
      <c r="H509" s="526">
        <f>+H505+H508</f>
        <v>1200</v>
      </c>
      <c r="I509" s="527" t="str">
        <f>IFERROR(F509/#REF!,"-")</f>
        <v>-</v>
      </c>
      <c r="J509" s="524">
        <f>+J505+J508</f>
        <v>691080</v>
      </c>
      <c r="K509" s="526">
        <f>+K508</f>
        <v>662750</v>
      </c>
      <c r="L509" s="526">
        <f>+L508</f>
        <v>12050</v>
      </c>
      <c r="M509" s="528" t="str">
        <f t="shared" ref="M509" si="465">IFERROR(J509/D509,"-")</f>
        <v>-</v>
      </c>
      <c r="N509" s="527">
        <f t="shared" si="461"/>
        <v>1.7436476240087977E-2</v>
      </c>
      <c r="O509" s="529"/>
      <c r="P509" s="530">
        <f>+P508</f>
        <v>114710.74999999999</v>
      </c>
      <c r="Q509" s="530">
        <f>+Q508</f>
        <v>1598025.375</v>
      </c>
    </row>
    <row r="510" spans="1:17" ht="23.4" x14ac:dyDescent="0.4">
      <c r="A510" s="244" t="s">
        <v>109</v>
      </c>
      <c r="B510" s="979" t="s">
        <v>277</v>
      </c>
      <c r="C510" s="555" t="s">
        <v>74</v>
      </c>
      <c r="D510" s="540"/>
      <c r="E510" s="470"/>
      <c r="F510" s="468">
        <f>+G510+H510</f>
        <v>0</v>
      </c>
      <c r="G510" s="469">
        <v>0</v>
      </c>
      <c r="H510" s="469">
        <v>0</v>
      </c>
      <c r="I510" s="544" t="str">
        <f>IFERROR(F510/#REF!,"-")</f>
        <v>-</v>
      </c>
      <c r="J510" s="468">
        <f>+K510+L510</f>
        <v>23017</v>
      </c>
      <c r="K510" s="469">
        <f t="shared" ref="K510:K538" si="466">+G510+K451</f>
        <v>23000</v>
      </c>
      <c r="L510" s="246">
        <f t="shared" ref="L510:L538" si="467">+H510+L451</f>
        <v>17</v>
      </c>
      <c r="M510" s="263" t="str">
        <f>IFERROR(J510/D510,"-")</f>
        <v>-</v>
      </c>
      <c r="N510" s="546">
        <f t="shared" si="461"/>
        <v>7.3858452448190466E-4</v>
      </c>
      <c r="O510" s="551">
        <v>32.946300000000001</v>
      </c>
      <c r="P510" s="547">
        <f t="shared" ref="P510:P538" si="468">+O510*G510</f>
        <v>0</v>
      </c>
      <c r="Q510" s="548">
        <f t="shared" ref="Q510:Q538" si="469">+O510*K510</f>
        <v>757764.9</v>
      </c>
    </row>
    <row r="511" spans="1:17" ht="23.4" x14ac:dyDescent="0.4">
      <c r="A511" s="248" t="s">
        <v>109</v>
      </c>
      <c r="B511" s="980"/>
      <c r="C511" s="556" t="s">
        <v>75</v>
      </c>
      <c r="D511" s="523"/>
      <c r="E511" s="442"/>
      <c r="F511" s="339">
        <f t="shared" ref="F511:F538" si="470">+G511+H511</f>
        <v>0</v>
      </c>
      <c r="G511" s="281">
        <v>0</v>
      </c>
      <c r="H511" s="281">
        <v>0</v>
      </c>
      <c r="I511" s="358" t="str">
        <f>IFERROR(F511/#REF!,"-")</f>
        <v>-</v>
      </c>
      <c r="J511" s="339">
        <f t="shared" ref="J511:J538" si="471">+K511+L511</f>
        <v>0</v>
      </c>
      <c r="K511" s="281">
        <f t="shared" si="466"/>
        <v>0</v>
      </c>
      <c r="L511" s="250">
        <f t="shared" si="467"/>
        <v>0</v>
      </c>
      <c r="M511" s="265" t="str">
        <f t="shared" ref="M511:M513" si="472">IFERROR(J511/D511,"-")</f>
        <v>-</v>
      </c>
      <c r="N511" s="268" t="str">
        <f t="shared" si="461"/>
        <v>-</v>
      </c>
      <c r="O511" s="519">
        <v>35.398400000000002</v>
      </c>
      <c r="P511" s="410">
        <f t="shared" si="468"/>
        <v>0</v>
      </c>
      <c r="Q511" s="459">
        <f t="shared" si="469"/>
        <v>0</v>
      </c>
    </row>
    <row r="512" spans="1:17" ht="24" thickBot="1" x14ac:dyDescent="0.45">
      <c r="A512" s="248" t="s">
        <v>109</v>
      </c>
      <c r="B512" s="980"/>
      <c r="C512" s="556" t="s">
        <v>76</v>
      </c>
      <c r="D512" s="279"/>
      <c r="E512" s="442"/>
      <c r="F512" s="339">
        <f t="shared" si="470"/>
        <v>0</v>
      </c>
      <c r="G512" s="281">
        <v>0</v>
      </c>
      <c r="H512" s="281">
        <v>0</v>
      </c>
      <c r="I512" s="358" t="str">
        <f>IFERROR(F512/#REF!,"-")</f>
        <v>-</v>
      </c>
      <c r="J512" s="339">
        <f t="shared" si="471"/>
        <v>10000</v>
      </c>
      <c r="K512" s="281">
        <f t="shared" si="466"/>
        <v>10000</v>
      </c>
      <c r="L512" s="250">
        <f t="shared" si="467"/>
        <v>0</v>
      </c>
      <c r="M512" s="265" t="str">
        <f t="shared" si="472"/>
        <v>-</v>
      </c>
      <c r="N512" s="268">
        <f>IFERROR(L512/J512,"-")</f>
        <v>0</v>
      </c>
      <c r="O512" s="519">
        <v>32.946300000000001</v>
      </c>
      <c r="P512" s="410">
        <f t="shared" si="468"/>
        <v>0</v>
      </c>
      <c r="Q512" s="459">
        <f t="shared" si="469"/>
        <v>329463</v>
      </c>
    </row>
    <row r="513" spans="1:17" ht="23.4" x14ac:dyDescent="0.4">
      <c r="A513" s="248" t="s">
        <v>109</v>
      </c>
      <c r="B513" s="979" t="s">
        <v>278</v>
      </c>
      <c r="C513" s="558" t="s">
        <v>78</v>
      </c>
      <c r="D513" s="279"/>
      <c r="E513" s="541"/>
      <c r="F513" s="340">
        <f t="shared" si="470"/>
        <v>0</v>
      </c>
      <c r="G513" s="281">
        <v>0</v>
      </c>
      <c r="H513" s="281">
        <v>0</v>
      </c>
      <c r="I513" s="358" t="str">
        <f>IFERROR(F513/#REF!,"-")</f>
        <v>-</v>
      </c>
      <c r="J513" s="339">
        <f t="shared" si="471"/>
        <v>8248</v>
      </c>
      <c r="K513" s="281">
        <f t="shared" si="466"/>
        <v>7200</v>
      </c>
      <c r="L513" s="250">
        <f t="shared" si="467"/>
        <v>1048</v>
      </c>
      <c r="M513" s="265" t="str">
        <f t="shared" si="472"/>
        <v>-</v>
      </c>
      <c r="N513" s="268">
        <f t="shared" ref="N513" si="473">IFERROR(L513/J513,"-")</f>
        <v>0.1270611057225994</v>
      </c>
      <c r="O513" s="519">
        <v>55.4758</v>
      </c>
      <c r="P513" s="410">
        <f t="shared" si="468"/>
        <v>0</v>
      </c>
      <c r="Q513" s="459">
        <f t="shared" si="469"/>
        <v>399425.76</v>
      </c>
    </row>
    <row r="514" spans="1:17" ht="23.4" x14ac:dyDescent="0.4">
      <c r="A514" s="248" t="s">
        <v>109</v>
      </c>
      <c r="B514" s="980"/>
      <c r="C514" s="558" t="s">
        <v>75</v>
      </c>
      <c r="D514" s="279"/>
      <c r="E514" s="542"/>
      <c r="F514" s="340">
        <f t="shared" si="470"/>
        <v>0</v>
      </c>
      <c r="G514" s="281">
        <v>0</v>
      </c>
      <c r="H514" s="281">
        <v>0</v>
      </c>
      <c r="I514" s="358" t="str">
        <f>IFERROR(F514/#REF!,"-")</f>
        <v>-</v>
      </c>
      <c r="J514" s="339">
        <f t="shared" si="471"/>
        <v>5350</v>
      </c>
      <c r="K514" s="281">
        <f t="shared" si="466"/>
        <v>4150</v>
      </c>
      <c r="L514" s="250">
        <f t="shared" si="467"/>
        <v>1200</v>
      </c>
      <c r="M514" s="522"/>
      <c r="N514" s="378"/>
      <c r="O514" s="553">
        <v>58.836300000000001</v>
      </c>
      <c r="P514" s="410">
        <f t="shared" si="468"/>
        <v>0</v>
      </c>
      <c r="Q514" s="459">
        <f t="shared" si="469"/>
        <v>244170.64500000002</v>
      </c>
    </row>
    <row r="515" spans="1:17" ht="24" thickBot="1" x14ac:dyDescent="0.45">
      <c r="A515" s="248" t="s">
        <v>109</v>
      </c>
      <c r="B515" s="981"/>
      <c r="C515" s="558" t="s">
        <v>435</v>
      </c>
      <c r="D515" s="279"/>
      <c r="E515" s="441"/>
      <c r="F515" s="340">
        <f t="shared" si="470"/>
        <v>0</v>
      </c>
      <c r="G515" s="281">
        <v>0</v>
      </c>
      <c r="H515" s="281">
        <v>0</v>
      </c>
      <c r="I515" s="358" t="str">
        <f>IFERROR(F515/#REF!,"-")</f>
        <v>-</v>
      </c>
      <c r="J515" s="339">
        <f t="shared" si="471"/>
        <v>7828</v>
      </c>
      <c r="K515" s="281">
        <f t="shared" si="466"/>
        <v>6900</v>
      </c>
      <c r="L515" s="250">
        <f t="shared" si="467"/>
        <v>928</v>
      </c>
      <c r="M515" s="265" t="str">
        <f t="shared" ref="M515:M541" si="474">IFERROR(J515/D515,"-")</f>
        <v>-</v>
      </c>
      <c r="N515" s="264">
        <f t="shared" ref="N515:N540" si="475">IFERROR(L515/J515,"-")</f>
        <v>0.11854879918242207</v>
      </c>
      <c r="O515" s="519">
        <v>55.4758</v>
      </c>
      <c r="P515" s="410">
        <f t="shared" si="468"/>
        <v>0</v>
      </c>
      <c r="Q515" s="459">
        <f t="shared" si="469"/>
        <v>382783.02</v>
      </c>
    </row>
    <row r="516" spans="1:17" ht="23.4" x14ac:dyDescent="0.4">
      <c r="A516" s="248" t="s">
        <v>109</v>
      </c>
      <c r="B516" s="979" t="s">
        <v>79</v>
      </c>
      <c r="C516" s="556" t="s">
        <v>80</v>
      </c>
      <c r="D516" s="279"/>
      <c r="E516" s="442"/>
      <c r="F516" s="339">
        <f t="shared" si="470"/>
        <v>0</v>
      </c>
      <c r="G516" s="281">
        <v>0</v>
      </c>
      <c r="H516" s="281">
        <v>0</v>
      </c>
      <c r="I516" s="358" t="str">
        <f>IFERROR(F516/#REF!,"-")</f>
        <v>-</v>
      </c>
      <c r="J516" s="339">
        <f t="shared" si="471"/>
        <v>0</v>
      </c>
      <c r="K516" s="281">
        <f t="shared" si="466"/>
        <v>0</v>
      </c>
      <c r="L516" s="250">
        <f t="shared" si="467"/>
        <v>0</v>
      </c>
      <c r="M516" s="265" t="str">
        <f t="shared" si="474"/>
        <v>-</v>
      </c>
      <c r="N516" s="264" t="str">
        <f t="shared" si="475"/>
        <v>-</v>
      </c>
      <c r="O516" s="519">
        <v>25.687200000000001</v>
      </c>
      <c r="P516" s="410">
        <f t="shared" si="468"/>
        <v>0</v>
      </c>
      <c r="Q516" s="459">
        <f t="shared" si="469"/>
        <v>0</v>
      </c>
    </row>
    <row r="517" spans="1:17" ht="24" thickBot="1" x14ac:dyDescent="0.45">
      <c r="A517" s="248" t="s">
        <v>109</v>
      </c>
      <c r="B517" s="981"/>
      <c r="C517" s="556" t="s">
        <v>125</v>
      </c>
      <c r="D517" s="279"/>
      <c r="E517" s="442"/>
      <c r="F517" s="339">
        <f t="shared" si="470"/>
        <v>0</v>
      </c>
      <c r="G517" s="281">
        <v>0</v>
      </c>
      <c r="H517" s="281">
        <v>0</v>
      </c>
      <c r="I517" s="358" t="str">
        <f>IFERROR(F517/#REF!,"-")</f>
        <v>-</v>
      </c>
      <c r="J517" s="339">
        <f t="shared" si="471"/>
        <v>0</v>
      </c>
      <c r="K517" s="281">
        <f t="shared" si="466"/>
        <v>0</v>
      </c>
      <c r="L517" s="250">
        <f t="shared" si="467"/>
        <v>0</v>
      </c>
      <c r="M517" s="265" t="str">
        <f t="shared" si="474"/>
        <v>-</v>
      </c>
      <c r="N517" s="264" t="str">
        <f t="shared" si="475"/>
        <v>-</v>
      </c>
      <c r="O517" s="519">
        <v>25.033899999999999</v>
      </c>
      <c r="P517" s="410">
        <f t="shared" si="468"/>
        <v>0</v>
      </c>
      <c r="Q517" s="459">
        <f t="shared" si="469"/>
        <v>0</v>
      </c>
    </row>
    <row r="518" spans="1:17" ht="23.4" x14ac:dyDescent="0.4">
      <c r="A518" s="248"/>
      <c r="B518" s="979" t="s">
        <v>81</v>
      </c>
      <c r="C518" s="556" t="s">
        <v>82</v>
      </c>
      <c r="D518" s="279"/>
      <c r="E518" s="442"/>
      <c r="F518" s="339">
        <f t="shared" si="470"/>
        <v>0</v>
      </c>
      <c r="G518" s="281">
        <v>0</v>
      </c>
      <c r="H518" s="281">
        <v>0</v>
      </c>
      <c r="I518" s="358" t="str">
        <f>IFERROR(F518/#REF!,"-")</f>
        <v>-</v>
      </c>
      <c r="J518" s="339">
        <f t="shared" si="471"/>
        <v>4860</v>
      </c>
      <c r="K518" s="281">
        <f t="shared" si="466"/>
        <v>4840</v>
      </c>
      <c r="L518" s="250">
        <f t="shared" si="467"/>
        <v>20</v>
      </c>
      <c r="M518" s="265" t="str">
        <f t="shared" si="474"/>
        <v>-</v>
      </c>
      <c r="N518" s="264">
        <f t="shared" si="475"/>
        <v>4.11522633744856E-3</v>
      </c>
      <c r="O518" s="519">
        <v>41.992699999999999</v>
      </c>
      <c r="P518" s="410">
        <f t="shared" si="468"/>
        <v>0</v>
      </c>
      <c r="Q518" s="459">
        <f t="shared" si="469"/>
        <v>203244.66800000001</v>
      </c>
    </row>
    <row r="519" spans="1:17" ht="24" thickBot="1" x14ac:dyDescent="0.45">
      <c r="A519" s="248"/>
      <c r="B519" s="980"/>
      <c r="C519" s="556" t="s">
        <v>364</v>
      </c>
      <c r="D519" s="279"/>
      <c r="E519" s="442"/>
      <c r="F519" s="339">
        <f t="shared" si="470"/>
        <v>0</v>
      </c>
      <c r="G519" s="281">
        <v>0</v>
      </c>
      <c r="H519" s="281">
        <v>0</v>
      </c>
      <c r="I519" s="358" t="str">
        <f>IFERROR(F519/#REF!,"-")</f>
        <v>-</v>
      </c>
      <c r="J519" s="339">
        <f t="shared" si="471"/>
        <v>0</v>
      </c>
      <c r="K519" s="281">
        <f t="shared" si="466"/>
        <v>0</v>
      </c>
      <c r="L519" s="250">
        <f t="shared" si="467"/>
        <v>0</v>
      </c>
      <c r="M519" s="265" t="str">
        <f t="shared" si="474"/>
        <v>-</v>
      </c>
      <c r="N519" s="264" t="str">
        <f t="shared" si="475"/>
        <v>-</v>
      </c>
      <c r="O519" s="519">
        <v>41.992699999999999</v>
      </c>
      <c r="P519" s="410">
        <f t="shared" si="468"/>
        <v>0</v>
      </c>
      <c r="Q519" s="459">
        <f t="shared" si="469"/>
        <v>0</v>
      </c>
    </row>
    <row r="520" spans="1:17" ht="24" thickBot="1" x14ac:dyDescent="0.45">
      <c r="A520" s="248"/>
      <c r="B520" s="559" t="s">
        <v>83</v>
      </c>
      <c r="C520" s="556" t="s">
        <v>84</v>
      </c>
      <c r="D520" s="279"/>
      <c r="E520" s="442"/>
      <c r="F520" s="339">
        <f t="shared" si="470"/>
        <v>0</v>
      </c>
      <c r="G520" s="281">
        <v>0</v>
      </c>
      <c r="H520" s="281">
        <v>0</v>
      </c>
      <c r="I520" s="358" t="str">
        <f>IFERROR(F520/#REF!,"-")</f>
        <v>-</v>
      </c>
      <c r="J520" s="339">
        <f t="shared" si="471"/>
        <v>0</v>
      </c>
      <c r="K520" s="281">
        <f t="shared" si="466"/>
        <v>0</v>
      </c>
      <c r="L520" s="250">
        <f t="shared" si="467"/>
        <v>0</v>
      </c>
      <c r="M520" s="265" t="str">
        <f t="shared" si="474"/>
        <v>-</v>
      </c>
      <c r="N520" s="264" t="str">
        <f t="shared" si="475"/>
        <v>-</v>
      </c>
      <c r="O520" s="519">
        <v>4.3535000000000004</v>
      </c>
      <c r="P520" s="410">
        <f t="shared" si="468"/>
        <v>0</v>
      </c>
      <c r="Q520" s="459">
        <f t="shared" si="469"/>
        <v>0</v>
      </c>
    </row>
    <row r="521" spans="1:17" ht="23.4" x14ac:dyDescent="0.4">
      <c r="A521" s="248"/>
      <c r="B521" s="979" t="s">
        <v>280</v>
      </c>
      <c r="C521" s="556" t="s">
        <v>80</v>
      </c>
      <c r="D521" s="279"/>
      <c r="E521" s="442"/>
      <c r="F521" s="339">
        <f t="shared" si="470"/>
        <v>0</v>
      </c>
      <c r="G521" s="281">
        <v>0</v>
      </c>
      <c r="H521" s="281">
        <v>0</v>
      </c>
      <c r="I521" s="358" t="str">
        <f>IFERROR(F521/#REF!,"-")</f>
        <v>-</v>
      </c>
      <c r="J521" s="339">
        <f t="shared" si="471"/>
        <v>0</v>
      </c>
      <c r="K521" s="281">
        <f t="shared" si="466"/>
        <v>0</v>
      </c>
      <c r="L521" s="250">
        <f t="shared" si="467"/>
        <v>0</v>
      </c>
      <c r="M521" s="265" t="str">
        <f t="shared" si="474"/>
        <v>-</v>
      </c>
      <c r="N521" s="264" t="str">
        <f t="shared" si="475"/>
        <v>-</v>
      </c>
      <c r="O521" s="519">
        <v>4.6184000000000003</v>
      </c>
      <c r="P521" s="410">
        <f t="shared" si="468"/>
        <v>0</v>
      </c>
      <c r="Q521" s="459">
        <f t="shared" si="469"/>
        <v>0</v>
      </c>
    </row>
    <row r="522" spans="1:17" ht="23.4" x14ac:dyDescent="0.4">
      <c r="A522" s="248"/>
      <c r="B522" s="980"/>
      <c r="C522" s="556" t="s">
        <v>407</v>
      </c>
      <c r="D522" s="279"/>
      <c r="E522" s="442"/>
      <c r="F522" s="339">
        <f t="shared" si="470"/>
        <v>0</v>
      </c>
      <c r="G522" s="281">
        <v>0</v>
      </c>
      <c r="H522" s="281">
        <v>0</v>
      </c>
      <c r="I522" s="358" t="str">
        <f>IFERROR(F522/#REF!,"-")</f>
        <v>-</v>
      </c>
      <c r="J522" s="339">
        <f t="shared" si="471"/>
        <v>146140</v>
      </c>
      <c r="K522" s="281">
        <f t="shared" si="466"/>
        <v>144842</v>
      </c>
      <c r="L522" s="250">
        <f t="shared" si="467"/>
        <v>1298</v>
      </c>
      <c r="M522" s="265" t="str">
        <f t="shared" si="474"/>
        <v>-</v>
      </c>
      <c r="N522" s="264">
        <f t="shared" si="475"/>
        <v>8.8818940741754483E-3</v>
      </c>
      <c r="O522" s="519">
        <v>4.6184000000000003</v>
      </c>
      <c r="P522" s="410">
        <f t="shared" si="468"/>
        <v>0</v>
      </c>
      <c r="Q522" s="459">
        <f t="shared" si="469"/>
        <v>668938.29280000005</v>
      </c>
    </row>
    <row r="523" spans="1:17" ht="23.4" x14ac:dyDescent="0.4">
      <c r="A523" s="248"/>
      <c r="B523" s="980"/>
      <c r="C523" s="556" t="s">
        <v>279</v>
      </c>
      <c r="D523" s="279"/>
      <c r="E523" s="442"/>
      <c r="F523" s="339">
        <f t="shared" si="470"/>
        <v>0</v>
      </c>
      <c r="G523" s="281">
        <v>0</v>
      </c>
      <c r="H523" s="281">
        <v>0</v>
      </c>
      <c r="I523" s="358" t="str">
        <f>IFERROR(F523/#REF!,"-")</f>
        <v>-</v>
      </c>
      <c r="J523" s="339">
        <f t="shared" si="471"/>
        <v>0</v>
      </c>
      <c r="K523" s="281">
        <f t="shared" si="466"/>
        <v>0</v>
      </c>
      <c r="L523" s="250">
        <f t="shared" si="467"/>
        <v>0</v>
      </c>
      <c r="M523" s="265" t="str">
        <f t="shared" si="474"/>
        <v>-</v>
      </c>
      <c r="N523" s="264" t="str">
        <f t="shared" si="475"/>
        <v>-</v>
      </c>
      <c r="O523" s="519">
        <v>4.6184000000000003</v>
      </c>
      <c r="P523" s="410">
        <f t="shared" si="468"/>
        <v>0</v>
      </c>
      <c r="Q523" s="459">
        <f t="shared" si="469"/>
        <v>0</v>
      </c>
    </row>
    <row r="524" spans="1:17" ht="23.4" x14ac:dyDescent="0.4">
      <c r="A524" s="248"/>
      <c r="B524" s="980"/>
      <c r="C524" s="556" t="s">
        <v>440</v>
      </c>
      <c r="D524" s="279"/>
      <c r="E524" s="442"/>
      <c r="F524" s="339">
        <f t="shared" si="470"/>
        <v>31027</v>
      </c>
      <c r="G524" s="281">
        <f>19800+11000</f>
        <v>30800</v>
      </c>
      <c r="H524" s="281">
        <f>149+78</f>
        <v>227</v>
      </c>
      <c r="I524" s="358" t="str">
        <f>IFERROR(F524/#REF!,"-")</f>
        <v>-</v>
      </c>
      <c r="J524" s="339">
        <f t="shared" si="471"/>
        <v>67548</v>
      </c>
      <c r="K524" s="281">
        <f t="shared" si="466"/>
        <v>67100</v>
      </c>
      <c r="L524" s="250">
        <f t="shared" si="467"/>
        <v>448</v>
      </c>
      <c r="M524" s="265" t="str">
        <f t="shared" si="474"/>
        <v>-</v>
      </c>
      <c r="N524" s="264">
        <f t="shared" si="475"/>
        <v>6.6323207200805357E-3</v>
      </c>
      <c r="O524" s="519">
        <v>4.7636000000000003</v>
      </c>
      <c r="P524" s="410">
        <f t="shared" si="468"/>
        <v>146718.88</v>
      </c>
      <c r="Q524" s="459">
        <f t="shared" si="469"/>
        <v>319637.56</v>
      </c>
    </row>
    <row r="525" spans="1:17" ht="24" thickBot="1" x14ac:dyDescent="0.45">
      <c r="A525" s="248"/>
      <c r="B525" s="981"/>
      <c r="C525" s="556" t="s">
        <v>429</v>
      </c>
      <c r="D525" s="279"/>
      <c r="E525" s="442"/>
      <c r="F525" s="339">
        <f t="shared" si="470"/>
        <v>0</v>
      </c>
      <c r="G525" s="281">
        <v>0</v>
      </c>
      <c r="H525" s="281">
        <v>0</v>
      </c>
      <c r="I525" s="358" t="str">
        <f>IFERROR(F525/#REF!,"-")</f>
        <v>-</v>
      </c>
      <c r="J525" s="339">
        <f t="shared" si="471"/>
        <v>12296</v>
      </c>
      <c r="K525" s="281">
        <f t="shared" si="466"/>
        <v>12100</v>
      </c>
      <c r="L525" s="250">
        <f t="shared" si="467"/>
        <v>196</v>
      </c>
      <c r="M525" s="265" t="str">
        <f t="shared" si="474"/>
        <v>-</v>
      </c>
      <c r="N525" s="264">
        <f t="shared" si="475"/>
        <v>1.594014313597918E-2</v>
      </c>
      <c r="O525" s="519">
        <v>4.8738000000000001</v>
      </c>
      <c r="P525" s="410">
        <f t="shared" si="468"/>
        <v>0</v>
      </c>
      <c r="Q525" s="459">
        <f t="shared" si="469"/>
        <v>58972.98</v>
      </c>
    </row>
    <row r="526" spans="1:17" ht="24" thickBot="1" x14ac:dyDescent="0.45">
      <c r="A526" s="248"/>
      <c r="B526" s="559" t="s">
        <v>281</v>
      </c>
      <c r="C526" s="556" t="s">
        <v>132</v>
      </c>
      <c r="D526" s="279"/>
      <c r="E526" s="442"/>
      <c r="F526" s="339">
        <f t="shared" si="470"/>
        <v>0</v>
      </c>
      <c r="G526" s="281">
        <v>0</v>
      </c>
      <c r="H526" s="281">
        <v>0</v>
      </c>
      <c r="I526" s="358" t="str">
        <f>IFERROR(F526/#REF!,"-")</f>
        <v>-</v>
      </c>
      <c r="J526" s="339">
        <f t="shared" si="471"/>
        <v>0</v>
      </c>
      <c r="K526" s="281">
        <f t="shared" si="466"/>
        <v>0</v>
      </c>
      <c r="L526" s="250">
        <f t="shared" si="467"/>
        <v>0</v>
      </c>
      <c r="M526" s="265" t="str">
        <f t="shared" si="474"/>
        <v>-</v>
      </c>
      <c r="N526" s="264" t="str">
        <f t="shared" si="475"/>
        <v>-</v>
      </c>
      <c r="O526" s="519">
        <v>4.8738000000000001</v>
      </c>
      <c r="P526" s="410">
        <f t="shared" si="468"/>
        <v>0</v>
      </c>
      <c r="Q526" s="459">
        <f t="shared" si="469"/>
        <v>0</v>
      </c>
    </row>
    <row r="527" spans="1:17" ht="23.4" x14ac:dyDescent="0.4">
      <c r="A527" s="248"/>
      <c r="B527" s="979" t="s">
        <v>283</v>
      </c>
      <c r="C527" s="556" t="s">
        <v>80</v>
      </c>
      <c r="D527" s="279"/>
      <c r="E527" s="442"/>
      <c r="F527" s="339">
        <f t="shared" si="470"/>
        <v>39891</v>
      </c>
      <c r="G527" s="281">
        <f>17800+21300</f>
        <v>39100</v>
      </c>
      <c r="H527" s="281">
        <f>492+299</f>
        <v>791</v>
      </c>
      <c r="I527" s="358" t="str">
        <f>IFERROR(F527/#REF!,"-")</f>
        <v>-</v>
      </c>
      <c r="J527" s="339">
        <f t="shared" si="471"/>
        <v>202879</v>
      </c>
      <c r="K527" s="281">
        <f t="shared" si="466"/>
        <v>198350</v>
      </c>
      <c r="L527" s="281">
        <f t="shared" si="467"/>
        <v>4529</v>
      </c>
      <c r="M527" s="265" t="str">
        <f t="shared" si="474"/>
        <v>-</v>
      </c>
      <c r="N527" s="264">
        <f t="shared" si="475"/>
        <v>2.2323651043232667E-2</v>
      </c>
      <c r="O527" s="519">
        <v>4.9344999999999999</v>
      </c>
      <c r="P527" s="410">
        <f t="shared" si="468"/>
        <v>192938.94999999998</v>
      </c>
      <c r="Q527" s="459">
        <f t="shared" si="469"/>
        <v>978758.07499999995</v>
      </c>
    </row>
    <row r="528" spans="1:17" ht="23.4" x14ac:dyDescent="0.4">
      <c r="A528" s="248"/>
      <c r="B528" s="980"/>
      <c r="C528" s="556" t="s">
        <v>143</v>
      </c>
      <c r="D528" s="279"/>
      <c r="E528" s="442"/>
      <c r="F528" s="339">
        <f t="shared" si="470"/>
        <v>0</v>
      </c>
      <c r="G528" s="281">
        <v>0</v>
      </c>
      <c r="H528" s="281">
        <v>0</v>
      </c>
      <c r="I528" s="358" t="str">
        <f>IFERROR(F528/#REF!,"-")</f>
        <v>-</v>
      </c>
      <c r="J528" s="339">
        <f t="shared" si="471"/>
        <v>0</v>
      </c>
      <c r="K528" s="281">
        <f t="shared" si="466"/>
        <v>0</v>
      </c>
      <c r="L528" s="250">
        <f t="shared" si="467"/>
        <v>0</v>
      </c>
      <c r="M528" s="265" t="str">
        <f t="shared" si="474"/>
        <v>-</v>
      </c>
      <c r="N528" s="264" t="str">
        <f t="shared" si="475"/>
        <v>-</v>
      </c>
      <c r="O528" s="519">
        <v>4.9344999999999999</v>
      </c>
      <c r="P528" s="410">
        <f t="shared" si="468"/>
        <v>0</v>
      </c>
      <c r="Q528" s="459">
        <f t="shared" si="469"/>
        <v>0</v>
      </c>
    </row>
    <row r="529" spans="1:17" ht="23.4" x14ac:dyDescent="0.4">
      <c r="A529" s="248"/>
      <c r="B529" s="980"/>
      <c r="C529" s="556" t="s">
        <v>137</v>
      </c>
      <c r="D529" s="279"/>
      <c r="E529" s="442"/>
      <c r="F529" s="339">
        <f t="shared" si="470"/>
        <v>0</v>
      </c>
      <c r="G529" s="281">
        <v>0</v>
      </c>
      <c r="H529" s="281">
        <v>0</v>
      </c>
      <c r="I529" s="358" t="str">
        <f>IFERROR(F529/#REF!,"-")</f>
        <v>-</v>
      </c>
      <c r="J529" s="339">
        <f t="shared" si="471"/>
        <v>0</v>
      </c>
      <c r="K529" s="281">
        <f t="shared" si="466"/>
        <v>0</v>
      </c>
      <c r="L529" s="250">
        <f t="shared" si="467"/>
        <v>0</v>
      </c>
      <c r="M529" s="265" t="str">
        <f t="shared" si="474"/>
        <v>-</v>
      </c>
      <c r="N529" s="264" t="str">
        <f t="shared" si="475"/>
        <v>-</v>
      </c>
      <c r="O529" s="519">
        <v>4.9344999999999999</v>
      </c>
      <c r="P529" s="410">
        <f t="shared" si="468"/>
        <v>0</v>
      </c>
      <c r="Q529" s="459">
        <f t="shared" si="469"/>
        <v>0</v>
      </c>
    </row>
    <row r="530" spans="1:17" ht="24" thickBot="1" x14ac:dyDescent="0.45">
      <c r="A530" s="248"/>
      <c r="B530" s="981"/>
      <c r="C530" s="556" t="s">
        <v>282</v>
      </c>
      <c r="D530" s="279"/>
      <c r="E530" s="442"/>
      <c r="F530" s="339">
        <f t="shared" si="470"/>
        <v>0</v>
      </c>
      <c r="G530" s="281">
        <v>0</v>
      </c>
      <c r="H530" s="281">
        <v>0</v>
      </c>
      <c r="I530" s="358" t="str">
        <f>IFERROR(F530/#REF!,"-")</f>
        <v>-</v>
      </c>
      <c r="J530" s="339">
        <f t="shared" si="471"/>
        <v>0</v>
      </c>
      <c r="K530" s="281">
        <f t="shared" si="466"/>
        <v>0</v>
      </c>
      <c r="L530" s="250">
        <f t="shared" si="467"/>
        <v>0</v>
      </c>
      <c r="M530" s="265" t="str">
        <f t="shared" si="474"/>
        <v>-</v>
      </c>
      <c r="N530" s="264" t="str">
        <f t="shared" si="475"/>
        <v>-</v>
      </c>
      <c r="O530" s="519">
        <v>5.5069999999999997</v>
      </c>
      <c r="P530" s="410">
        <f t="shared" si="468"/>
        <v>0</v>
      </c>
      <c r="Q530" s="459">
        <f t="shared" si="469"/>
        <v>0</v>
      </c>
    </row>
    <row r="531" spans="1:17" ht="23.4" x14ac:dyDescent="0.4">
      <c r="A531" s="248"/>
      <c r="B531" s="979" t="s">
        <v>288</v>
      </c>
      <c r="C531" s="556" t="s">
        <v>284</v>
      </c>
      <c r="D531" s="279"/>
      <c r="E531" s="442"/>
      <c r="F531" s="339">
        <f t="shared" si="470"/>
        <v>0</v>
      </c>
      <c r="G531" s="281">
        <v>0</v>
      </c>
      <c r="H531" s="281">
        <v>0</v>
      </c>
      <c r="I531" s="358" t="str">
        <f>IFERROR(F531/#REF!,"-")</f>
        <v>-</v>
      </c>
      <c r="J531" s="339">
        <f t="shared" si="471"/>
        <v>0</v>
      </c>
      <c r="K531" s="281">
        <f t="shared" si="466"/>
        <v>0</v>
      </c>
      <c r="L531" s="250">
        <f t="shared" si="467"/>
        <v>0</v>
      </c>
      <c r="M531" s="265" t="str">
        <f t="shared" si="474"/>
        <v>-</v>
      </c>
      <c r="N531" s="264" t="str">
        <f t="shared" si="475"/>
        <v>-</v>
      </c>
      <c r="O531" s="519">
        <v>5.6550000000000002</v>
      </c>
      <c r="P531" s="410">
        <f t="shared" si="468"/>
        <v>0</v>
      </c>
      <c r="Q531" s="459">
        <f t="shared" si="469"/>
        <v>0</v>
      </c>
    </row>
    <row r="532" spans="1:17" ht="23.4" x14ac:dyDescent="0.4">
      <c r="A532" s="248"/>
      <c r="B532" s="980"/>
      <c r="C532" s="556" t="s">
        <v>285</v>
      </c>
      <c r="D532" s="279"/>
      <c r="E532" s="442"/>
      <c r="F532" s="339">
        <f t="shared" si="470"/>
        <v>0</v>
      </c>
      <c r="G532" s="281">
        <v>0</v>
      </c>
      <c r="H532" s="281">
        <v>0</v>
      </c>
      <c r="I532" s="358" t="str">
        <f>IFERROR(F532/#REF!,"-")</f>
        <v>-</v>
      </c>
      <c r="J532" s="339">
        <f t="shared" si="471"/>
        <v>0</v>
      </c>
      <c r="K532" s="281">
        <f t="shared" si="466"/>
        <v>0</v>
      </c>
      <c r="L532" s="250">
        <f t="shared" si="467"/>
        <v>0</v>
      </c>
      <c r="M532" s="265" t="str">
        <f t="shared" si="474"/>
        <v>-</v>
      </c>
      <c r="N532" s="264" t="str">
        <f t="shared" si="475"/>
        <v>-</v>
      </c>
      <c r="O532" s="519">
        <v>5.6550000000000002</v>
      </c>
      <c r="P532" s="410">
        <f t="shared" si="468"/>
        <v>0</v>
      </c>
      <c r="Q532" s="459">
        <f t="shared" si="469"/>
        <v>0</v>
      </c>
    </row>
    <row r="533" spans="1:17" ht="23.4" x14ac:dyDescent="0.4">
      <c r="A533" s="248"/>
      <c r="B533" s="980"/>
      <c r="C533" s="556" t="s">
        <v>374</v>
      </c>
      <c r="D533" s="279"/>
      <c r="E533" s="442"/>
      <c r="F533" s="339">
        <f t="shared" si="470"/>
        <v>37810</v>
      </c>
      <c r="G533" s="281">
        <f>25050+12000</f>
        <v>37050</v>
      </c>
      <c r="H533" s="281">
        <f>541+219</f>
        <v>760</v>
      </c>
      <c r="I533" s="358" t="str">
        <f>IFERROR(F533/#REF!,"-")</f>
        <v>-</v>
      </c>
      <c r="J533" s="339">
        <f t="shared" si="471"/>
        <v>200879</v>
      </c>
      <c r="K533" s="281">
        <f t="shared" si="466"/>
        <v>198000</v>
      </c>
      <c r="L533" s="250">
        <f t="shared" si="467"/>
        <v>2879</v>
      </c>
      <c r="M533" s="265" t="str">
        <f t="shared" si="474"/>
        <v>-</v>
      </c>
      <c r="N533" s="264">
        <f t="shared" si="475"/>
        <v>1.4332010812479154E-2</v>
      </c>
      <c r="O533" s="519">
        <v>5.6550000000000002</v>
      </c>
      <c r="P533" s="410">
        <f t="shared" si="468"/>
        <v>209517.75</v>
      </c>
      <c r="Q533" s="459">
        <f t="shared" si="469"/>
        <v>1119690</v>
      </c>
    </row>
    <row r="534" spans="1:17" ht="23.4" x14ac:dyDescent="0.4">
      <c r="A534" s="248"/>
      <c r="B534" s="980"/>
      <c r="C534" s="556" t="s">
        <v>286</v>
      </c>
      <c r="D534" s="279"/>
      <c r="E534" s="442"/>
      <c r="F534" s="339">
        <f t="shared" si="470"/>
        <v>0</v>
      </c>
      <c r="G534" s="281">
        <v>0</v>
      </c>
      <c r="H534" s="281">
        <v>0</v>
      </c>
      <c r="I534" s="358" t="str">
        <f>IFERROR(F534/#REF!,"-")</f>
        <v>-</v>
      </c>
      <c r="J534" s="339">
        <f t="shared" si="471"/>
        <v>0</v>
      </c>
      <c r="K534" s="281">
        <f t="shared" si="466"/>
        <v>0</v>
      </c>
      <c r="L534" s="250">
        <f t="shared" si="467"/>
        <v>0</v>
      </c>
      <c r="M534" s="265" t="str">
        <f t="shared" si="474"/>
        <v>-</v>
      </c>
      <c r="N534" s="264" t="str">
        <f t="shared" si="475"/>
        <v>-</v>
      </c>
      <c r="O534" s="519">
        <v>5.6550000000000002</v>
      </c>
      <c r="P534" s="410">
        <f t="shared" si="468"/>
        <v>0</v>
      </c>
      <c r="Q534" s="459">
        <f t="shared" si="469"/>
        <v>0</v>
      </c>
    </row>
    <row r="535" spans="1:17" ht="23.4" x14ac:dyDescent="0.4">
      <c r="A535" s="248" t="s">
        <v>109</v>
      </c>
      <c r="B535" s="980"/>
      <c r="C535" s="556" t="s">
        <v>287</v>
      </c>
      <c r="D535" s="279"/>
      <c r="E535" s="442"/>
      <c r="F535" s="339">
        <f t="shared" si="470"/>
        <v>0</v>
      </c>
      <c r="G535" s="281">
        <v>0</v>
      </c>
      <c r="H535" s="281">
        <v>0</v>
      </c>
      <c r="I535" s="358" t="str">
        <f>IFERROR(F535/#REF!,"-")</f>
        <v>-</v>
      </c>
      <c r="J535" s="339">
        <f t="shared" si="471"/>
        <v>0</v>
      </c>
      <c r="K535" s="281">
        <f t="shared" si="466"/>
        <v>0</v>
      </c>
      <c r="L535" s="250">
        <f t="shared" si="467"/>
        <v>0</v>
      </c>
      <c r="M535" s="265" t="str">
        <f t="shared" si="474"/>
        <v>-</v>
      </c>
      <c r="N535" s="264" t="str">
        <f t="shared" si="475"/>
        <v>-</v>
      </c>
      <c r="O535" s="519">
        <v>3.2963</v>
      </c>
      <c r="P535" s="410">
        <f t="shared" si="468"/>
        <v>0</v>
      </c>
      <c r="Q535" s="459">
        <f t="shared" si="469"/>
        <v>0</v>
      </c>
    </row>
    <row r="536" spans="1:17" ht="24" thickBot="1" x14ac:dyDescent="0.45">
      <c r="A536" s="248" t="s">
        <v>109</v>
      </c>
      <c r="B536" s="981"/>
      <c r="C536" s="556" t="s">
        <v>282</v>
      </c>
      <c r="D536" s="279"/>
      <c r="E536" s="442"/>
      <c r="F536" s="339">
        <f t="shared" si="470"/>
        <v>0</v>
      </c>
      <c r="G536" s="281">
        <v>0</v>
      </c>
      <c r="H536" s="281">
        <v>0</v>
      </c>
      <c r="I536" s="358" t="str">
        <f>IFERROR(F536/#REF!,"-")</f>
        <v>-</v>
      </c>
      <c r="J536" s="339">
        <f t="shared" si="471"/>
        <v>0</v>
      </c>
      <c r="K536" s="281">
        <f t="shared" si="466"/>
        <v>0</v>
      </c>
      <c r="L536" s="250">
        <f t="shared" si="467"/>
        <v>0</v>
      </c>
      <c r="M536" s="265" t="str">
        <f t="shared" si="474"/>
        <v>-</v>
      </c>
      <c r="N536" s="264" t="str">
        <f t="shared" si="475"/>
        <v>-</v>
      </c>
      <c r="O536" s="519">
        <v>3.2963</v>
      </c>
      <c r="P536" s="410">
        <f t="shared" si="468"/>
        <v>0</v>
      </c>
      <c r="Q536" s="459">
        <f t="shared" si="469"/>
        <v>0</v>
      </c>
    </row>
    <row r="537" spans="1:17" ht="23.4" x14ac:dyDescent="0.4">
      <c r="A537" s="248" t="s">
        <v>109</v>
      </c>
      <c r="B537" s="560"/>
      <c r="C537" s="557" t="s">
        <v>92</v>
      </c>
      <c r="D537" s="523"/>
      <c r="E537" s="442"/>
      <c r="F537" s="339">
        <f t="shared" si="470"/>
        <v>65530</v>
      </c>
      <c r="G537" s="281">
        <v>65500</v>
      </c>
      <c r="H537" s="281">
        <v>30</v>
      </c>
      <c r="I537" s="358" t="str">
        <f>IFERROR(F537/#REF!,"-")</f>
        <v>-</v>
      </c>
      <c r="J537" s="339">
        <f t="shared" si="471"/>
        <v>65530</v>
      </c>
      <c r="K537" s="281">
        <f t="shared" si="466"/>
        <v>65500</v>
      </c>
      <c r="L537" s="250">
        <f t="shared" si="467"/>
        <v>30</v>
      </c>
      <c r="M537" s="265" t="str">
        <f t="shared" si="474"/>
        <v>-</v>
      </c>
      <c r="N537" s="264">
        <f t="shared" si="475"/>
        <v>4.5780558522813981E-4</v>
      </c>
      <c r="O537" s="519">
        <v>2.3201000000000001</v>
      </c>
      <c r="P537" s="410">
        <f t="shared" si="468"/>
        <v>151966.55000000002</v>
      </c>
      <c r="Q537" s="459">
        <f t="shared" si="469"/>
        <v>151966.55000000002</v>
      </c>
    </row>
    <row r="538" spans="1:17" ht="24" thickBot="1" x14ac:dyDescent="0.35">
      <c r="A538" s="248" t="s">
        <v>109</v>
      </c>
      <c r="B538" s="537"/>
      <c r="C538" s="554"/>
      <c r="D538" s="543"/>
      <c r="E538" s="473"/>
      <c r="F538" s="471">
        <f t="shared" si="470"/>
        <v>0</v>
      </c>
      <c r="G538" s="472"/>
      <c r="H538" s="472"/>
      <c r="I538" s="545" t="str">
        <f>IFERROR(F538/#REF!,"-")</f>
        <v>-</v>
      </c>
      <c r="J538" s="471">
        <f t="shared" si="471"/>
        <v>0</v>
      </c>
      <c r="K538" s="472">
        <f t="shared" si="466"/>
        <v>0</v>
      </c>
      <c r="L538" s="257">
        <f t="shared" si="467"/>
        <v>0</v>
      </c>
      <c r="M538" s="267" t="str">
        <f t="shared" si="474"/>
        <v>-</v>
      </c>
      <c r="N538" s="266" t="str">
        <f t="shared" si="475"/>
        <v>-</v>
      </c>
      <c r="O538" s="552"/>
      <c r="P538" s="549">
        <f t="shared" si="468"/>
        <v>0</v>
      </c>
      <c r="Q538" s="550">
        <f t="shared" si="469"/>
        <v>0</v>
      </c>
    </row>
    <row r="539" spans="1:17" ht="24" thickBot="1" x14ac:dyDescent="0.35">
      <c r="A539" s="277" t="s">
        <v>109</v>
      </c>
      <c r="B539" s="982" t="s">
        <v>25</v>
      </c>
      <c r="C539" s="983"/>
      <c r="D539" s="525">
        <f t="shared" ref="D539" si="476">SUM(D515:D538)</f>
        <v>0</v>
      </c>
      <c r="E539" s="539">
        <v>100000</v>
      </c>
      <c r="F539" s="525">
        <f>SUM(F515:F538)</f>
        <v>174258</v>
      </c>
      <c r="G539" s="531">
        <f t="shared" ref="G539:H539" si="477">SUM(G515:G538)</f>
        <v>172450</v>
      </c>
      <c r="H539" s="531">
        <f t="shared" si="477"/>
        <v>1808</v>
      </c>
      <c r="I539" s="532" t="str">
        <f>IFERROR(F539/#REF!,"-")</f>
        <v>-</v>
      </c>
      <c r="J539" s="525">
        <f t="shared" ref="J539" si="478">SUM(J515:J538)</f>
        <v>707960</v>
      </c>
      <c r="K539" s="531">
        <f>SUM(K510:K538)</f>
        <v>741982</v>
      </c>
      <c r="L539" s="533">
        <f t="shared" ref="L539" si="479">SUM(L515:L538)</f>
        <v>10328</v>
      </c>
      <c r="M539" s="534" t="str">
        <f t="shared" si="474"/>
        <v>-</v>
      </c>
      <c r="N539" s="532">
        <f t="shared" si="475"/>
        <v>1.4588394824566359E-2</v>
      </c>
      <c r="O539" s="535"/>
      <c r="P539" s="536">
        <f>SUM(P510:P538)</f>
        <v>701142.13</v>
      </c>
      <c r="Q539" s="536">
        <f>SUM(Q510:Q538)</f>
        <v>5614815.4507999998</v>
      </c>
    </row>
    <row r="540" spans="1:17" ht="24" thickBot="1" x14ac:dyDescent="0.35">
      <c r="A540" s="324" t="s">
        <v>109</v>
      </c>
      <c r="B540" s="984" t="s">
        <v>276</v>
      </c>
      <c r="C540" s="927"/>
      <c r="D540" s="332">
        <f>+D514+D539</f>
        <v>0</v>
      </c>
      <c r="E540" s="333">
        <f>+E514+E539</f>
        <v>100000</v>
      </c>
      <c r="F540" s="332">
        <f>+F514+F539</f>
        <v>174258</v>
      </c>
      <c r="G540" s="330">
        <f>+G514+G539</f>
        <v>172450</v>
      </c>
      <c r="H540" s="330">
        <f>+H514+H539</f>
        <v>1808</v>
      </c>
      <c r="I540" s="355" t="str">
        <f>IFERROR(F540/#REF!,"-")</f>
        <v>-</v>
      </c>
      <c r="J540" s="332">
        <f>+J514+J539</f>
        <v>713310</v>
      </c>
      <c r="K540" s="330">
        <f>K539</f>
        <v>741982</v>
      </c>
      <c r="L540" s="331">
        <f>+L514+L539</f>
        <v>11528</v>
      </c>
      <c r="M540" s="347" t="str">
        <f t="shared" si="474"/>
        <v>-</v>
      </c>
      <c r="N540" s="355">
        <f t="shared" si="475"/>
        <v>1.6161276303430484E-2</v>
      </c>
      <c r="O540" s="400"/>
      <c r="P540" s="416">
        <f>+P514+P539</f>
        <v>701142.13</v>
      </c>
      <c r="Q540" s="434">
        <f>Q539</f>
        <v>5614815.4507999998</v>
      </c>
    </row>
    <row r="541" spans="1:17" ht="24.6" thickBot="1" x14ac:dyDescent="0.35">
      <c r="A541" s="325"/>
      <c r="B541" s="915" t="s">
        <v>183</v>
      </c>
      <c r="C541" s="916"/>
      <c r="D541" s="380">
        <f>+D540+D509+D500</f>
        <v>0</v>
      </c>
      <c r="E541" s="380">
        <f>+E540+E509+E500</f>
        <v>230000</v>
      </c>
      <c r="F541" s="380">
        <f>+F540+F509+F500</f>
        <v>427934</v>
      </c>
      <c r="G541" s="380">
        <f>+G540+G509+G500</f>
        <v>415110</v>
      </c>
      <c r="H541" s="380">
        <f>+H540+H509+H500</f>
        <v>12824</v>
      </c>
      <c r="I541" s="381" t="str">
        <f>IFERROR(F541/#REF!,"-")</f>
        <v>-</v>
      </c>
      <c r="J541" s="380">
        <f>+J540+J509+J500</f>
        <v>2640092</v>
      </c>
      <c r="K541" s="380">
        <f>+K540+K509+K500</f>
        <v>2589572</v>
      </c>
      <c r="L541" s="380">
        <f>+L540+L509+L500</f>
        <v>74440</v>
      </c>
      <c r="M541" s="381" t="str">
        <f t="shared" si="474"/>
        <v>-</v>
      </c>
      <c r="N541" s="381">
        <f>IFERROR(L541/J541,"-")</f>
        <v>2.8195987109540122E-2</v>
      </c>
      <c r="O541" s="407"/>
      <c r="P541" s="424">
        <f>+P540+P509+P500</f>
        <v>2268432.588</v>
      </c>
      <c r="Q541" s="424">
        <f>+Q540+Q509+Q500</f>
        <v>15901756.549799999</v>
      </c>
    </row>
    <row r="542" spans="1:17" ht="23.4" x14ac:dyDescent="0.3">
      <c r="A542" s="935" t="s">
        <v>1</v>
      </c>
      <c r="B542" s="938" t="s">
        <v>2</v>
      </c>
      <c r="C542" s="941" t="s">
        <v>3</v>
      </c>
      <c r="D542" s="944" t="s">
        <v>4</v>
      </c>
      <c r="E542" s="945"/>
      <c r="F542" s="945"/>
      <c r="G542" s="945"/>
      <c r="H542" s="945"/>
      <c r="I542" s="945"/>
      <c r="J542" s="945"/>
      <c r="K542" s="945"/>
      <c r="L542" s="945"/>
      <c r="M542" s="945"/>
      <c r="N542" s="946"/>
      <c r="O542" s="965" t="s">
        <v>176</v>
      </c>
      <c r="P542" s="966"/>
      <c r="Q542" s="990"/>
    </row>
    <row r="543" spans="1:17" ht="23.4" x14ac:dyDescent="0.3">
      <c r="A543" s="936"/>
      <c r="B543" s="939"/>
      <c r="C543" s="942"/>
      <c r="D543" s="947" t="s">
        <v>7</v>
      </c>
      <c r="E543" s="949" t="s">
        <v>116</v>
      </c>
      <c r="F543" s="991" t="s">
        <v>451</v>
      </c>
      <c r="G543" s="952"/>
      <c r="H543" s="952"/>
      <c r="I543" s="953"/>
      <c r="J543" s="954" t="s">
        <v>8</v>
      </c>
      <c r="K543" s="955"/>
      <c r="L543" s="956"/>
      <c r="M543" s="957" t="s">
        <v>174</v>
      </c>
      <c r="N543" s="959" t="s">
        <v>173</v>
      </c>
      <c r="O543" s="967" t="s">
        <v>178</v>
      </c>
      <c r="P543" s="968"/>
      <c r="Q543" s="969"/>
    </row>
    <row r="544" spans="1:17" ht="47.4" thickBot="1" x14ac:dyDescent="0.35">
      <c r="A544" s="937"/>
      <c r="B544" s="940"/>
      <c r="C544" s="943"/>
      <c r="D544" s="948"/>
      <c r="E544" s="950"/>
      <c r="F544" s="462" t="s">
        <v>13</v>
      </c>
      <c r="G544" s="463" t="s">
        <v>14</v>
      </c>
      <c r="H544" s="463" t="s">
        <v>15</v>
      </c>
      <c r="I544" s="464" t="s">
        <v>175</v>
      </c>
      <c r="J544" s="462" t="s">
        <v>13</v>
      </c>
      <c r="K544" s="463" t="s">
        <v>14</v>
      </c>
      <c r="L544" s="465" t="s">
        <v>15</v>
      </c>
      <c r="M544" s="958"/>
      <c r="N544" s="960"/>
      <c r="O544" s="453" t="s">
        <v>179</v>
      </c>
      <c r="P544" s="454" t="s">
        <v>11</v>
      </c>
      <c r="Q544" s="455" t="s">
        <v>12</v>
      </c>
    </row>
    <row r="545" spans="1:17" ht="23.4" x14ac:dyDescent="0.3">
      <c r="A545" s="271" t="s">
        <v>111</v>
      </c>
      <c r="B545" s="445"/>
      <c r="C545" s="272" t="s">
        <v>272</v>
      </c>
      <c r="D545" s="273"/>
      <c r="E545" s="274"/>
      <c r="F545" s="338">
        <f>+G545+H545</f>
        <v>102400</v>
      </c>
      <c r="G545" s="275">
        <v>94920</v>
      </c>
      <c r="H545" s="275">
        <v>7480</v>
      </c>
      <c r="I545" s="357" t="str">
        <f>IFERROR(F545/#REF!,"-")</f>
        <v>-</v>
      </c>
      <c r="J545" s="468">
        <f>+K545+L545</f>
        <v>545354</v>
      </c>
      <c r="K545" s="469">
        <f>+G545+K486</f>
        <v>503720</v>
      </c>
      <c r="L545" s="470">
        <f>+H545+L486</f>
        <v>41634</v>
      </c>
      <c r="M545" s="342" t="str">
        <f>IFERROR(J545/D545,"-")</f>
        <v>-</v>
      </c>
      <c r="N545" s="349">
        <f t="shared" ref="N545:N546" si="480">IFERROR(L545/J545,"-")</f>
        <v>7.6343072573044304E-2</v>
      </c>
      <c r="O545" s="518">
        <v>1.5669</v>
      </c>
      <c r="P545" s="408">
        <f>+O545*G545</f>
        <v>148730.14799999999</v>
      </c>
      <c r="Q545" s="457">
        <f>+O545*K545</f>
        <v>789278.86800000002</v>
      </c>
    </row>
    <row r="546" spans="1:17" ht="23.4" x14ac:dyDescent="0.3">
      <c r="A546" s="277" t="s">
        <v>111</v>
      </c>
      <c r="B546" s="444"/>
      <c r="C546" s="278" t="s">
        <v>271</v>
      </c>
      <c r="D546" s="279"/>
      <c r="E546" s="280"/>
      <c r="F546" s="339">
        <f t="shared" ref="F546:F549" si="481">+G546+H546</f>
        <v>0</v>
      </c>
      <c r="G546" s="281">
        <v>0</v>
      </c>
      <c r="H546" s="281">
        <v>0</v>
      </c>
      <c r="I546" s="358" t="str">
        <f>IFERROR(F546/#REF!,"-")</f>
        <v>-</v>
      </c>
      <c r="J546" s="339">
        <f t="shared" ref="J546:J549" si="482">+K546+L546</f>
        <v>0</v>
      </c>
      <c r="K546" s="281">
        <f t="shared" ref="K546:K549" si="483">+G546+K487</f>
        <v>0</v>
      </c>
      <c r="L546" s="442">
        <f t="shared" ref="L546:L549" si="484">+H546+L487</f>
        <v>0</v>
      </c>
      <c r="M546" s="343" t="str">
        <f t="shared" ref="M546:M549" si="485">IFERROR(J546/D546,"-")</f>
        <v>-</v>
      </c>
      <c r="N546" s="268" t="str">
        <f t="shared" si="480"/>
        <v>-</v>
      </c>
      <c r="O546" s="519">
        <v>2.3978999999999999</v>
      </c>
      <c r="P546" s="410">
        <f t="shared" ref="P546:P549" si="486">+O546*G546</f>
        <v>0</v>
      </c>
      <c r="Q546" s="459">
        <f t="shared" ref="Q546:Q549" si="487">+O546*K546</f>
        <v>0</v>
      </c>
    </row>
    <row r="547" spans="1:17" ht="23.4" x14ac:dyDescent="0.3">
      <c r="A547" s="277" t="s">
        <v>111</v>
      </c>
      <c r="B547" s="444"/>
      <c r="C547" s="278" t="s">
        <v>273</v>
      </c>
      <c r="D547" s="279"/>
      <c r="E547" s="280"/>
      <c r="F547" s="339">
        <f t="shared" si="481"/>
        <v>0</v>
      </c>
      <c r="G547" s="281">
        <v>0</v>
      </c>
      <c r="H547" s="281">
        <v>0</v>
      </c>
      <c r="I547" s="358" t="str">
        <f>IFERROR(F547/#REF!,"-")</f>
        <v>-</v>
      </c>
      <c r="J547" s="339">
        <f t="shared" si="482"/>
        <v>0</v>
      </c>
      <c r="K547" s="281">
        <f t="shared" si="483"/>
        <v>0</v>
      </c>
      <c r="L547" s="251">
        <f t="shared" si="484"/>
        <v>0</v>
      </c>
      <c r="M547" s="343" t="str">
        <f t="shared" si="485"/>
        <v>-</v>
      </c>
      <c r="N547" s="268" t="str">
        <f>IFERROR(L547/J547,"-")</f>
        <v>-</v>
      </c>
      <c r="O547" s="519">
        <v>4.0426000000000002</v>
      </c>
      <c r="P547" s="410">
        <f t="shared" si="486"/>
        <v>0</v>
      </c>
      <c r="Q547" s="459">
        <f t="shared" si="487"/>
        <v>0</v>
      </c>
    </row>
    <row r="548" spans="1:17" ht="23.4" x14ac:dyDescent="0.3">
      <c r="A548" s="277"/>
      <c r="B548" s="461"/>
      <c r="C548" s="278" t="s">
        <v>372</v>
      </c>
      <c r="D548" s="283"/>
      <c r="E548" s="284"/>
      <c r="F548" s="339">
        <f t="shared" si="481"/>
        <v>45735</v>
      </c>
      <c r="G548" s="285">
        <v>44800</v>
      </c>
      <c r="H548" s="285">
        <v>935</v>
      </c>
      <c r="I548" s="358" t="str">
        <f>IFERROR(F548/#REF!,"-")</f>
        <v>-</v>
      </c>
      <c r="J548" s="339">
        <f t="shared" si="482"/>
        <v>464692</v>
      </c>
      <c r="K548" s="281">
        <f t="shared" si="483"/>
        <v>448200</v>
      </c>
      <c r="L548" s="286">
        <f t="shared" si="484"/>
        <v>16492</v>
      </c>
      <c r="M548" s="343" t="str">
        <f t="shared" si="485"/>
        <v>-</v>
      </c>
      <c r="N548" s="268">
        <f>IFERROR(L548/J548,"-")</f>
        <v>3.549017413684763E-2</v>
      </c>
      <c r="O548" s="520">
        <v>12.284700000000001</v>
      </c>
      <c r="P548" s="410">
        <f t="shared" si="486"/>
        <v>550354.56000000006</v>
      </c>
      <c r="Q548" s="459">
        <f t="shared" si="487"/>
        <v>5506002.54</v>
      </c>
    </row>
    <row r="549" spans="1:17" ht="24" thickBot="1" x14ac:dyDescent="0.35">
      <c r="A549" s="277" t="s">
        <v>111</v>
      </c>
      <c r="B549" s="461"/>
      <c r="C549" s="278" t="s">
        <v>497</v>
      </c>
      <c r="D549" s="283"/>
      <c r="E549" s="284"/>
      <c r="F549" s="340">
        <f t="shared" si="481"/>
        <v>30972</v>
      </c>
      <c r="G549" s="281">
        <v>30000</v>
      </c>
      <c r="H549" s="281">
        <v>972</v>
      </c>
      <c r="I549" s="359" t="str">
        <f>IFERROR(F549/#REF!,"-")</f>
        <v>-</v>
      </c>
      <c r="J549" s="471">
        <f t="shared" si="482"/>
        <v>30972</v>
      </c>
      <c r="K549" s="472">
        <f t="shared" si="483"/>
        <v>30000</v>
      </c>
      <c r="L549" s="258">
        <f t="shared" si="484"/>
        <v>972</v>
      </c>
      <c r="M549" s="344" t="str">
        <f t="shared" si="485"/>
        <v>-</v>
      </c>
      <c r="N549" s="350">
        <f t="shared" ref="N549:N561" si="488">IFERROR(L549/J549,"-")</f>
        <v>3.1383184812088336E-2</v>
      </c>
      <c r="O549" s="520">
        <v>4.6797000000000004</v>
      </c>
      <c r="P549" s="411">
        <f t="shared" si="486"/>
        <v>140391</v>
      </c>
      <c r="Q549" s="460">
        <f t="shared" si="487"/>
        <v>140391</v>
      </c>
    </row>
    <row r="550" spans="1:17" ht="24" thickBot="1" x14ac:dyDescent="0.35">
      <c r="A550" s="277" t="s">
        <v>111</v>
      </c>
      <c r="B550" s="906" t="s">
        <v>21</v>
      </c>
      <c r="C550" s="907"/>
      <c r="D550" s="326">
        <f>SUM(D545:D549)</f>
        <v>0</v>
      </c>
      <c r="E550" s="289">
        <v>15000</v>
      </c>
      <c r="F550" s="326">
        <f>SUM(F545:F549)</f>
        <v>179107</v>
      </c>
      <c r="G550" s="327">
        <f>SUM(G545:G549)</f>
        <v>169720</v>
      </c>
      <c r="H550" s="327">
        <f>SUM(H545:H549)</f>
        <v>9387</v>
      </c>
      <c r="I550" s="351" t="str">
        <f>IFERROR(F550/#REF!,"-")</f>
        <v>-</v>
      </c>
      <c r="J550" s="326">
        <f>SUM(J545:J549)</f>
        <v>1041018</v>
      </c>
      <c r="K550" s="327">
        <f>SUM(K545:K549)</f>
        <v>981920</v>
      </c>
      <c r="L550" s="328">
        <f>SUM(L545:L549)</f>
        <v>59098</v>
      </c>
      <c r="M550" s="345" t="str">
        <f>IFERROR(J550/D550,"-")</f>
        <v>-</v>
      </c>
      <c r="N550" s="351">
        <f t="shared" si="488"/>
        <v>5.6769431460358996E-2</v>
      </c>
      <c r="O550" s="397"/>
      <c r="P550" s="412">
        <f>SUM(P545:P549)</f>
        <v>839475.7080000001</v>
      </c>
      <c r="Q550" s="431">
        <f>SUM(Q545:Q549)</f>
        <v>6435672.4079999998</v>
      </c>
    </row>
    <row r="551" spans="1:17" ht="23.4" x14ac:dyDescent="0.3">
      <c r="A551" s="277" t="s">
        <v>111</v>
      </c>
      <c r="B551" s="445"/>
      <c r="C551" s="272" t="s">
        <v>270</v>
      </c>
      <c r="D551" s="273"/>
      <c r="E551" s="274"/>
      <c r="F551" s="338">
        <f t="shared" ref="F551:F557" si="489">+G551+H551</f>
        <v>4437</v>
      </c>
      <c r="G551" s="275">
        <v>4320</v>
      </c>
      <c r="H551" s="275">
        <v>117</v>
      </c>
      <c r="I551" s="357" t="str">
        <f>IFERROR(F551/#REF!,"-")</f>
        <v>-</v>
      </c>
      <c r="J551" s="338">
        <f t="shared" ref="J551:J557" si="490">+K551+L551</f>
        <v>13321</v>
      </c>
      <c r="K551" s="275">
        <f t="shared" ref="K551:K557" si="491">+G551+K492</f>
        <v>12960</v>
      </c>
      <c r="L551" s="276">
        <f t="shared" ref="L551:L557" si="492">+H551+L492</f>
        <v>361</v>
      </c>
      <c r="M551" s="342" t="str">
        <f t="shared" ref="M551:M559" si="493">IFERROR(J551/D551,"-")</f>
        <v>-</v>
      </c>
      <c r="N551" s="352">
        <f t="shared" si="488"/>
        <v>2.7100067562495309E-2</v>
      </c>
      <c r="O551" s="518">
        <v>18.2316</v>
      </c>
      <c r="P551" s="408">
        <f t="shared" ref="P551:P557" si="494">+O551*G551</f>
        <v>78760.512000000002</v>
      </c>
      <c r="Q551" s="457">
        <f t="shared" ref="Q551:Q557" si="495">+O551*K551</f>
        <v>236281.53599999999</v>
      </c>
    </row>
    <row r="552" spans="1:17" ht="23.4" x14ac:dyDescent="0.3">
      <c r="A552" s="277" t="s">
        <v>111</v>
      </c>
      <c r="B552" s="444"/>
      <c r="C552" s="278" t="s">
        <v>92</v>
      </c>
      <c r="D552" s="279"/>
      <c r="E552" s="280"/>
      <c r="F552" s="339">
        <f t="shared" si="489"/>
        <v>0</v>
      </c>
      <c r="G552" s="281">
        <v>0</v>
      </c>
      <c r="H552" s="281">
        <v>0</v>
      </c>
      <c r="I552" s="358" t="str">
        <f>IFERROR(F552/#REF!,"-")</f>
        <v>-</v>
      </c>
      <c r="J552" s="339">
        <f t="shared" si="490"/>
        <v>120000</v>
      </c>
      <c r="K552" s="281">
        <f t="shared" si="491"/>
        <v>120000</v>
      </c>
      <c r="L552" s="251">
        <f t="shared" si="492"/>
        <v>0</v>
      </c>
      <c r="M552" s="343" t="str">
        <f t="shared" si="493"/>
        <v>-</v>
      </c>
      <c r="N552" s="264">
        <f t="shared" si="488"/>
        <v>0</v>
      </c>
      <c r="O552" s="519">
        <v>0</v>
      </c>
      <c r="P552" s="410">
        <f t="shared" si="494"/>
        <v>0</v>
      </c>
      <c r="Q552" s="459">
        <f t="shared" si="495"/>
        <v>0</v>
      </c>
    </row>
    <row r="553" spans="1:17" ht="23.4" x14ac:dyDescent="0.3">
      <c r="A553" s="277" t="s">
        <v>111</v>
      </c>
      <c r="B553" s="444"/>
      <c r="C553" s="278" t="s">
        <v>340</v>
      </c>
      <c r="D553" s="279"/>
      <c r="E553" s="280"/>
      <c r="F553" s="339">
        <f t="shared" si="489"/>
        <v>0</v>
      </c>
      <c r="G553" s="281">
        <v>0</v>
      </c>
      <c r="H553" s="281">
        <v>0</v>
      </c>
      <c r="I553" s="358" t="str">
        <f>IFERROR(F553/#REF!,"-")</f>
        <v>-</v>
      </c>
      <c r="J553" s="339">
        <f t="shared" si="490"/>
        <v>0</v>
      </c>
      <c r="K553" s="281">
        <f t="shared" si="491"/>
        <v>0</v>
      </c>
      <c r="L553" s="251">
        <f t="shared" si="492"/>
        <v>0</v>
      </c>
      <c r="M553" s="343" t="str">
        <f t="shared" si="493"/>
        <v>-</v>
      </c>
      <c r="N553" s="264" t="str">
        <f t="shared" si="488"/>
        <v>-</v>
      </c>
      <c r="O553" s="519">
        <v>5.7342000000000004</v>
      </c>
      <c r="P553" s="410">
        <f t="shared" si="494"/>
        <v>0</v>
      </c>
      <c r="Q553" s="459">
        <f t="shared" si="495"/>
        <v>0</v>
      </c>
    </row>
    <row r="554" spans="1:17" ht="23.4" x14ac:dyDescent="0.3">
      <c r="A554" s="277" t="s">
        <v>111</v>
      </c>
      <c r="B554" s="444"/>
      <c r="C554" s="278" t="s">
        <v>363</v>
      </c>
      <c r="D554" s="279"/>
      <c r="E554" s="280"/>
      <c r="F554" s="339">
        <f t="shared" si="489"/>
        <v>0</v>
      </c>
      <c r="G554" s="281">
        <v>0</v>
      </c>
      <c r="H554" s="281">
        <v>0</v>
      </c>
      <c r="I554" s="358" t="str">
        <f>IFERROR(F554/#REF!,"-")</f>
        <v>-</v>
      </c>
      <c r="J554" s="339">
        <f t="shared" si="490"/>
        <v>0</v>
      </c>
      <c r="K554" s="281">
        <f t="shared" si="491"/>
        <v>0</v>
      </c>
      <c r="L554" s="251">
        <f t="shared" si="492"/>
        <v>0</v>
      </c>
      <c r="M554" s="343" t="str">
        <f t="shared" si="493"/>
        <v>-</v>
      </c>
      <c r="N554" s="264" t="str">
        <f t="shared" si="488"/>
        <v>-</v>
      </c>
      <c r="O554" s="519"/>
      <c r="P554" s="410">
        <f t="shared" si="494"/>
        <v>0</v>
      </c>
      <c r="Q554" s="459">
        <f t="shared" si="495"/>
        <v>0</v>
      </c>
    </row>
    <row r="555" spans="1:17" ht="23.4" x14ac:dyDescent="0.3">
      <c r="A555" s="277" t="s">
        <v>111</v>
      </c>
      <c r="B555" s="444"/>
      <c r="C555" s="278" t="s">
        <v>373</v>
      </c>
      <c r="D555" s="279"/>
      <c r="E555" s="280"/>
      <c r="F555" s="339">
        <f t="shared" si="489"/>
        <v>27136</v>
      </c>
      <c r="G555" s="281">
        <v>27000</v>
      </c>
      <c r="H555" s="281">
        <v>136</v>
      </c>
      <c r="I555" s="358" t="str">
        <f>IFERROR(F555/#REF!,"-")</f>
        <v>-</v>
      </c>
      <c r="J555" s="339">
        <f t="shared" si="490"/>
        <v>272043</v>
      </c>
      <c r="K555" s="281">
        <f t="shared" si="491"/>
        <v>271000</v>
      </c>
      <c r="L555" s="251">
        <f t="shared" si="492"/>
        <v>1043</v>
      </c>
      <c r="M555" s="343" t="str">
        <f t="shared" si="493"/>
        <v>-</v>
      </c>
      <c r="N555" s="264">
        <f t="shared" si="488"/>
        <v>3.8339527207095938E-3</v>
      </c>
      <c r="O555" s="519">
        <v>12.029500000000001</v>
      </c>
      <c r="P555" s="410">
        <f t="shared" si="494"/>
        <v>324796.5</v>
      </c>
      <c r="Q555" s="459">
        <f t="shared" si="495"/>
        <v>3259994.5</v>
      </c>
    </row>
    <row r="556" spans="1:17" ht="23.4" x14ac:dyDescent="0.3">
      <c r="A556" s="277" t="s">
        <v>111</v>
      </c>
      <c r="B556" s="444"/>
      <c r="C556" s="278"/>
      <c r="D556" s="279"/>
      <c r="E556" s="280"/>
      <c r="F556" s="339">
        <f t="shared" si="489"/>
        <v>0</v>
      </c>
      <c r="G556" s="281">
        <v>0</v>
      </c>
      <c r="H556" s="281">
        <v>0</v>
      </c>
      <c r="I556" s="358" t="str">
        <f>IFERROR(F556/#REF!,"-")</f>
        <v>-</v>
      </c>
      <c r="J556" s="339">
        <f t="shared" si="490"/>
        <v>0</v>
      </c>
      <c r="K556" s="281">
        <f t="shared" si="491"/>
        <v>0</v>
      </c>
      <c r="L556" s="251">
        <f t="shared" si="492"/>
        <v>0</v>
      </c>
      <c r="M556" s="343" t="str">
        <f t="shared" si="493"/>
        <v>-</v>
      </c>
      <c r="N556" s="264" t="str">
        <f t="shared" si="488"/>
        <v>-</v>
      </c>
      <c r="O556" s="519"/>
      <c r="P556" s="410">
        <f t="shared" si="494"/>
        <v>0</v>
      </c>
      <c r="Q556" s="459">
        <f t="shared" si="495"/>
        <v>0</v>
      </c>
    </row>
    <row r="557" spans="1:17" ht="24" thickBot="1" x14ac:dyDescent="0.35">
      <c r="A557" s="277" t="s">
        <v>111</v>
      </c>
      <c r="B557" s="461"/>
      <c r="C557" s="282"/>
      <c r="D557" s="283">
        <v>0</v>
      </c>
      <c r="E557" s="284"/>
      <c r="F557" s="340">
        <f t="shared" si="489"/>
        <v>0</v>
      </c>
      <c r="G557" s="285">
        <v>0</v>
      </c>
      <c r="H557" s="285">
        <v>0</v>
      </c>
      <c r="I557" s="359" t="str">
        <f>IFERROR(F557/#REF!,"-")</f>
        <v>-</v>
      </c>
      <c r="J557" s="340">
        <f t="shared" si="490"/>
        <v>0</v>
      </c>
      <c r="K557" s="285">
        <f t="shared" si="491"/>
        <v>0</v>
      </c>
      <c r="L557" s="286">
        <f t="shared" si="492"/>
        <v>0</v>
      </c>
      <c r="M557" s="344" t="str">
        <f t="shared" si="493"/>
        <v>-</v>
      </c>
      <c r="N557" s="353" t="str">
        <f t="shared" si="488"/>
        <v>-</v>
      </c>
      <c r="O557" s="520"/>
      <c r="P557" s="411">
        <f t="shared" si="494"/>
        <v>0</v>
      </c>
      <c r="Q557" s="460">
        <f t="shared" si="495"/>
        <v>0</v>
      </c>
    </row>
    <row r="558" spans="1:17" ht="24" thickBot="1" x14ac:dyDescent="0.35">
      <c r="A558" s="277" t="s">
        <v>111</v>
      </c>
      <c r="B558" s="906" t="s">
        <v>25</v>
      </c>
      <c r="C558" s="907"/>
      <c r="D558" s="326">
        <f t="shared" ref="D558" si="496">SUM(D551:D557)</f>
        <v>0</v>
      </c>
      <c r="E558" s="289">
        <v>100000</v>
      </c>
      <c r="F558" s="326">
        <f>SUM(F551:F557)</f>
        <v>31573</v>
      </c>
      <c r="G558" s="327">
        <f t="shared" ref="G558:H558" si="497">SUM(G551:G557)</f>
        <v>31320</v>
      </c>
      <c r="H558" s="327">
        <f t="shared" si="497"/>
        <v>253</v>
      </c>
      <c r="I558" s="351" t="str">
        <f>IFERROR(F558/#REF!,"-")</f>
        <v>-</v>
      </c>
      <c r="J558" s="326">
        <f t="shared" ref="J558:L558" si="498">SUM(J551:J557)</f>
        <v>405364</v>
      </c>
      <c r="K558" s="327">
        <f t="shared" si="498"/>
        <v>403960</v>
      </c>
      <c r="L558" s="328">
        <f t="shared" si="498"/>
        <v>1404</v>
      </c>
      <c r="M558" s="345" t="str">
        <f t="shared" si="493"/>
        <v>-</v>
      </c>
      <c r="N558" s="351">
        <f t="shared" si="488"/>
        <v>3.4635537442890833E-3</v>
      </c>
      <c r="O558" s="397"/>
      <c r="P558" s="412">
        <f t="shared" ref="P558:Q558" si="499">SUM(P551:P557)</f>
        <v>403557.01199999999</v>
      </c>
      <c r="Q558" s="431">
        <f t="shared" si="499"/>
        <v>3496276.0359999998</v>
      </c>
    </row>
    <row r="559" spans="1:17" ht="24" thickBot="1" x14ac:dyDescent="0.35">
      <c r="A559" s="277" t="s">
        <v>111</v>
      </c>
      <c r="B559" s="985" t="s">
        <v>181</v>
      </c>
      <c r="C559" s="986"/>
      <c r="D559" s="332">
        <f>+D550+D558</f>
        <v>0</v>
      </c>
      <c r="E559" s="333">
        <f t="shared" ref="E559:H559" si="500">+E550+E558</f>
        <v>115000</v>
      </c>
      <c r="F559" s="332">
        <f t="shared" si="500"/>
        <v>210680</v>
      </c>
      <c r="G559" s="330">
        <f t="shared" si="500"/>
        <v>201040</v>
      </c>
      <c r="H559" s="330">
        <f t="shared" si="500"/>
        <v>9640</v>
      </c>
      <c r="I559" s="355" t="str">
        <f>IFERROR(F559/#REF!,"-")</f>
        <v>-</v>
      </c>
      <c r="J559" s="332">
        <f t="shared" ref="J559:L559" si="501">+J550+J558</f>
        <v>1446382</v>
      </c>
      <c r="K559" s="330">
        <f t="shared" si="501"/>
        <v>1385880</v>
      </c>
      <c r="L559" s="331">
        <f t="shared" si="501"/>
        <v>60502</v>
      </c>
      <c r="M559" s="347" t="str">
        <f t="shared" si="493"/>
        <v>-</v>
      </c>
      <c r="N559" s="355">
        <f t="shared" si="488"/>
        <v>4.1829890029051797E-2</v>
      </c>
      <c r="O559" s="400"/>
      <c r="P559" s="416">
        <f t="shared" ref="P559:Q559" si="502">+P550+P558</f>
        <v>1243032.7200000002</v>
      </c>
      <c r="Q559" s="434">
        <f t="shared" si="502"/>
        <v>9931948.4440000001</v>
      </c>
    </row>
    <row r="560" spans="1:17" ht="23.4" x14ac:dyDescent="0.3">
      <c r="A560" s="244" t="s">
        <v>109</v>
      </c>
      <c r="B560" s="599"/>
      <c r="C560" s="600" t="s">
        <v>314</v>
      </c>
      <c r="D560" s="540"/>
      <c r="E560" s="470"/>
      <c r="F560" s="468">
        <f>+G560+H560</f>
        <v>0</v>
      </c>
      <c r="G560" s="469">
        <v>0</v>
      </c>
      <c r="H560" s="469">
        <v>0</v>
      </c>
      <c r="I560" s="544" t="str">
        <f>IFERROR(F560/#REF!,"-")</f>
        <v>-</v>
      </c>
      <c r="J560" s="468">
        <f>+K560+L560</f>
        <v>0</v>
      </c>
      <c r="K560" s="469">
        <f t="shared" ref="K560:K566" si="503">+G560+K501</f>
        <v>0</v>
      </c>
      <c r="L560" s="247">
        <f t="shared" ref="L560:L566" si="504">+H560+L501</f>
        <v>0</v>
      </c>
      <c r="M560" s="604" t="str">
        <f>IFERROR(J560/D560,"-")</f>
        <v>-</v>
      </c>
      <c r="N560" s="546" t="str">
        <f t="shared" si="488"/>
        <v>-</v>
      </c>
      <c r="O560" s="648">
        <v>4.8285999999999998</v>
      </c>
      <c r="P560" s="547">
        <f t="shared" ref="P560:P566" si="505">+O560*G560</f>
        <v>0</v>
      </c>
      <c r="Q560" s="548">
        <f>+O560*K560</f>
        <v>0</v>
      </c>
    </row>
    <row r="561" spans="1:17" ht="23.4" x14ac:dyDescent="0.3">
      <c r="A561" s="248" t="s">
        <v>109</v>
      </c>
      <c r="B561" s="601"/>
      <c r="C561" s="278" t="s">
        <v>315</v>
      </c>
      <c r="D561" s="279"/>
      <c r="E561" s="442"/>
      <c r="F561" s="339">
        <f t="shared" ref="F561:F566" si="506">+G561+H561</f>
        <v>0</v>
      </c>
      <c r="G561" s="281">
        <v>0</v>
      </c>
      <c r="H561" s="281">
        <v>0</v>
      </c>
      <c r="I561" s="358" t="str">
        <f>IFERROR(F561/#REF!,"-")</f>
        <v>-</v>
      </c>
      <c r="J561" s="339">
        <f t="shared" ref="J561:J566" si="507">+K561+L561</f>
        <v>0</v>
      </c>
      <c r="K561" s="281">
        <f t="shared" si="503"/>
        <v>0</v>
      </c>
      <c r="L561" s="251">
        <f t="shared" si="504"/>
        <v>0</v>
      </c>
      <c r="M561" s="343" t="str">
        <f t="shared" ref="M561:M563" si="508">IFERROR(J561/D561,"-")</f>
        <v>-</v>
      </c>
      <c r="N561" s="268" t="str">
        <f t="shared" si="488"/>
        <v>-</v>
      </c>
      <c r="O561" s="649">
        <v>1.4086000000000001</v>
      </c>
      <c r="P561" s="410">
        <f t="shared" si="505"/>
        <v>0</v>
      </c>
      <c r="Q561" s="459">
        <f t="shared" ref="Q561:Q566" si="509">+O561*K561</f>
        <v>0</v>
      </c>
    </row>
    <row r="562" spans="1:17" ht="23.4" x14ac:dyDescent="0.3">
      <c r="A562" s="248" t="s">
        <v>109</v>
      </c>
      <c r="B562" s="601"/>
      <c r="C562" s="278" t="s">
        <v>367</v>
      </c>
      <c r="D562" s="279"/>
      <c r="E562" s="442"/>
      <c r="F562" s="339">
        <f t="shared" si="506"/>
        <v>0</v>
      </c>
      <c r="G562" s="281">
        <v>0</v>
      </c>
      <c r="H562" s="281">
        <v>0</v>
      </c>
      <c r="I562" s="358" t="str">
        <f>IFERROR(F562/#REF!,"-")</f>
        <v>-</v>
      </c>
      <c r="J562" s="339">
        <f t="shared" si="507"/>
        <v>573613</v>
      </c>
      <c r="K562" s="281">
        <f t="shared" si="503"/>
        <v>566000</v>
      </c>
      <c r="L562" s="251">
        <f t="shared" si="504"/>
        <v>7613</v>
      </c>
      <c r="M562" s="343" t="str">
        <f t="shared" si="508"/>
        <v>-</v>
      </c>
      <c r="N562" s="268">
        <f>IFERROR(L562/J562,"-")</f>
        <v>1.3272014406925924E-2</v>
      </c>
      <c r="O562" s="649">
        <v>2.2141000000000002</v>
      </c>
      <c r="P562" s="410">
        <f t="shared" si="505"/>
        <v>0</v>
      </c>
      <c r="Q562" s="459">
        <f t="shared" si="509"/>
        <v>1253180.6000000001</v>
      </c>
    </row>
    <row r="563" spans="1:17" ht="23.4" x14ac:dyDescent="0.3">
      <c r="A563" s="248" t="s">
        <v>109</v>
      </c>
      <c r="B563" s="602"/>
      <c r="C563" s="278" t="s">
        <v>436</v>
      </c>
      <c r="D563" s="283"/>
      <c r="E563" s="541"/>
      <c r="F563" s="340">
        <f t="shared" si="506"/>
        <v>0</v>
      </c>
      <c r="G563" s="285">
        <v>0</v>
      </c>
      <c r="H563" s="285">
        <v>0</v>
      </c>
      <c r="I563" s="359" t="str">
        <f>IFERROR(F563/#REF!,"-")</f>
        <v>-</v>
      </c>
      <c r="J563" s="339">
        <f t="shared" si="507"/>
        <v>40882</v>
      </c>
      <c r="K563" s="285">
        <f t="shared" si="503"/>
        <v>40000</v>
      </c>
      <c r="L563" s="286">
        <f t="shared" si="504"/>
        <v>882</v>
      </c>
      <c r="M563" s="344" t="str">
        <f t="shared" si="508"/>
        <v>-</v>
      </c>
      <c r="N563" s="350">
        <f t="shared" ref="N563:N570" si="510">IFERROR(L563/J563,"-")</f>
        <v>2.157428697226163E-2</v>
      </c>
      <c r="O563" s="650">
        <v>2.4565999999999999</v>
      </c>
      <c r="P563" s="411">
        <f t="shared" si="505"/>
        <v>0</v>
      </c>
      <c r="Q563" s="460">
        <f t="shared" si="509"/>
        <v>98264</v>
      </c>
    </row>
    <row r="564" spans="1:17" ht="23.4" x14ac:dyDescent="0.3">
      <c r="A564" s="248" t="s">
        <v>109</v>
      </c>
      <c r="B564" s="446"/>
      <c r="C564" s="647" t="s">
        <v>444</v>
      </c>
      <c r="D564" s="521"/>
      <c r="E564" s="542"/>
      <c r="F564" s="339">
        <f t="shared" si="506"/>
        <v>0</v>
      </c>
      <c r="G564" s="561">
        <v>0</v>
      </c>
      <c r="H564" s="561">
        <v>0</v>
      </c>
      <c r="I564" s="358" t="str">
        <f>IFERROR(F564/#REF!,"-")</f>
        <v>-</v>
      </c>
      <c r="J564" s="339">
        <f t="shared" si="507"/>
        <v>16280</v>
      </c>
      <c r="K564" s="285">
        <f t="shared" si="503"/>
        <v>15000</v>
      </c>
      <c r="L564" s="286">
        <f t="shared" si="504"/>
        <v>1280</v>
      </c>
      <c r="M564" s="522"/>
      <c r="N564" s="268">
        <f t="shared" si="510"/>
        <v>7.8624078624078622E-2</v>
      </c>
      <c r="O564" s="553">
        <v>4.8285999999999998</v>
      </c>
      <c r="P564" s="410">
        <f t="shared" si="505"/>
        <v>0</v>
      </c>
      <c r="Q564" s="459">
        <f t="shared" si="509"/>
        <v>72429</v>
      </c>
    </row>
    <row r="565" spans="1:17" ht="23.4" x14ac:dyDescent="0.3">
      <c r="A565" s="248" t="s">
        <v>109</v>
      </c>
      <c r="B565" s="603"/>
      <c r="C565" s="647" t="s">
        <v>439</v>
      </c>
      <c r="D565" s="273"/>
      <c r="E565" s="441"/>
      <c r="F565" s="338">
        <f t="shared" si="506"/>
        <v>24004</v>
      </c>
      <c r="G565" s="275">
        <v>22750</v>
      </c>
      <c r="H565" s="275">
        <v>1254</v>
      </c>
      <c r="I565" s="357" t="str">
        <f>IFERROR(F565/#REF!,"-")</f>
        <v>-</v>
      </c>
      <c r="J565" s="339">
        <f t="shared" si="507"/>
        <v>68029</v>
      </c>
      <c r="K565" s="285">
        <f t="shared" si="503"/>
        <v>64500</v>
      </c>
      <c r="L565" s="286">
        <f t="shared" si="504"/>
        <v>3529</v>
      </c>
      <c r="M565" s="342" t="str">
        <f t="shared" ref="M565:M566" si="511">IFERROR(J565/D565,"-")</f>
        <v>-</v>
      </c>
      <c r="N565" s="352">
        <f t="shared" si="510"/>
        <v>5.1874935689191375E-2</v>
      </c>
      <c r="O565" s="518">
        <v>4.1712999999999996</v>
      </c>
      <c r="P565" s="408">
        <f t="shared" si="505"/>
        <v>94897.074999999997</v>
      </c>
      <c r="Q565" s="457">
        <f t="shared" si="509"/>
        <v>269048.84999999998</v>
      </c>
    </row>
    <row r="566" spans="1:17" ht="24" thickBot="1" x14ac:dyDescent="0.35">
      <c r="A566" s="248" t="s">
        <v>109</v>
      </c>
      <c r="B566" s="601"/>
      <c r="C566" s="278"/>
      <c r="D566" s="279"/>
      <c r="E566" s="442"/>
      <c r="F566" s="339">
        <f t="shared" si="506"/>
        <v>0</v>
      </c>
      <c r="G566" s="281"/>
      <c r="H566" s="281"/>
      <c r="I566" s="358" t="str">
        <f>IFERROR(F566/#REF!,"-")</f>
        <v>-</v>
      </c>
      <c r="J566" s="339">
        <f t="shared" si="507"/>
        <v>0</v>
      </c>
      <c r="K566" s="281">
        <f t="shared" si="503"/>
        <v>0</v>
      </c>
      <c r="L566" s="251">
        <f t="shared" si="504"/>
        <v>0</v>
      </c>
      <c r="M566" s="343" t="str">
        <f t="shared" si="511"/>
        <v>-</v>
      </c>
      <c r="N566" s="264" t="str">
        <f t="shared" si="510"/>
        <v>-</v>
      </c>
      <c r="O566" s="458"/>
      <c r="P566" s="410">
        <f t="shared" si="505"/>
        <v>0</v>
      </c>
      <c r="Q566" s="459">
        <f t="shared" si="509"/>
        <v>0</v>
      </c>
    </row>
    <row r="567" spans="1:17" ht="24" thickBot="1" x14ac:dyDescent="0.35">
      <c r="A567" s="277" t="s">
        <v>109</v>
      </c>
      <c r="B567" s="987" t="s">
        <v>21</v>
      </c>
      <c r="C567" s="925"/>
      <c r="D567" s="326">
        <v>0</v>
      </c>
      <c r="E567" s="289">
        <v>15000</v>
      </c>
      <c r="F567" s="326">
        <f>SUM(F560:F566)</f>
        <v>24004</v>
      </c>
      <c r="G567" s="327">
        <f t="shared" ref="G567:H567" si="512">SUM(G560:G566)</f>
        <v>22750</v>
      </c>
      <c r="H567" s="327">
        <f t="shared" si="512"/>
        <v>1254</v>
      </c>
      <c r="I567" s="351" t="str">
        <f>IFERROR(F567/#REF!,"-")</f>
        <v>-</v>
      </c>
      <c r="J567" s="326">
        <f t="shared" ref="J567" si="513">SUM(J560:J566)</f>
        <v>698804</v>
      </c>
      <c r="K567" s="327">
        <f>SUM(K560:K566)</f>
        <v>685500</v>
      </c>
      <c r="L567" s="327">
        <f>SUM(L560:L566)</f>
        <v>13304</v>
      </c>
      <c r="M567" s="345" t="str">
        <f>IFERROR(J567/D567,"-")</f>
        <v>-</v>
      </c>
      <c r="N567" s="351">
        <f t="shared" si="510"/>
        <v>1.9038242482870733E-2</v>
      </c>
      <c r="O567" s="397"/>
      <c r="P567" s="412">
        <f>SUM(P560:P566)</f>
        <v>94897.074999999997</v>
      </c>
      <c r="Q567" s="431">
        <f>SUM(Q560:Q566)</f>
        <v>1692922.4500000002</v>
      </c>
    </row>
    <row r="568" spans="1:17" ht="24" thickBot="1" x14ac:dyDescent="0.35">
      <c r="A568" s="277" t="s">
        <v>109</v>
      </c>
      <c r="B568" s="988" t="s">
        <v>275</v>
      </c>
      <c r="C568" s="989"/>
      <c r="D568" s="524">
        <f>+D564+D567</f>
        <v>0</v>
      </c>
      <c r="E568" s="538">
        <f>+E564+E567</f>
        <v>15000</v>
      </c>
      <c r="F568" s="524">
        <f>+F564+F567</f>
        <v>24004</v>
      </c>
      <c r="G568" s="526">
        <f>+G564+G567</f>
        <v>22750</v>
      </c>
      <c r="H568" s="526">
        <f>+H564+H567</f>
        <v>1254</v>
      </c>
      <c r="I568" s="527" t="str">
        <f>IFERROR(F568/#REF!,"-")</f>
        <v>-</v>
      </c>
      <c r="J568" s="524">
        <f>+J564+J567</f>
        <v>715084</v>
      </c>
      <c r="K568" s="526">
        <f>+K567</f>
        <v>685500</v>
      </c>
      <c r="L568" s="526">
        <f>+L567</f>
        <v>13304</v>
      </c>
      <c r="M568" s="528" t="str">
        <f t="shared" ref="M568" si="514">IFERROR(J568/D568,"-")</f>
        <v>-</v>
      </c>
      <c r="N568" s="527">
        <f t="shared" si="510"/>
        <v>1.8604807267397955E-2</v>
      </c>
      <c r="O568" s="529"/>
      <c r="P568" s="530">
        <f>+P567</f>
        <v>94897.074999999997</v>
      </c>
      <c r="Q568" s="530">
        <f>+Q567</f>
        <v>1692922.4500000002</v>
      </c>
    </row>
    <row r="569" spans="1:17" ht="23.4" x14ac:dyDescent="0.4">
      <c r="A569" s="244" t="s">
        <v>109</v>
      </c>
      <c r="B569" s="979" t="s">
        <v>277</v>
      </c>
      <c r="C569" s="555" t="s">
        <v>74</v>
      </c>
      <c r="D569" s="540"/>
      <c r="E569" s="470"/>
      <c r="F569" s="468">
        <f>+G569+H569</f>
        <v>8010</v>
      </c>
      <c r="G569" s="469">
        <v>8000</v>
      </c>
      <c r="H569" s="469">
        <v>10</v>
      </c>
      <c r="I569" s="544" t="str">
        <f>IFERROR(F569/#REF!,"-")</f>
        <v>-</v>
      </c>
      <c r="J569" s="468">
        <f>+K569+L569</f>
        <v>31027</v>
      </c>
      <c r="K569" s="469">
        <f t="shared" ref="K569:K597" si="515">+G569+K510</f>
        <v>31000</v>
      </c>
      <c r="L569" s="246">
        <f t="shared" ref="L569:L597" si="516">+H569+L510</f>
        <v>27</v>
      </c>
      <c r="M569" s="263" t="str">
        <f>IFERROR(J569/D569,"-")</f>
        <v>-</v>
      </c>
      <c r="N569" s="546">
        <f t="shared" si="510"/>
        <v>8.7020981725593842E-4</v>
      </c>
      <c r="O569" s="551">
        <v>32.946300000000001</v>
      </c>
      <c r="P569" s="547">
        <f t="shared" ref="P569:P597" si="517">+O569*G569</f>
        <v>263570.40000000002</v>
      </c>
      <c r="Q569" s="548">
        <f t="shared" ref="Q569:Q597" si="518">+O569*K569</f>
        <v>1021335.3</v>
      </c>
    </row>
    <row r="570" spans="1:17" ht="23.4" x14ac:dyDescent="0.4">
      <c r="A570" s="248" t="s">
        <v>109</v>
      </c>
      <c r="B570" s="980"/>
      <c r="C570" s="556" t="s">
        <v>75</v>
      </c>
      <c r="D570" s="523"/>
      <c r="E570" s="442"/>
      <c r="F570" s="339">
        <f t="shared" ref="F570:F597" si="519">+G570+H570</f>
        <v>0</v>
      </c>
      <c r="G570" s="281">
        <v>0</v>
      </c>
      <c r="H570" s="281">
        <v>0</v>
      </c>
      <c r="I570" s="358" t="str">
        <f>IFERROR(F570/#REF!,"-")</f>
        <v>-</v>
      </c>
      <c r="J570" s="339">
        <f t="shared" ref="J570:J597" si="520">+K570+L570</f>
        <v>0</v>
      </c>
      <c r="K570" s="281">
        <f t="shared" si="515"/>
        <v>0</v>
      </c>
      <c r="L570" s="250">
        <f t="shared" si="516"/>
        <v>0</v>
      </c>
      <c r="M570" s="265" t="str">
        <f t="shared" ref="M570:M572" si="521">IFERROR(J570/D570,"-")</f>
        <v>-</v>
      </c>
      <c r="N570" s="268" t="str">
        <f t="shared" si="510"/>
        <v>-</v>
      </c>
      <c r="O570" s="519">
        <v>35.398400000000002</v>
      </c>
      <c r="P570" s="410">
        <f t="shared" si="517"/>
        <v>0</v>
      </c>
      <c r="Q570" s="459">
        <f t="shared" si="518"/>
        <v>0</v>
      </c>
    </row>
    <row r="571" spans="1:17" ht="24" thickBot="1" x14ac:dyDescent="0.45">
      <c r="A571" s="248" t="s">
        <v>109</v>
      </c>
      <c r="B571" s="980"/>
      <c r="C571" s="556" t="s">
        <v>76</v>
      </c>
      <c r="D571" s="279"/>
      <c r="E571" s="442"/>
      <c r="F571" s="339">
        <f t="shared" si="519"/>
        <v>0</v>
      </c>
      <c r="G571" s="281">
        <v>0</v>
      </c>
      <c r="H571" s="281">
        <v>0</v>
      </c>
      <c r="I571" s="358" t="str">
        <f>IFERROR(F571/#REF!,"-")</f>
        <v>-</v>
      </c>
      <c r="J571" s="339">
        <f t="shared" si="520"/>
        <v>10000</v>
      </c>
      <c r="K571" s="281">
        <f t="shared" si="515"/>
        <v>10000</v>
      </c>
      <c r="L571" s="250">
        <f t="shared" si="516"/>
        <v>0</v>
      </c>
      <c r="M571" s="265" t="str">
        <f t="shared" si="521"/>
        <v>-</v>
      </c>
      <c r="N571" s="268">
        <f>IFERROR(L571/J571,"-")</f>
        <v>0</v>
      </c>
      <c r="O571" s="519">
        <v>32.946300000000001</v>
      </c>
      <c r="P571" s="410">
        <f t="shared" si="517"/>
        <v>0</v>
      </c>
      <c r="Q571" s="459">
        <f t="shared" si="518"/>
        <v>329463</v>
      </c>
    </row>
    <row r="572" spans="1:17" ht="23.4" x14ac:dyDescent="0.4">
      <c r="A572" s="248" t="s">
        <v>109</v>
      </c>
      <c r="B572" s="979" t="s">
        <v>278</v>
      </c>
      <c r="C572" s="558" t="s">
        <v>78</v>
      </c>
      <c r="D572" s="279"/>
      <c r="E572" s="541"/>
      <c r="F572" s="340">
        <f t="shared" si="519"/>
        <v>0</v>
      </c>
      <c r="G572" s="281">
        <v>0</v>
      </c>
      <c r="H572" s="281">
        <v>0</v>
      </c>
      <c r="I572" s="358" t="str">
        <f>IFERROR(F572/#REF!,"-")</f>
        <v>-</v>
      </c>
      <c r="J572" s="339">
        <f t="shared" si="520"/>
        <v>8248</v>
      </c>
      <c r="K572" s="281">
        <f t="shared" si="515"/>
        <v>7200</v>
      </c>
      <c r="L572" s="250">
        <f t="shared" si="516"/>
        <v>1048</v>
      </c>
      <c r="M572" s="265" t="str">
        <f t="shared" si="521"/>
        <v>-</v>
      </c>
      <c r="N572" s="268">
        <f t="shared" ref="N572" si="522">IFERROR(L572/J572,"-")</f>
        <v>0.1270611057225994</v>
      </c>
      <c r="O572" s="519">
        <v>55.4758</v>
      </c>
      <c r="P572" s="410">
        <f t="shared" si="517"/>
        <v>0</v>
      </c>
      <c r="Q572" s="459">
        <f t="shared" si="518"/>
        <v>399425.76</v>
      </c>
    </row>
    <row r="573" spans="1:17" ht="23.4" x14ac:dyDescent="0.4">
      <c r="A573" s="248" t="s">
        <v>109</v>
      </c>
      <c r="B573" s="980"/>
      <c r="C573" s="558" t="s">
        <v>75</v>
      </c>
      <c r="D573" s="279"/>
      <c r="E573" s="542"/>
      <c r="F573" s="340">
        <f t="shared" si="519"/>
        <v>0</v>
      </c>
      <c r="G573" s="281">
        <v>0</v>
      </c>
      <c r="H573" s="281">
        <v>0</v>
      </c>
      <c r="I573" s="358" t="str">
        <f>IFERROR(F573/#REF!,"-")</f>
        <v>-</v>
      </c>
      <c r="J573" s="339">
        <f t="shared" si="520"/>
        <v>5350</v>
      </c>
      <c r="K573" s="281">
        <f t="shared" si="515"/>
        <v>4150</v>
      </c>
      <c r="L573" s="250">
        <f t="shared" si="516"/>
        <v>1200</v>
      </c>
      <c r="M573" s="522"/>
      <c r="N573" s="378"/>
      <c r="O573" s="553">
        <v>58.836300000000001</v>
      </c>
      <c r="P573" s="410">
        <f t="shared" si="517"/>
        <v>0</v>
      </c>
      <c r="Q573" s="459">
        <f t="shared" si="518"/>
        <v>244170.64500000002</v>
      </c>
    </row>
    <row r="574" spans="1:17" ht="24" thickBot="1" x14ac:dyDescent="0.45">
      <c r="A574" s="248" t="s">
        <v>109</v>
      </c>
      <c r="B574" s="981"/>
      <c r="C574" s="558" t="s">
        <v>435</v>
      </c>
      <c r="D574" s="279"/>
      <c r="E574" s="441"/>
      <c r="F574" s="340">
        <f t="shared" si="519"/>
        <v>0</v>
      </c>
      <c r="G574" s="281">
        <v>0</v>
      </c>
      <c r="H574" s="281">
        <v>0</v>
      </c>
      <c r="I574" s="358" t="str">
        <f>IFERROR(F574/#REF!,"-")</f>
        <v>-</v>
      </c>
      <c r="J574" s="339">
        <f t="shared" si="520"/>
        <v>7828</v>
      </c>
      <c r="K574" s="281">
        <f t="shared" si="515"/>
        <v>6900</v>
      </c>
      <c r="L574" s="250">
        <f t="shared" si="516"/>
        <v>928</v>
      </c>
      <c r="M574" s="265" t="str">
        <f t="shared" ref="M574:M600" si="523">IFERROR(J574/D574,"-")</f>
        <v>-</v>
      </c>
      <c r="N574" s="264">
        <f t="shared" ref="N574:N599" si="524">IFERROR(L574/J574,"-")</f>
        <v>0.11854879918242207</v>
      </c>
      <c r="O574" s="519">
        <v>55.4758</v>
      </c>
      <c r="P574" s="410">
        <f t="shared" si="517"/>
        <v>0</v>
      </c>
      <c r="Q574" s="459">
        <f t="shared" si="518"/>
        <v>382783.02</v>
      </c>
    </row>
    <row r="575" spans="1:17" ht="23.4" x14ac:dyDescent="0.4">
      <c r="A575" s="248" t="s">
        <v>109</v>
      </c>
      <c r="B575" s="979" t="s">
        <v>79</v>
      </c>
      <c r="C575" s="556" t="s">
        <v>80</v>
      </c>
      <c r="D575" s="279"/>
      <c r="E575" s="442"/>
      <c r="F575" s="339">
        <f t="shared" si="519"/>
        <v>0</v>
      </c>
      <c r="G575" s="281">
        <v>0</v>
      </c>
      <c r="H575" s="281">
        <v>0</v>
      </c>
      <c r="I575" s="358" t="str">
        <f>IFERROR(F575/#REF!,"-")</f>
        <v>-</v>
      </c>
      <c r="J575" s="339">
        <f t="shared" si="520"/>
        <v>0</v>
      </c>
      <c r="K575" s="281">
        <f t="shared" si="515"/>
        <v>0</v>
      </c>
      <c r="L575" s="250">
        <f t="shared" si="516"/>
        <v>0</v>
      </c>
      <c r="M575" s="265" t="str">
        <f t="shared" si="523"/>
        <v>-</v>
      </c>
      <c r="N575" s="264" t="str">
        <f t="shared" si="524"/>
        <v>-</v>
      </c>
      <c r="O575" s="519">
        <v>25.687200000000001</v>
      </c>
      <c r="P575" s="410">
        <f t="shared" si="517"/>
        <v>0</v>
      </c>
      <c r="Q575" s="459">
        <f t="shared" si="518"/>
        <v>0</v>
      </c>
    </row>
    <row r="576" spans="1:17" ht="24" thickBot="1" x14ac:dyDescent="0.45">
      <c r="A576" s="248" t="s">
        <v>109</v>
      </c>
      <c r="B576" s="981"/>
      <c r="C576" s="556" t="s">
        <v>125</v>
      </c>
      <c r="D576" s="279"/>
      <c r="E576" s="442"/>
      <c r="F576" s="339">
        <f t="shared" si="519"/>
        <v>0</v>
      </c>
      <c r="G576" s="281">
        <v>0</v>
      </c>
      <c r="H576" s="281">
        <v>0</v>
      </c>
      <c r="I576" s="358" t="str">
        <f>IFERROR(F576/#REF!,"-")</f>
        <v>-</v>
      </c>
      <c r="J576" s="339">
        <f t="shared" si="520"/>
        <v>0</v>
      </c>
      <c r="K576" s="281">
        <f t="shared" si="515"/>
        <v>0</v>
      </c>
      <c r="L576" s="250">
        <f t="shared" si="516"/>
        <v>0</v>
      </c>
      <c r="M576" s="265" t="str">
        <f t="shared" si="523"/>
        <v>-</v>
      </c>
      <c r="N576" s="264" t="str">
        <f t="shared" si="524"/>
        <v>-</v>
      </c>
      <c r="O576" s="519">
        <v>25.033899999999999</v>
      </c>
      <c r="P576" s="410">
        <f t="shared" si="517"/>
        <v>0</v>
      </c>
      <c r="Q576" s="459">
        <f t="shared" si="518"/>
        <v>0</v>
      </c>
    </row>
    <row r="577" spans="1:17" ht="23.4" x14ac:dyDescent="0.4">
      <c r="A577" s="248"/>
      <c r="B577" s="979" t="s">
        <v>81</v>
      </c>
      <c r="C577" s="556" t="s">
        <v>82</v>
      </c>
      <c r="D577" s="279"/>
      <c r="E577" s="442"/>
      <c r="F577" s="339">
        <f t="shared" si="519"/>
        <v>0</v>
      </c>
      <c r="G577" s="281">
        <v>0</v>
      </c>
      <c r="H577" s="281">
        <v>0</v>
      </c>
      <c r="I577" s="358" t="str">
        <f>IFERROR(F577/#REF!,"-")</f>
        <v>-</v>
      </c>
      <c r="J577" s="339">
        <f t="shared" si="520"/>
        <v>4860</v>
      </c>
      <c r="K577" s="281">
        <f t="shared" si="515"/>
        <v>4840</v>
      </c>
      <c r="L577" s="250">
        <f t="shared" si="516"/>
        <v>20</v>
      </c>
      <c r="M577" s="265" t="str">
        <f t="shared" si="523"/>
        <v>-</v>
      </c>
      <c r="N577" s="264">
        <f t="shared" si="524"/>
        <v>4.11522633744856E-3</v>
      </c>
      <c r="O577" s="519">
        <v>41.992699999999999</v>
      </c>
      <c r="P577" s="410">
        <f t="shared" si="517"/>
        <v>0</v>
      </c>
      <c r="Q577" s="459">
        <f t="shared" si="518"/>
        <v>203244.66800000001</v>
      </c>
    </row>
    <row r="578" spans="1:17" ht="24" thickBot="1" x14ac:dyDescent="0.45">
      <c r="A578" s="248"/>
      <c r="B578" s="980"/>
      <c r="C578" s="556" t="s">
        <v>364</v>
      </c>
      <c r="D578" s="279"/>
      <c r="E578" s="442"/>
      <c r="F578" s="339">
        <f t="shared" si="519"/>
        <v>0</v>
      </c>
      <c r="G578" s="281">
        <v>0</v>
      </c>
      <c r="H578" s="281">
        <v>0</v>
      </c>
      <c r="I578" s="358" t="str">
        <f>IFERROR(F578/#REF!,"-")</f>
        <v>-</v>
      </c>
      <c r="J578" s="339">
        <f t="shared" si="520"/>
        <v>0</v>
      </c>
      <c r="K578" s="281">
        <f t="shared" si="515"/>
        <v>0</v>
      </c>
      <c r="L578" s="250">
        <f t="shared" si="516"/>
        <v>0</v>
      </c>
      <c r="M578" s="265" t="str">
        <f t="shared" si="523"/>
        <v>-</v>
      </c>
      <c r="N578" s="264" t="str">
        <f t="shared" si="524"/>
        <v>-</v>
      </c>
      <c r="O578" s="519">
        <v>41.992699999999999</v>
      </c>
      <c r="P578" s="410">
        <f t="shared" si="517"/>
        <v>0</v>
      </c>
      <c r="Q578" s="459">
        <f t="shared" si="518"/>
        <v>0</v>
      </c>
    </row>
    <row r="579" spans="1:17" ht="24" thickBot="1" x14ac:dyDescent="0.45">
      <c r="A579" s="248"/>
      <c r="B579" s="559" t="s">
        <v>83</v>
      </c>
      <c r="C579" s="556" t="s">
        <v>84</v>
      </c>
      <c r="D579" s="279"/>
      <c r="E579" s="442"/>
      <c r="F579" s="339">
        <f t="shared" si="519"/>
        <v>0</v>
      </c>
      <c r="G579" s="281">
        <v>0</v>
      </c>
      <c r="H579" s="281">
        <v>0</v>
      </c>
      <c r="I579" s="358" t="str">
        <f>IFERROR(F579/#REF!,"-")</f>
        <v>-</v>
      </c>
      <c r="J579" s="339">
        <f t="shared" si="520"/>
        <v>0</v>
      </c>
      <c r="K579" s="281">
        <f t="shared" si="515"/>
        <v>0</v>
      </c>
      <c r="L579" s="250">
        <f t="shared" si="516"/>
        <v>0</v>
      </c>
      <c r="M579" s="265" t="str">
        <f t="shared" si="523"/>
        <v>-</v>
      </c>
      <c r="N579" s="264" t="str">
        <f t="shared" si="524"/>
        <v>-</v>
      </c>
      <c r="O579" s="519">
        <v>4.3535000000000004</v>
      </c>
      <c r="P579" s="410">
        <f t="shared" si="517"/>
        <v>0</v>
      </c>
      <c r="Q579" s="459">
        <f t="shared" si="518"/>
        <v>0</v>
      </c>
    </row>
    <row r="580" spans="1:17" ht="23.4" x14ac:dyDescent="0.4">
      <c r="A580" s="248"/>
      <c r="B580" s="979" t="s">
        <v>280</v>
      </c>
      <c r="C580" s="556" t="s">
        <v>80</v>
      </c>
      <c r="D580" s="279"/>
      <c r="E580" s="442"/>
      <c r="F580" s="339">
        <f t="shared" si="519"/>
        <v>0</v>
      </c>
      <c r="G580" s="281">
        <v>0</v>
      </c>
      <c r="H580" s="281">
        <v>0</v>
      </c>
      <c r="I580" s="358" t="str">
        <f>IFERROR(F580/#REF!,"-")</f>
        <v>-</v>
      </c>
      <c r="J580" s="339">
        <f t="shared" si="520"/>
        <v>0</v>
      </c>
      <c r="K580" s="281">
        <f t="shared" si="515"/>
        <v>0</v>
      </c>
      <c r="L580" s="250">
        <f t="shared" si="516"/>
        <v>0</v>
      </c>
      <c r="M580" s="265" t="str">
        <f t="shared" si="523"/>
        <v>-</v>
      </c>
      <c r="N580" s="264" t="str">
        <f t="shared" si="524"/>
        <v>-</v>
      </c>
      <c r="O580" s="519">
        <v>4.6184000000000003</v>
      </c>
      <c r="P580" s="410">
        <f t="shared" si="517"/>
        <v>0</v>
      </c>
      <c r="Q580" s="459">
        <f t="shared" si="518"/>
        <v>0</v>
      </c>
    </row>
    <row r="581" spans="1:17" ht="23.4" x14ac:dyDescent="0.4">
      <c r="A581" s="248"/>
      <c r="B581" s="980"/>
      <c r="C581" s="556" t="s">
        <v>407</v>
      </c>
      <c r="D581" s="279"/>
      <c r="E581" s="442"/>
      <c r="F581" s="339">
        <f t="shared" si="519"/>
        <v>0</v>
      </c>
      <c r="G581" s="281">
        <v>0</v>
      </c>
      <c r="H581" s="281">
        <v>0</v>
      </c>
      <c r="I581" s="358" t="str">
        <f>IFERROR(F581/#REF!,"-")</f>
        <v>-</v>
      </c>
      <c r="J581" s="339">
        <f t="shared" si="520"/>
        <v>146140</v>
      </c>
      <c r="K581" s="281">
        <f t="shared" si="515"/>
        <v>144842</v>
      </c>
      <c r="L581" s="250">
        <f t="shared" si="516"/>
        <v>1298</v>
      </c>
      <c r="M581" s="265" t="str">
        <f t="shared" si="523"/>
        <v>-</v>
      </c>
      <c r="N581" s="264">
        <f t="shared" si="524"/>
        <v>8.8818940741754483E-3</v>
      </c>
      <c r="O581" s="519">
        <v>4.6184000000000003</v>
      </c>
      <c r="P581" s="410">
        <f t="shared" si="517"/>
        <v>0</v>
      </c>
      <c r="Q581" s="459">
        <f t="shared" si="518"/>
        <v>668938.29280000005</v>
      </c>
    </row>
    <row r="582" spans="1:17" ht="23.4" x14ac:dyDescent="0.4">
      <c r="A582" s="248"/>
      <c r="B582" s="980"/>
      <c r="C582" s="556" t="s">
        <v>279</v>
      </c>
      <c r="D582" s="279"/>
      <c r="E582" s="442"/>
      <c r="F582" s="339">
        <f t="shared" si="519"/>
        <v>0</v>
      </c>
      <c r="G582" s="281">
        <v>0</v>
      </c>
      <c r="H582" s="281">
        <v>0</v>
      </c>
      <c r="I582" s="358" t="str">
        <f>IFERROR(F582/#REF!,"-")</f>
        <v>-</v>
      </c>
      <c r="J582" s="339">
        <f t="shared" si="520"/>
        <v>0</v>
      </c>
      <c r="K582" s="281">
        <f t="shared" si="515"/>
        <v>0</v>
      </c>
      <c r="L582" s="250">
        <f t="shared" si="516"/>
        <v>0</v>
      </c>
      <c r="M582" s="265" t="str">
        <f t="shared" si="523"/>
        <v>-</v>
      </c>
      <c r="N582" s="264" t="str">
        <f t="shared" si="524"/>
        <v>-</v>
      </c>
      <c r="O582" s="519">
        <v>4.6184000000000003</v>
      </c>
      <c r="P582" s="410">
        <f t="shared" si="517"/>
        <v>0</v>
      </c>
      <c r="Q582" s="459">
        <f t="shared" si="518"/>
        <v>0</v>
      </c>
    </row>
    <row r="583" spans="1:17" ht="23.4" x14ac:dyDescent="0.4">
      <c r="A583" s="248"/>
      <c r="B583" s="980"/>
      <c r="C583" s="556" t="s">
        <v>440</v>
      </c>
      <c r="D583" s="279"/>
      <c r="E583" s="442"/>
      <c r="F583" s="339">
        <f t="shared" si="519"/>
        <v>18852</v>
      </c>
      <c r="G583" s="281">
        <v>18700</v>
      </c>
      <c r="H583" s="281">
        <v>152</v>
      </c>
      <c r="I583" s="358" t="str">
        <f>IFERROR(F583/#REF!,"-")</f>
        <v>-</v>
      </c>
      <c r="J583" s="339">
        <f t="shared" si="520"/>
        <v>86400</v>
      </c>
      <c r="K583" s="281">
        <f t="shared" si="515"/>
        <v>85800</v>
      </c>
      <c r="L583" s="250">
        <f t="shared" si="516"/>
        <v>600</v>
      </c>
      <c r="M583" s="265" t="str">
        <f t="shared" si="523"/>
        <v>-</v>
      </c>
      <c r="N583" s="264">
        <f t="shared" si="524"/>
        <v>6.9444444444444441E-3</v>
      </c>
      <c r="O583" s="519">
        <v>4.7636000000000003</v>
      </c>
      <c r="P583" s="410">
        <f t="shared" si="517"/>
        <v>89079.32</v>
      </c>
      <c r="Q583" s="459">
        <f t="shared" si="518"/>
        <v>408716.88</v>
      </c>
    </row>
    <row r="584" spans="1:17" ht="24" thickBot="1" x14ac:dyDescent="0.45">
      <c r="A584" s="248"/>
      <c r="B584" s="981"/>
      <c r="C584" s="556" t="s">
        <v>429</v>
      </c>
      <c r="D584" s="279"/>
      <c r="E584" s="442"/>
      <c r="F584" s="339">
        <f t="shared" si="519"/>
        <v>0</v>
      </c>
      <c r="G584" s="281">
        <v>0</v>
      </c>
      <c r="H584" s="281">
        <v>0</v>
      </c>
      <c r="I584" s="358" t="str">
        <f>IFERROR(F584/#REF!,"-")</f>
        <v>-</v>
      </c>
      <c r="J584" s="339">
        <f t="shared" si="520"/>
        <v>12296</v>
      </c>
      <c r="K584" s="281">
        <f t="shared" si="515"/>
        <v>12100</v>
      </c>
      <c r="L584" s="250">
        <f t="shared" si="516"/>
        <v>196</v>
      </c>
      <c r="M584" s="265" t="str">
        <f t="shared" si="523"/>
        <v>-</v>
      </c>
      <c r="N584" s="264">
        <f t="shared" si="524"/>
        <v>1.594014313597918E-2</v>
      </c>
      <c r="O584" s="519">
        <v>4.8738000000000001</v>
      </c>
      <c r="P584" s="410">
        <f t="shared" si="517"/>
        <v>0</v>
      </c>
      <c r="Q584" s="459">
        <f t="shared" si="518"/>
        <v>58972.98</v>
      </c>
    </row>
    <row r="585" spans="1:17" ht="24" thickBot="1" x14ac:dyDescent="0.45">
      <c r="A585" s="248"/>
      <c r="B585" s="559" t="s">
        <v>281</v>
      </c>
      <c r="C585" s="556" t="s">
        <v>132</v>
      </c>
      <c r="D585" s="279"/>
      <c r="E585" s="442"/>
      <c r="F585" s="339">
        <f t="shared" si="519"/>
        <v>0</v>
      </c>
      <c r="G585" s="281">
        <v>0</v>
      </c>
      <c r="H585" s="281">
        <v>0</v>
      </c>
      <c r="I585" s="358" t="str">
        <f>IFERROR(F585/#REF!,"-")</f>
        <v>-</v>
      </c>
      <c r="J585" s="339">
        <f t="shared" si="520"/>
        <v>0</v>
      </c>
      <c r="K585" s="281">
        <f t="shared" si="515"/>
        <v>0</v>
      </c>
      <c r="L585" s="250">
        <f t="shared" si="516"/>
        <v>0</v>
      </c>
      <c r="M585" s="265" t="str">
        <f t="shared" si="523"/>
        <v>-</v>
      </c>
      <c r="N585" s="264" t="str">
        <f t="shared" si="524"/>
        <v>-</v>
      </c>
      <c r="O585" s="519">
        <v>4.8738000000000001</v>
      </c>
      <c r="P585" s="410">
        <f t="shared" si="517"/>
        <v>0</v>
      </c>
      <c r="Q585" s="459">
        <f t="shared" si="518"/>
        <v>0</v>
      </c>
    </row>
    <row r="586" spans="1:17" ht="23.4" x14ac:dyDescent="0.4">
      <c r="A586" s="248"/>
      <c r="B586" s="979" t="s">
        <v>283</v>
      </c>
      <c r="C586" s="556" t="s">
        <v>80</v>
      </c>
      <c r="D586" s="279"/>
      <c r="E586" s="442"/>
      <c r="F586" s="339">
        <f t="shared" si="519"/>
        <v>17829</v>
      </c>
      <c r="G586" s="281">
        <v>17400</v>
      </c>
      <c r="H586" s="281">
        <v>429</v>
      </c>
      <c r="I586" s="358" t="str">
        <f>IFERROR(F586/#REF!,"-")</f>
        <v>-</v>
      </c>
      <c r="J586" s="339">
        <f t="shared" si="520"/>
        <v>220708</v>
      </c>
      <c r="K586" s="281">
        <f t="shared" si="515"/>
        <v>215750</v>
      </c>
      <c r="L586" s="281">
        <f t="shared" si="516"/>
        <v>4958</v>
      </c>
      <c r="M586" s="265" t="str">
        <f t="shared" si="523"/>
        <v>-</v>
      </c>
      <c r="N586" s="264">
        <f t="shared" si="524"/>
        <v>2.2464070174166774E-2</v>
      </c>
      <c r="O586" s="519">
        <v>4.9344999999999999</v>
      </c>
      <c r="P586" s="410">
        <f t="shared" si="517"/>
        <v>85860.3</v>
      </c>
      <c r="Q586" s="459">
        <f t="shared" si="518"/>
        <v>1064618.375</v>
      </c>
    </row>
    <row r="587" spans="1:17" ht="23.4" x14ac:dyDescent="0.4">
      <c r="A587" s="248"/>
      <c r="B587" s="980"/>
      <c r="C587" s="556" t="s">
        <v>143</v>
      </c>
      <c r="D587" s="279"/>
      <c r="E587" s="442"/>
      <c r="F587" s="339">
        <f t="shared" si="519"/>
        <v>0</v>
      </c>
      <c r="G587" s="281">
        <v>0</v>
      </c>
      <c r="H587" s="281">
        <v>0</v>
      </c>
      <c r="I587" s="358" t="str">
        <f>IFERROR(F587/#REF!,"-")</f>
        <v>-</v>
      </c>
      <c r="J587" s="339">
        <f t="shared" si="520"/>
        <v>0</v>
      </c>
      <c r="K587" s="281">
        <f t="shared" si="515"/>
        <v>0</v>
      </c>
      <c r="L587" s="250">
        <f t="shared" si="516"/>
        <v>0</v>
      </c>
      <c r="M587" s="265" t="str">
        <f t="shared" si="523"/>
        <v>-</v>
      </c>
      <c r="N587" s="264" t="str">
        <f t="shared" si="524"/>
        <v>-</v>
      </c>
      <c r="O587" s="519">
        <v>4.9344999999999999</v>
      </c>
      <c r="P587" s="410">
        <f t="shared" si="517"/>
        <v>0</v>
      </c>
      <c r="Q587" s="459">
        <f t="shared" si="518"/>
        <v>0</v>
      </c>
    </row>
    <row r="588" spans="1:17" ht="23.4" x14ac:dyDescent="0.4">
      <c r="A588" s="248"/>
      <c r="B588" s="980"/>
      <c r="C588" s="556" t="s">
        <v>137</v>
      </c>
      <c r="D588" s="279"/>
      <c r="E588" s="442"/>
      <c r="F588" s="339">
        <f t="shared" si="519"/>
        <v>0</v>
      </c>
      <c r="G588" s="281">
        <v>0</v>
      </c>
      <c r="H588" s="281">
        <v>0</v>
      </c>
      <c r="I588" s="358" t="str">
        <f>IFERROR(F588/#REF!,"-")</f>
        <v>-</v>
      </c>
      <c r="J588" s="339">
        <f t="shared" si="520"/>
        <v>0</v>
      </c>
      <c r="K588" s="281">
        <f t="shared" si="515"/>
        <v>0</v>
      </c>
      <c r="L588" s="250">
        <f t="shared" si="516"/>
        <v>0</v>
      </c>
      <c r="M588" s="265" t="str">
        <f t="shared" si="523"/>
        <v>-</v>
      </c>
      <c r="N588" s="264" t="str">
        <f t="shared" si="524"/>
        <v>-</v>
      </c>
      <c r="O588" s="519">
        <v>4.9344999999999999</v>
      </c>
      <c r="P588" s="410">
        <f t="shared" si="517"/>
        <v>0</v>
      </c>
      <c r="Q588" s="459">
        <f t="shared" si="518"/>
        <v>0</v>
      </c>
    </row>
    <row r="589" spans="1:17" ht="24" thickBot="1" x14ac:dyDescent="0.45">
      <c r="A589" s="248"/>
      <c r="B589" s="981"/>
      <c r="C589" s="556" t="s">
        <v>282</v>
      </c>
      <c r="D589" s="279"/>
      <c r="E589" s="442"/>
      <c r="F589" s="339">
        <f t="shared" si="519"/>
        <v>0</v>
      </c>
      <c r="G589" s="281">
        <v>0</v>
      </c>
      <c r="H589" s="281">
        <v>0</v>
      </c>
      <c r="I589" s="358" t="str">
        <f>IFERROR(F589/#REF!,"-")</f>
        <v>-</v>
      </c>
      <c r="J589" s="339">
        <f t="shared" si="520"/>
        <v>0</v>
      </c>
      <c r="K589" s="281">
        <f t="shared" si="515"/>
        <v>0</v>
      </c>
      <c r="L589" s="250">
        <f t="shared" si="516"/>
        <v>0</v>
      </c>
      <c r="M589" s="265" t="str">
        <f t="shared" si="523"/>
        <v>-</v>
      </c>
      <c r="N589" s="264" t="str">
        <f t="shared" si="524"/>
        <v>-</v>
      </c>
      <c r="O589" s="519">
        <v>5.5069999999999997</v>
      </c>
      <c r="P589" s="410">
        <f t="shared" si="517"/>
        <v>0</v>
      </c>
      <c r="Q589" s="459">
        <f t="shared" si="518"/>
        <v>0</v>
      </c>
    </row>
    <row r="590" spans="1:17" ht="23.4" x14ac:dyDescent="0.4">
      <c r="A590" s="248"/>
      <c r="B590" s="979" t="s">
        <v>288</v>
      </c>
      <c r="C590" s="556" t="s">
        <v>284</v>
      </c>
      <c r="D590" s="279"/>
      <c r="E590" s="442"/>
      <c r="F590" s="339">
        <f t="shared" si="519"/>
        <v>0</v>
      </c>
      <c r="G590" s="281">
        <v>0</v>
      </c>
      <c r="H590" s="281">
        <v>0</v>
      </c>
      <c r="I590" s="358" t="str">
        <f>IFERROR(F590/#REF!,"-")</f>
        <v>-</v>
      </c>
      <c r="J590" s="339">
        <f t="shared" si="520"/>
        <v>0</v>
      </c>
      <c r="K590" s="281">
        <f t="shared" si="515"/>
        <v>0</v>
      </c>
      <c r="L590" s="250">
        <f t="shared" si="516"/>
        <v>0</v>
      </c>
      <c r="M590" s="265" t="str">
        <f t="shared" si="523"/>
        <v>-</v>
      </c>
      <c r="N590" s="264" t="str">
        <f t="shared" si="524"/>
        <v>-</v>
      </c>
      <c r="O590" s="519">
        <v>5.6550000000000002</v>
      </c>
      <c r="P590" s="410">
        <f t="shared" si="517"/>
        <v>0</v>
      </c>
      <c r="Q590" s="459">
        <f t="shared" si="518"/>
        <v>0</v>
      </c>
    </row>
    <row r="591" spans="1:17" ht="23.4" x14ac:dyDescent="0.4">
      <c r="A591" s="248"/>
      <c r="B591" s="980"/>
      <c r="C591" s="556" t="s">
        <v>285</v>
      </c>
      <c r="D591" s="279"/>
      <c r="E591" s="442"/>
      <c r="F591" s="339">
        <f t="shared" si="519"/>
        <v>0</v>
      </c>
      <c r="G591" s="281">
        <v>0</v>
      </c>
      <c r="H591" s="281">
        <v>0</v>
      </c>
      <c r="I591" s="358" t="str">
        <f>IFERROR(F591/#REF!,"-")</f>
        <v>-</v>
      </c>
      <c r="J591" s="339">
        <f t="shared" si="520"/>
        <v>0</v>
      </c>
      <c r="K591" s="281">
        <f t="shared" si="515"/>
        <v>0</v>
      </c>
      <c r="L591" s="250">
        <f t="shared" si="516"/>
        <v>0</v>
      </c>
      <c r="M591" s="265" t="str">
        <f t="shared" si="523"/>
        <v>-</v>
      </c>
      <c r="N591" s="264" t="str">
        <f t="shared" si="524"/>
        <v>-</v>
      </c>
      <c r="O591" s="519">
        <v>5.6550000000000002</v>
      </c>
      <c r="P591" s="410">
        <f t="shared" si="517"/>
        <v>0</v>
      </c>
      <c r="Q591" s="459">
        <f t="shared" si="518"/>
        <v>0</v>
      </c>
    </row>
    <row r="592" spans="1:17" ht="23.4" x14ac:dyDescent="0.4">
      <c r="A592" s="248"/>
      <c r="B592" s="980"/>
      <c r="C592" s="556" t="s">
        <v>374</v>
      </c>
      <c r="D592" s="279"/>
      <c r="E592" s="442"/>
      <c r="F592" s="339">
        <f t="shared" si="519"/>
        <v>22291</v>
      </c>
      <c r="G592" s="281">
        <v>21800</v>
      </c>
      <c r="H592" s="281">
        <v>491</v>
      </c>
      <c r="I592" s="358" t="str">
        <f>IFERROR(F592/#REF!,"-")</f>
        <v>-</v>
      </c>
      <c r="J592" s="339">
        <f t="shared" si="520"/>
        <v>223170</v>
      </c>
      <c r="K592" s="281">
        <f t="shared" si="515"/>
        <v>219800</v>
      </c>
      <c r="L592" s="250">
        <f t="shared" si="516"/>
        <v>3370</v>
      </c>
      <c r="M592" s="265" t="str">
        <f t="shared" si="523"/>
        <v>-</v>
      </c>
      <c r="N592" s="264">
        <f t="shared" si="524"/>
        <v>1.5100595958238115E-2</v>
      </c>
      <c r="O592" s="519">
        <v>5.6550000000000002</v>
      </c>
      <c r="P592" s="410">
        <f t="shared" si="517"/>
        <v>123279</v>
      </c>
      <c r="Q592" s="459">
        <f t="shared" si="518"/>
        <v>1242969</v>
      </c>
    </row>
    <row r="593" spans="1:17" ht="23.4" x14ac:dyDescent="0.4">
      <c r="A593" s="248"/>
      <c r="B593" s="980"/>
      <c r="C593" s="556" t="s">
        <v>286</v>
      </c>
      <c r="D593" s="279"/>
      <c r="E593" s="442"/>
      <c r="F593" s="339">
        <f t="shared" si="519"/>
        <v>0</v>
      </c>
      <c r="G593" s="281">
        <v>0</v>
      </c>
      <c r="H593" s="281">
        <v>0</v>
      </c>
      <c r="I593" s="358" t="str">
        <f>IFERROR(F593/#REF!,"-")</f>
        <v>-</v>
      </c>
      <c r="J593" s="339">
        <f t="shared" si="520"/>
        <v>0</v>
      </c>
      <c r="K593" s="281">
        <f t="shared" si="515"/>
        <v>0</v>
      </c>
      <c r="L593" s="250">
        <f t="shared" si="516"/>
        <v>0</v>
      </c>
      <c r="M593" s="265" t="str">
        <f t="shared" si="523"/>
        <v>-</v>
      </c>
      <c r="N593" s="264" t="str">
        <f t="shared" si="524"/>
        <v>-</v>
      </c>
      <c r="O593" s="519">
        <v>5.6550000000000002</v>
      </c>
      <c r="P593" s="410">
        <f t="shared" si="517"/>
        <v>0</v>
      </c>
      <c r="Q593" s="459">
        <f t="shared" si="518"/>
        <v>0</v>
      </c>
    </row>
    <row r="594" spans="1:17" ht="23.4" x14ac:dyDescent="0.4">
      <c r="A594" s="248" t="s">
        <v>109</v>
      </c>
      <c r="B594" s="980"/>
      <c r="C594" s="556" t="s">
        <v>287</v>
      </c>
      <c r="D594" s="279"/>
      <c r="E594" s="442"/>
      <c r="F594" s="339">
        <f t="shared" si="519"/>
        <v>0</v>
      </c>
      <c r="G594" s="281">
        <v>0</v>
      </c>
      <c r="H594" s="281">
        <v>0</v>
      </c>
      <c r="I594" s="358" t="str">
        <f>IFERROR(F594/#REF!,"-")</f>
        <v>-</v>
      </c>
      <c r="J594" s="339">
        <f t="shared" si="520"/>
        <v>0</v>
      </c>
      <c r="K594" s="281">
        <f t="shared" si="515"/>
        <v>0</v>
      </c>
      <c r="L594" s="250">
        <f t="shared" si="516"/>
        <v>0</v>
      </c>
      <c r="M594" s="265" t="str">
        <f t="shared" si="523"/>
        <v>-</v>
      </c>
      <c r="N594" s="264" t="str">
        <f t="shared" si="524"/>
        <v>-</v>
      </c>
      <c r="O594" s="519">
        <v>3.2963</v>
      </c>
      <c r="P594" s="410">
        <f t="shared" si="517"/>
        <v>0</v>
      </c>
      <c r="Q594" s="459">
        <f t="shared" si="518"/>
        <v>0</v>
      </c>
    </row>
    <row r="595" spans="1:17" ht="24" thickBot="1" x14ac:dyDescent="0.45">
      <c r="A595" s="248" t="s">
        <v>109</v>
      </c>
      <c r="B595" s="981"/>
      <c r="C595" s="556" t="s">
        <v>282</v>
      </c>
      <c r="D595" s="279"/>
      <c r="E595" s="442"/>
      <c r="F595" s="339">
        <f t="shared" si="519"/>
        <v>0</v>
      </c>
      <c r="G595" s="281">
        <v>0</v>
      </c>
      <c r="H595" s="281">
        <v>0</v>
      </c>
      <c r="I595" s="358" t="str">
        <f>IFERROR(F595/#REF!,"-")</f>
        <v>-</v>
      </c>
      <c r="J595" s="339">
        <f t="shared" si="520"/>
        <v>0</v>
      </c>
      <c r="K595" s="281">
        <f t="shared" si="515"/>
        <v>0</v>
      </c>
      <c r="L595" s="250">
        <f t="shared" si="516"/>
        <v>0</v>
      </c>
      <c r="M595" s="265" t="str">
        <f t="shared" si="523"/>
        <v>-</v>
      </c>
      <c r="N595" s="264" t="str">
        <f t="shared" si="524"/>
        <v>-</v>
      </c>
      <c r="O595" s="519">
        <v>3.2963</v>
      </c>
      <c r="P595" s="410">
        <f t="shared" si="517"/>
        <v>0</v>
      </c>
      <c r="Q595" s="459">
        <f t="shared" si="518"/>
        <v>0</v>
      </c>
    </row>
    <row r="596" spans="1:17" ht="23.4" x14ac:dyDescent="0.4">
      <c r="A596" s="248" t="s">
        <v>109</v>
      </c>
      <c r="B596" s="560"/>
      <c r="C596" s="557" t="s">
        <v>92</v>
      </c>
      <c r="D596" s="523"/>
      <c r="E596" s="442"/>
      <c r="F596" s="339">
        <f t="shared" si="519"/>
        <v>0</v>
      </c>
      <c r="G596" s="281">
        <v>0</v>
      </c>
      <c r="H596" s="281">
        <v>0</v>
      </c>
      <c r="I596" s="358" t="str">
        <f>IFERROR(F596/#REF!,"-")</f>
        <v>-</v>
      </c>
      <c r="J596" s="339">
        <f t="shared" si="520"/>
        <v>65530</v>
      </c>
      <c r="K596" s="281">
        <f t="shared" si="515"/>
        <v>65500</v>
      </c>
      <c r="L596" s="250">
        <f t="shared" si="516"/>
        <v>30</v>
      </c>
      <c r="M596" s="265" t="str">
        <f t="shared" si="523"/>
        <v>-</v>
      </c>
      <c r="N596" s="264">
        <f t="shared" si="524"/>
        <v>4.5780558522813981E-4</v>
      </c>
      <c r="O596" s="519">
        <v>2.3201000000000001</v>
      </c>
      <c r="P596" s="410">
        <f t="shared" si="517"/>
        <v>0</v>
      </c>
      <c r="Q596" s="459">
        <f t="shared" si="518"/>
        <v>151966.55000000002</v>
      </c>
    </row>
    <row r="597" spans="1:17" ht="24" thickBot="1" x14ac:dyDescent="0.35">
      <c r="A597" s="248" t="s">
        <v>109</v>
      </c>
      <c r="B597" s="537"/>
      <c r="C597" s="554"/>
      <c r="D597" s="543"/>
      <c r="E597" s="473"/>
      <c r="F597" s="471">
        <f t="shared" si="519"/>
        <v>0</v>
      </c>
      <c r="G597" s="472"/>
      <c r="H597" s="472"/>
      <c r="I597" s="545" t="str">
        <f>IFERROR(F597/#REF!,"-")</f>
        <v>-</v>
      </c>
      <c r="J597" s="471">
        <f t="shared" si="520"/>
        <v>0</v>
      </c>
      <c r="K597" s="472">
        <f t="shared" si="515"/>
        <v>0</v>
      </c>
      <c r="L597" s="257">
        <f t="shared" si="516"/>
        <v>0</v>
      </c>
      <c r="M597" s="267" t="str">
        <f t="shared" si="523"/>
        <v>-</v>
      </c>
      <c r="N597" s="266" t="str">
        <f t="shared" si="524"/>
        <v>-</v>
      </c>
      <c r="O597" s="552"/>
      <c r="P597" s="549">
        <f t="shared" si="517"/>
        <v>0</v>
      </c>
      <c r="Q597" s="550">
        <f t="shared" si="518"/>
        <v>0</v>
      </c>
    </row>
    <row r="598" spans="1:17" ht="24" thickBot="1" x14ac:dyDescent="0.35">
      <c r="A598" s="277" t="s">
        <v>109</v>
      </c>
      <c r="B598" s="982" t="s">
        <v>25</v>
      </c>
      <c r="C598" s="983"/>
      <c r="D598" s="525">
        <f t="shared" ref="D598" si="525">SUM(D574:D597)</f>
        <v>0</v>
      </c>
      <c r="E598" s="539">
        <v>100000</v>
      </c>
      <c r="F598" s="525">
        <f>SUM(F574:F597)</f>
        <v>58972</v>
      </c>
      <c r="G598" s="531">
        <f t="shared" ref="G598:H598" si="526">SUM(G574:G597)</f>
        <v>57900</v>
      </c>
      <c r="H598" s="531">
        <f t="shared" si="526"/>
        <v>1072</v>
      </c>
      <c r="I598" s="532" t="str">
        <f>IFERROR(F598/#REF!,"-")</f>
        <v>-</v>
      </c>
      <c r="J598" s="525">
        <f t="shared" ref="J598" si="527">SUM(J574:J597)</f>
        <v>766932</v>
      </c>
      <c r="K598" s="531">
        <f>SUM(K569:K597)</f>
        <v>807882</v>
      </c>
      <c r="L598" s="533">
        <f t="shared" ref="L598" si="528">SUM(L574:L597)</f>
        <v>11400</v>
      </c>
      <c r="M598" s="534" t="str">
        <f t="shared" si="523"/>
        <v>-</v>
      </c>
      <c r="N598" s="532">
        <f t="shared" si="524"/>
        <v>1.4864420835223983E-2</v>
      </c>
      <c r="O598" s="535"/>
      <c r="P598" s="536">
        <f>SUM(P569:P597)</f>
        <v>561789.02</v>
      </c>
      <c r="Q598" s="536">
        <f>SUM(Q569:Q597)</f>
        <v>6176604.4708000002</v>
      </c>
    </row>
    <row r="599" spans="1:17" ht="24" thickBot="1" x14ac:dyDescent="0.35">
      <c r="A599" s="324" t="s">
        <v>109</v>
      </c>
      <c r="B599" s="984" t="s">
        <v>276</v>
      </c>
      <c r="C599" s="927"/>
      <c r="D599" s="332">
        <f>+D573+D598</f>
        <v>0</v>
      </c>
      <c r="E599" s="333">
        <f>+E573+E598</f>
        <v>100000</v>
      </c>
      <c r="F599" s="332">
        <f>+F573+F598</f>
        <v>58972</v>
      </c>
      <c r="G599" s="330">
        <f>+G573+G598</f>
        <v>57900</v>
      </c>
      <c r="H599" s="330">
        <f>+H573+H598</f>
        <v>1072</v>
      </c>
      <c r="I599" s="355" t="str">
        <f>IFERROR(F599/#REF!,"-")</f>
        <v>-</v>
      </c>
      <c r="J599" s="332">
        <f>+J573+J598</f>
        <v>772282</v>
      </c>
      <c r="K599" s="330">
        <f>K598</f>
        <v>807882</v>
      </c>
      <c r="L599" s="331">
        <f>+L573+L598</f>
        <v>12600</v>
      </c>
      <c r="M599" s="347" t="str">
        <f t="shared" si="523"/>
        <v>-</v>
      </c>
      <c r="N599" s="355">
        <f t="shared" si="524"/>
        <v>1.6315283795297574E-2</v>
      </c>
      <c r="O599" s="400"/>
      <c r="P599" s="416">
        <f>+P573+P598</f>
        <v>561789.02</v>
      </c>
      <c r="Q599" s="434">
        <f>Q598</f>
        <v>6176604.4708000002</v>
      </c>
    </row>
    <row r="600" spans="1:17" ht="24.6" thickBot="1" x14ac:dyDescent="0.35">
      <c r="A600" s="325"/>
      <c r="B600" s="915" t="s">
        <v>183</v>
      </c>
      <c r="C600" s="916"/>
      <c r="D600" s="380">
        <f>+D599+D568+D559</f>
        <v>0</v>
      </c>
      <c r="E600" s="380">
        <f>+E599+E568+E559</f>
        <v>230000</v>
      </c>
      <c r="F600" s="380">
        <f>+F599+F568+F559</f>
        <v>293656</v>
      </c>
      <c r="G600" s="380">
        <f>+G599+G568+G559</f>
        <v>281690</v>
      </c>
      <c r="H600" s="380">
        <f>+H599+H568+H559</f>
        <v>11966</v>
      </c>
      <c r="I600" s="381" t="str">
        <f>IFERROR(F600/#REF!,"-")</f>
        <v>-</v>
      </c>
      <c r="J600" s="380">
        <f>+J599+J568+J559</f>
        <v>2933748</v>
      </c>
      <c r="K600" s="380">
        <f>+K599+K568+K559</f>
        <v>2879262</v>
      </c>
      <c r="L600" s="380">
        <f>+L599+L568+L559</f>
        <v>86406</v>
      </c>
      <c r="M600" s="381" t="str">
        <f t="shared" si="523"/>
        <v>-</v>
      </c>
      <c r="N600" s="381">
        <f>IFERROR(L600/J600,"-")</f>
        <v>2.945242740685294E-2</v>
      </c>
      <c r="O600" s="407"/>
      <c r="P600" s="424">
        <f>+P599+P568+P559</f>
        <v>1899718.8150000002</v>
      </c>
      <c r="Q600" s="424">
        <f>+Q599+Q568+Q559</f>
        <v>17801475.364799999</v>
      </c>
    </row>
    <row r="601" spans="1:17" ht="23.4" x14ac:dyDescent="0.3">
      <c r="A601" s="935" t="s">
        <v>1</v>
      </c>
      <c r="B601" s="938" t="s">
        <v>2</v>
      </c>
      <c r="C601" s="941" t="s">
        <v>3</v>
      </c>
      <c r="D601" s="944" t="s">
        <v>4</v>
      </c>
      <c r="E601" s="945"/>
      <c r="F601" s="945"/>
      <c r="G601" s="945"/>
      <c r="H601" s="945"/>
      <c r="I601" s="945"/>
      <c r="J601" s="945"/>
      <c r="K601" s="945"/>
      <c r="L601" s="945"/>
      <c r="M601" s="945"/>
      <c r="N601" s="946"/>
      <c r="O601" s="965" t="s">
        <v>176</v>
      </c>
      <c r="P601" s="966"/>
      <c r="Q601" s="990"/>
    </row>
    <row r="602" spans="1:17" ht="23.4" x14ac:dyDescent="0.3">
      <c r="A602" s="936"/>
      <c r="B602" s="939"/>
      <c r="C602" s="942"/>
      <c r="D602" s="947" t="s">
        <v>7</v>
      </c>
      <c r="E602" s="949" t="s">
        <v>116</v>
      </c>
      <c r="F602" s="991" t="s">
        <v>459</v>
      </c>
      <c r="G602" s="952"/>
      <c r="H602" s="952"/>
      <c r="I602" s="953"/>
      <c r="J602" s="954" t="s">
        <v>8</v>
      </c>
      <c r="K602" s="955"/>
      <c r="L602" s="956"/>
      <c r="M602" s="957" t="s">
        <v>174</v>
      </c>
      <c r="N602" s="959" t="s">
        <v>173</v>
      </c>
      <c r="O602" s="967" t="s">
        <v>178</v>
      </c>
      <c r="P602" s="968"/>
      <c r="Q602" s="969"/>
    </row>
    <row r="603" spans="1:17" ht="47.4" thickBot="1" x14ac:dyDescent="0.35">
      <c r="A603" s="937"/>
      <c r="B603" s="940"/>
      <c r="C603" s="943"/>
      <c r="D603" s="948"/>
      <c r="E603" s="950"/>
      <c r="F603" s="462" t="s">
        <v>13</v>
      </c>
      <c r="G603" s="463" t="s">
        <v>14</v>
      </c>
      <c r="H603" s="463" t="s">
        <v>15</v>
      </c>
      <c r="I603" s="464" t="s">
        <v>175</v>
      </c>
      <c r="J603" s="462" t="s">
        <v>13</v>
      </c>
      <c r="K603" s="463" t="s">
        <v>14</v>
      </c>
      <c r="L603" s="465" t="s">
        <v>15</v>
      </c>
      <c r="M603" s="958"/>
      <c r="N603" s="960"/>
      <c r="O603" s="453" t="s">
        <v>179</v>
      </c>
      <c r="P603" s="454" t="s">
        <v>11</v>
      </c>
      <c r="Q603" s="455" t="s">
        <v>12</v>
      </c>
    </row>
    <row r="604" spans="1:17" ht="23.4" x14ac:dyDescent="0.3">
      <c r="A604" s="271" t="s">
        <v>111</v>
      </c>
      <c r="B604" s="445"/>
      <c r="C604" s="272" t="s">
        <v>272</v>
      </c>
      <c r="D604" s="273"/>
      <c r="E604" s="274"/>
      <c r="F604" s="338">
        <f>+G604+H604</f>
        <v>94640</v>
      </c>
      <c r="G604" s="275">
        <v>91000</v>
      </c>
      <c r="H604" s="275">
        <v>3640</v>
      </c>
      <c r="I604" s="357" t="str">
        <f>IFERROR(F604/#REF!,"-")</f>
        <v>-</v>
      </c>
      <c r="J604" s="468">
        <f>+K604+L604</f>
        <v>639994</v>
      </c>
      <c r="K604" s="469">
        <f>+G604+K545</f>
        <v>594720</v>
      </c>
      <c r="L604" s="470">
        <f>+H604+L545</f>
        <v>45274</v>
      </c>
      <c r="M604" s="342" t="str">
        <f>IFERROR(J604/D604,"-")</f>
        <v>-</v>
      </c>
      <c r="N604" s="349">
        <f t="shared" ref="N604:N605" si="529">IFERROR(L604/J604,"-")</f>
        <v>7.0741288199576868E-2</v>
      </c>
      <c r="O604" s="518">
        <v>1.5669</v>
      </c>
      <c r="P604" s="408">
        <f>+O604*G604</f>
        <v>142587.9</v>
      </c>
      <c r="Q604" s="457">
        <f>+O604*K604</f>
        <v>931866.76799999992</v>
      </c>
    </row>
    <row r="605" spans="1:17" ht="23.4" x14ac:dyDescent="0.3">
      <c r="A605" s="277" t="s">
        <v>111</v>
      </c>
      <c r="B605" s="444"/>
      <c r="C605" s="278" t="s">
        <v>271</v>
      </c>
      <c r="D605" s="279"/>
      <c r="E605" s="280"/>
      <c r="F605" s="339">
        <f t="shared" ref="F605:F608" si="530">+G605+H605</f>
        <v>0</v>
      </c>
      <c r="G605" s="281">
        <v>0</v>
      </c>
      <c r="H605" s="281">
        <v>0</v>
      </c>
      <c r="I605" s="358" t="str">
        <f>IFERROR(F605/#REF!,"-")</f>
        <v>-</v>
      </c>
      <c r="J605" s="339">
        <f t="shared" ref="J605:J608" si="531">+K605+L605</f>
        <v>0</v>
      </c>
      <c r="K605" s="281">
        <f t="shared" ref="K605:K608" si="532">+G605+K546</f>
        <v>0</v>
      </c>
      <c r="L605" s="442">
        <f t="shared" ref="L605:L608" si="533">+H605+L546</f>
        <v>0</v>
      </c>
      <c r="M605" s="343" t="str">
        <f t="shared" ref="M605:M608" si="534">IFERROR(J605/D605,"-")</f>
        <v>-</v>
      </c>
      <c r="N605" s="268" t="str">
        <f t="shared" si="529"/>
        <v>-</v>
      </c>
      <c r="O605" s="519">
        <v>2.3978999999999999</v>
      </c>
      <c r="P605" s="410">
        <f t="shared" ref="P605:P608" si="535">+O605*G605</f>
        <v>0</v>
      </c>
      <c r="Q605" s="459">
        <f t="shared" ref="Q605:Q608" si="536">+O605*K605</f>
        <v>0</v>
      </c>
    </row>
    <row r="606" spans="1:17" ht="23.4" x14ac:dyDescent="0.3">
      <c r="A606" s="277" t="s">
        <v>111</v>
      </c>
      <c r="B606" s="444"/>
      <c r="C606" s="278" t="s">
        <v>273</v>
      </c>
      <c r="D606" s="279"/>
      <c r="E606" s="280"/>
      <c r="F606" s="339">
        <f t="shared" si="530"/>
        <v>0</v>
      </c>
      <c r="G606" s="281">
        <v>0</v>
      </c>
      <c r="H606" s="281">
        <v>0</v>
      </c>
      <c r="I606" s="358" t="str">
        <f>IFERROR(F606/#REF!,"-")</f>
        <v>-</v>
      </c>
      <c r="J606" s="339">
        <f t="shared" si="531"/>
        <v>0</v>
      </c>
      <c r="K606" s="281">
        <f t="shared" si="532"/>
        <v>0</v>
      </c>
      <c r="L606" s="251">
        <f t="shared" si="533"/>
        <v>0</v>
      </c>
      <c r="M606" s="343" t="str">
        <f t="shared" si="534"/>
        <v>-</v>
      </c>
      <c r="N606" s="268" t="str">
        <f>IFERROR(L606/J606,"-")</f>
        <v>-</v>
      </c>
      <c r="O606" s="519">
        <v>4.0426000000000002</v>
      </c>
      <c r="P606" s="410">
        <f t="shared" si="535"/>
        <v>0</v>
      </c>
      <c r="Q606" s="459">
        <f t="shared" si="536"/>
        <v>0</v>
      </c>
    </row>
    <row r="607" spans="1:17" ht="23.4" x14ac:dyDescent="0.3">
      <c r="A607" s="277"/>
      <c r="B607" s="461"/>
      <c r="C607" s="278" t="s">
        <v>372</v>
      </c>
      <c r="D607" s="283"/>
      <c r="E607" s="284"/>
      <c r="F607" s="339">
        <f t="shared" si="530"/>
        <v>22976</v>
      </c>
      <c r="G607" s="285">
        <v>22000</v>
      </c>
      <c r="H607" s="285">
        <v>976</v>
      </c>
      <c r="I607" s="358" t="str">
        <f>IFERROR(F607/#REF!,"-")</f>
        <v>-</v>
      </c>
      <c r="J607" s="339">
        <f t="shared" si="531"/>
        <v>487668</v>
      </c>
      <c r="K607" s="281">
        <f t="shared" si="532"/>
        <v>470200</v>
      </c>
      <c r="L607" s="286">
        <f t="shared" si="533"/>
        <v>17468</v>
      </c>
      <c r="M607" s="343" t="str">
        <f t="shared" si="534"/>
        <v>-</v>
      </c>
      <c r="N607" s="268">
        <f>IFERROR(L607/J607,"-")</f>
        <v>3.5819450937933185E-2</v>
      </c>
      <c r="O607" s="520">
        <v>12.284700000000001</v>
      </c>
      <c r="P607" s="410">
        <f t="shared" si="535"/>
        <v>270263.40000000002</v>
      </c>
      <c r="Q607" s="459">
        <f t="shared" si="536"/>
        <v>5776265.9400000004</v>
      </c>
    </row>
    <row r="608" spans="1:17" ht="24" thickBot="1" x14ac:dyDescent="0.35">
      <c r="A608" s="277" t="s">
        <v>111</v>
      </c>
      <c r="B608" s="461"/>
      <c r="C608" s="278" t="s">
        <v>487</v>
      </c>
      <c r="D608" s="283"/>
      <c r="E608" s="284"/>
      <c r="F608" s="340">
        <f t="shared" si="530"/>
        <v>73448</v>
      </c>
      <c r="G608" s="281">
        <v>72250</v>
      </c>
      <c r="H608" s="281">
        <v>1198</v>
      </c>
      <c r="I608" s="359" t="str">
        <f>IFERROR(F608/#REF!,"-")</f>
        <v>-</v>
      </c>
      <c r="J608" s="471">
        <f t="shared" si="531"/>
        <v>104420</v>
      </c>
      <c r="K608" s="472">
        <f t="shared" si="532"/>
        <v>102250</v>
      </c>
      <c r="L608" s="258">
        <f t="shared" si="533"/>
        <v>2170</v>
      </c>
      <c r="M608" s="344" t="str">
        <f t="shared" si="534"/>
        <v>-</v>
      </c>
      <c r="N608" s="350">
        <f t="shared" ref="N608:N620" si="537">IFERROR(L608/J608,"-")</f>
        <v>2.0781459490519058E-2</v>
      </c>
      <c r="O608" s="520">
        <v>4.6797000000000004</v>
      </c>
      <c r="P608" s="411">
        <f t="shared" si="535"/>
        <v>338108.32500000001</v>
      </c>
      <c r="Q608" s="460">
        <f t="shared" si="536"/>
        <v>478499.32500000007</v>
      </c>
    </row>
    <row r="609" spans="1:17" ht="24" thickBot="1" x14ac:dyDescent="0.35">
      <c r="A609" s="277" t="s">
        <v>111</v>
      </c>
      <c r="B609" s="906" t="s">
        <v>21</v>
      </c>
      <c r="C609" s="907"/>
      <c r="D609" s="326">
        <f>SUM(D604:D608)</f>
        <v>0</v>
      </c>
      <c r="E609" s="289">
        <v>15000</v>
      </c>
      <c r="F609" s="326">
        <f>SUM(F604:F608)</f>
        <v>191064</v>
      </c>
      <c r="G609" s="327">
        <f>SUM(G604:G608)</f>
        <v>185250</v>
      </c>
      <c r="H609" s="327">
        <f>SUM(H604:H608)</f>
        <v>5814</v>
      </c>
      <c r="I609" s="351" t="str">
        <f>IFERROR(F609/#REF!,"-")</f>
        <v>-</v>
      </c>
      <c r="J609" s="326">
        <f>SUM(J604:J608)</f>
        <v>1232082</v>
      </c>
      <c r="K609" s="327">
        <f>SUM(K604:K608)</f>
        <v>1167170</v>
      </c>
      <c r="L609" s="328">
        <f>SUM(L604:L608)</f>
        <v>64912</v>
      </c>
      <c r="M609" s="345" t="str">
        <f>IFERROR(J609/D609,"-")</f>
        <v>-</v>
      </c>
      <c r="N609" s="351">
        <f t="shared" si="537"/>
        <v>5.268480506979243E-2</v>
      </c>
      <c r="O609" s="397"/>
      <c r="P609" s="412">
        <f>SUM(P604:P608)</f>
        <v>750959.625</v>
      </c>
      <c r="Q609" s="431">
        <f>SUM(Q604:Q608)</f>
        <v>7186632.0330000008</v>
      </c>
    </row>
    <row r="610" spans="1:17" ht="23.4" x14ac:dyDescent="0.3">
      <c r="A610" s="277" t="s">
        <v>111</v>
      </c>
      <c r="B610" s="445"/>
      <c r="C610" s="272" t="s">
        <v>270</v>
      </c>
      <c r="D610" s="273"/>
      <c r="E610" s="274"/>
      <c r="F610" s="338">
        <f t="shared" ref="F610:F616" si="538">+G610+H610</f>
        <v>0</v>
      </c>
      <c r="G610" s="275">
        <v>0</v>
      </c>
      <c r="H610" s="275">
        <v>0</v>
      </c>
      <c r="I610" s="357" t="str">
        <f>IFERROR(F610/#REF!,"-")</f>
        <v>-</v>
      </c>
      <c r="J610" s="338">
        <f t="shared" ref="J610:J616" si="539">+K610+L610</f>
        <v>13321</v>
      </c>
      <c r="K610" s="275">
        <f t="shared" ref="K610:K616" si="540">+G610+K551</f>
        <v>12960</v>
      </c>
      <c r="L610" s="276">
        <f t="shared" ref="L610:L616" si="541">+H610+L551</f>
        <v>361</v>
      </c>
      <c r="M610" s="342" t="str">
        <f t="shared" ref="M610:M618" si="542">IFERROR(J610/D610,"-")</f>
        <v>-</v>
      </c>
      <c r="N610" s="352">
        <f t="shared" si="537"/>
        <v>2.7100067562495309E-2</v>
      </c>
      <c r="O610" s="518">
        <v>18.2316</v>
      </c>
      <c r="P610" s="408">
        <f t="shared" ref="P610:P616" si="543">+O610*G610</f>
        <v>0</v>
      </c>
      <c r="Q610" s="457">
        <f t="shared" ref="Q610:Q616" si="544">+O610*K610</f>
        <v>236281.53599999999</v>
      </c>
    </row>
    <row r="611" spans="1:17" ht="23.4" x14ac:dyDescent="0.3">
      <c r="A611" s="277" t="s">
        <v>111</v>
      </c>
      <c r="B611" s="444"/>
      <c r="C611" s="278" t="s">
        <v>92</v>
      </c>
      <c r="D611" s="279"/>
      <c r="E611" s="280"/>
      <c r="F611" s="339">
        <f t="shared" si="538"/>
        <v>60000</v>
      </c>
      <c r="G611" s="281">
        <v>60000</v>
      </c>
      <c r="H611" s="281">
        <v>0</v>
      </c>
      <c r="I611" s="358" t="str">
        <f>IFERROR(F611/#REF!,"-")</f>
        <v>-</v>
      </c>
      <c r="J611" s="339">
        <f t="shared" si="539"/>
        <v>180000</v>
      </c>
      <c r="K611" s="281">
        <f t="shared" si="540"/>
        <v>180000</v>
      </c>
      <c r="L611" s="251">
        <f t="shared" si="541"/>
        <v>0</v>
      </c>
      <c r="M611" s="343" t="str">
        <f t="shared" si="542"/>
        <v>-</v>
      </c>
      <c r="N611" s="264">
        <f t="shared" si="537"/>
        <v>0</v>
      </c>
      <c r="O611" s="519">
        <v>0</v>
      </c>
      <c r="P611" s="410">
        <f t="shared" si="543"/>
        <v>0</v>
      </c>
      <c r="Q611" s="459">
        <f t="shared" si="544"/>
        <v>0</v>
      </c>
    </row>
    <row r="612" spans="1:17" ht="23.4" x14ac:dyDescent="0.3">
      <c r="A612" s="277" t="s">
        <v>111</v>
      </c>
      <c r="B612" s="444"/>
      <c r="C612" s="278" t="s">
        <v>340</v>
      </c>
      <c r="D612" s="279"/>
      <c r="E612" s="280"/>
      <c r="F612" s="339">
        <f t="shared" si="538"/>
        <v>0</v>
      </c>
      <c r="G612" s="281">
        <v>0</v>
      </c>
      <c r="H612" s="281">
        <v>0</v>
      </c>
      <c r="I612" s="358" t="str">
        <f>IFERROR(F612/#REF!,"-")</f>
        <v>-</v>
      </c>
      <c r="J612" s="339">
        <f t="shared" si="539"/>
        <v>0</v>
      </c>
      <c r="K612" s="281">
        <f t="shared" si="540"/>
        <v>0</v>
      </c>
      <c r="L612" s="251">
        <f t="shared" si="541"/>
        <v>0</v>
      </c>
      <c r="M612" s="343" t="str">
        <f t="shared" si="542"/>
        <v>-</v>
      </c>
      <c r="N612" s="264" t="str">
        <f t="shared" si="537"/>
        <v>-</v>
      </c>
      <c r="O612" s="519">
        <v>5.7342000000000004</v>
      </c>
      <c r="P612" s="410">
        <f t="shared" si="543"/>
        <v>0</v>
      </c>
      <c r="Q612" s="459">
        <f t="shared" si="544"/>
        <v>0</v>
      </c>
    </row>
    <row r="613" spans="1:17" ht="23.4" x14ac:dyDescent="0.3">
      <c r="A613" s="277" t="s">
        <v>111</v>
      </c>
      <c r="B613" s="444"/>
      <c r="C613" s="278" t="s">
        <v>363</v>
      </c>
      <c r="D613" s="279"/>
      <c r="E613" s="280"/>
      <c r="F613" s="339">
        <f t="shared" si="538"/>
        <v>0</v>
      </c>
      <c r="G613" s="281">
        <v>0</v>
      </c>
      <c r="H613" s="281">
        <v>0</v>
      </c>
      <c r="I613" s="358" t="str">
        <f>IFERROR(F613/#REF!,"-")</f>
        <v>-</v>
      </c>
      <c r="J613" s="339">
        <f t="shared" si="539"/>
        <v>0</v>
      </c>
      <c r="K613" s="281">
        <f t="shared" si="540"/>
        <v>0</v>
      </c>
      <c r="L613" s="251">
        <f t="shared" si="541"/>
        <v>0</v>
      </c>
      <c r="M613" s="343" t="str">
        <f t="shared" si="542"/>
        <v>-</v>
      </c>
      <c r="N613" s="264" t="str">
        <f t="shared" si="537"/>
        <v>-</v>
      </c>
      <c r="O613" s="519"/>
      <c r="P613" s="410">
        <f t="shared" si="543"/>
        <v>0</v>
      </c>
      <c r="Q613" s="459">
        <f t="shared" si="544"/>
        <v>0</v>
      </c>
    </row>
    <row r="614" spans="1:17" ht="23.4" x14ac:dyDescent="0.3">
      <c r="A614" s="277" t="s">
        <v>111</v>
      </c>
      <c r="B614" s="444"/>
      <c r="C614" s="278" t="s">
        <v>373</v>
      </c>
      <c r="D614" s="279"/>
      <c r="E614" s="280"/>
      <c r="F614" s="339">
        <f t="shared" si="538"/>
        <v>18050</v>
      </c>
      <c r="G614" s="281">
        <v>18000</v>
      </c>
      <c r="H614" s="281">
        <v>50</v>
      </c>
      <c r="I614" s="358" t="str">
        <f>IFERROR(F614/#REF!,"-")</f>
        <v>-</v>
      </c>
      <c r="J614" s="339">
        <f t="shared" si="539"/>
        <v>290093</v>
      </c>
      <c r="K614" s="281">
        <f t="shared" si="540"/>
        <v>289000</v>
      </c>
      <c r="L614" s="251">
        <f t="shared" si="541"/>
        <v>1093</v>
      </c>
      <c r="M614" s="343" t="str">
        <f t="shared" si="542"/>
        <v>-</v>
      </c>
      <c r="N614" s="264">
        <f t="shared" si="537"/>
        <v>3.7677572364724415E-3</v>
      </c>
      <c r="O614" s="519">
        <v>12.029500000000001</v>
      </c>
      <c r="P614" s="410">
        <f t="shared" si="543"/>
        <v>216531</v>
      </c>
      <c r="Q614" s="459">
        <f t="shared" si="544"/>
        <v>3476525.5</v>
      </c>
    </row>
    <row r="615" spans="1:17" ht="23.4" x14ac:dyDescent="0.3">
      <c r="A615" s="277" t="s">
        <v>111</v>
      </c>
      <c r="B615" s="444"/>
      <c r="C615" s="278"/>
      <c r="D615" s="279"/>
      <c r="E615" s="280"/>
      <c r="F615" s="339">
        <f t="shared" si="538"/>
        <v>0</v>
      </c>
      <c r="G615" s="281">
        <v>0</v>
      </c>
      <c r="H615" s="281">
        <v>0</v>
      </c>
      <c r="I615" s="358" t="str">
        <f>IFERROR(F615/#REF!,"-")</f>
        <v>-</v>
      </c>
      <c r="J615" s="339">
        <f t="shared" si="539"/>
        <v>0</v>
      </c>
      <c r="K615" s="281">
        <f t="shared" si="540"/>
        <v>0</v>
      </c>
      <c r="L615" s="251">
        <f t="shared" si="541"/>
        <v>0</v>
      </c>
      <c r="M615" s="343" t="str">
        <f t="shared" si="542"/>
        <v>-</v>
      </c>
      <c r="N615" s="264" t="str">
        <f t="shared" si="537"/>
        <v>-</v>
      </c>
      <c r="O615" s="519"/>
      <c r="P615" s="410">
        <f t="shared" si="543"/>
        <v>0</v>
      </c>
      <c r="Q615" s="459">
        <f t="shared" si="544"/>
        <v>0</v>
      </c>
    </row>
    <row r="616" spans="1:17" ht="24" thickBot="1" x14ac:dyDescent="0.35">
      <c r="A616" s="277" t="s">
        <v>111</v>
      </c>
      <c r="B616" s="461"/>
      <c r="C616" s="282"/>
      <c r="D616" s="283">
        <v>0</v>
      </c>
      <c r="E616" s="284"/>
      <c r="F616" s="340">
        <f t="shared" si="538"/>
        <v>0</v>
      </c>
      <c r="G616" s="285">
        <v>0</v>
      </c>
      <c r="H616" s="285">
        <v>0</v>
      </c>
      <c r="I616" s="359" t="str">
        <f>IFERROR(F616/#REF!,"-")</f>
        <v>-</v>
      </c>
      <c r="J616" s="340">
        <f t="shared" si="539"/>
        <v>0</v>
      </c>
      <c r="K616" s="285">
        <f t="shared" si="540"/>
        <v>0</v>
      </c>
      <c r="L616" s="286">
        <f t="shared" si="541"/>
        <v>0</v>
      </c>
      <c r="M616" s="344" t="str">
        <f t="shared" si="542"/>
        <v>-</v>
      </c>
      <c r="N616" s="353" t="str">
        <f t="shared" si="537"/>
        <v>-</v>
      </c>
      <c r="O616" s="520"/>
      <c r="P616" s="411">
        <f t="shared" si="543"/>
        <v>0</v>
      </c>
      <c r="Q616" s="460">
        <f t="shared" si="544"/>
        <v>0</v>
      </c>
    </row>
    <row r="617" spans="1:17" ht="24" thickBot="1" x14ac:dyDescent="0.35">
      <c r="A617" s="277" t="s">
        <v>111</v>
      </c>
      <c r="B617" s="906" t="s">
        <v>25</v>
      </c>
      <c r="C617" s="907"/>
      <c r="D617" s="326">
        <f t="shared" ref="D617" si="545">SUM(D610:D616)</f>
        <v>0</v>
      </c>
      <c r="E617" s="289">
        <v>100000</v>
      </c>
      <c r="F617" s="326">
        <f>SUM(F610:F616)</f>
        <v>78050</v>
      </c>
      <c r="G617" s="327">
        <f t="shared" ref="G617:H617" si="546">SUM(G610:G616)</f>
        <v>78000</v>
      </c>
      <c r="H617" s="327">
        <f t="shared" si="546"/>
        <v>50</v>
      </c>
      <c r="I617" s="351" t="str">
        <f>IFERROR(F617/#REF!,"-")</f>
        <v>-</v>
      </c>
      <c r="J617" s="326">
        <f t="shared" ref="J617:L617" si="547">SUM(J610:J616)</f>
        <v>483414</v>
      </c>
      <c r="K617" s="327">
        <f t="shared" si="547"/>
        <v>481960</v>
      </c>
      <c r="L617" s="328">
        <f t="shared" si="547"/>
        <v>1454</v>
      </c>
      <c r="M617" s="345" t="str">
        <f t="shared" si="542"/>
        <v>-</v>
      </c>
      <c r="N617" s="351">
        <f t="shared" si="537"/>
        <v>3.0077738749808651E-3</v>
      </c>
      <c r="O617" s="397"/>
      <c r="P617" s="412">
        <f t="shared" ref="P617:Q617" si="548">SUM(P610:P616)</f>
        <v>216531</v>
      </c>
      <c r="Q617" s="431">
        <f t="shared" si="548"/>
        <v>3712807.0359999998</v>
      </c>
    </row>
    <row r="618" spans="1:17" ht="24" thickBot="1" x14ac:dyDescent="0.35">
      <c r="A618" s="277" t="s">
        <v>111</v>
      </c>
      <c r="B618" s="985" t="s">
        <v>181</v>
      </c>
      <c r="C618" s="986"/>
      <c r="D618" s="332">
        <f>+D609+D617</f>
        <v>0</v>
      </c>
      <c r="E618" s="333">
        <f t="shared" ref="E618:H618" si="549">+E609+E617</f>
        <v>115000</v>
      </c>
      <c r="F618" s="332">
        <f t="shared" si="549"/>
        <v>269114</v>
      </c>
      <c r="G618" s="330">
        <f t="shared" si="549"/>
        <v>263250</v>
      </c>
      <c r="H618" s="330">
        <f t="shared" si="549"/>
        <v>5864</v>
      </c>
      <c r="I618" s="355" t="str">
        <f>IFERROR(F618/#REF!,"-")</f>
        <v>-</v>
      </c>
      <c r="J618" s="332">
        <f t="shared" ref="J618:L618" si="550">+J609+J617</f>
        <v>1715496</v>
      </c>
      <c r="K618" s="330">
        <f t="shared" si="550"/>
        <v>1649130</v>
      </c>
      <c r="L618" s="331">
        <f t="shared" si="550"/>
        <v>66366</v>
      </c>
      <c r="M618" s="347" t="str">
        <f t="shared" si="542"/>
        <v>-</v>
      </c>
      <c r="N618" s="355">
        <f t="shared" si="537"/>
        <v>3.8686187551588577E-2</v>
      </c>
      <c r="O618" s="400"/>
      <c r="P618" s="416">
        <f t="shared" ref="P618:Q618" si="551">+P609+P617</f>
        <v>967490.625</v>
      </c>
      <c r="Q618" s="434">
        <f t="shared" si="551"/>
        <v>10899439.069</v>
      </c>
    </row>
    <row r="619" spans="1:17" ht="23.4" x14ac:dyDescent="0.3">
      <c r="A619" s="244" t="s">
        <v>109</v>
      </c>
      <c r="B619" s="599"/>
      <c r="C619" s="600" t="s">
        <v>314</v>
      </c>
      <c r="D619" s="540"/>
      <c r="E619" s="470"/>
      <c r="F619" s="468">
        <f>+G619+H619</f>
        <v>0</v>
      </c>
      <c r="G619" s="469">
        <v>0</v>
      </c>
      <c r="H619" s="469">
        <v>0</v>
      </c>
      <c r="I619" s="544" t="str">
        <f>IFERROR(F619/#REF!,"-")</f>
        <v>-</v>
      </c>
      <c r="J619" s="468">
        <f>+K619+L619</f>
        <v>0</v>
      </c>
      <c r="K619" s="469">
        <f t="shared" ref="K619:K625" si="552">+G619+K560</f>
        <v>0</v>
      </c>
      <c r="L619" s="247">
        <f t="shared" ref="L619:L625" si="553">+H619+L560</f>
        <v>0</v>
      </c>
      <c r="M619" s="604" t="str">
        <f>IFERROR(J619/D619,"-")</f>
        <v>-</v>
      </c>
      <c r="N619" s="546" t="str">
        <f t="shared" si="537"/>
        <v>-</v>
      </c>
      <c r="O619" s="648">
        <v>4.8285999999999998</v>
      </c>
      <c r="P619" s="547">
        <f t="shared" ref="P619:P625" si="554">+O619*G619</f>
        <v>0</v>
      </c>
      <c r="Q619" s="548">
        <f>+O619*K619</f>
        <v>0</v>
      </c>
    </row>
    <row r="620" spans="1:17" ht="23.4" x14ac:dyDescent="0.3">
      <c r="A620" s="248" t="s">
        <v>109</v>
      </c>
      <c r="B620" s="601"/>
      <c r="C620" s="278" t="s">
        <v>315</v>
      </c>
      <c r="D620" s="279"/>
      <c r="E620" s="442"/>
      <c r="F620" s="339">
        <f t="shared" ref="F620:F625" si="555">+G620+H620</f>
        <v>0</v>
      </c>
      <c r="G620" s="281">
        <v>0</v>
      </c>
      <c r="H620" s="281">
        <v>0</v>
      </c>
      <c r="I620" s="358" t="str">
        <f>IFERROR(F620/#REF!,"-")</f>
        <v>-</v>
      </c>
      <c r="J620" s="339">
        <f t="shared" ref="J620:J625" si="556">+K620+L620</f>
        <v>0</v>
      </c>
      <c r="K620" s="281">
        <f t="shared" si="552"/>
        <v>0</v>
      </c>
      <c r="L620" s="251">
        <f t="shared" si="553"/>
        <v>0</v>
      </c>
      <c r="M620" s="343" t="str">
        <f t="shared" ref="M620:M622" si="557">IFERROR(J620/D620,"-")</f>
        <v>-</v>
      </c>
      <c r="N620" s="268" t="str">
        <f t="shared" si="537"/>
        <v>-</v>
      </c>
      <c r="O620" s="649">
        <v>1.4086000000000001</v>
      </c>
      <c r="P620" s="410">
        <f t="shared" si="554"/>
        <v>0</v>
      </c>
      <c r="Q620" s="459">
        <f t="shared" ref="Q620:Q625" si="558">+O620*K620</f>
        <v>0</v>
      </c>
    </row>
    <row r="621" spans="1:17" ht="23.4" x14ac:dyDescent="0.3">
      <c r="A621" s="248" t="s">
        <v>109</v>
      </c>
      <c r="B621" s="601"/>
      <c r="C621" s="278" t="s">
        <v>367</v>
      </c>
      <c r="D621" s="279"/>
      <c r="E621" s="442"/>
      <c r="F621" s="339">
        <f t="shared" si="555"/>
        <v>0</v>
      </c>
      <c r="G621" s="281">
        <v>0</v>
      </c>
      <c r="H621" s="281">
        <v>0</v>
      </c>
      <c r="I621" s="358" t="str">
        <f>IFERROR(F621/#REF!,"-")</f>
        <v>-</v>
      </c>
      <c r="J621" s="339">
        <f t="shared" si="556"/>
        <v>573613</v>
      </c>
      <c r="K621" s="281">
        <f t="shared" si="552"/>
        <v>566000</v>
      </c>
      <c r="L621" s="251">
        <f t="shared" si="553"/>
        <v>7613</v>
      </c>
      <c r="M621" s="343" t="str">
        <f t="shared" si="557"/>
        <v>-</v>
      </c>
      <c r="N621" s="268">
        <f>IFERROR(L621/J621,"-")</f>
        <v>1.3272014406925924E-2</v>
      </c>
      <c r="O621" s="649">
        <v>2.2141000000000002</v>
      </c>
      <c r="P621" s="410">
        <f t="shared" si="554"/>
        <v>0</v>
      </c>
      <c r="Q621" s="459">
        <f t="shared" si="558"/>
        <v>1253180.6000000001</v>
      </c>
    </row>
    <row r="622" spans="1:17" ht="23.4" x14ac:dyDescent="0.3">
      <c r="A622" s="248" t="s">
        <v>109</v>
      </c>
      <c r="B622" s="602"/>
      <c r="C622" s="278" t="s">
        <v>436</v>
      </c>
      <c r="D622" s="283"/>
      <c r="E622" s="541"/>
      <c r="F622" s="340">
        <f t="shared" si="555"/>
        <v>0</v>
      </c>
      <c r="G622" s="285">
        <v>0</v>
      </c>
      <c r="H622" s="285">
        <v>0</v>
      </c>
      <c r="I622" s="359" t="str">
        <f>IFERROR(F622/#REF!,"-")</f>
        <v>-</v>
      </c>
      <c r="J622" s="339">
        <f t="shared" si="556"/>
        <v>40882</v>
      </c>
      <c r="K622" s="285">
        <f t="shared" si="552"/>
        <v>40000</v>
      </c>
      <c r="L622" s="286">
        <f t="shared" si="553"/>
        <v>882</v>
      </c>
      <c r="M622" s="344" t="str">
        <f t="shared" si="557"/>
        <v>-</v>
      </c>
      <c r="N622" s="350">
        <f t="shared" ref="N622:N629" si="559">IFERROR(L622/J622,"-")</f>
        <v>2.157428697226163E-2</v>
      </c>
      <c r="O622" s="650">
        <v>2.4565999999999999</v>
      </c>
      <c r="P622" s="411">
        <f t="shared" si="554"/>
        <v>0</v>
      </c>
      <c r="Q622" s="460">
        <f t="shared" si="558"/>
        <v>98264</v>
      </c>
    </row>
    <row r="623" spans="1:17" ht="23.4" x14ac:dyDescent="0.3">
      <c r="A623" s="248" t="s">
        <v>109</v>
      </c>
      <c r="B623" s="446"/>
      <c r="C623" s="647" t="s">
        <v>444</v>
      </c>
      <c r="D623" s="521"/>
      <c r="E623" s="542"/>
      <c r="F623" s="339">
        <f t="shared" si="555"/>
        <v>0</v>
      </c>
      <c r="G623" s="561">
        <v>0</v>
      </c>
      <c r="H623" s="561">
        <v>0</v>
      </c>
      <c r="I623" s="358" t="str">
        <f>IFERROR(F623/#REF!,"-")</f>
        <v>-</v>
      </c>
      <c r="J623" s="339">
        <f t="shared" si="556"/>
        <v>16280</v>
      </c>
      <c r="K623" s="285">
        <f t="shared" si="552"/>
        <v>15000</v>
      </c>
      <c r="L623" s="286">
        <f t="shared" si="553"/>
        <v>1280</v>
      </c>
      <c r="M623" s="522"/>
      <c r="N623" s="268">
        <f t="shared" si="559"/>
        <v>7.8624078624078622E-2</v>
      </c>
      <c r="O623" s="553">
        <v>4.8285999999999998</v>
      </c>
      <c r="P623" s="410">
        <f t="shared" si="554"/>
        <v>0</v>
      </c>
      <c r="Q623" s="459">
        <f t="shared" si="558"/>
        <v>72429</v>
      </c>
    </row>
    <row r="624" spans="1:17" ht="23.4" x14ac:dyDescent="0.3">
      <c r="A624" s="248" t="s">
        <v>109</v>
      </c>
      <c r="B624" s="603"/>
      <c r="C624" s="647" t="s">
        <v>439</v>
      </c>
      <c r="D624" s="273"/>
      <c r="E624" s="441"/>
      <c r="F624" s="338">
        <f t="shared" si="555"/>
        <v>24930</v>
      </c>
      <c r="G624" s="275">
        <v>23750</v>
      </c>
      <c r="H624" s="275">
        <v>1180</v>
      </c>
      <c r="I624" s="357" t="str">
        <f>IFERROR(F624/#REF!,"-")</f>
        <v>-</v>
      </c>
      <c r="J624" s="339">
        <f t="shared" si="556"/>
        <v>92959</v>
      </c>
      <c r="K624" s="285">
        <f t="shared" si="552"/>
        <v>88250</v>
      </c>
      <c r="L624" s="286">
        <f t="shared" si="553"/>
        <v>4709</v>
      </c>
      <c r="M624" s="342" t="str">
        <f t="shared" ref="M624:M625" si="560">IFERROR(J624/D624,"-")</f>
        <v>-</v>
      </c>
      <c r="N624" s="352">
        <f t="shared" si="559"/>
        <v>5.065674114394518E-2</v>
      </c>
      <c r="O624" s="518">
        <v>4.1712999999999996</v>
      </c>
      <c r="P624" s="408">
        <f t="shared" si="554"/>
        <v>99068.374999999985</v>
      </c>
      <c r="Q624" s="457">
        <f t="shared" si="558"/>
        <v>368117.22499999998</v>
      </c>
    </row>
    <row r="625" spans="1:17" ht="24" thickBot="1" x14ac:dyDescent="0.35">
      <c r="A625" s="248" t="s">
        <v>109</v>
      </c>
      <c r="B625" s="601"/>
      <c r="C625" s="278"/>
      <c r="D625" s="279"/>
      <c r="E625" s="442"/>
      <c r="F625" s="339">
        <f t="shared" si="555"/>
        <v>0</v>
      </c>
      <c r="G625" s="281"/>
      <c r="H625" s="281"/>
      <c r="I625" s="358" t="str">
        <f>IFERROR(F625/#REF!,"-")</f>
        <v>-</v>
      </c>
      <c r="J625" s="339">
        <f t="shared" si="556"/>
        <v>0</v>
      </c>
      <c r="K625" s="281">
        <f t="shared" si="552"/>
        <v>0</v>
      </c>
      <c r="L625" s="251">
        <f t="shared" si="553"/>
        <v>0</v>
      </c>
      <c r="M625" s="343" t="str">
        <f t="shared" si="560"/>
        <v>-</v>
      </c>
      <c r="N625" s="264" t="str">
        <f t="shared" si="559"/>
        <v>-</v>
      </c>
      <c r="O625" s="458"/>
      <c r="P625" s="410">
        <f t="shared" si="554"/>
        <v>0</v>
      </c>
      <c r="Q625" s="459">
        <f t="shared" si="558"/>
        <v>0</v>
      </c>
    </row>
    <row r="626" spans="1:17" ht="24" thickBot="1" x14ac:dyDescent="0.35">
      <c r="A626" s="277" t="s">
        <v>109</v>
      </c>
      <c r="B626" s="987" t="s">
        <v>21</v>
      </c>
      <c r="C626" s="925"/>
      <c r="D626" s="326">
        <v>0</v>
      </c>
      <c r="E626" s="289">
        <v>15000</v>
      </c>
      <c r="F626" s="326">
        <f>SUM(F619:F625)</f>
        <v>24930</v>
      </c>
      <c r="G626" s="327">
        <f t="shared" ref="G626:H626" si="561">SUM(G619:G625)</f>
        <v>23750</v>
      </c>
      <c r="H626" s="327">
        <f t="shared" si="561"/>
        <v>1180</v>
      </c>
      <c r="I626" s="351" t="str">
        <f>IFERROR(F626/#REF!,"-")</f>
        <v>-</v>
      </c>
      <c r="J626" s="326">
        <f t="shared" ref="J626" si="562">SUM(J619:J625)</f>
        <v>723734</v>
      </c>
      <c r="K626" s="327">
        <f>SUM(K619:K625)</f>
        <v>709250</v>
      </c>
      <c r="L626" s="327">
        <f>SUM(L619:L625)</f>
        <v>14484</v>
      </c>
      <c r="M626" s="345" t="str">
        <f>IFERROR(J626/D626,"-")</f>
        <v>-</v>
      </c>
      <c r="N626" s="351">
        <f t="shared" si="559"/>
        <v>2.0012877659471573E-2</v>
      </c>
      <c r="O626" s="397"/>
      <c r="P626" s="412">
        <f>SUM(P619:P625)</f>
        <v>99068.374999999985</v>
      </c>
      <c r="Q626" s="431">
        <f>SUM(Q619:Q625)</f>
        <v>1791990.8250000002</v>
      </c>
    </row>
    <row r="627" spans="1:17" ht="24" thickBot="1" x14ac:dyDescent="0.35">
      <c r="A627" s="277" t="s">
        <v>109</v>
      </c>
      <c r="B627" s="988" t="s">
        <v>275</v>
      </c>
      <c r="C627" s="989"/>
      <c r="D627" s="524">
        <f>+D623+D626</f>
        <v>0</v>
      </c>
      <c r="E627" s="538">
        <f>+E623+E626</f>
        <v>15000</v>
      </c>
      <c r="F627" s="524">
        <f>+F623+F626</f>
        <v>24930</v>
      </c>
      <c r="G627" s="526">
        <f>+G623+G626</f>
        <v>23750</v>
      </c>
      <c r="H627" s="526">
        <f>+H623+H626</f>
        <v>1180</v>
      </c>
      <c r="I627" s="527" t="str">
        <f>IFERROR(F627/#REF!,"-")</f>
        <v>-</v>
      </c>
      <c r="J627" s="524">
        <f>+J623+J626</f>
        <v>740014</v>
      </c>
      <c r="K627" s="526">
        <f>+K626</f>
        <v>709250</v>
      </c>
      <c r="L627" s="526">
        <f>+L626</f>
        <v>14484</v>
      </c>
      <c r="M627" s="528" t="str">
        <f t="shared" ref="M627" si="563">IFERROR(J627/D627,"-")</f>
        <v>-</v>
      </c>
      <c r="N627" s="527">
        <f t="shared" si="559"/>
        <v>1.9572602680489829E-2</v>
      </c>
      <c r="O627" s="529"/>
      <c r="P627" s="530">
        <f>+P626</f>
        <v>99068.374999999985</v>
      </c>
      <c r="Q627" s="530">
        <f>+Q626</f>
        <v>1791990.8250000002</v>
      </c>
    </row>
    <row r="628" spans="1:17" ht="23.4" x14ac:dyDescent="0.4">
      <c r="A628" s="244" t="s">
        <v>109</v>
      </c>
      <c r="B628" s="979" t="s">
        <v>277</v>
      </c>
      <c r="C628" s="555" t="s">
        <v>74</v>
      </c>
      <c r="D628" s="540"/>
      <c r="E628" s="470"/>
      <c r="F628" s="468">
        <f>+G628+H628</f>
        <v>9004</v>
      </c>
      <c r="G628" s="469">
        <v>9000</v>
      </c>
      <c r="H628" s="469">
        <v>4</v>
      </c>
      <c r="I628" s="544" t="str">
        <f>IFERROR(F628/#REF!,"-")</f>
        <v>-</v>
      </c>
      <c r="J628" s="468">
        <f>+K628+L628</f>
        <v>40031</v>
      </c>
      <c r="K628" s="469">
        <f t="shared" ref="K628:K656" si="564">+G628+K569</f>
        <v>40000</v>
      </c>
      <c r="L628" s="246">
        <f t="shared" ref="L628:L656" si="565">+H628+L569</f>
        <v>31</v>
      </c>
      <c r="M628" s="263" t="str">
        <f>IFERROR(J628/D628,"-")</f>
        <v>-</v>
      </c>
      <c r="N628" s="546">
        <f t="shared" si="559"/>
        <v>7.7439984012390398E-4</v>
      </c>
      <c r="O628" s="551">
        <v>32.946300000000001</v>
      </c>
      <c r="P628" s="547">
        <f t="shared" ref="P628:P656" si="566">+O628*G628</f>
        <v>296516.7</v>
      </c>
      <c r="Q628" s="548">
        <f t="shared" ref="Q628:Q656" si="567">+O628*K628</f>
        <v>1317852</v>
      </c>
    </row>
    <row r="629" spans="1:17" ht="23.4" x14ac:dyDescent="0.4">
      <c r="A629" s="248" t="s">
        <v>109</v>
      </c>
      <c r="B629" s="980"/>
      <c r="C629" s="556" t="s">
        <v>75</v>
      </c>
      <c r="D629" s="523"/>
      <c r="E629" s="442"/>
      <c r="F629" s="339">
        <f t="shared" ref="F629:F656" si="568">+G629+H629</f>
        <v>0</v>
      </c>
      <c r="G629" s="281">
        <v>0</v>
      </c>
      <c r="H629" s="281">
        <v>0</v>
      </c>
      <c r="I629" s="358" t="str">
        <f>IFERROR(F629/#REF!,"-")</f>
        <v>-</v>
      </c>
      <c r="J629" s="339">
        <f t="shared" ref="J629:J656" si="569">+K629+L629</f>
        <v>0</v>
      </c>
      <c r="K629" s="281">
        <f t="shared" si="564"/>
        <v>0</v>
      </c>
      <c r="L629" s="250">
        <f t="shared" si="565"/>
        <v>0</v>
      </c>
      <c r="M629" s="265" t="str">
        <f t="shared" ref="M629:M631" si="570">IFERROR(J629/D629,"-")</f>
        <v>-</v>
      </c>
      <c r="N629" s="268" t="str">
        <f t="shared" si="559"/>
        <v>-</v>
      </c>
      <c r="O629" s="519">
        <v>35.398400000000002</v>
      </c>
      <c r="P629" s="410">
        <f t="shared" si="566"/>
        <v>0</v>
      </c>
      <c r="Q629" s="459">
        <f t="shared" si="567"/>
        <v>0</v>
      </c>
    </row>
    <row r="630" spans="1:17" ht="24" thickBot="1" x14ac:dyDescent="0.45">
      <c r="A630" s="248" t="s">
        <v>109</v>
      </c>
      <c r="B630" s="980"/>
      <c r="C630" s="556" t="s">
        <v>76</v>
      </c>
      <c r="D630" s="279"/>
      <c r="E630" s="442"/>
      <c r="F630" s="339">
        <f t="shared" si="568"/>
        <v>0</v>
      </c>
      <c r="G630" s="281">
        <v>0</v>
      </c>
      <c r="H630" s="281">
        <v>0</v>
      </c>
      <c r="I630" s="358" t="str">
        <f>IFERROR(F630/#REF!,"-")</f>
        <v>-</v>
      </c>
      <c r="J630" s="339">
        <f t="shared" si="569"/>
        <v>10000</v>
      </c>
      <c r="K630" s="281">
        <f t="shared" si="564"/>
        <v>10000</v>
      </c>
      <c r="L630" s="250">
        <f t="shared" si="565"/>
        <v>0</v>
      </c>
      <c r="M630" s="265" t="str">
        <f t="shared" si="570"/>
        <v>-</v>
      </c>
      <c r="N630" s="268">
        <f>IFERROR(L630/J630,"-")</f>
        <v>0</v>
      </c>
      <c r="O630" s="519">
        <v>32.946300000000001</v>
      </c>
      <c r="P630" s="410">
        <f t="shared" si="566"/>
        <v>0</v>
      </c>
      <c r="Q630" s="459">
        <f t="shared" si="567"/>
        <v>329463</v>
      </c>
    </row>
    <row r="631" spans="1:17" ht="23.4" x14ac:dyDescent="0.4">
      <c r="A631" s="248" t="s">
        <v>109</v>
      </c>
      <c r="B631" s="979" t="s">
        <v>278</v>
      </c>
      <c r="C631" s="558" t="s">
        <v>78</v>
      </c>
      <c r="D631" s="279"/>
      <c r="E631" s="541"/>
      <c r="F631" s="340">
        <f t="shared" si="568"/>
        <v>0</v>
      </c>
      <c r="G631" s="281">
        <v>0</v>
      </c>
      <c r="H631" s="281">
        <v>0</v>
      </c>
      <c r="I631" s="358" t="str">
        <f>IFERROR(F631/#REF!,"-")</f>
        <v>-</v>
      </c>
      <c r="J631" s="339">
        <f t="shared" si="569"/>
        <v>8248</v>
      </c>
      <c r="K631" s="281">
        <f t="shared" si="564"/>
        <v>7200</v>
      </c>
      <c r="L631" s="250">
        <f t="shared" si="565"/>
        <v>1048</v>
      </c>
      <c r="M631" s="265" t="str">
        <f t="shared" si="570"/>
        <v>-</v>
      </c>
      <c r="N631" s="268">
        <f t="shared" ref="N631" si="571">IFERROR(L631/J631,"-")</f>
        <v>0.1270611057225994</v>
      </c>
      <c r="O631" s="519">
        <v>55.4758</v>
      </c>
      <c r="P631" s="410">
        <f t="shared" si="566"/>
        <v>0</v>
      </c>
      <c r="Q631" s="459">
        <f t="shared" si="567"/>
        <v>399425.76</v>
      </c>
    </row>
    <row r="632" spans="1:17" ht="23.4" x14ac:dyDescent="0.4">
      <c r="A632" s="248" t="s">
        <v>109</v>
      </c>
      <c r="B632" s="980"/>
      <c r="C632" s="558" t="s">
        <v>75</v>
      </c>
      <c r="D632" s="279"/>
      <c r="E632" s="542"/>
      <c r="F632" s="340">
        <f t="shared" si="568"/>
        <v>0</v>
      </c>
      <c r="G632" s="281">
        <v>0</v>
      </c>
      <c r="H632" s="281">
        <v>0</v>
      </c>
      <c r="I632" s="358" t="str">
        <f>IFERROR(F632/#REF!,"-")</f>
        <v>-</v>
      </c>
      <c r="J632" s="339">
        <f t="shared" si="569"/>
        <v>5350</v>
      </c>
      <c r="K632" s="281">
        <f t="shared" si="564"/>
        <v>4150</v>
      </c>
      <c r="L632" s="250">
        <f t="shared" si="565"/>
        <v>1200</v>
      </c>
      <c r="M632" s="522"/>
      <c r="N632" s="378"/>
      <c r="O632" s="553">
        <v>58.836300000000001</v>
      </c>
      <c r="P632" s="410">
        <f t="shared" si="566"/>
        <v>0</v>
      </c>
      <c r="Q632" s="459">
        <f t="shared" si="567"/>
        <v>244170.64500000002</v>
      </c>
    </row>
    <row r="633" spans="1:17" ht="24" thickBot="1" x14ac:dyDescent="0.45">
      <c r="A633" s="248" t="s">
        <v>109</v>
      </c>
      <c r="B633" s="981"/>
      <c r="C633" s="558" t="s">
        <v>435</v>
      </c>
      <c r="D633" s="279"/>
      <c r="E633" s="441"/>
      <c r="F633" s="340">
        <f t="shared" si="568"/>
        <v>2288</v>
      </c>
      <c r="G633" s="281">
        <v>1800</v>
      </c>
      <c r="H633" s="281">
        <v>488</v>
      </c>
      <c r="I633" s="358" t="str">
        <f>IFERROR(F633/#REF!,"-")</f>
        <v>-</v>
      </c>
      <c r="J633" s="339">
        <f t="shared" si="569"/>
        <v>10116</v>
      </c>
      <c r="K633" s="281">
        <f t="shared" si="564"/>
        <v>8700</v>
      </c>
      <c r="L633" s="250">
        <f t="shared" si="565"/>
        <v>1416</v>
      </c>
      <c r="M633" s="265" t="str">
        <f t="shared" ref="M633:M659" si="572">IFERROR(J633/D633,"-")</f>
        <v>-</v>
      </c>
      <c r="N633" s="264">
        <f t="shared" ref="N633:N658" si="573">IFERROR(L633/J633,"-")</f>
        <v>0.13997627520759193</v>
      </c>
      <c r="O633" s="519">
        <v>55.4758</v>
      </c>
      <c r="P633" s="410">
        <f t="shared" si="566"/>
        <v>99856.44</v>
      </c>
      <c r="Q633" s="459">
        <f t="shared" si="567"/>
        <v>482639.46</v>
      </c>
    </row>
    <row r="634" spans="1:17" ht="23.4" x14ac:dyDescent="0.4">
      <c r="A634" s="248" t="s">
        <v>109</v>
      </c>
      <c r="B634" s="979" t="s">
        <v>79</v>
      </c>
      <c r="C634" s="556" t="s">
        <v>80</v>
      </c>
      <c r="D634" s="279"/>
      <c r="E634" s="442"/>
      <c r="F634" s="339">
        <f t="shared" si="568"/>
        <v>0</v>
      </c>
      <c r="G634" s="281">
        <v>0</v>
      </c>
      <c r="H634" s="281">
        <v>0</v>
      </c>
      <c r="I634" s="358" t="str">
        <f>IFERROR(F634/#REF!,"-")</f>
        <v>-</v>
      </c>
      <c r="J634" s="339">
        <f t="shared" si="569"/>
        <v>0</v>
      </c>
      <c r="K634" s="281">
        <f t="shared" si="564"/>
        <v>0</v>
      </c>
      <c r="L634" s="250">
        <f t="shared" si="565"/>
        <v>0</v>
      </c>
      <c r="M634" s="265" t="str">
        <f t="shared" si="572"/>
        <v>-</v>
      </c>
      <c r="N634" s="264" t="str">
        <f t="shared" si="573"/>
        <v>-</v>
      </c>
      <c r="O634" s="519">
        <v>25.687200000000001</v>
      </c>
      <c r="P634" s="410">
        <f t="shared" si="566"/>
        <v>0</v>
      </c>
      <c r="Q634" s="459">
        <f t="shared" si="567"/>
        <v>0</v>
      </c>
    </row>
    <row r="635" spans="1:17" ht="24" thickBot="1" x14ac:dyDescent="0.45">
      <c r="A635" s="248" t="s">
        <v>109</v>
      </c>
      <c r="B635" s="981"/>
      <c r="C635" s="556" t="s">
        <v>125</v>
      </c>
      <c r="D635" s="279"/>
      <c r="E635" s="442"/>
      <c r="F635" s="339">
        <f t="shared" si="568"/>
        <v>0</v>
      </c>
      <c r="G635" s="281">
        <v>0</v>
      </c>
      <c r="H635" s="281">
        <v>0</v>
      </c>
      <c r="I635" s="358" t="str">
        <f>IFERROR(F635/#REF!,"-")</f>
        <v>-</v>
      </c>
      <c r="J635" s="339">
        <f t="shared" si="569"/>
        <v>0</v>
      </c>
      <c r="K635" s="281">
        <f t="shared" si="564"/>
        <v>0</v>
      </c>
      <c r="L635" s="250">
        <f t="shared" si="565"/>
        <v>0</v>
      </c>
      <c r="M635" s="265" t="str">
        <f t="shared" si="572"/>
        <v>-</v>
      </c>
      <c r="N635" s="264" t="str">
        <f t="shared" si="573"/>
        <v>-</v>
      </c>
      <c r="O635" s="519">
        <v>25.033899999999999</v>
      </c>
      <c r="P635" s="410">
        <f t="shared" si="566"/>
        <v>0</v>
      </c>
      <c r="Q635" s="459">
        <f t="shared" si="567"/>
        <v>0</v>
      </c>
    </row>
    <row r="636" spans="1:17" ht="23.4" x14ac:dyDescent="0.4">
      <c r="A636" s="248"/>
      <c r="B636" s="979" t="s">
        <v>81</v>
      </c>
      <c r="C636" s="556" t="s">
        <v>82</v>
      </c>
      <c r="D636" s="279"/>
      <c r="E636" s="442"/>
      <c r="F636" s="339">
        <f t="shared" si="568"/>
        <v>0</v>
      </c>
      <c r="G636" s="281">
        <v>0</v>
      </c>
      <c r="H636" s="281">
        <v>0</v>
      </c>
      <c r="I636" s="358" t="str">
        <f>IFERROR(F636/#REF!,"-")</f>
        <v>-</v>
      </c>
      <c r="J636" s="339">
        <f t="shared" si="569"/>
        <v>4860</v>
      </c>
      <c r="K636" s="281">
        <f t="shared" si="564"/>
        <v>4840</v>
      </c>
      <c r="L636" s="250">
        <f t="shared" si="565"/>
        <v>20</v>
      </c>
      <c r="M636" s="265" t="str">
        <f t="shared" si="572"/>
        <v>-</v>
      </c>
      <c r="N636" s="264">
        <f t="shared" si="573"/>
        <v>4.11522633744856E-3</v>
      </c>
      <c r="O636" s="519">
        <v>41.992699999999999</v>
      </c>
      <c r="P636" s="410">
        <f t="shared" si="566"/>
        <v>0</v>
      </c>
      <c r="Q636" s="459">
        <f t="shared" si="567"/>
        <v>203244.66800000001</v>
      </c>
    </row>
    <row r="637" spans="1:17" ht="24" thickBot="1" x14ac:dyDescent="0.45">
      <c r="A637" s="248"/>
      <c r="B637" s="980"/>
      <c r="C637" s="556" t="s">
        <v>364</v>
      </c>
      <c r="D637" s="279"/>
      <c r="E637" s="442"/>
      <c r="F637" s="339">
        <f t="shared" si="568"/>
        <v>0</v>
      </c>
      <c r="G637" s="281">
        <v>0</v>
      </c>
      <c r="H637" s="281">
        <v>0</v>
      </c>
      <c r="I637" s="358" t="str">
        <f>IFERROR(F637/#REF!,"-")</f>
        <v>-</v>
      </c>
      <c r="J637" s="339">
        <f t="shared" si="569"/>
        <v>0</v>
      </c>
      <c r="K637" s="281">
        <f t="shared" si="564"/>
        <v>0</v>
      </c>
      <c r="L637" s="250">
        <f t="shared" si="565"/>
        <v>0</v>
      </c>
      <c r="M637" s="265" t="str">
        <f t="shared" si="572"/>
        <v>-</v>
      </c>
      <c r="N637" s="264" t="str">
        <f t="shared" si="573"/>
        <v>-</v>
      </c>
      <c r="O637" s="519">
        <v>41.992699999999999</v>
      </c>
      <c r="P637" s="410">
        <f t="shared" si="566"/>
        <v>0</v>
      </c>
      <c r="Q637" s="459">
        <f t="shared" si="567"/>
        <v>0</v>
      </c>
    </row>
    <row r="638" spans="1:17" ht="24" thickBot="1" x14ac:dyDescent="0.45">
      <c r="A638" s="248"/>
      <c r="B638" s="559" t="s">
        <v>83</v>
      </c>
      <c r="C638" s="556" t="s">
        <v>84</v>
      </c>
      <c r="D638" s="279"/>
      <c r="E638" s="442"/>
      <c r="F638" s="339">
        <f t="shared" si="568"/>
        <v>0</v>
      </c>
      <c r="G638" s="281">
        <v>0</v>
      </c>
      <c r="H638" s="281">
        <v>0</v>
      </c>
      <c r="I638" s="358" t="str">
        <f>IFERROR(F638/#REF!,"-")</f>
        <v>-</v>
      </c>
      <c r="J638" s="339">
        <f t="shared" si="569"/>
        <v>0</v>
      </c>
      <c r="K638" s="281">
        <f t="shared" si="564"/>
        <v>0</v>
      </c>
      <c r="L638" s="250">
        <f t="shared" si="565"/>
        <v>0</v>
      </c>
      <c r="M638" s="265" t="str">
        <f t="shared" si="572"/>
        <v>-</v>
      </c>
      <c r="N638" s="264" t="str">
        <f t="shared" si="573"/>
        <v>-</v>
      </c>
      <c r="O638" s="519">
        <v>4.3535000000000004</v>
      </c>
      <c r="P638" s="410">
        <f t="shared" si="566"/>
        <v>0</v>
      </c>
      <c r="Q638" s="459">
        <f t="shared" si="567"/>
        <v>0</v>
      </c>
    </row>
    <row r="639" spans="1:17" ht="23.4" x14ac:dyDescent="0.4">
      <c r="A639" s="248"/>
      <c r="B639" s="979" t="s">
        <v>280</v>
      </c>
      <c r="C639" s="556" t="s">
        <v>80</v>
      </c>
      <c r="D639" s="279"/>
      <c r="E639" s="442"/>
      <c r="F639" s="339">
        <f t="shared" si="568"/>
        <v>0</v>
      </c>
      <c r="G639" s="281">
        <v>0</v>
      </c>
      <c r="H639" s="281">
        <v>0</v>
      </c>
      <c r="I639" s="358" t="str">
        <f>IFERROR(F639/#REF!,"-")</f>
        <v>-</v>
      </c>
      <c r="J639" s="339">
        <f t="shared" si="569"/>
        <v>0</v>
      </c>
      <c r="K639" s="281">
        <f t="shared" si="564"/>
        <v>0</v>
      </c>
      <c r="L639" s="250">
        <f t="shared" si="565"/>
        <v>0</v>
      </c>
      <c r="M639" s="265" t="str">
        <f t="shared" si="572"/>
        <v>-</v>
      </c>
      <c r="N639" s="264" t="str">
        <f t="shared" si="573"/>
        <v>-</v>
      </c>
      <c r="O639" s="519">
        <v>4.6184000000000003</v>
      </c>
      <c r="P639" s="410">
        <f t="shared" si="566"/>
        <v>0</v>
      </c>
      <c r="Q639" s="459">
        <f t="shared" si="567"/>
        <v>0</v>
      </c>
    </row>
    <row r="640" spans="1:17" ht="23.4" x14ac:dyDescent="0.4">
      <c r="A640" s="248"/>
      <c r="B640" s="980"/>
      <c r="C640" s="556" t="s">
        <v>407</v>
      </c>
      <c r="D640" s="279"/>
      <c r="E640" s="442"/>
      <c r="F640" s="339">
        <f t="shared" si="568"/>
        <v>0</v>
      </c>
      <c r="G640" s="281">
        <v>0</v>
      </c>
      <c r="H640" s="281">
        <v>0</v>
      </c>
      <c r="I640" s="358" t="str">
        <f>IFERROR(F640/#REF!,"-")</f>
        <v>-</v>
      </c>
      <c r="J640" s="339">
        <f t="shared" si="569"/>
        <v>146140</v>
      </c>
      <c r="K640" s="281">
        <f t="shared" si="564"/>
        <v>144842</v>
      </c>
      <c r="L640" s="250">
        <f t="shared" si="565"/>
        <v>1298</v>
      </c>
      <c r="M640" s="265" t="str">
        <f t="shared" si="572"/>
        <v>-</v>
      </c>
      <c r="N640" s="264">
        <f t="shared" si="573"/>
        <v>8.8818940741754483E-3</v>
      </c>
      <c r="O640" s="519">
        <v>4.6184000000000003</v>
      </c>
      <c r="P640" s="410">
        <f t="shared" si="566"/>
        <v>0</v>
      </c>
      <c r="Q640" s="459">
        <f t="shared" si="567"/>
        <v>668938.29280000005</v>
      </c>
    </row>
    <row r="641" spans="1:17" ht="23.4" x14ac:dyDescent="0.4">
      <c r="A641" s="248"/>
      <c r="B641" s="980"/>
      <c r="C641" s="556" t="s">
        <v>279</v>
      </c>
      <c r="D641" s="279"/>
      <c r="E641" s="442"/>
      <c r="F641" s="339">
        <f t="shared" si="568"/>
        <v>0</v>
      </c>
      <c r="G641" s="281">
        <v>0</v>
      </c>
      <c r="H641" s="281">
        <v>0</v>
      </c>
      <c r="I641" s="358" t="str">
        <f>IFERROR(F641/#REF!,"-")</f>
        <v>-</v>
      </c>
      <c r="J641" s="339">
        <f t="shared" si="569"/>
        <v>0</v>
      </c>
      <c r="K641" s="281">
        <f t="shared" si="564"/>
        <v>0</v>
      </c>
      <c r="L641" s="250">
        <f t="shared" si="565"/>
        <v>0</v>
      </c>
      <c r="M641" s="265" t="str">
        <f t="shared" si="572"/>
        <v>-</v>
      </c>
      <c r="N641" s="264" t="str">
        <f t="shared" si="573"/>
        <v>-</v>
      </c>
      <c r="O641" s="519">
        <v>4.6184000000000003</v>
      </c>
      <c r="P641" s="410">
        <f t="shared" si="566"/>
        <v>0</v>
      </c>
      <c r="Q641" s="459">
        <f t="shared" si="567"/>
        <v>0</v>
      </c>
    </row>
    <row r="642" spans="1:17" ht="23.4" x14ac:dyDescent="0.4">
      <c r="A642" s="248"/>
      <c r="B642" s="980"/>
      <c r="C642" s="556" t="s">
        <v>440</v>
      </c>
      <c r="D642" s="279"/>
      <c r="E642" s="442"/>
      <c r="F642" s="339">
        <f t="shared" si="568"/>
        <v>25568</v>
      </c>
      <c r="G642" s="281">
        <v>25300</v>
      </c>
      <c r="H642" s="281">
        <v>268</v>
      </c>
      <c r="I642" s="358" t="str">
        <f>IFERROR(F642/#REF!,"-")</f>
        <v>-</v>
      </c>
      <c r="J642" s="339">
        <f t="shared" si="569"/>
        <v>111968</v>
      </c>
      <c r="K642" s="281">
        <f t="shared" si="564"/>
        <v>111100</v>
      </c>
      <c r="L642" s="250">
        <f t="shared" si="565"/>
        <v>868</v>
      </c>
      <c r="M642" s="265" t="str">
        <f t="shared" si="572"/>
        <v>-</v>
      </c>
      <c r="N642" s="264">
        <f t="shared" si="573"/>
        <v>7.7522149185481563E-3</v>
      </c>
      <c r="O642" s="519">
        <v>4.7636000000000003</v>
      </c>
      <c r="P642" s="410">
        <f t="shared" si="566"/>
        <v>120519.08</v>
      </c>
      <c r="Q642" s="459">
        <f t="shared" si="567"/>
        <v>529235.96000000008</v>
      </c>
    </row>
    <row r="643" spans="1:17" ht="24" thickBot="1" x14ac:dyDescent="0.45">
      <c r="A643" s="248"/>
      <c r="B643" s="981"/>
      <c r="C643" s="556" t="s">
        <v>429</v>
      </c>
      <c r="D643" s="279"/>
      <c r="E643" s="442"/>
      <c r="F643" s="339">
        <f t="shared" si="568"/>
        <v>0</v>
      </c>
      <c r="G643" s="281">
        <v>0</v>
      </c>
      <c r="H643" s="281">
        <v>0</v>
      </c>
      <c r="I643" s="358" t="str">
        <f>IFERROR(F643/#REF!,"-")</f>
        <v>-</v>
      </c>
      <c r="J643" s="339">
        <f t="shared" si="569"/>
        <v>12296</v>
      </c>
      <c r="K643" s="281">
        <f t="shared" si="564"/>
        <v>12100</v>
      </c>
      <c r="L643" s="250">
        <f t="shared" si="565"/>
        <v>196</v>
      </c>
      <c r="M643" s="265" t="str">
        <f t="shared" si="572"/>
        <v>-</v>
      </c>
      <c r="N643" s="264">
        <f t="shared" si="573"/>
        <v>1.594014313597918E-2</v>
      </c>
      <c r="O643" s="519">
        <v>4.8738000000000001</v>
      </c>
      <c r="P643" s="410">
        <f t="shared" si="566"/>
        <v>0</v>
      </c>
      <c r="Q643" s="459">
        <f t="shared" si="567"/>
        <v>58972.98</v>
      </c>
    </row>
    <row r="644" spans="1:17" ht="24" thickBot="1" x14ac:dyDescent="0.45">
      <c r="A644" s="248"/>
      <c r="B644" s="559" t="s">
        <v>281</v>
      </c>
      <c r="C644" s="556" t="s">
        <v>132</v>
      </c>
      <c r="D644" s="279"/>
      <c r="E644" s="442"/>
      <c r="F644" s="339">
        <f t="shared" si="568"/>
        <v>0</v>
      </c>
      <c r="G644" s="281">
        <v>0</v>
      </c>
      <c r="H644" s="281">
        <v>0</v>
      </c>
      <c r="I644" s="358" t="str">
        <f>IFERROR(F644/#REF!,"-")</f>
        <v>-</v>
      </c>
      <c r="J644" s="339">
        <f t="shared" si="569"/>
        <v>0</v>
      </c>
      <c r="K644" s="281">
        <f t="shared" si="564"/>
        <v>0</v>
      </c>
      <c r="L644" s="250">
        <f t="shared" si="565"/>
        <v>0</v>
      </c>
      <c r="M644" s="265" t="str">
        <f t="shared" si="572"/>
        <v>-</v>
      </c>
      <c r="N644" s="264" t="str">
        <f t="shared" si="573"/>
        <v>-</v>
      </c>
      <c r="O644" s="519">
        <v>4.8738000000000001</v>
      </c>
      <c r="P644" s="410">
        <f t="shared" si="566"/>
        <v>0</v>
      </c>
      <c r="Q644" s="459">
        <f t="shared" si="567"/>
        <v>0</v>
      </c>
    </row>
    <row r="645" spans="1:17" ht="23.4" x14ac:dyDescent="0.4">
      <c r="A645" s="248"/>
      <c r="B645" s="979" t="s">
        <v>283</v>
      </c>
      <c r="C645" s="556" t="s">
        <v>80</v>
      </c>
      <c r="D645" s="279"/>
      <c r="E645" s="442"/>
      <c r="F645" s="339">
        <f t="shared" si="568"/>
        <v>31569</v>
      </c>
      <c r="G645" s="281">
        <v>31050</v>
      </c>
      <c r="H645" s="281">
        <v>519</v>
      </c>
      <c r="I645" s="358" t="str">
        <f>IFERROR(F645/#REF!,"-")</f>
        <v>-</v>
      </c>
      <c r="J645" s="339">
        <f t="shared" si="569"/>
        <v>252277</v>
      </c>
      <c r="K645" s="281">
        <f t="shared" si="564"/>
        <v>246800</v>
      </c>
      <c r="L645" s="281">
        <f t="shared" si="565"/>
        <v>5477</v>
      </c>
      <c r="M645" s="265" t="str">
        <f t="shared" si="572"/>
        <v>-</v>
      </c>
      <c r="N645" s="264">
        <f t="shared" si="573"/>
        <v>2.1710262925276582E-2</v>
      </c>
      <c r="O645" s="519">
        <v>4.9344999999999999</v>
      </c>
      <c r="P645" s="410">
        <f t="shared" si="566"/>
        <v>153216.22500000001</v>
      </c>
      <c r="Q645" s="459">
        <f t="shared" si="567"/>
        <v>1217834.5999999999</v>
      </c>
    </row>
    <row r="646" spans="1:17" ht="23.4" x14ac:dyDescent="0.4">
      <c r="A646" s="248"/>
      <c r="B646" s="980"/>
      <c r="C646" s="556" t="s">
        <v>143</v>
      </c>
      <c r="D646" s="279"/>
      <c r="E646" s="442"/>
      <c r="F646" s="339">
        <f t="shared" si="568"/>
        <v>0</v>
      </c>
      <c r="G646" s="281">
        <v>0</v>
      </c>
      <c r="H646" s="281">
        <v>0</v>
      </c>
      <c r="I646" s="358" t="str">
        <f>IFERROR(F646/#REF!,"-")</f>
        <v>-</v>
      </c>
      <c r="J646" s="339">
        <f t="shared" si="569"/>
        <v>0</v>
      </c>
      <c r="K646" s="281">
        <f t="shared" si="564"/>
        <v>0</v>
      </c>
      <c r="L646" s="250">
        <f t="shared" si="565"/>
        <v>0</v>
      </c>
      <c r="M646" s="265" t="str">
        <f t="shared" si="572"/>
        <v>-</v>
      </c>
      <c r="N646" s="264" t="str">
        <f t="shared" si="573"/>
        <v>-</v>
      </c>
      <c r="O646" s="519">
        <v>4.9344999999999999</v>
      </c>
      <c r="P646" s="410">
        <f t="shared" si="566"/>
        <v>0</v>
      </c>
      <c r="Q646" s="459">
        <f t="shared" si="567"/>
        <v>0</v>
      </c>
    </row>
    <row r="647" spans="1:17" ht="23.4" x14ac:dyDescent="0.4">
      <c r="A647" s="248"/>
      <c r="B647" s="980"/>
      <c r="C647" s="556" t="s">
        <v>137</v>
      </c>
      <c r="D647" s="279"/>
      <c r="E647" s="442"/>
      <c r="F647" s="339">
        <f t="shared" si="568"/>
        <v>0</v>
      </c>
      <c r="G647" s="281">
        <v>0</v>
      </c>
      <c r="H647" s="281">
        <v>0</v>
      </c>
      <c r="I647" s="358" t="str">
        <f>IFERROR(F647/#REF!,"-")</f>
        <v>-</v>
      </c>
      <c r="J647" s="339">
        <f t="shared" si="569"/>
        <v>0</v>
      </c>
      <c r="K647" s="281">
        <f t="shared" si="564"/>
        <v>0</v>
      </c>
      <c r="L647" s="250">
        <f t="shared" si="565"/>
        <v>0</v>
      </c>
      <c r="M647" s="265" t="str">
        <f t="shared" si="572"/>
        <v>-</v>
      </c>
      <c r="N647" s="264" t="str">
        <f t="shared" si="573"/>
        <v>-</v>
      </c>
      <c r="O647" s="519">
        <v>4.9344999999999999</v>
      </c>
      <c r="P647" s="410">
        <f t="shared" si="566"/>
        <v>0</v>
      </c>
      <c r="Q647" s="459">
        <f t="shared" si="567"/>
        <v>0</v>
      </c>
    </row>
    <row r="648" spans="1:17" ht="24" thickBot="1" x14ac:dyDescent="0.45">
      <c r="A648" s="248"/>
      <c r="B648" s="981"/>
      <c r="C648" s="556" t="s">
        <v>282</v>
      </c>
      <c r="D648" s="279"/>
      <c r="E648" s="442"/>
      <c r="F648" s="339">
        <f t="shared" si="568"/>
        <v>0</v>
      </c>
      <c r="G648" s="281">
        <v>0</v>
      </c>
      <c r="H648" s="281">
        <v>0</v>
      </c>
      <c r="I648" s="358" t="str">
        <f>IFERROR(F648/#REF!,"-")</f>
        <v>-</v>
      </c>
      <c r="J648" s="339">
        <f t="shared" si="569"/>
        <v>0</v>
      </c>
      <c r="K648" s="281">
        <f t="shared" si="564"/>
        <v>0</v>
      </c>
      <c r="L648" s="250">
        <f t="shared" si="565"/>
        <v>0</v>
      </c>
      <c r="M648" s="265" t="str">
        <f t="shared" si="572"/>
        <v>-</v>
      </c>
      <c r="N648" s="264" t="str">
        <f t="shared" si="573"/>
        <v>-</v>
      </c>
      <c r="O648" s="519">
        <v>5.5069999999999997</v>
      </c>
      <c r="P648" s="410">
        <f t="shared" si="566"/>
        <v>0</v>
      </c>
      <c r="Q648" s="459">
        <f t="shared" si="567"/>
        <v>0</v>
      </c>
    </row>
    <row r="649" spans="1:17" ht="23.4" x14ac:dyDescent="0.4">
      <c r="A649" s="248"/>
      <c r="B649" s="979" t="s">
        <v>288</v>
      </c>
      <c r="C649" s="556" t="s">
        <v>284</v>
      </c>
      <c r="D649" s="279"/>
      <c r="E649" s="442"/>
      <c r="F649" s="339">
        <f t="shared" si="568"/>
        <v>0</v>
      </c>
      <c r="G649" s="281">
        <v>0</v>
      </c>
      <c r="H649" s="281">
        <v>0</v>
      </c>
      <c r="I649" s="358" t="str">
        <f>IFERROR(F649/#REF!,"-")</f>
        <v>-</v>
      </c>
      <c r="J649" s="339">
        <f t="shared" si="569"/>
        <v>0</v>
      </c>
      <c r="K649" s="281">
        <f t="shared" si="564"/>
        <v>0</v>
      </c>
      <c r="L649" s="250">
        <f t="shared" si="565"/>
        <v>0</v>
      </c>
      <c r="M649" s="265" t="str">
        <f t="shared" si="572"/>
        <v>-</v>
      </c>
      <c r="N649" s="264" t="str">
        <f t="shared" si="573"/>
        <v>-</v>
      </c>
      <c r="O649" s="519">
        <v>5.6550000000000002</v>
      </c>
      <c r="P649" s="410">
        <f t="shared" si="566"/>
        <v>0</v>
      </c>
      <c r="Q649" s="459">
        <f t="shared" si="567"/>
        <v>0</v>
      </c>
    </row>
    <row r="650" spans="1:17" ht="23.4" x14ac:dyDescent="0.4">
      <c r="A650" s="248"/>
      <c r="B650" s="980"/>
      <c r="C650" s="556" t="s">
        <v>285</v>
      </c>
      <c r="D650" s="279"/>
      <c r="E650" s="442"/>
      <c r="F650" s="339">
        <f t="shared" si="568"/>
        <v>0</v>
      </c>
      <c r="G650" s="281">
        <v>0</v>
      </c>
      <c r="H650" s="281">
        <v>0</v>
      </c>
      <c r="I650" s="358" t="str">
        <f>IFERROR(F650/#REF!,"-")</f>
        <v>-</v>
      </c>
      <c r="J650" s="339">
        <f t="shared" si="569"/>
        <v>0</v>
      </c>
      <c r="K650" s="281">
        <f t="shared" si="564"/>
        <v>0</v>
      </c>
      <c r="L650" s="250">
        <f t="shared" si="565"/>
        <v>0</v>
      </c>
      <c r="M650" s="265" t="str">
        <f t="shared" si="572"/>
        <v>-</v>
      </c>
      <c r="N650" s="264" t="str">
        <f t="shared" si="573"/>
        <v>-</v>
      </c>
      <c r="O650" s="519">
        <v>5.6550000000000002</v>
      </c>
      <c r="P650" s="410">
        <f t="shared" si="566"/>
        <v>0</v>
      </c>
      <c r="Q650" s="459">
        <f t="shared" si="567"/>
        <v>0</v>
      </c>
    </row>
    <row r="651" spans="1:17" ht="23.4" x14ac:dyDescent="0.4">
      <c r="A651" s="248"/>
      <c r="B651" s="980"/>
      <c r="C651" s="556" t="s">
        <v>374</v>
      </c>
      <c r="D651" s="279"/>
      <c r="E651" s="442"/>
      <c r="F651" s="339">
        <f t="shared" si="568"/>
        <v>25146</v>
      </c>
      <c r="G651" s="281">
        <v>24450</v>
      </c>
      <c r="H651" s="281">
        <v>696</v>
      </c>
      <c r="I651" s="358" t="str">
        <f>IFERROR(F651/#REF!,"-")</f>
        <v>-</v>
      </c>
      <c r="J651" s="339">
        <f t="shared" si="569"/>
        <v>248316</v>
      </c>
      <c r="K651" s="281">
        <f t="shared" si="564"/>
        <v>244250</v>
      </c>
      <c r="L651" s="250">
        <f t="shared" si="565"/>
        <v>4066</v>
      </c>
      <c r="M651" s="265" t="str">
        <f t="shared" si="572"/>
        <v>-</v>
      </c>
      <c r="N651" s="264">
        <f t="shared" si="573"/>
        <v>1.6374297266386378E-2</v>
      </c>
      <c r="O651" s="519">
        <v>5.6550000000000002</v>
      </c>
      <c r="P651" s="410">
        <f t="shared" si="566"/>
        <v>138264.75</v>
      </c>
      <c r="Q651" s="459">
        <f t="shared" si="567"/>
        <v>1381233.75</v>
      </c>
    </row>
    <row r="652" spans="1:17" ht="23.4" x14ac:dyDescent="0.4">
      <c r="A652" s="248"/>
      <c r="B652" s="980"/>
      <c r="C652" s="556" t="s">
        <v>286</v>
      </c>
      <c r="D652" s="279"/>
      <c r="E652" s="442"/>
      <c r="F652" s="339">
        <f t="shared" si="568"/>
        <v>0</v>
      </c>
      <c r="G652" s="281">
        <v>0</v>
      </c>
      <c r="H652" s="281">
        <v>0</v>
      </c>
      <c r="I652" s="358" t="str">
        <f>IFERROR(F652/#REF!,"-")</f>
        <v>-</v>
      </c>
      <c r="J652" s="339">
        <f t="shared" si="569"/>
        <v>0</v>
      </c>
      <c r="K652" s="281">
        <f t="shared" si="564"/>
        <v>0</v>
      </c>
      <c r="L652" s="250">
        <f t="shared" si="565"/>
        <v>0</v>
      </c>
      <c r="M652" s="265" t="str">
        <f t="shared" si="572"/>
        <v>-</v>
      </c>
      <c r="N652" s="264" t="str">
        <f t="shared" si="573"/>
        <v>-</v>
      </c>
      <c r="O652" s="519">
        <v>5.6550000000000002</v>
      </c>
      <c r="P652" s="410">
        <f t="shared" si="566"/>
        <v>0</v>
      </c>
      <c r="Q652" s="459">
        <f t="shared" si="567"/>
        <v>0</v>
      </c>
    </row>
    <row r="653" spans="1:17" ht="23.4" x14ac:dyDescent="0.4">
      <c r="A653" s="248" t="s">
        <v>109</v>
      </c>
      <c r="B653" s="980"/>
      <c r="C653" s="556" t="s">
        <v>287</v>
      </c>
      <c r="D653" s="279"/>
      <c r="E653" s="442"/>
      <c r="F653" s="339">
        <f t="shared" si="568"/>
        <v>0</v>
      </c>
      <c r="G653" s="281">
        <v>0</v>
      </c>
      <c r="H653" s="281">
        <v>0</v>
      </c>
      <c r="I653" s="358" t="str">
        <f>IFERROR(F653/#REF!,"-")</f>
        <v>-</v>
      </c>
      <c r="J653" s="339">
        <f t="shared" si="569"/>
        <v>0</v>
      </c>
      <c r="K653" s="281">
        <f t="shared" si="564"/>
        <v>0</v>
      </c>
      <c r="L653" s="250">
        <f t="shared" si="565"/>
        <v>0</v>
      </c>
      <c r="M653" s="265" t="str">
        <f t="shared" si="572"/>
        <v>-</v>
      </c>
      <c r="N653" s="264" t="str">
        <f t="shared" si="573"/>
        <v>-</v>
      </c>
      <c r="O653" s="519">
        <v>3.2963</v>
      </c>
      <c r="P653" s="410">
        <f t="shared" si="566"/>
        <v>0</v>
      </c>
      <c r="Q653" s="459">
        <f t="shared" si="567"/>
        <v>0</v>
      </c>
    </row>
    <row r="654" spans="1:17" ht="24" thickBot="1" x14ac:dyDescent="0.45">
      <c r="A654" s="248" t="s">
        <v>109</v>
      </c>
      <c r="B654" s="981"/>
      <c r="C654" s="556" t="s">
        <v>282</v>
      </c>
      <c r="D654" s="279"/>
      <c r="E654" s="442"/>
      <c r="F654" s="339">
        <f t="shared" si="568"/>
        <v>0</v>
      </c>
      <c r="G654" s="281">
        <v>0</v>
      </c>
      <c r="H654" s="281">
        <v>0</v>
      </c>
      <c r="I654" s="358" t="str">
        <f>IFERROR(F654/#REF!,"-")</f>
        <v>-</v>
      </c>
      <c r="J654" s="339">
        <f t="shared" si="569"/>
        <v>0</v>
      </c>
      <c r="K654" s="281">
        <f t="shared" si="564"/>
        <v>0</v>
      </c>
      <c r="L654" s="250">
        <f t="shared" si="565"/>
        <v>0</v>
      </c>
      <c r="M654" s="265" t="str">
        <f t="shared" si="572"/>
        <v>-</v>
      </c>
      <c r="N654" s="264" t="str">
        <f t="shared" si="573"/>
        <v>-</v>
      </c>
      <c r="O654" s="519">
        <v>3.2963</v>
      </c>
      <c r="P654" s="410">
        <f t="shared" si="566"/>
        <v>0</v>
      </c>
      <c r="Q654" s="459">
        <f t="shared" si="567"/>
        <v>0</v>
      </c>
    </row>
    <row r="655" spans="1:17" ht="23.4" x14ac:dyDescent="0.4">
      <c r="A655" s="248" t="s">
        <v>109</v>
      </c>
      <c r="B655" s="560"/>
      <c r="C655" s="557" t="s">
        <v>92</v>
      </c>
      <c r="D655" s="523"/>
      <c r="E655" s="442"/>
      <c r="F655" s="339">
        <f t="shared" si="568"/>
        <v>0</v>
      </c>
      <c r="G655" s="281">
        <v>0</v>
      </c>
      <c r="H655" s="281">
        <v>0</v>
      </c>
      <c r="I655" s="358" t="str">
        <f>IFERROR(F655/#REF!,"-")</f>
        <v>-</v>
      </c>
      <c r="J655" s="339">
        <f t="shared" si="569"/>
        <v>65530</v>
      </c>
      <c r="K655" s="281">
        <f t="shared" si="564"/>
        <v>65500</v>
      </c>
      <c r="L655" s="250">
        <f t="shared" si="565"/>
        <v>30</v>
      </c>
      <c r="M655" s="265" t="str">
        <f t="shared" si="572"/>
        <v>-</v>
      </c>
      <c r="N655" s="264">
        <f t="shared" si="573"/>
        <v>4.5780558522813981E-4</v>
      </c>
      <c r="O655" s="519">
        <v>2.3201000000000001</v>
      </c>
      <c r="P655" s="410">
        <f t="shared" si="566"/>
        <v>0</v>
      </c>
      <c r="Q655" s="459">
        <f t="shared" si="567"/>
        <v>151966.55000000002</v>
      </c>
    </row>
    <row r="656" spans="1:17" ht="24" thickBot="1" x14ac:dyDescent="0.35">
      <c r="A656" s="248" t="s">
        <v>109</v>
      </c>
      <c r="B656" s="537"/>
      <c r="C656" s="554"/>
      <c r="D656" s="543"/>
      <c r="E656" s="473"/>
      <c r="F656" s="471">
        <f t="shared" si="568"/>
        <v>0</v>
      </c>
      <c r="G656" s="472"/>
      <c r="H656" s="472"/>
      <c r="I656" s="545" t="str">
        <f>IFERROR(F656/#REF!,"-")</f>
        <v>-</v>
      </c>
      <c r="J656" s="471">
        <f t="shared" si="569"/>
        <v>0</v>
      </c>
      <c r="K656" s="472">
        <f t="shared" si="564"/>
        <v>0</v>
      </c>
      <c r="L656" s="257">
        <f t="shared" si="565"/>
        <v>0</v>
      </c>
      <c r="M656" s="267" t="str">
        <f t="shared" si="572"/>
        <v>-</v>
      </c>
      <c r="N656" s="266" t="str">
        <f t="shared" si="573"/>
        <v>-</v>
      </c>
      <c r="O656" s="552"/>
      <c r="P656" s="549">
        <f t="shared" si="566"/>
        <v>0</v>
      </c>
      <c r="Q656" s="550">
        <f t="shared" si="567"/>
        <v>0</v>
      </c>
    </row>
    <row r="657" spans="1:17" ht="24" thickBot="1" x14ac:dyDescent="0.35">
      <c r="A657" s="277" t="s">
        <v>109</v>
      </c>
      <c r="B657" s="982" t="s">
        <v>25</v>
      </c>
      <c r="C657" s="983"/>
      <c r="D657" s="525">
        <f t="shared" ref="D657" si="574">SUM(D633:D656)</f>
        <v>0</v>
      </c>
      <c r="E657" s="539">
        <v>100000</v>
      </c>
      <c r="F657" s="525">
        <f>SUM(F633:F656)</f>
        <v>84571</v>
      </c>
      <c r="G657" s="531">
        <f t="shared" ref="G657:H657" si="575">SUM(G633:G656)</f>
        <v>82600</v>
      </c>
      <c r="H657" s="531">
        <f t="shared" si="575"/>
        <v>1971</v>
      </c>
      <c r="I657" s="532" t="str">
        <f>IFERROR(F657/#REF!,"-")</f>
        <v>-</v>
      </c>
      <c r="J657" s="525">
        <f t="shared" ref="J657" si="576">SUM(J633:J656)</f>
        <v>851503</v>
      </c>
      <c r="K657" s="531">
        <f>SUM(K628:K656)</f>
        <v>899482</v>
      </c>
      <c r="L657" s="533">
        <f t="shared" ref="L657" si="577">SUM(L633:L656)</f>
        <v>13371</v>
      </c>
      <c r="M657" s="534" t="str">
        <f t="shared" si="572"/>
        <v>-</v>
      </c>
      <c r="N657" s="532">
        <f t="shared" si="573"/>
        <v>1.5702821951302581E-2</v>
      </c>
      <c r="O657" s="535"/>
      <c r="P657" s="536">
        <f>SUM(P628:P656)</f>
        <v>808373.19500000007</v>
      </c>
      <c r="Q657" s="536">
        <f>SUM(Q628:Q656)</f>
        <v>6984977.6657999996</v>
      </c>
    </row>
    <row r="658" spans="1:17" ht="24" thickBot="1" x14ac:dyDescent="0.35">
      <c r="A658" s="324" t="s">
        <v>109</v>
      </c>
      <c r="B658" s="984" t="s">
        <v>276</v>
      </c>
      <c r="C658" s="927"/>
      <c r="D658" s="332">
        <f>+D632+D657</f>
        <v>0</v>
      </c>
      <c r="E658" s="333">
        <f>+E632+E657</f>
        <v>100000</v>
      </c>
      <c r="F658" s="332">
        <f>+F632+F657</f>
        <v>84571</v>
      </c>
      <c r="G658" s="330">
        <f>+G632+G657</f>
        <v>82600</v>
      </c>
      <c r="H658" s="330">
        <f>+H632+H657</f>
        <v>1971</v>
      </c>
      <c r="I658" s="355" t="str">
        <f>IFERROR(F658/#REF!,"-")</f>
        <v>-</v>
      </c>
      <c r="J658" s="332">
        <f>+J632+J657</f>
        <v>856853</v>
      </c>
      <c r="K658" s="330">
        <f>K657</f>
        <v>899482</v>
      </c>
      <c r="L658" s="331">
        <f>+L632+L657</f>
        <v>14571</v>
      </c>
      <c r="M658" s="347" t="str">
        <f t="shared" si="572"/>
        <v>-</v>
      </c>
      <c r="N658" s="355">
        <f t="shared" si="573"/>
        <v>1.7005250608914248E-2</v>
      </c>
      <c r="O658" s="400"/>
      <c r="P658" s="416">
        <f>+P632+P657</f>
        <v>808373.19500000007</v>
      </c>
      <c r="Q658" s="434">
        <f>Q657</f>
        <v>6984977.6657999996</v>
      </c>
    </row>
    <row r="659" spans="1:17" ht="24.6" thickBot="1" x14ac:dyDescent="0.35">
      <c r="A659" s="325"/>
      <c r="B659" s="915" t="s">
        <v>183</v>
      </c>
      <c r="C659" s="916"/>
      <c r="D659" s="380">
        <f>+D658+D627+D618</f>
        <v>0</v>
      </c>
      <c r="E659" s="380">
        <f>+E658+E627+E618</f>
        <v>230000</v>
      </c>
      <c r="F659" s="380">
        <f>+F658+F627+F618</f>
        <v>378615</v>
      </c>
      <c r="G659" s="380">
        <f>+G658+G627+G618</f>
        <v>369600</v>
      </c>
      <c r="H659" s="380">
        <f>+H658+H627+H618</f>
        <v>9015</v>
      </c>
      <c r="I659" s="381" t="str">
        <f>IFERROR(F659/#REF!,"-")</f>
        <v>-</v>
      </c>
      <c r="J659" s="380">
        <f>+J658+J627+J618</f>
        <v>3312363</v>
      </c>
      <c r="K659" s="380">
        <f>+K658+K627+K618</f>
        <v>3257862</v>
      </c>
      <c r="L659" s="380">
        <f>+L658+L627+L618</f>
        <v>95421</v>
      </c>
      <c r="M659" s="381" t="str">
        <f t="shared" si="572"/>
        <v>-</v>
      </c>
      <c r="N659" s="381">
        <f>IFERROR(L659/J659,"-")</f>
        <v>2.8807531058643029E-2</v>
      </c>
      <c r="O659" s="407"/>
      <c r="P659" s="424">
        <f>+P658+P627+P618</f>
        <v>1874932.1950000001</v>
      </c>
      <c r="Q659" s="424">
        <f>+Q658+Q627+Q618</f>
        <v>19676407.559799999</v>
      </c>
    </row>
    <row r="660" spans="1:17" ht="23.4" x14ac:dyDescent="0.3">
      <c r="A660" s="935" t="s">
        <v>1</v>
      </c>
      <c r="B660" s="938" t="s">
        <v>2</v>
      </c>
      <c r="C660" s="941" t="s">
        <v>3</v>
      </c>
      <c r="D660" s="944" t="s">
        <v>4</v>
      </c>
      <c r="E660" s="945"/>
      <c r="F660" s="945"/>
      <c r="G660" s="945"/>
      <c r="H660" s="945"/>
      <c r="I660" s="945"/>
      <c r="J660" s="945"/>
      <c r="K660" s="945"/>
      <c r="L660" s="945"/>
      <c r="M660" s="945"/>
      <c r="N660" s="946"/>
      <c r="O660" s="965" t="s">
        <v>176</v>
      </c>
      <c r="P660" s="966"/>
      <c r="Q660" s="990"/>
    </row>
    <row r="661" spans="1:17" ht="23.4" x14ac:dyDescent="0.3">
      <c r="A661" s="936"/>
      <c r="B661" s="939"/>
      <c r="C661" s="942"/>
      <c r="D661" s="947" t="s">
        <v>7</v>
      </c>
      <c r="E661" s="949" t="s">
        <v>116</v>
      </c>
      <c r="F661" s="991" t="s">
        <v>462</v>
      </c>
      <c r="G661" s="952"/>
      <c r="H661" s="952"/>
      <c r="I661" s="953"/>
      <c r="J661" s="954" t="s">
        <v>8</v>
      </c>
      <c r="K661" s="955"/>
      <c r="L661" s="956"/>
      <c r="M661" s="957" t="s">
        <v>174</v>
      </c>
      <c r="N661" s="959" t="s">
        <v>173</v>
      </c>
      <c r="O661" s="967" t="s">
        <v>178</v>
      </c>
      <c r="P661" s="968"/>
      <c r="Q661" s="969"/>
    </row>
    <row r="662" spans="1:17" ht="47.4" thickBot="1" x14ac:dyDescent="0.35">
      <c r="A662" s="937"/>
      <c r="B662" s="940"/>
      <c r="C662" s="943"/>
      <c r="D662" s="948"/>
      <c r="E662" s="950"/>
      <c r="F662" s="462" t="s">
        <v>13</v>
      </c>
      <c r="G662" s="463" t="s">
        <v>14</v>
      </c>
      <c r="H662" s="463" t="s">
        <v>15</v>
      </c>
      <c r="I662" s="464" t="s">
        <v>175</v>
      </c>
      <c r="J662" s="462" t="s">
        <v>13</v>
      </c>
      <c r="K662" s="463" t="s">
        <v>14</v>
      </c>
      <c r="L662" s="465" t="s">
        <v>15</v>
      </c>
      <c r="M662" s="958"/>
      <c r="N662" s="960"/>
      <c r="O662" s="453" t="s">
        <v>179</v>
      </c>
      <c r="P662" s="454" t="s">
        <v>11</v>
      </c>
      <c r="Q662" s="455" t="s">
        <v>12</v>
      </c>
    </row>
    <row r="663" spans="1:17" ht="23.4" x14ac:dyDescent="0.3">
      <c r="A663" s="271" t="s">
        <v>111</v>
      </c>
      <c r="B663" s="445"/>
      <c r="C663" s="272" t="s">
        <v>272</v>
      </c>
      <c r="D663" s="273"/>
      <c r="E663" s="274"/>
      <c r="F663" s="338">
        <f>+G663+H663</f>
        <v>85620</v>
      </c>
      <c r="G663" s="275">
        <v>81200</v>
      </c>
      <c r="H663" s="275">
        <v>4420</v>
      </c>
      <c r="I663" s="357" t="str">
        <f>IFERROR(F663/#REF!,"-")</f>
        <v>-</v>
      </c>
      <c r="J663" s="468">
        <f>+K663+L663</f>
        <v>725614</v>
      </c>
      <c r="K663" s="469">
        <f>+G663+K604</f>
        <v>675920</v>
      </c>
      <c r="L663" s="470">
        <f>+H663+L604</f>
        <v>49694</v>
      </c>
      <c r="M663" s="342" t="str">
        <f>IFERROR(J663/D663,"-")</f>
        <v>-</v>
      </c>
      <c r="N663" s="349">
        <f t="shared" ref="N663:N664" si="578">IFERROR(L663/J663,"-")</f>
        <v>6.8485448185950107E-2</v>
      </c>
      <c r="O663" s="518">
        <v>1.5669</v>
      </c>
      <c r="P663" s="408">
        <f>+O663*G663</f>
        <v>127232.28</v>
      </c>
      <c r="Q663" s="457">
        <f>+O663*K663</f>
        <v>1059099.048</v>
      </c>
    </row>
    <row r="664" spans="1:17" ht="23.4" x14ac:dyDescent="0.3">
      <c r="A664" s="277" t="s">
        <v>111</v>
      </c>
      <c r="B664" s="444"/>
      <c r="C664" s="278" t="s">
        <v>271</v>
      </c>
      <c r="D664" s="279"/>
      <c r="E664" s="280"/>
      <c r="F664" s="339">
        <f t="shared" ref="F664:F667" si="579">+G664+H664</f>
        <v>0</v>
      </c>
      <c r="G664" s="281">
        <v>0</v>
      </c>
      <c r="H664" s="281">
        <v>0</v>
      </c>
      <c r="I664" s="358" t="str">
        <f>IFERROR(F664/#REF!,"-")</f>
        <v>-</v>
      </c>
      <c r="J664" s="339">
        <f t="shared" ref="J664:J667" si="580">+K664+L664</f>
        <v>0</v>
      </c>
      <c r="K664" s="281">
        <f t="shared" ref="K664:K667" si="581">+G664+K605</f>
        <v>0</v>
      </c>
      <c r="L664" s="442">
        <f t="shared" ref="L664:L667" si="582">+H664+L605</f>
        <v>0</v>
      </c>
      <c r="M664" s="343" t="str">
        <f t="shared" ref="M664:M667" si="583">IFERROR(J664/D664,"-")</f>
        <v>-</v>
      </c>
      <c r="N664" s="268" t="str">
        <f t="shared" si="578"/>
        <v>-</v>
      </c>
      <c r="O664" s="519">
        <v>2.3978999999999999</v>
      </c>
      <c r="P664" s="410">
        <f t="shared" ref="P664:P667" si="584">+O664*G664</f>
        <v>0</v>
      </c>
      <c r="Q664" s="459">
        <f t="shared" ref="Q664:Q667" si="585">+O664*K664</f>
        <v>0</v>
      </c>
    </row>
    <row r="665" spans="1:17" ht="23.4" x14ac:dyDescent="0.3">
      <c r="A665" s="277" t="s">
        <v>111</v>
      </c>
      <c r="B665" s="444"/>
      <c r="C665" s="278" t="s">
        <v>273</v>
      </c>
      <c r="D665" s="279"/>
      <c r="E665" s="280"/>
      <c r="F665" s="339">
        <f t="shared" si="579"/>
        <v>0</v>
      </c>
      <c r="G665" s="281">
        <v>0</v>
      </c>
      <c r="H665" s="281">
        <v>0</v>
      </c>
      <c r="I665" s="358" t="str">
        <f>IFERROR(F665/#REF!,"-")</f>
        <v>-</v>
      </c>
      <c r="J665" s="339">
        <f t="shared" si="580"/>
        <v>0</v>
      </c>
      <c r="K665" s="281">
        <f t="shared" si="581"/>
        <v>0</v>
      </c>
      <c r="L665" s="251">
        <f t="shared" si="582"/>
        <v>0</v>
      </c>
      <c r="M665" s="343" t="str">
        <f t="shared" si="583"/>
        <v>-</v>
      </c>
      <c r="N665" s="268" t="str">
        <f>IFERROR(L665/J665,"-")</f>
        <v>-</v>
      </c>
      <c r="O665" s="519">
        <v>4.6797000000000004</v>
      </c>
      <c r="P665" s="410">
        <f t="shared" si="584"/>
        <v>0</v>
      </c>
      <c r="Q665" s="459">
        <f t="shared" si="585"/>
        <v>0</v>
      </c>
    </row>
    <row r="666" spans="1:17" ht="23.4" x14ac:dyDescent="0.3">
      <c r="A666" s="277"/>
      <c r="B666" s="461"/>
      <c r="C666" s="278" t="s">
        <v>372</v>
      </c>
      <c r="D666" s="283"/>
      <c r="E666" s="284"/>
      <c r="F666" s="339">
        <f t="shared" si="579"/>
        <v>29262</v>
      </c>
      <c r="G666" s="285">
        <v>28800</v>
      </c>
      <c r="H666" s="285">
        <v>462</v>
      </c>
      <c r="I666" s="358" t="str">
        <f>IFERROR(F666/#REF!,"-")</f>
        <v>-</v>
      </c>
      <c r="J666" s="339">
        <f t="shared" si="580"/>
        <v>516930</v>
      </c>
      <c r="K666" s="281">
        <f t="shared" si="581"/>
        <v>499000</v>
      </c>
      <c r="L666" s="286">
        <f t="shared" si="582"/>
        <v>17930</v>
      </c>
      <c r="M666" s="343" t="str">
        <f t="shared" si="583"/>
        <v>-</v>
      </c>
      <c r="N666" s="268">
        <f>IFERROR(L666/J666,"-")</f>
        <v>3.468554736618111E-2</v>
      </c>
      <c r="O666" s="520">
        <v>12.284700000000001</v>
      </c>
      <c r="P666" s="410">
        <f t="shared" si="584"/>
        <v>353799.36000000004</v>
      </c>
      <c r="Q666" s="459">
        <f t="shared" si="585"/>
        <v>6130065.3000000007</v>
      </c>
    </row>
    <row r="667" spans="1:17" ht="24" thickBot="1" x14ac:dyDescent="0.35">
      <c r="A667" s="277" t="s">
        <v>111</v>
      </c>
      <c r="B667" s="461"/>
      <c r="C667" s="278" t="s">
        <v>498</v>
      </c>
      <c r="D667" s="283"/>
      <c r="E667" s="284"/>
      <c r="F667" s="340">
        <f t="shared" si="579"/>
        <v>21234</v>
      </c>
      <c r="G667" s="281">
        <v>21000</v>
      </c>
      <c r="H667" s="281">
        <v>234</v>
      </c>
      <c r="I667" s="359" t="str">
        <f>IFERROR(F667/#REF!,"-")</f>
        <v>-</v>
      </c>
      <c r="J667" s="471">
        <f t="shared" si="580"/>
        <v>125654</v>
      </c>
      <c r="K667" s="472">
        <f t="shared" si="581"/>
        <v>123250</v>
      </c>
      <c r="L667" s="258">
        <f t="shared" si="582"/>
        <v>2404</v>
      </c>
      <c r="M667" s="344" t="str">
        <f t="shared" si="583"/>
        <v>-</v>
      </c>
      <c r="N667" s="350">
        <f t="shared" ref="N667:N679" si="586">IFERROR(L667/J667,"-")</f>
        <v>1.9131901889315104E-2</v>
      </c>
      <c r="O667" s="520">
        <v>4.6797000000000004</v>
      </c>
      <c r="P667" s="411">
        <f t="shared" si="584"/>
        <v>98273.700000000012</v>
      </c>
      <c r="Q667" s="460">
        <f t="shared" si="585"/>
        <v>576773.02500000002</v>
      </c>
    </row>
    <row r="668" spans="1:17" ht="24" thickBot="1" x14ac:dyDescent="0.35">
      <c r="A668" s="277" t="s">
        <v>111</v>
      </c>
      <c r="B668" s="906" t="s">
        <v>21</v>
      </c>
      <c r="C668" s="907"/>
      <c r="D668" s="326">
        <f>SUM(D663:D667)</f>
        <v>0</v>
      </c>
      <c r="E668" s="289">
        <v>15000</v>
      </c>
      <c r="F668" s="326">
        <f>SUM(F663:F667)</f>
        <v>136116</v>
      </c>
      <c r="G668" s="327">
        <f>SUM(G663:G667)</f>
        <v>131000</v>
      </c>
      <c r="H668" s="327">
        <f>SUM(H663:H667)</f>
        <v>5116</v>
      </c>
      <c r="I668" s="351" t="str">
        <f>IFERROR(F668/#REF!,"-")</f>
        <v>-</v>
      </c>
      <c r="J668" s="326">
        <f>SUM(J663:J667)</f>
        <v>1368198</v>
      </c>
      <c r="K668" s="327">
        <f>SUM(K663:K667)</f>
        <v>1298170</v>
      </c>
      <c r="L668" s="328">
        <f>SUM(L663:L667)</f>
        <v>70028</v>
      </c>
      <c r="M668" s="345" t="str">
        <f>IFERROR(J668/D668,"-")</f>
        <v>-</v>
      </c>
      <c r="N668" s="351">
        <f t="shared" si="586"/>
        <v>5.118265046433338E-2</v>
      </c>
      <c r="O668" s="397"/>
      <c r="P668" s="412">
        <f>SUM(P663:P667)</f>
        <v>579305.34000000008</v>
      </c>
      <c r="Q668" s="431">
        <f>SUM(Q663:Q667)</f>
        <v>7765937.3730000015</v>
      </c>
    </row>
    <row r="669" spans="1:17" ht="23.4" x14ac:dyDescent="0.3">
      <c r="A669" s="277" t="s">
        <v>111</v>
      </c>
      <c r="B669" s="445"/>
      <c r="C669" s="272" t="s">
        <v>270</v>
      </c>
      <c r="D669" s="273"/>
      <c r="E669" s="274"/>
      <c r="F669" s="338">
        <f t="shared" ref="F669:F675" si="587">+G669+H669</f>
        <v>5632</v>
      </c>
      <c r="G669" s="275">
        <v>5520</v>
      </c>
      <c r="H669" s="275">
        <v>112</v>
      </c>
      <c r="I669" s="357" t="str">
        <f>IFERROR(F669/#REF!,"-")</f>
        <v>-</v>
      </c>
      <c r="J669" s="338">
        <f t="shared" ref="J669:J675" si="588">+K669+L669</f>
        <v>18953</v>
      </c>
      <c r="K669" s="275">
        <f t="shared" ref="K669:K675" si="589">+G669+K610</f>
        <v>18480</v>
      </c>
      <c r="L669" s="276">
        <f t="shared" ref="L669:L675" si="590">+H669+L610</f>
        <v>473</v>
      </c>
      <c r="M669" s="342" t="str">
        <f t="shared" ref="M669:M677" si="591">IFERROR(J669/D669,"-")</f>
        <v>-</v>
      </c>
      <c r="N669" s="352">
        <f t="shared" si="586"/>
        <v>2.4956471271038887E-2</v>
      </c>
      <c r="O669" s="518">
        <v>18.2316</v>
      </c>
      <c r="P669" s="408">
        <f t="shared" ref="P669:P675" si="592">+O669*G669</f>
        <v>100638.432</v>
      </c>
      <c r="Q669" s="457">
        <f t="shared" ref="Q669:Q675" si="593">+O669*K669</f>
        <v>336919.96799999999</v>
      </c>
    </row>
    <row r="670" spans="1:17" ht="23.4" x14ac:dyDescent="0.3">
      <c r="A670" s="277" t="s">
        <v>111</v>
      </c>
      <c r="B670" s="444"/>
      <c r="C670" s="278" t="s">
        <v>92</v>
      </c>
      <c r="D670" s="279"/>
      <c r="E670" s="280"/>
      <c r="F670" s="339">
        <f t="shared" si="587"/>
        <v>0</v>
      </c>
      <c r="G670" s="281">
        <v>0</v>
      </c>
      <c r="H670" s="281">
        <v>0</v>
      </c>
      <c r="I670" s="358" t="str">
        <f>IFERROR(F670/#REF!,"-")</f>
        <v>-</v>
      </c>
      <c r="J670" s="339">
        <f t="shared" si="588"/>
        <v>180000</v>
      </c>
      <c r="K670" s="281">
        <f t="shared" si="589"/>
        <v>180000</v>
      </c>
      <c r="L670" s="251">
        <f t="shared" si="590"/>
        <v>0</v>
      </c>
      <c r="M670" s="343" t="str">
        <f t="shared" si="591"/>
        <v>-</v>
      </c>
      <c r="N670" s="264">
        <f t="shared" si="586"/>
        <v>0</v>
      </c>
      <c r="O670" s="519">
        <v>1.2824</v>
      </c>
      <c r="P670" s="410">
        <f t="shared" si="592"/>
        <v>0</v>
      </c>
      <c r="Q670" s="459">
        <f t="shared" si="593"/>
        <v>230832</v>
      </c>
    </row>
    <row r="671" spans="1:17" ht="23.4" x14ac:dyDescent="0.3">
      <c r="A671" s="277" t="s">
        <v>111</v>
      </c>
      <c r="B671" s="444"/>
      <c r="C671" s="278" t="s">
        <v>340</v>
      </c>
      <c r="D671" s="279"/>
      <c r="E671" s="280"/>
      <c r="F671" s="339">
        <f t="shared" si="587"/>
        <v>0</v>
      </c>
      <c r="G671" s="281">
        <v>0</v>
      </c>
      <c r="H671" s="281">
        <v>0</v>
      </c>
      <c r="I671" s="358" t="str">
        <f>IFERROR(F671/#REF!,"-")</f>
        <v>-</v>
      </c>
      <c r="J671" s="339">
        <f t="shared" si="588"/>
        <v>0</v>
      </c>
      <c r="K671" s="281">
        <f t="shared" si="589"/>
        <v>0</v>
      </c>
      <c r="L671" s="251">
        <f t="shared" si="590"/>
        <v>0</v>
      </c>
      <c r="M671" s="343" t="str">
        <f t="shared" si="591"/>
        <v>-</v>
      </c>
      <c r="N671" s="264" t="str">
        <f t="shared" si="586"/>
        <v>-</v>
      </c>
      <c r="O671" s="519">
        <v>5.7342000000000004</v>
      </c>
      <c r="P671" s="410">
        <f t="shared" si="592"/>
        <v>0</v>
      </c>
      <c r="Q671" s="459">
        <f t="shared" si="593"/>
        <v>0</v>
      </c>
    </row>
    <row r="672" spans="1:17" ht="23.4" x14ac:dyDescent="0.3">
      <c r="A672" s="277" t="s">
        <v>111</v>
      </c>
      <c r="B672" s="444"/>
      <c r="C672" s="278" t="s">
        <v>363</v>
      </c>
      <c r="D672" s="279"/>
      <c r="E672" s="280"/>
      <c r="F672" s="339">
        <f t="shared" si="587"/>
        <v>0</v>
      </c>
      <c r="G672" s="281">
        <v>0</v>
      </c>
      <c r="H672" s="281">
        <v>0</v>
      </c>
      <c r="I672" s="358" t="str">
        <f>IFERROR(F672/#REF!,"-")</f>
        <v>-</v>
      </c>
      <c r="J672" s="339">
        <f t="shared" si="588"/>
        <v>0</v>
      </c>
      <c r="K672" s="281">
        <f t="shared" si="589"/>
        <v>0</v>
      </c>
      <c r="L672" s="251">
        <f t="shared" si="590"/>
        <v>0</v>
      </c>
      <c r="M672" s="343" t="str">
        <f t="shared" si="591"/>
        <v>-</v>
      </c>
      <c r="N672" s="264" t="str">
        <f t="shared" si="586"/>
        <v>-</v>
      </c>
      <c r="O672" s="519"/>
      <c r="P672" s="410">
        <f t="shared" si="592"/>
        <v>0</v>
      </c>
      <c r="Q672" s="459">
        <f t="shared" si="593"/>
        <v>0</v>
      </c>
    </row>
    <row r="673" spans="1:17" ht="23.4" x14ac:dyDescent="0.3">
      <c r="A673" s="277" t="s">
        <v>111</v>
      </c>
      <c r="B673" s="444"/>
      <c r="C673" s="278" t="s">
        <v>373</v>
      </c>
      <c r="D673" s="279"/>
      <c r="E673" s="280"/>
      <c r="F673" s="339">
        <f t="shared" si="587"/>
        <v>18078</v>
      </c>
      <c r="G673" s="281">
        <v>18000</v>
      </c>
      <c r="H673" s="281">
        <v>78</v>
      </c>
      <c r="I673" s="358" t="str">
        <f>IFERROR(F673/#REF!,"-")</f>
        <v>-</v>
      </c>
      <c r="J673" s="339">
        <f t="shared" si="588"/>
        <v>308171</v>
      </c>
      <c r="K673" s="281">
        <f t="shared" si="589"/>
        <v>307000</v>
      </c>
      <c r="L673" s="251">
        <f t="shared" si="590"/>
        <v>1171</v>
      </c>
      <c r="M673" s="343" t="str">
        <f t="shared" si="591"/>
        <v>-</v>
      </c>
      <c r="N673" s="264">
        <f t="shared" si="586"/>
        <v>3.7998384014070112E-3</v>
      </c>
      <c r="O673" s="519">
        <v>12.029500000000001</v>
      </c>
      <c r="P673" s="410">
        <f t="shared" si="592"/>
        <v>216531</v>
      </c>
      <c r="Q673" s="459">
        <f t="shared" si="593"/>
        <v>3693056.5</v>
      </c>
    </row>
    <row r="674" spans="1:17" ht="23.4" x14ac:dyDescent="0.3">
      <c r="A674" s="277" t="s">
        <v>111</v>
      </c>
      <c r="B674" s="444"/>
      <c r="C674" s="278"/>
      <c r="D674" s="279"/>
      <c r="E674" s="280"/>
      <c r="F674" s="339">
        <f t="shared" si="587"/>
        <v>0</v>
      </c>
      <c r="G674" s="281">
        <v>0</v>
      </c>
      <c r="H674" s="281">
        <v>0</v>
      </c>
      <c r="I674" s="358" t="str">
        <f>IFERROR(F674/#REF!,"-")</f>
        <v>-</v>
      </c>
      <c r="J674" s="339">
        <f t="shared" si="588"/>
        <v>0</v>
      </c>
      <c r="K674" s="281">
        <f t="shared" si="589"/>
        <v>0</v>
      </c>
      <c r="L674" s="251">
        <f t="shared" si="590"/>
        <v>0</v>
      </c>
      <c r="M674" s="343" t="str">
        <f t="shared" si="591"/>
        <v>-</v>
      </c>
      <c r="N674" s="264" t="str">
        <f t="shared" si="586"/>
        <v>-</v>
      </c>
      <c r="O674" s="519"/>
      <c r="P674" s="410">
        <f t="shared" si="592"/>
        <v>0</v>
      </c>
      <c r="Q674" s="459">
        <f t="shared" si="593"/>
        <v>0</v>
      </c>
    </row>
    <row r="675" spans="1:17" ht="24" thickBot="1" x14ac:dyDescent="0.35">
      <c r="A675" s="277" t="s">
        <v>111</v>
      </c>
      <c r="B675" s="461"/>
      <c r="C675" s="282"/>
      <c r="D675" s="283">
        <v>0</v>
      </c>
      <c r="E675" s="284"/>
      <c r="F675" s="340">
        <f t="shared" si="587"/>
        <v>0</v>
      </c>
      <c r="G675" s="285">
        <v>0</v>
      </c>
      <c r="H675" s="285">
        <v>0</v>
      </c>
      <c r="I675" s="359" t="str">
        <f>IFERROR(F675/#REF!,"-")</f>
        <v>-</v>
      </c>
      <c r="J675" s="340">
        <f t="shared" si="588"/>
        <v>0</v>
      </c>
      <c r="K675" s="285">
        <f t="shared" si="589"/>
        <v>0</v>
      </c>
      <c r="L675" s="286">
        <f t="shared" si="590"/>
        <v>0</v>
      </c>
      <c r="M675" s="344" t="str">
        <f t="shared" si="591"/>
        <v>-</v>
      </c>
      <c r="N675" s="353" t="str">
        <f t="shared" si="586"/>
        <v>-</v>
      </c>
      <c r="O675" s="520"/>
      <c r="P675" s="411">
        <f t="shared" si="592"/>
        <v>0</v>
      </c>
      <c r="Q675" s="460">
        <f t="shared" si="593"/>
        <v>0</v>
      </c>
    </row>
    <row r="676" spans="1:17" ht="24" thickBot="1" x14ac:dyDescent="0.35">
      <c r="A676" s="277" t="s">
        <v>111</v>
      </c>
      <c r="B676" s="906" t="s">
        <v>25</v>
      </c>
      <c r="C676" s="907"/>
      <c r="D676" s="326">
        <f t="shared" ref="D676" si="594">SUM(D669:D675)</f>
        <v>0</v>
      </c>
      <c r="E676" s="289">
        <v>100000</v>
      </c>
      <c r="F676" s="326">
        <f>SUM(F669:F675)</f>
        <v>23710</v>
      </c>
      <c r="G676" s="327">
        <f t="shared" ref="G676:H676" si="595">SUM(G669:G675)</f>
        <v>23520</v>
      </c>
      <c r="H676" s="327">
        <f t="shared" si="595"/>
        <v>190</v>
      </c>
      <c r="I676" s="351" t="str">
        <f>IFERROR(F676/#REF!,"-")</f>
        <v>-</v>
      </c>
      <c r="J676" s="326">
        <f t="shared" ref="J676:L676" si="596">SUM(J669:J675)</f>
        <v>507124</v>
      </c>
      <c r="K676" s="327">
        <f t="shared" si="596"/>
        <v>505480</v>
      </c>
      <c r="L676" s="328">
        <f t="shared" si="596"/>
        <v>1644</v>
      </c>
      <c r="M676" s="345" t="str">
        <f t="shared" si="591"/>
        <v>-</v>
      </c>
      <c r="N676" s="351">
        <f t="shared" si="586"/>
        <v>3.2418106814112524E-3</v>
      </c>
      <c r="O676" s="397"/>
      <c r="P676" s="412">
        <f t="shared" ref="P676:Q676" si="597">SUM(P669:P675)</f>
        <v>317169.43200000003</v>
      </c>
      <c r="Q676" s="431">
        <f t="shared" si="597"/>
        <v>4260808.4680000003</v>
      </c>
    </row>
    <row r="677" spans="1:17" ht="24" thickBot="1" x14ac:dyDescent="0.35">
      <c r="A677" s="277" t="s">
        <v>111</v>
      </c>
      <c r="B677" s="985" t="s">
        <v>181</v>
      </c>
      <c r="C677" s="986"/>
      <c r="D677" s="332">
        <f>+D668+D676</f>
        <v>0</v>
      </c>
      <c r="E677" s="333">
        <f t="shared" ref="E677:H677" si="598">+E668+E676</f>
        <v>115000</v>
      </c>
      <c r="F677" s="332">
        <f t="shared" si="598"/>
        <v>159826</v>
      </c>
      <c r="G677" s="330">
        <f t="shared" si="598"/>
        <v>154520</v>
      </c>
      <c r="H677" s="330">
        <f t="shared" si="598"/>
        <v>5306</v>
      </c>
      <c r="I677" s="355" t="str">
        <f>IFERROR(F677/#REF!,"-")</f>
        <v>-</v>
      </c>
      <c r="J677" s="332">
        <f t="shared" ref="J677:L677" si="599">+J668+J676</f>
        <v>1875322</v>
      </c>
      <c r="K677" s="330">
        <f t="shared" si="599"/>
        <v>1803650</v>
      </c>
      <c r="L677" s="331">
        <f t="shared" si="599"/>
        <v>71672</v>
      </c>
      <c r="M677" s="347" t="str">
        <f t="shared" si="591"/>
        <v>-</v>
      </c>
      <c r="N677" s="355">
        <f t="shared" si="586"/>
        <v>3.821850327570412E-2</v>
      </c>
      <c r="O677" s="400"/>
      <c r="P677" s="416">
        <f t="shared" ref="P677:Q677" si="600">+P668+P676</f>
        <v>896474.77200000011</v>
      </c>
      <c r="Q677" s="434">
        <f t="shared" si="600"/>
        <v>12026745.841000002</v>
      </c>
    </row>
    <row r="678" spans="1:17" ht="23.4" x14ac:dyDescent="0.3">
      <c r="A678" s="244" t="s">
        <v>109</v>
      </c>
      <c r="B678" s="599"/>
      <c r="C678" s="600" t="s">
        <v>314</v>
      </c>
      <c r="D678" s="540"/>
      <c r="E678" s="470"/>
      <c r="F678" s="468">
        <f>+G678+H678</f>
        <v>0</v>
      </c>
      <c r="G678" s="469">
        <v>0</v>
      </c>
      <c r="H678" s="469">
        <v>0</v>
      </c>
      <c r="I678" s="544" t="str">
        <f>IFERROR(F678/#REF!,"-")</f>
        <v>-</v>
      </c>
      <c r="J678" s="468">
        <f>+K678+L678</f>
        <v>0</v>
      </c>
      <c r="K678" s="469">
        <f t="shared" ref="K678:K684" si="601">+G678+K619</f>
        <v>0</v>
      </c>
      <c r="L678" s="247">
        <f t="shared" ref="L678:L684" si="602">+H678+L619</f>
        <v>0</v>
      </c>
      <c r="M678" s="604" t="str">
        <f>IFERROR(J678/D678,"-")</f>
        <v>-</v>
      </c>
      <c r="N678" s="546" t="str">
        <f t="shared" si="586"/>
        <v>-</v>
      </c>
      <c r="O678" s="648">
        <v>4.8285999999999998</v>
      </c>
      <c r="P678" s="547">
        <f t="shared" ref="P678:P684" si="603">+O678*G678</f>
        <v>0</v>
      </c>
      <c r="Q678" s="548">
        <f>+O678*K678</f>
        <v>0</v>
      </c>
    </row>
    <row r="679" spans="1:17" ht="23.4" x14ac:dyDescent="0.3">
      <c r="A679" s="248" t="s">
        <v>109</v>
      </c>
      <c r="B679" s="601"/>
      <c r="C679" s="278" t="s">
        <v>315</v>
      </c>
      <c r="D679" s="279"/>
      <c r="E679" s="442"/>
      <c r="F679" s="339">
        <f t="shared" ref="F679:F684" si="604">+G679+H679</f>
        <v>0</v>
      </c>
      <c r="G679" s="281">
        <v>0</v>
      </c>
      <c r="H679" s="281">
        <v>0</v>
      </c>
      <c r="I679" s="358" t="str">
        <f>IFERROR(F679/#REF!,"-")</f>
        <v>-</v>
      </c>
      <c r="J679" s="339">
        <f t="shared" ref="J679:J684" si="605">+K679+L679</f>
        <v>0</v>
      </c>
      <c r="K679" s="281">
        <f t="shared" si="601"/>
        <v>0</v>
      </c>
      <c r="L679" s="251">
        <f t="shared" si="602"/>
        <v>0</v>
      </c>
      <c r="M679" s="343" t="str">
        <f t="shared" ref="M679:M681" si="606">IFERROR(J679/D679,"-")</f>
        <v>-</v>
      </c>
      <c r="N679" s="268" t="str">
        <f t="shared" si="586"/>
        <v>-</v>
      </c>
      <c r="O679" s="649">
        <v>1.4086000000000001</v>
      </c>
      <c r="P679" s="410">
        <f t="shared" si="603"/>
        <v>0</v>
      </c>
      <c r="Q679" s="459">
        <f t="shared" ref="Q679:Q684" si="607">+O679*K679</f>
        <v>0</v>
      </c>
    </row>
    <row r="680" spans="1:17" ht="23.4" x14ac:dyDescent="0.3">
      <c r="A680" s="248" t="s">
        <v>109</v>
      </c>
      <c r="B680" s="601"/>
      <c r="C680" s="278" t="s">
        <v>367</v>
      </c>
      <c r="D680" s="279"/>
      <c r="E680" s="442"/>
      <c r="F680" s="339">
        <f t="shared" si="604"/>
        <v>0</v>
      </c>
      <c r="G680" s="281">
        <v>0</v>
      </c>
      <c r="H680" s="281">
        <v>0</v>
      </c>
      <c r="I680" s="358" t="str">
        <f>IFERROR(F680/#REF!,"-")</f>
        <v>-</v>
      </c>
      <c r="J680" s="339">
        <f t="shared" si="605"/>
        <v>573613</v>
      </c>
      <c r="K680" s="281">
        <f t="shared" si="601"/>
        <v>566000</v>
      </c>
      <c r="L680" s="251">
        <f t="shared" si="602"/>
        <v>7613</v>
      </c>
      <c r="M680" s="343" t="str">
        <f t="shared" si="606"/>
        <v>-</v>
      </c>
      <c r="N680" s="268">
        <f>IFERROR(L680/J680,"-")</f>
        <v>1.3272014406925924E-2</v>
      </c>
      <c r="O680" s="649">
        <v>2.2141000000000002</v>
      </c>
      <c r="P680" s="410">
        <f t="shared" si="603"/>
        <v>0</v>
      </c>
      <c r="Q680" s="459">
        <f t="shared" si="607"/>
        <v>1253180.6000000001</v>
      </c>
    </row>
    <row r="681" spans="1:17" ht="23.4" x14ac:dyDescent="0.3">
      <c r="A681" s="248" t="s">
        <v>109</v>
      </c>
      <c r="B681" s="602"/>
      <c r="C681" s="278" t="s">
        <v>436</v>
      </c>
      <c r="D681" s="283"/>
      <c r="E681" s="541"/>
      <c r="F681" s="340">
        <f t="shared" si="604"/>
        <v>0</v>
      </c>
      <c r="G681" s="285">
        <v>0</v>
      </c>
      <c r="H681" s="285">
        <v>0</v>
      </c>
      <c r="I681" s="359" t="str">
        <f>IFERROR(F681/#REF!,"-")</f>
        <v>-</v>
      </c>
      <c r="J681" s="339">
        <f t="shared" si="605"/>
        <v>40882</v>
      </c>
      <c r="K681" s="285">
        <f t="shared" si="601"/>
        <v>40000</v>
      </c>
      <c r="L681" s="286">
        <f t="shared" si="602"/>
        <v>882</v>
      </c>
      <c r="M681" s="344" t="str">
        <f t="shared" si="606"/>
        <v>-</v>
      </c>
      <c r="N681" s="350">
        <f t="shared" ref="N681:N688" si="608">IFERROR(L681/J681,"-")</f>
        <v>2.157428697226163E-2</v>
      </c>
      <c r="O681" s="650">
        <v>2.4565999999999999</v>
      </c>
      <c r="P681" s="411">
        <f t="shared" si="603"/>
        <v>0</v>
      </c>
      <c r="Q681" s="460">
        <f t="shared" si="607"/>
        <v>98264</v>
      </c>
    </row>
    <row r="682" spans="1:17" ht="23.4" x14ac:dyDescent="0.3">
      <c r="A682" s="248" t="s">
        <v>109</v>
      </c>
      <c r="B682" s="446"/>
      <c r="C682" s="647" t="s">
        <v>444</v>
      </c>
      <c r="D682" s="521"/>
      <c r="E682" s="542"/>
      <c r="F682" s="339">
        <f t="shared" si="604"/>
        <v>0</v>
      </c>
      <c r="G682" s="561">
        <v>0</v>
      </c>
      <c r="H682" s="561">
        <v>0</v>
      </c>
      <c r="I682" s="358" t="str">
        <f>IFERROR(F682/#REF!,"-")</f>
        <v>-</v>
      </c>
      <c r="J682" s="339">
        <f t="shared" si="605"/>
        <v>16280</v>
      </c>
      <c r="K682" s="285">
        <f t="shared" si="601"/>
        <v>15000</v>
      </c>
      <c r="L682" s="286">
        <f t="shared" si="602"/>
        <v>1280</v>
      </c>
      <c r="M682" s="522"/>
      <c r="N682" s="268">
        <f t="shared" si="608"/>
        <v>7.8624078624078622E-2</v>
      </c>
      <c r="O682" s="553">
        <v>4.8285999999999998</v>
      </c>
      <c r="P682" s="410">
        <f t="shared" si="603"/>
        <v>0</v>
      </c>
      <c r="Q682" s="459">
        <f t="shared" si="607"/>
        <v>72429</v>
      </c>
    </row>
    <row r="683" spans="1:17" ht="23.4" x14ac:dyDescent="0.3">
      <c r="A683" s="248" t="s">
        <v>109</v>
      </c>
      <c r="B683" s="603"/>
      <c r="C683" s="647" t="s">
        <v>439</v>
      </c>
      <c r="D683" s="273"/>
      <c r="E683" s="441"/>
      <c r="F683" s="338">
        <f t="shared" si="604"/>
        <v>32448</v>
      </c>
      <c r="G683" s="275">
        <v>31250</v>
      </c>
      <c r="H683" s="275">
        <v>1198</v>
      </c>
      <c r="I683" s="357" t="str">
        <f>IFERROR(F683/#REF!,"-")</f>
        <v>-</v>
      </c>
      <c r="J683" s="339">
        <f t="shared" si="605"/>
        <v>125407</v>
      </c>
      <c r="K683" s="285">
        <f t="shared" si="601"/>
        <v>119500</v>
      </c>
      <c r="L683" s="286">
        <f t="shared" si="602"/>
        <v>5907</v>
      </c>
      <c r="M683" s="342" t="str">
        <f t="shared" ref="M683:M684" si="609">IFERROR(J683/D683,"-")</f>
        <v>-</v>
      </c>
      <c r="N683" s="352">
        <f t="shared" si="608"/>
        <v>4.7102633824268179E-2</v>
      </c>
      <c r="O683" s="518">
        <v>4.1712999999999996</v>
      </c>
      <c r="P683" s="408">
        <f t="shared" si="603"/>
        <v>130353.12499999999</v>
      </c>
      <c r="Q683" s="457">
        <f t="shared" si="607"/>
        <v>498470.35</v>
      </c>
    </row>
    <row r="684" spans="1:17" ht="24" thickBot="1" x14ac:dyDescent="0.35">
      <c r="A684" s="248" t="s">
        <v>109</v>
      </c>
      <c r="B684" s="601"/>
      <c r="C684" s="278"/>
      <c r="D684" s="279"/>
      <c r="E684" s="442"/>
      <c r="F684" s="339">
        <f t="shared" si="604"/>
        <v>0</v>
      </c>
      <c r="G684" s="281"/>
      <c r="H684" s="281"/>
      <c r="I684" s="358" t="str">
        <f>IFERROR(F684/#REF!,"-")</f>
        <v>-</v>
      </c>
      <c r="J684" s="339">
        <f t="shared" si="605"/>
        <v>0</v>
      </c>
      <c r="K684" s="281">
        <f t="shared" si="601"/>
        <v>0</v>
      </c>
      <c r="L684" s="251">
        <f t="shared" si="602"/>
        <v>0</v>
      </c>
      <c r="M684" s="343" t="str">
        <f t="shared" si="609"/>
        <v>-</v>
      </c>
      <c r="N684" s="264" t="str">
        <f t="shared" si="608"/>
        <v>-</v>
      </c>
      <c r="O684" s="458"/>
      <c r="P684" s="410">
        <f t="shared" si="603"/>
        <v>0</v>
      </c>
      <c r="Q684" s="459">
        <f t="shared" si="607"/>
        <v>0</v>
      </c>
    </row>
    <row r="685" spans="1:17" ht="24" thickBot="1" x14ac:dyDescent="0.35">
      <c r="A685" s="277" t="s">
        <v>109</v>
      </c>
      <c r="B685" s="987" t="s">
        <v>21</v>
      </c>
      <c r="C685" s="925"/>
      <c r="D685" s="326">
        <v>0</v>
      </c>
      <c r="E685" s="289">
        <v>15000</v>
      </c>
      <c r="F685" s="326">
        <f>SUM(F678:F684)</f>
        <v>32448</v>
      </c>
      <c r="G685" s="327">
        <f t="shared" ref="G685:H685" si="610">SUM(G678:G684)</f>
        <v>31250</v>
      </c>
      <c r="H685" s="327">
        <f t="shared" si="610"/>
        <v>1198</v>
      </c>
      <c r="I685" s="351" t="str">
        <f>IFERROR(F685/#REF!,"-")</f>
        <v>-</v>
      </c>
      <c r="J685" s="326">
        <f t="shared" ref="J685" si="611">SUM(J678:J684)</f>
        <v>756182</v>
      </c>
      <c r="K685" s="327">
        <f>SUM(K678:K684)</f>
        <v>740500</v>
      </c>
      <c r="L685" s="327">
        <f>SUM(L678:L684)</f>
        <v>15682</v>
      </c>
      <c r="M685" s="345" t="str">
        <f>IFERROR(J685/D685,"-")</f>
        <v>-</v>
      </c>
      <c r="N685" s="351">
        <f t="shared" si="608"/>
        <v>2.0738393667133044E-2</v>
      </c>
      <c r="O685" s="397"/>
      <c r="P685" s="412">
        <f>SUM(P678:P684)</f>
        <v>130353.12499999999</v>
      </c>
      <c r="Q685" s="431">
        <f>SUM(Q678:Q684)</f>
        <v>1922343.9500000002</v>
      </c>
    </row>
    <row r="686" spans="1:17" ht="24" thickBot="1" x14ac:dyDescent="0.35">
      <c r="A686" s="277" t="s">
        <v>109</v>
      </c>
      <c r="B686" s="988" t="s">
        <v>275</v>
      </c>
      <c r="C686" s="989"/>
      <c r="D686" s="524">
        <f>+D682+D685</f>
        <v>0</v>
      </c>
      <c r="E686" s="538">
        <f>+E682+E685</f>
        <v>15000</v>
      </c>
      <c r="F686" s="524">
        <f>+F682+F685</f>
        <v>32448</v>
      </c>
      <c r="G686" s="526">
        <f>+G682+G685</f>
        <v>31250</v>
      </c>
      <c r="H686" s="526">
        <f>+H682+H685</f>
        <v>1198</v>
      </c>
      <c r="I686" s="527" t="str">
        <f>IFERROR(F686/#REF!,"-")</f>
        <v>-</v>
      </c>
      <c r="J686" s="524">
        <f>+J682+J685</f>
        <v>772462</v>
      </c>
      <c r="K686" s="526">
        <f>+K685</f>
        <v>740500</v>
      </c>
      <c r="L686" s="526">
        <f>+L685</f>
        <v>15682</v>
      </c>
      <c r="M686" s="528" t="str">
        <f t="shared" ref="M686" si="612">IFERROR(J686/D686,"-")</f>
        <v>-</v>
      </c>
      <c r="N686" s="527">
        <f t="shared" si="608"/>
        <v>2.030132226569074E-2</v>
      </c>
      <c r="O686" s="529"/>
      <c r="P686" s="530">
        <f>+P685</f>
        <v>130353.12499999999</v>
      </c>
      <c r="Q686" s="530">
        <f>+Q685</f>
        <v>1922343.9500000002</v>
      </c>
    </row>
    <row r="687" spans="1:17" ht="23.4" x14ac:dyDescent="0.4">
      <c r="A687" s="244" t="s">
        <v>109</v>
      </c>
      <c r="B687" s="979" t="s">
        <v>277</v>
      </c>
      <c r="C687" s="555" t="s">
        <v>74</v>
      </c>
      <c r="D687" s="540"/>
      <c r="E687" s="470"/>
      <c r="F687" s="468">
        <f>+G687+H687</f>
        <v>4006</v>
      </c>
      <c r="G687" s="469">
        <v>4000</v>
      </c>
      <c r="H687" s="469">
        <v>6</v>
      </c>
      <c r="I687" s="544" t="str">
        <f>IFERROR(F687/#REF!,"-")</f>
        <v>-</v>
      </c>
      <c r="J687" s="468">
        <f>+K687+L687</f>
        <v>44037</v>
      </c>
      <c r="K687" s="469">
        <f t="shared" ref="K687:K715" si="613">+G687+K628</f>
        <v>44000</v>
      </c>
      <c r="L687" s="246">
        <f t="shared" ref="L687:L715" si="614">+H687+L628</f>
        <v>37</v>
      </c>
      <c r="M687" s="263" t="str">
        <f>IFERROR(J687/D687,"-")</f>
        <v>-</v>
      </c>
      <c r="N687" s="546">
        <f t="shared" si="608"/>
        <v>8.4020255694075433E-4</v>
      </c>
      <c r="O687" s="551">
        <v>32.946300000000001</v>
      </c>
      <c r="P687" s="547">
        <f t="shared" ref="P687:P715" si="615">+O687*G687</f>
        <v>131785.20000000001</v>
      </c>
      <c r="Q687" s="548">
        <f t="shared" ref="Q687:Q715" si="616">+O687*K687</f>
        <v>1449637.2</v>
      </c>
    </row>
    <row r="688" spans="1:17" ht="23.4" x14ac:dyDescent="0.4">
      <c r="A688" s="248" t="s">
        <v>109</v>
      </c>
      <c r="B688" s="980"/>
      <c r="C688" s="556" t="s">
        <v>75</v>
      </c>
      <c r="D688" s="523"/>
      <c r="E688" s="442"/>
      <c r="F688" s="339">
        <f t="shared" ref="F688:F715" si="617">+G688+H688</f>
        <v>0</v>
      </c>
      <c r="G688" s="281">
        <v>0</v>
      </c>
      <c r="H688" s="281">
        <v>0</v>
      </c>
      <c r="I688" s="358" t="str">
        <f>IFERROR(F688/#REF!,"-")</f>
        <v>-</v>
      </c>
      <c r="J688" s="339">
        <f t="shared" ref="J688:J715" si="618">+K688+L688</f>
        <v>0</v>
      </c>
      <c r="K688" s="281">
        <f t="shared" si="613"/>
        <v>0</v>
      </c>
      <c r="L688" s="250">
        <f t="shared" si="614"/>
        <v>0</v>
      </c>
      <c r="M688" s="265" t="str">
        <f t="shared" ref="M688:M690" si="619">IFERROR(J688/D688,"-")</f>
        <v>-</v>
      </c>
      <c r="N688" s="268" t="str">
        <f t="shared" si="608"/>
        <v>-</v>
      </c>
      <c r="O688" s="519">
        <v>35.398400000000002</v>
      </c>
      <c r="P688" s="410">
        <f t="shared" si="615"/>
        <v>0</v>
      </c>
      <c r="Q688" s="459">
        <f t="shared" si="616"/>
        <v>0</v>
      </c>
    </row>
    <row r="689" spans="1:17" ht="24" thickBot="1" x14ac:dyDescent="0.45">
      <c r="A689" s="248" t="s">
        <v>109</v>
      </c>
      <c r="B689" s="980"/>
      <c r="C689" s="556" t="s">
        <v>76</v>
      </c>
      <c r="D689" s="279"/>
      <c r="E689" s="442"/>
      <c r="F689" s="339">
        <f t="shared" si="617"/>
        <v>0</v>
      </c>
      <c r="G689" s="281">
        <v>0</v>
      </c>
      <c r="H689" s="281">
        <v>0</v>
      </c>
      <c r="I689" s="358" t="str">
        <f>IFERROR(F689/#REF!,"-")</f>
        <v>-</v>
      </c>
      <c r="J689" s="339">
        <f t="shared" si="618"/>
        <v>10000</v>
      </c>
      <c r="K689" s="281">
        <f t="shared" si="613"/>
        <v>10000</v>
      </c>
      <c r="L689" s="250">
        <f t="shared" si="614"/>
        <v>0</v>
      </c>
      <c r="M689" s="265" t="str">
        <f t="shared" si="619"/>
        <v>-</v>
      </c>
      <c r="N689" s="268">
        <f>IFERROR(L689/J689,"-")</f>
        <v>0</v>
      </c>
      <c r="O689" s="519">
        <v>32.946300000000001</v>
      </c>
      <c r="P689" s="410">
        <f t="shared" si="615"/>
        <v>0</v>
      </c>
      <c r="Q689" s="459">
        <f t="shared" si="616"/>
        <v>329463</v>
      </c>
    </row>
    <row r="690" spans="1:17" ht="23.4" x14ac:dyDescent="0.4">
      <c r="A690" s="248" t="s">
        <v>109</v>
      </c>
      <c r="B690" s="979" t="s">
        <v>278</v>
      </c>
      <c r="C690" s="558" t="s">
        <v>78</v>
      </c>
      <c r="D690" s="279"/>
      <c r="E690" s="541"/>
      <c r="F690" s="340">
        <f t="shared" si="617"/>
        <v>0</v>
      </c>
      <c r="G690" s="281">
        <v>0</v>
      </c>
      <c r="H690" s="281">
        <v>0</v>
      </c>
      <c r="I690" s="358" t="str">
        <f>IFERROR(F690/#REF!,"-")</f>
        <v>-</v>
      </c>
      <c r="J690" s="339">
        <f t="shared" si="618"/>
        <v>8248</v>
      </c>
      <c r="K690" s="281">
        <f t="shared" si="613"/>
        <v>7200</v>
      </c>
      <c r="L690" s="250">
        <f t="shared" si="614"/>
        <v>1048</v>
      </c>
      <c r="M690" s="265" t="str">
        <f t="shared" si="619"/>
        <v>-</v>
      </c>
      <c r="N690" s="268">
        <f t="shared" ref="N690" si="620">IFERROR(L690/J690,"-")</f>
        <v>0.1270611057225994</v>
      </c>
      <c r="O690" s="519">
        <v>55.4758</v>
      </c>
      <c r="P690" s="410">
        <f t="shared" si="615"/>
        <v>0</v>
      </c>
      <c r="Q690" s="459">
        <f t="shared" si="616"/>
        <v>399425.76</v>
      </c>
    </row>
    <row r="691" spans="1:17" ht="23.4" x14ac:dyDescent="0.4">
      <c r="A691" s="248" t="s">
        <v>109</v>
      </c>
      <c r="B691" s="980"/>
      <c r="C691" s="558" t="s">
        <v>75</v>
      </c>
      <c r="D691" s="279"/>
      <c r="E691" s="542"/>
      <c r="F691" s="340">
        <f t="shared" si="617"/>
        <v>0</v>
      </c>
      <c r="G691" s="281">
        <v>0</v>
      </c>
      <c r="H691" s="281">
        <v>0</v>
      </c>
      <c r="I691" s="358" t="str">
        <f>IFERROR(F691/#REF!,"-")</f>
        <v>-</v>
      </c>
      <c r="J691" s="339">
        <f t="shared" si="618"/>
        <v>5350</v>
      </c>
      <c r="K691" s="281">
        <f t="shared" si="613"/>
        <v>4150</v>
      </c>
      <c r="L691" s="250">
        <f t="shared" si="614"/>
        <v>1200</v>
      </c>
      <c r="M691" s="522"/>
      <c r="N691" s="378"/>
      <c r="O691" s="553">
        <v>58.836300000000001</v>
      </c>
      <c r="P691" s="410">
        <f t="shared" si="615"/>
        <v>0</v>
      </c>
      <c r="Q691" s="459">
        <f t="shared" si="616"/>
        <v>244170.64500000002</v>
      </c>
    </row>
    <row r="692" spans="1:17" ht="24" thickBot="1" x14ac:dyDescent="0.45">
      <c r="A692" s="248" t="s">
        <v>109</v>
      </c>
      <c r="B692" s="981"/>
      <c r="C692" s="558" t="s">
        <v>435</v>
      </c>
      <c r="D692" s="279"/>
      <c r="E692" s="441"/>
      <c r="F692" s="340">
        <f t="shared" si="617"/>
        <v>2310</v>
      </c>
      <c r="G692" s="281">
        <v>1800</v>
      </c>
      <c r="H692" s="281">
        <v>510</v>
      </c>
      <c r="I692" s="358" t="str">
        <f>IFERROR(F692/#REF!,"-")</f>
        <v>-</v>
      </c>
      <c r="J692" s="339">
        <f t="shared" si="618"/>
        <v>12426</v>
      </c>
      <c r="K692" s="281">
        <f t="shared" si="613"/>
        <v>10500</v>
      </c>
      <c r="L692" s="250">
        <f t="shared" si="614"/>
        <v>1926</v>
      </c>
      <c r="M692" s="265" t="str">
        <f t="shared" ref="M692:M718" si="621">IFERROR(J692/D692,"-")</f>
        <v>-</v>
      </c>
      <c r="N692" s="264">
        <f t="shared" ref="N692:N717" si="622">IFERROR(L692/J692,"-")</f>
        <v>0.15499758570738773</v>
      </c>
      <c r="O692" s="519">
        <v>55.4758</v>
      </c>
      <c r="P692" s="410">
        <f t="shared" si="615"/>
        <v>99856.44</v>
      </c>
      <c r="Q692" s="459">
        <f t="shared" si="616"/>
        <v>582495.9</v>
      </c>
    </row>
    <row r="693" spans="1:17" ht="23.4" x14ac:dyDescent="0.4">
      <c r="A693" s="248" t="s">
        <v>109</v>
      </c>
      <c r="B693" s="979" t="s">
        <v>79</v>
      </c>
      <c r="C693" s="556" t="s">
        <v>80</v>
      </c>
      <c r="D693" s="279"/>
      <c r="E693" s="442"/>
      <c r="F693" s="339">
        <f t="shared" si="617"/>
        <v>0</v>
      </c>
      <c r="G693" s="281">
        <v>0</v>
      </c>
      <c r="H693" s="281">
        <v>0</v>
      </c>
      <c r="I693" s="358" t="str">
        <f>IFERROR(F693/#REF!,"-")</f>
        <v>-</v>
      </c>
      <c r="J693" s="339">
        <f t="shared" si="618"/>
        <v>0</v>
      </c>
      <c r="K693" s="281">
        <f t="shared" si="613"/>
        <v>0</v>
      </c>
      <c r="L693" s="250">
        <f t="shared" si="614"/>
        <v>0</v>
      </c>
      <c r="M693" s="265" t="str">
        <f t="shared" si="621"/>
        <v>-</v>
      </c>
      <c r="N693" s="264" t="str">
        <f t="shared" si="622"/>
        <v>-</v>
      </c>
      <c r="O693" s="519">
        <v>25.687200000000001</v>
      </c>
      <c r="P693" s="410">
        <f t="shared" si="615"/>
        <v>0</v>
      </c>
      <c r="Q693" s="459">
        <f t="shared" si="616"/>
        <v>0</v>
      </c>
    </row>
    <row r="694" spans="1:17" ht="24" thickBot="1" x14ac:dyDescent="0.45">
      <c r="A694" s="248" t="s">
        <v>109</v>
      </c>
      <c r="B694" s="981"/>
      <c r="C694" s="556" t="s">
        <v>125</v>
      </c>
      <c r="D694" s="279"/>
      <c r="E694" s="442"/>
      <c r="F694" s="339">
        <f t="shared" si="617"/>
        <v>0</v>
      </c>
      <c r="G694" s="281">
        <v>0</v>
      </c>
      <c r="H694" s="281">
        <v>0</v>
      </c>
      <c r="I694" s="358" t="str">
        <f>IFERROR(F694/#REF!,"-")</f>
        <v>-</v>
      </c>
      <c r="J694" s="339">
        <f t="shared" si="618"/>
        <v>0</v>
      </c>
      <c r="K694" s="281">
        <f t="shared" si="613"/>
        <v>0</v>
      </c>
      <c r="L694" s="250">
        <f t="shared" si="614"/>
        <v>0</v>
      </c>
      <c r="M694" s="265" t="str">
        <f t="shared" si="621"/>
        <v>-</v>
      </c>
      <c r="N694" s="264" t="str">
        <f t="shared" si="622"/>
        <v>-</v>
      </c>
      <c r="O694" s="519">
        <v>25.033899999999999</v>
      </c>
      <c r="P694" s="410">
        <f t="shared" si="615"/>
        <v>0</v>
      </c>
      <c r="Q694" s="459">
        <f t="shared" si="616"/>
        <v>0</v>
      </c>
    </row>
    <row r="695" spans="1:17" ht="23.4" x14ac:dyDescent="0.4">
      <c r="A695" s="248"/>
      <c r="B695" s="979" t="s">
        <v>81</v>
      </c>
      <c r="C695" s="556" t="s">
        <v>82</v>
      </c>
      <c r="D695" s="279"/>
      <c r="E695" s="442"/>
      <c r="F695" s="339">
        <f t="shared" si="617"/>
        <v>0</v>
      </c>
      <c r="G695" s="281">
        <v>0</v>
      </c>
      <c r="H695" s="281">
        <v>0</v>
      </c>
      <c r="I695" s="358" t="str">
        <f>IFERROR(F695/#REF!,"-")</f>
        <v>-</v>
      </c>
      <c r="J695" s="339">
        <f t="shared" si="618"/>
        <v>4860</v>
      </c>
      <c r="K695" s="281">
        <f t="shared" si="613"/>
        <v>4840</v>
      </c>
      <c r="L695" s="250">
        <f t="shared" si="614"/>
        <v>20</v>
      </c>
      <c r="M695" s="265" t="str">
        <f t="shared" si="621"/>
        <v>-</v>
      </c>
      <c r="N695" s="264">
        <f t="shared" si="622"/>
        <v>4.11522633744856E-3</v>
      </c>
      <c r="O695" s="519">
        <v>41.992699999999999</v>
      </c>
      <c r="P695" s="410">
        <f t="shared" si="615"/>
        <v>0</v>
      </c>
      <c r="Q695" s="459">
        <f t="shared" si="616"/>
        <v>203244.66800000001</v>
      </c>
    </row>
    <row r="696" spans="1:17" ht="24" thickBot="1" x14ac:dyDescent="0.45">
      <c r="A696" s="248"/>
      <c r="B696" s="980"/>
      <c r="C696" s="556" t="s">
        <v>364</v>
      </c>
      <c r="D696" s="279"/>
      <c r="E696" s="442"/>
      <c r="F696" s="339">
        <f t="shared" si="617"/>
        <v>0</v>
      </c>
      <c r="G696" s="281">
        <v>0</v>
      </c>
      <c r="H696" s="281">
        <v>0</v>
      </c>
      <c r="I696" s="358" t="str">
        <f>IFERROR(F696/#REF!,"-")</f>
        <v>-</v>
      </c>
      <c r="J696" s="339">
        <f t="shared" si="618"/>
        <v>0</v>
      </c>
      <c r="K696" s="281">
        <f t="shared" si="613"/>
        <v>0</v>
      </c>
      <c r="L696" s="250">
        <f t="shared" si="614"/>
        <v>0</v>
      </c>
      <c r="M696" s="265" t="str">
        <f t="shared" si="621"/>
        <v>-</v>
      </c>
      <c r="N696" s="264" t="str">
        <f t="shared" si="622"/>
        <v>-</v>
      </c>
      <c r="O696" s="519">
        <v>41.992699999999999</v>
      </c>
      <c r="P696" s="410">
        <f t="shared" si="615"/>
        <v>0</v>
      </c>
      <c r="Q696" s="459">
        <f t="shared" si="616"/>
        <v>0</v>
      </c>
    </row>
    <row r="697" spans="1:17" ht="24" thickBot="1" x14ac:dyDescent="0.45">
      <c r="A697" s="248"/>
      <c r="B697" s="559" t="s">
        <v>83</v>
      </c>
      <c r="C697" s="556" t="s">
        <v>84</v>
      </c>
      <c r="D697" s="279"/>
      <c r="E697" s="442"/>
      <c r="F697" s="339">
        <f t="shared" si="617"/>
        <v>0</v>
      </c>
      <c r="G697" s="281">
        <v>0</v>
      </c>
      <c r="H697" s="281">
        <v>0</v>
      </c>
      <c r="I697" s="358" t="str">
        <f>IFERROR(F697/#REF!,"-")</f>
        <v>-</v>
      </c>
      <c r="J697" s="339">
        <f t="shared" si="618"/>
        <v>0</v>
      </c>
      <c r="K697" s="281">
        <f t="shared" si="613"/>
        <v>0</v>
      </c>
      <c r="L697" s="250">
        <f t="shared" si="614"/>
        <v>0</v>
      </c>
      <c r="M697" s="265" t="str">
        <f t="shared" si="621"/>
        <v>-</v>
      </c>
      <c r="N697" s="264" t="str">
        <f t="shared" si="622"/>
        <v>-</v>
      </c>
      <c r="O697" s="519">
        <v>4.3535000000000004</v>
      </c>
      <c r="P697" s="410">
        <f t="shared" si="615"/>
        <v>0</v>
      </c>
      <c r="Q697" s="459">
        <f t="shared" si="616"/>
        <v>0</v>
      </c>
    </row>
    <row r="698" spans="1:17" ht="23.4" x14ac:dyDescent="0.4">
      <c r="A698" s="248"/>
      <c r="B698" s="979" t="s">
        <v>280</v>
      </c>
      <c r="C698" s="556" t="s">
        <v>80</v>
      </c>
      <c r="D698" s="279"/>
      <c r="E698" s="442"/>
      <c r="F698" s="339">
        <f t="shared" si="617"/>
        <v>0</v>
      </c>
      <c r="G698" s="281">
        <v>0</v>
      </c>
      <c r="H698" s="281">
        <v>0</v>
      </c>
      <c r="I698" s="358" t="str">
        <f>IFERROR(F698/#REF!,"-")</f>
        <v>-</v>
      </c>
      <c r="J698" s="339">
        <f t="shared" si="618"/>
        <v>0</v>
      </c>
      <c r="K698" s="281">
        <f t="shared" si="613"/>
        <v>0</v>
      </c>
      <c r="L698" s="250">
        <f t="shared" si="614"/>
        <v>0</v>
      </c>
      <c r="M698" s="265" t="str">
        <f t="shared" si="621"/>
        <v>-</v>
      </c>
      <c r="N698" s="264" t="str">
        <f t="shared" si="622"/>
        <v>-</v>
      </c>
      <c r="O698" s="519">
        <v>4.6184000000000003</v>
      </c>
      <c r="P698" s="410">
        <f t="shared" si="615"/>
        <v>0</v>
      </c>
      <c r="Q698" s="459">
        <f t="shared" si="616"/>
        <v>0</v>
      </c>
    </row>
    <row r="699" spans="1:17" ht="23.4" x14ac:dyDescent="0.4">
      <c r="A699" s="248"/>
      <c r="B699" s="980"/>
      <c r="C699" s="556" t="s">
        <v>407</v>
      </c>
      <c r="D699" s="279"/>
      <c r="E699" s="442"/>
      <c r="F699" s="339">
        <f t="shared" si="617"/>
        <v>0</v>
      </c>
      <c r="G699" s="281">
        <v>0</v>
      </c>
      <c r="H699" s="281">
        <v>0</v>
      </c>
      <c r="I699" s="358" t="str">
        <f>IFERROR(F699/#REF!,"-")</f>
        <v>-</v>
      </c>
      <c r="J699" s="339">
        <f t="shared" si="618"/>
        <v>146140</v>
      </c>
      <c r="K699" s="281">
        <f t="shared" si="613"/>
        <v>144842</v>
      </c>
      <c r="L699" s="250">
        <f t="shared" si="614"/>
        <v>1298</v>
      </c>
      <c r="M699" s="265" t="str">
        <f t="shared" si="621"/>
        <v>-</v>
      </c>
      <c r="N699" s="264">
        <f t="shared" si="622"/>
        <v>8.8818940741754483E-3</v>
      </c>
      <c r="O699" s="519">
        <v>4.6184000000000003</v>
      </c>
      <c r="P699" s="410">
        <f t="shared" si="615"/>
        <v>0</v>
      </c>
      <c r="Q699" s="459">
        <f t="shared" si="616"/>
        <v>668938.29280000005</v>
      </c>
    </row>
    <row r="700" spans="1:17" ht="23.4" x14ac:dyDescent="0.4">
      <c r="A700" s="248"/>
      <c r="B700" s="980"/>
      <c r="C700" s="556" t="s">
        <v>279</v>
      </c>
      <c r="D700" s="279"/>
      <c r="E700" s="442"/>
      <c r="F700" s="339">
        <f t="shared" si="617"/>
        <v>0</v>
      </c>
      <c r="G700" s="281">
        <v>0</v>
      </c>
      <c r="H700" s="281">
        <v>0</v>
      </c>
      <c r="I700" s="358" t="str">
        <f>IFERROR(F700/#REF!,"-")</f>
        <v>-</v>
      </c>
      <c r="J700" s="339">
        <f t="shared" si="618"/>
        <v>0</v>
      </c>
      <c r="K700" s="281">
        <f t="shared" si="613"/>
        <v>0</v>
      </c>
      <c r="L700" s="250">
        <f t="shared" si="614"/>
        <v>0</v>
      </c>
      <c r="M700" s="265" t="str">
        <f t="shared" si="621"/>
        <v>-</v>
      </c>
      <c r="N700" s="264" t="str">
        <f t="shared" si="622"/>
        <v>-</v>
      </c>
      <c r="O700" s="519">
        <v>4.6184000000000003</v>
      </c>
      <c r="P700" s="410">
        <f t="shared" si="615"/>
        <v>0</v>
      </c>
      <c r="Q700" s="459">
        <f t="shared" si="616"/>
        <v>0</v>
      </c>
    </row>
    <row r="701" spans="1:17" ht="23.4" x14ac:dyDescent="0.4">
      <c r="A701" s="248"/>
      <c r="B701" s="980"/>
      <c r="C701" s="556" t="s">
        <v>440</v>
      </c>
      <c r="D701" s="279"/>
      <c r="E701" s="442"/>
      <c r="F701" s="339">
        <f t="shared" si="617"/>
        <v>17632</v>
      </c>
      <c r="G701" s="281">
        <v>17500</v>
      </c>
      <c r="H701" s="281">
        <v>132</v>
      </c>
      <c r="I701" s="358" t="str">
        <f>IFERROR(F701/#REF!,"-")</f>
        <v>-</v>
      </c>
      <c r="J701" s="339">
        <f t="shared" si="618"/>
        <v>129600</v>
      </c>
      <c r="K701" s="281">
        <f t="shared" si="613"/>
        <v>128600</v>
      </c>
      <c r="L701" s="250">
        <f t="shared" si="614"/>
        <v>1000</v>
      </c>
      <c r="M701" s="265" t="str">
        <f t="shared" si="621"/>
        <v>-</v>
      </c>
      <c r="N701" s="264">
        <f t="shared" si="622"/>
        <v>7.716049382716049E-3</v>
      </c>
      <c r="O701" s="519">
        <v>4.7636000000000003</v>
      </c>
      <c r="P701" s="410">
        <f t="shared" si="615"/>
        <v>83363</v>
      </c>
      <c r="Q701" s="459">
        <f t="shared" si="616"/>
        <v>612598.96000000008</v>
      </c>
    </row>
    <row r="702" spans="1:17" ht="24" thickBot="1" x14ac:dyDescent="0.45">
      <c r="A702" s="248"/>
      <c r="B702" s="981"/>
      <c r="C702" s="556" t="s">
        <v>429</v>
      </c>
      <c r="D702" s="279"/>
      <c r="E702" s="442"/>
      <c r="F702" s="339">
        <f t="shared" si="617"/>
        <v>0</v>
      </c>
      <c r="G702" s="281">
        <v>0</v>
      </c>
      <c r="H702" s="281">
        <v>0</v>
      </c>
      <c r="I702" s="358" t="str">
        <f>IFERROR(F702/#REF!,"-")</f>
        <v>-</v>
      </c>
      <c r="J702" s="339">
        <f t="shared" si="618"/>
        <v>12296</v>
      </c>
      <c r="K702" s="281">
        <f t="shared" si="613"/>
        <v>12100</v>
      </c>
      <c r="L702" s="250">
        <f t="shared" si="614"/>
        <v>196</v>
      </c>
      <c r="M702" s="265" t="str">
        <f t="shared" si="621"/>
        <v>-</v>
      </c>
      <c r="N702" s="264">
        <f t="shared" si="622"/>
        <v>1.594014313597918E-2</v>
      </c>
      <c r="O702" s="519">
        <v>4.8738000000000001</v>
      </c>
      <c r="P702" s="410">
        <f t="shared" si="615"/>
        <v>0</v>
      </c>
      <c r="Q702" s="459">
        <f t="shared" si="616"/>
        <v>58972.98</v>
      </c>
    </row>
    <row r="703" spans="1:17" ht="24" thickBot="1" x14ac:dyDescent="0.45">
      <c r="A703" s="248"/>
      <c r="B703" s="559" t="s">
        <v>281</v>
      </c>
      <c r="C703" s="556" t="s">
        <v>132</v>
      </c>
      <c r="D703" s="279"/>
      <c r="E703" s="442"/>
      <c r="F703" s="339">
        <f t="shared" si="617"/>
        <v>0</v>
      </c>
      <c r="G703" s="281">
        <v>0</v>
      </c>
      <c r="H703" s="281">
        <v>0</v>
      </c>
      <c r="I703" s="358" t="str">
        <f>IFERROR(F703/#REF!,"-")</f>
        <v>-</v>
      </c>
      <c r="J703" s="339">
        <f t="shared" si="618"/>
        <v>0</v>
      </c>
      <c r="K703" s="281">
        <f t="shared" si="613"/>
        <v>0</v>
      </c>
      <c r="L703" s="250">
        <f t="shared" si="614"/>
        <v>0</v>
      </c>
      <c r="M703" s="265" t="str">
        <f t="shared" si="621"/>
        <v>-</v>
      </c>
      <c r="N703" s="264" t="str">
        <f t="shared" si="622"/>
        <v>-</v>
      </c>
      <c r="O703" s="519">
        <v>4.8738000000000001</v>
      </c>
      <c r="P703" s="410">
        <f t="shared" si="615"/>
        <v>0</v>
      </c>
      <c r="Q703" s="459">
        <f t="shared" si="616"/>
        <v>0</v>
      </c>
    </row>
    <row r="704" spans="1:17" ht="23.4" x14ac:dyDescent="0.4">
      <c r="A704" s="248"/>
      <c r="B704" s="979" t="s">
        <v>283</v>
      </c>
      <c r="C704" s="556" t="s">
        <v>80</v>
      </c>
      <c r="D704" s="279"/>
      <c r="E704" s="442"/>
      <c r="F704" s="339">
        <f t="shared" si="617"/>
        <v>17239</v>
      </c>
      <c r="G704" s="281">
        <v>16950</v>
      </c>
      <c r="H704" s="281">
        <v>289</v>
      </c>
      <c r="I704" s="358" t="str">
        <f>IFERROR(F704/#REF!,"-")</f>
        <v>-</v>
      </c>
      <c r="J704" s="339">
        <f t="shared" si="618"/>
        <v>269516</v>
      </c>
      <c r="K704" s="281">
        <f t="shared" si="613"/>
        <v>263750</v>
      </c>
      <c r="L704" s="281">
        <f t="shared" si="614"/>
        <v>5766</v>
      </c>
      <c r="M704" s="265" t="str">
        <f t="shared" si="621"/>
        <v>-</v>
      </c>
      <c r="N704" s="264">
        <f t="shared" si="622"/>
        <v>2.1393906113180663E-2</v>
      </c>
      <c r="O704" s="519">
        <v>4.9344999999999999</v>
      </c>
      <c r="P704" s="410">
        <f t="shared" si="615"/>
        <v>83639.774999999994</v>
      </c>
      <c r="Q704" s="459">
        <f t="shared" si="616"/>
        <v>1301474.375</v>
      </c>
    </row>
    <row r="705" spans="1:17" ht="23.4" x14ac:dyDescent="0.4">
      <c r="A705" s="248"/>
      <c r="B705" s="980"/>
      <c r="C705" s="556" t="s">
        <v>143</v>
      </c>
      <c r="D705" s="279"/>
      <c r="E705" s="442"/>
      <c r="F705" s="339">
        <f t="shared" si="617"/>
        <v>0</v>
      </c>
      <c r="G705" s="281">
        <v>0</v>
      </c>
      <c r="H705" s="281">
        <v>0</v>
      </c>
      <c r="I705" s="358" t="str">
        <f>IFERROR(F705/#REF!,"-")</f>
        <v>-</v>
      </c>
      <c r="J705" s="339">
        <f t="shared" si="618"/>
        <v>0</v>
      </c>
      <c r="K705" s="281">
        <f t="shared" si="613"/>
        <v>0</v>
      </c>
      <c r="L705" s="250">
        <f t="shared" si="614"/>
        <v>0</v>
      </c>
      <c r="M705" s="265" t="str">
        <f t="shared" si="621"/>
        <v>-</v>
      </c>
      <c r="N705" s="264" t="str">
        <f t="shared" si="622"/>
        <v>-</v>
      </c>
      <c r="O705" s="519">
        <v>4.9344999999999999</v>
      </c>
      <c r="P705" s="410">
        <f t="shared" si="615"/>
        <v>0</v>
      </c>
      <c r="Q705" s="459">
        <f t="shared" si="616"/>
        <v>0</v>
      </c>
    </row>
    <row r="706" spans="1:17" ht="23.4" x14ac:dyDescent="0.4">
      <c r="A706" s="248"/>
      <c r="B706" s="980"/>
      <c r="C706" s="556" t="s">
        <v>137</v>
      </c>
      <c r="D706" s="279"/>
      <c r="E706" s="442"/>
      <c r="F706" s="339">
        <f t="shared" si="617"/>
        <v>0</v>
      </c>
      <c r="G706" s="281">
        <v>0</v>
      </c>
      <c r="H706" s="281">
        <v>0</v>
      </c>
      <c r="I706" s="358" t="str">
        <f>IFERROR(F706/#REF!,"-")</f>
        <v>-</v>
      </c>
      <c r="J706" s="339">
        <f t="shared" si="618"/>
        <v>0</v>
      </c>
      <c r="K706" s="281">
        <f t="shared" si="613"/>
        <v>0</v>
      </c>
      <c r="L706" s="250">
        <f t="shared" si="614"/>
        <v>0</v>
      </c>
      <c r="M706" s="265" t="str">
        <f t="shared" si="621"/>
        <v>-</v>
      </c>
      <c r="N706" s="264" t="str">
        <f t="shared" si="622"/>
        <v>-</v>
      </c>
      <c r="O706" s="519">
        <v>4.9344999999999999</v>
      </c>
      <c r="P706" s="410">
        <f t="shared" si="615"/>
        <v>0</v>
      </c>
      <c r="Q706" s="459">
        <f t="shared" si="616"/>
        <v>0</v>
      </c>
    </row>
    <row r="707" spans="1:17" ht="24" thickBot="1" x14ac:dyDescent="0.45">
      <c r="A707" s="248"/>
      <c r="B707" s="981"/>
      <c r="C707" s="556" t="s">
        <v>282</v>
      </c>
      <c r="D707" s="279"/>
      <c r="E707" s="442"/>
      <c r="F707" s="339">
        <f t="shared" si="617"/>
        <v>0</v>
      </c>
      <c r="G707" s="281">
        <v>0</v>
      </c>
      <c r="H707" s="281">
        <v>0</v>
      </c>
      <c r="I707" s="358" t="str">
        <f>IFERROR(F707/#REF!,"-")</f>
        <v>-</v>
      </c>
      <c r="J707" s="339">
        <f t="shared" si="618"/>
        <v>0</v>
      </c>
      <c r="K707" s="281">
        <f t="shared" si="613"/>
        <v>0</v>
      </c>
      <c r="L707" s="250">
        <f t="shared" si="614"/>
        <v>0</v>
      </c>
      <c r="M707" s="265" t="str">
        <f t="shared" si="621"/>
        <v>-</v>
      </c>
      <c r="N707" s="264" t="str">
        <f t="shared" si="622"/>
        <v>-</v>
      </c>
      <c r="O707" s="519">
        <v>5.5069999999999997</v>
      </c>
      <c r="P707" s="410">
        <f t="shared" si="615"/>
        <v>0</v>
      </c>
      <c r="Q707" s="459">
        <f t="shared" si="616"/>
        <v>0</v>
      </c>
    </row>
    <row r="708" spans="1:17" ht="23.4" x14ac:dyDescent="0.4">
      <c r="A708" s="248"/>
      <c r="B708" s="979" t="s">
        <v>288</v>
      </c>
      <c r="C708" s="556" t="s">
        <v>284</v>
      </c>
      <c r="D708" s="279"/>
      <c r="E708" s="442"/>
      <c r="F708" s="339">
        <f t="shared" si="617"/>
        <v>0</v>
      </c>
      <c r="G708" s="281">
        <v>0</v>
      </c>
      <c r="H708" s="281">
        <v>0</v>
      </c>
      <c r="I708" s="358" t="str">
        <f>IFERROR(F708/#REF!,"-")</f>
        <v>-</v>
      </c>
      <c r="J708" s="339">
        <f t="shared" si="618"/>
        <v>0</v>
      </c>
      <c r="K708" s="281">
        <f t="shared" si="613"/>
        <v>0</v>
      </c>
      <c r="L708" s="250">
        <f t="shared" si="614"/>
        <v>0</v>
      </c>
      <c r="M708" s="265" t="str">
        <f t="shared" si="621"/>
        <v>-</v>
      </c>
      <c r="N708" s="264" t="str">
        <f t="shared" si="622"/>
        <v>-</v>
      </c>
      <c r="O708" s="519">
        <v>5.6550000000000002</v>
      </c>
      <c r="P708" s="410">
        <f t="shared" si="615"/>
        <v>0</v>
      </c>
      <c r="Q708" s="459">
        <f t="shared" si="616"/>
        <v>0</v>
      </c>
    </row>
    <row r="709" spans="1:17" ht="23.4" x14ac:dyDescent="0.4">
      <c r="A709" s="248"/>
      <c r="B709" s="980"/>
      <c r="C709" s="556" t="s">
        <v>285</v>
      </c>
      <c r="D709" s="279"/>
      <c r="E709" s="442"/>
      <c r="F709" s="339">
        <f t="shared" si="617"/>
        <v>0</v>
      </c>
      <c r="G709" s="281">
        <v>0</v>
      </c>
      <c r="H709" s="281">
        <v>0</v>
      </c>
      <c r="I709" s="358" t="str">
        <f>IFERROR(F709/#REF!,"-")</f>
        <v>-</v>
      </c>
      <c r="J709" s="339">
        <f t="shared" si="618"/>
        <v>0</v>
      </c>
      <c r="K709" s="281">
        <f t="shared" si="613"/>
        <v>0</v>
      </c>
      <c r="L709" s="250">
        <f t="shared" si="614"/>
        <v>0</v>
      </c>
      <c r="M709" s="265" t="str">
        <f t="shared" si="621"/>
        <v>-</v>
      </c>
      <c r="N709" s="264" t="str">
        <f t="shared" si="622"/>
        <v>-</v>
      </c>
      <c r="O709" s="519">
        <v>5.6550000000000002</v>
      </c>
      <c r="P709" s="410">
        <f t="shared" si="615"/>
        <v>0</v>
      </c>
      <c r="Q709" s="459">
        <f t="shared" si="616"/>
        <v>0</v>
      </c>
    </row>
    <row r="710" spans="1:17" ht="23.4" x14ac:dyDescent="0.4">
      <c r="A710" s="248"/>
      <c r="B710" s="980"/>
      <c r="C710" s="556" t="s">
        <v>374</v>
      </c>
      <c r="D710" s="279"/>
      <c r="E710" s="442"/>
      <c r="F710" s="339">
        <f t="shared" si="617"/>
        <v>21672</v>
      </c>
      <c r="G710" s="281">
        <v>21000</v>
      </c>
      <c r="H710" s="281">
        <v>672</v>
      </c>
      <c r="I710" s="358" t="str">
        <f>IFERROR(F710/#REF!,"-")</f>
        <v>-</v>
      </c>
      <c r="J710" s="339">
        <f t="shared" si="618"/>
        <v>269988</v>
      </c>
      <c r="K710" s="281">
        <f t="shared" si="613"/>
        <v>265250</v>
      </c>
      <c r="L710" s="250">
        <f t="shared" si="614"/>
        <v>4738</v>
      </c>
      <c r="M710" s="265" t="str">
        <f t="shared" si="621"/>
        <v>-</v>
      </c>
      <c r="N710" s="264">
        <f t="shared" si="622"/>
        <v>1.754892810050817E-2</v>
      </c>
      <c r="O710" s="519">
        <v>5.6550000000000002</v>
      </c>
      <c r="P710" s="410">
        <f t="shared" si="615"/>
        <v>118755</v>
      </c>
      <c r="Q710" s="459">
        <f t="shared" si="616"/>
        <v>1499988.75</v>
      </c>
    </row>
    <row r="711" spans="1:17" ht="23.4" x14ac:dyDescent="0.4">
      <c r="A711" s="248"/>
      <c r="B711" s="980"/>
      <c r="C711" s="556" t="s">
        <v>286</v>
      </c>
      <c r="D711" s="279"/>
      <c r="E711" s="442"/>
      <c r="F711" s="339">
        <f t="shared" si="617"/>
        <v>0</v>
      </c>
      <c r="G711" s="281">
        <v>0</v>
      </c>
      <c r="H711" s="281">
        <v>0</v>
      </c>
      <c r="I711" s="358" t="str">
        <f>IFERROR(F711/#REF!,"-")</f>
        <v>-</v>
      </c>
      <c r="J711" s="339">
        <f t="shared" si="618"/>
        <v>0</v>
      </c>
      <c r="K711" s="281">
        <f t="shared" si="613"/>
        <v>0</v>
      </c>
      <c r="L711" s="250">
        <f t="shared" si="614"/>
        <v>0</v>
      </c>
      <c r="M711" s="265" t="str">
        <f t="shared" si="621"/>
        <v>-</v>
      </c>
      <c r="N711" s="264" t="str">
        <f t="shared" si="622"/>
        <v>-</v>
      </c>
      <c r="O711" s="519">
        <v>5.6550000000000002</v>
      </c>
      <c r="P711" s="410">
        <f t="shared" si="615"/>
        <v>0</v>
      </c>
      <c r="Q711" s="459">
        <f t="shared" si="616"/>
        <v>0</v>
      </c>
    </row>
    <row r="712" spans="1:17" ht="23.4" x14ac:dyDescent="0.4">
      <c r="A712" s="248" t="s">
        <v>109</v>
      </c>
      <c r="B712" s="980"/>
      <c r="C712" s="556" t="s">
        <v>287</v>
      </c>
      <c r="D712" s="279"/>
      <c r="E712" s="442"/>
      <c r="F712" s="339">
        <f t="shared" si="617"/>
        <v>0</v>
      </c>
      <c r="G712" s="281">
        <v>0</v>
      </c>
      <c r="H712" s="281">
        <v>0</v>
      </c>
      <c r="I712" s="358" t="str">
        <f>IFERROR(F712/#REF!,"-")</f>
        <v>-</v>
      </c>
      <c r="J712" s="339">
        <f t="shared" si="618"/>
        <v>0</v>
      </c>
      <c r="K712" s="281">
        <f t="shared" si="613"/>
        <v>0</v>
      </c>
      <c r="L712" s="250">
        <f t="shared" si="614"/>
        <v>0</v>
      </c>
      <c r="M712" s="265" t="str">
        <f t="shared" si="621"/>
        <v>-</v>
      </c>
      <c r="N712" s="264" t="str">
        <f t="shared" si="622"/>
        <v>-</v>
      </c>
      <c r="O712" s="519">
        <v>3.2963</v>
      </c>
      <c r="P712" s="410">
        <f t="shared" si="615"/>
        <v>0</v>
      </c>
      <c r="Q712" s="459">
        <f t="shared" si="616"/>
        <v>0</v>
      </c>
    </row>
    <row r="713" spans="1:17" ht="24" thickBot="1" x14ac:dyDescent="0.45">
      <c r="A713" s="248" t="s">
        <v>109</v>
      </c>
      <c r="B713" s="981"/>
      <c r="C713" s="556" t="s">
        <v>282</v>
      </c>
      <c r="D713" s="279"/>
      <c r="E713" s="442"/>
      <c r="F713" s="339">
        <f t="shared" si="617"/>
        <v>0</v>
      </c>
      <c r="G713" s="281">
        <v>0</v>
      </c>
      <c r="H713" s="281">
        <v>0</v>
      </c>
      <c r="I713" s="358" t="str">
        <f>IFERROR(F713/#REF!,"-")</f>
        <v>-</v>
      </c>
      <c r="J713" s="339">
        <f t="shared" si="618"/>
        <v>0</v>
      </c>
      <c r="K713" s="281">
        <f t="shared" si="613"/>
        <v>0</v>
      </c>
      <c r="L713" s="250">
        <f t="shared" si="614"/>
        <v>0</v>
      </c>
      <c r="M713" s="265" t="str">
        <f t="shared" si="621"/>
        <v>-</v>
      </c>
      <c r="N713" s="264" t="str">
        <f t="shared" si="622"/>
        <v>-</v>
      </c>
      <c r="O713" s="519">
        <v>3.2963</v>
      </c>
      <c r="P713" s="410">
        <f t="shared" si="615"/>
        <v>0</v>
      </c>
      <c r="Q713" s="459">
        <f t="shared" si="616"/>
        <v>0</v>
      </c>
    </row>
    <row r="714" spans="1:17" ht="23.4" x14ac:dyDescent="0.4">
      <c r="A714" s="248" t="s">
        <v>109</v>
      </c>
      <c r="B714" s="560"/>
      <c r="C714" s="557" t="s">
        <v>92</v>
      </c>
      <c r="D714" s="523"/>
      <c r="E714" s="442"/>
      <c r="F714" s="339">
        <f t="shared" si="617"/>
        <v>0</v>
      </c>
      <c r="G714" s="281">
        <v>0</v>
      </c>
      <c r="H714" s="281">
        <v>0</v>
      </c>
      <c r="I714" s="358" t="str">
        <f>IFERROR(F714/#REF!,"-")</f>
        <v>-</v>
      </c>
      <c r="J714" s="339">
        <f t="shared" si="618"/>
        <v>65530</v>
      </c>
      <c r="K714" s="281">
        <f t="shared" si="613"/>
        <v>65500</v>
      </c>
      <c r="L714" s="250">
        <f t="shared" si="614"/>
        <v>30</v>
      </c>
      <c r="M714" s="265" t="str">
        <f t="shared" si="621"/>
        <v>-</v>
      </c>
      <c r="N714" s="264">
        <f t="shared" si="622"/>
        <v>4.5780558522813981E-4</v>
      </c>
      <c r="O714" s="519">
        <v>2.3201000000000001</v>
      </c>
      <c r="P714" s="410">
        <f t="shared" si="615"/>
        <v>0</v>
      </c>
      <c r="Q714" s="459">
        <f t="shared" si="616"/>
        <v>151966.55000000002</v>
      </c>
    </row>
    <row r="715" spans="1:17" ht="24" thickBot="1" x14ac:dyDescent="0.35">
      <c r="A715" s="248" t="s">
        <v>109</v>
      </c>
      <c r="B715" s="537"/>
      <c r="C715" s="554"/>
      <c r="D715" s="543"/>
      <c r="E715" s="473"/>
      <c r="F715" s="471">
        <f t="shared" si="617"/>
        <v>0</v>
      </c>
      <c r="G715" s="472"/>
      <c r="H715" s="472"/>
      <c r="I715" s="545" t="str">
        <f>IFERROR(F715/#REF!,"-")</f>
        <v>-</v>
      </c>
      <c r="J715" s="471">
        <f t="shared" si="618"/>
        <v>0</v>
      </c>
      <c r="K715" s="472">
        <f t="shared" si="613"/>
        <v>0</v>
      </c>
      <c r="L715" s="257">
        <f t="shared" si="614"/>
        <v>0</v>
      </c>
      <c r="M715" s="267" t="str">
        <f t="shared" si="621"/>
        <v>-</v>
      </c>
      <c r="N715" s="266" t="str">
        <f t="shared" si="622"/>
        <v>-</v>
      </c>
      <c r="O715" s="552"/>
      <c r="P715" s="549">
        <f t="shared" si="615"/>
        <v>0</v>
      </c>
      <c r="Q715" s="550">
        <f t="shared" si="616"/>
        <v>0</v>
      </c>
    </row>
    <row r="716" spans="1:17" ht="24" thickBot="1" x14ac:dyDescent="0.35">
      <c r="A716" s="277" t="s">
        <v>109</v>
      </c>
      <c r="B716" s="982" t="s">
        <v>25</v>
      </c>
      <c r="C716" s="983"/>
      <c r="D716" s="525">
        <f t="shared" ref="D716" si="623">SUM(D692:D715)</f>
        <v>0</v>
      </c>
      <c r="E716" s="539">
        <v>100000</v>
      </c>
      <c r="F716" s="525">
        <f>SUM(F692:F715)</f>
        <v>58853</v>
      </c>
      <c r="G716" s="531">
        <f t="shared" ref="G716:H716" si="624">SUM(G692:G715)</f>
        <v>57250</v>
      </c>
      <c r="H716" s="531">
        <f t="shared" si="624"/>
        <v>1603</v>
      </c>
      <c r="I716" s="532" t="str">
        <f>IFERROR(F716/#REF!,"-")</f>
        <v>-</v>
      </c>
      <c r="J716" s="525">
        <f t="shared" ref="J716" si="625">SUM(J692:J715)</f>
        <v>910356</v>
      </c>
      <c r="K716" s="531">
        <f>SUM(K687:K715)</f>
        <v>960732</v>
      </c>
      <c r="L716" s="533">
        <f t="shared" ref="L716" si="626">SUM(L692:L715)</f>
        <v>14974</v>
      </c>
      <c r="M716" s="534" t="str">
        <f t="shared" si="621"/>
        <v>-</v>
      </c>
      <c r="N716" s="532">
        <f t="shared" si="622"/>
        <v>1.6448510253131741E-2</v>
      </c>
      <c r="O716" s="535"/>
      <c r="P716" s="536">
        <f>SUM(P687:P715)</f>
        <v>517399.41500000004</v>
      </c>
      <c r="Q716" s="536">
        <f>SUM(Q687:Q715)</f>
        <v>7502377.0808000006</v>
      </c>
    </row>
    <row r="717" spans="1:17" ht="24" thickBot="1" x14ac:dyDescent="0.35">
      <c r="A717" s="324" t="s">
        <v>109</v>
      </c>
      <c r="B717" s="984" t="s">
        <v>276</v>
      </c>
      <c r="C717" s="927"/>
      <c r="D717" s="332">
        <f>+D691+D716</f>
        <v>0</v>
      </c>
      <c r="E717" s="333">
        <f>+E691+E716</f>
        <v>100000</v>
      </c>
      <c r="F717" s="332">
        <f>+F691+F716</f>
        <v>58853</v>
      </c>
      <c r="G717" s="330">
        <f>+G691+G716</f>
        <v>57250</v>
      </c>
      <c r="H717" s="330">
        <f>+H691+H716</f>
        <v>1603</v>
      </c>
      <c r="I717" s="355" t="str">
        <f>IFERROR(F717/#REF!,"-")</f>
        <v>-</v>
      </c>
      <c r="J717" s="332">
        <f>+J691+J716</f>
        <v>915706</v>
      </c>
      <c r="K717" s="330">
        <f>K716</f>
        <v>960732</v>
      </c>
      <c r="L717" s="331">
        <f>+L691+L716</f>
        <v>16174</v>
      </c>
      <c r="M717" s="347" t="str">
        <f t="shared" si="621"/>
        <v>-</v>
      </c>
      <c r="N717" s="355">
        <f t="shared" si="622"/>
        <v>1.7662874328660073E-2</v>
      </c>
      <c r="O717" s="400"/>
      <c r="P717" s="416">
        <f>+P691+P716</f>
        <v>517399.41500000004</v>
      </c>
      <c r="Q717" s="434">
        <f>Q716</f>
        <v>7502377.0808000006</v>
      </c>
    </row>
    <row r="718" spans="1:17" ht="24.6" thickBot="1" x14ac:dyDescent="0.35">
      <c r="A718" s="325"/>
      <c r="B718" s="915" t="s">
        <v>183</v>
      </c>
      <c r="C718" s="916"/>
      <c r="D718" s="380">
        <f>+D717+D686+D677</f>
        <v>0</v>
      </c>
      <c r="E718" s="380">
        <f>+E717+E686+E677</f>
        <v>230000</v>
      </c>
      <c r="F718" s="380">
        <f>+F717+F686+F677</f>
        <v>251127</v>
      </c>
      <c r="G718" s="380">
        <f>+G717+G686+G677</f>
        <v>243020</v>
      </c>
      <c r="H718" s="380">
        <f>+H717+H686+H677</f>
        <v>8107</v>
      </c>
      <c r="I718" s="381" t="str">
        <f>IFERROR(F718/#REF!,"-")</f>
        <v>-</v>
      </c>
      <c r="J718" s="380">
        <f>+J717+J686+J677</f>
        <v>3563490</v>
      </c>
      <c r="K718" s="380">
        <f>+K717+K686+K677</f>
        <v>3504882</v>
      </c>
      <c r="L718" s="380">
        <f>+L717+L686+L677</f>
        <v>103528</v>
      </c>
      <c r="M718" s="381" t="str">
        <f t="shared" si="621"/>
        <v>-</v>
      </c>
      <c r="N718" s="381">
        <f>IFERROR(L718/J718,"-")</f>
        <v>2.9052417714094891E-2</v>
      </c>
      <c r="O718" s="407"/>
      <c r="P718" s="424">
        <f>+P717+P686+P677</f>
        <v>1544227.3120000002</v>
      </c>
      <c r="Q718" s="424">
        <f>+Q717+Q686+Q677</f>
        <v>21451466.871800002</v>
      </c>
    </row>
    <row r="719" spans="1:17" ht="23.4" x14ac:dyDescent="0.3">
      <c r="A719" s="935" t="s">
        <v>1</v>
      </c>
      <c r="B719" s="938" t="s">
        <v>2</v>
      </c>
      <c r="C719" s="941" t="s">
        <v>3</v>
      </c>
      <c r="D719" s="944" t="s">
        <v>4</v>
      </c>
      <c r="E719" s="945"/>
      <c r="F719" s="945"/>
      <c r="G719" s="945"/>
      <c r="H719" s="945"/>
      <c r="I719" s="945"/>
      <c r="J719" s="945"/>
      <c r="K719" s="945"/>
      <c r="L719" s="945"/>
      <c r="M719" s="945"/>
      <c r="N719" s="946"/>
      <c r="O719" s="965" t="s">
        <v>176</v>
      </c>
      <c r="P719" s="966"/>
      <c r="Q719" s="990"/>
    </row>
    <row r="720" spans="1:17" ht="23.4" x14ac:dyDescent="0.3">
      <c r="A720" s="936"/>
      <c r="B720" s="939"/>
      <c r="C720" s="942"/>
      <c r="D720" s="947" t="s">
        <v>7</v>
      </c>
      <c r="E720" s="949" t="s">
        <v>116</v>
      </c>
      <c r="F720" s="991" t="s">
        <v>465</v>
      </c>
      <c r="G720" s="952"/>
      <c r="H720" s="952"/>
      <c r="I720" s="953"/>
      <c r="J720" s="954" t="s">
        <v>8</v>
      </c>
      <c r="K720" s="955"/>
      <c r="L720" s="956"/>
      <c r="M720" s="957" t="s">
        <v>174</v>
      </c>
      <c r="N720" s="959" t="s">
        <v>173</v>
      </c>
      <c r="O720" s="967" t="s">
        <v>178</v>
      </c>
      <c r="P720" s="968"/>
      <c r="Q720" s="969"/>
    </row>
    <row r="721" spans="1:17" ht="47.4" thickBot="1" x14ac:dyDescent="0.35">
      <c r="A721" s="937"/>
      <c r="B721" s="940"/>
      <c r="C721" s="943"/>
      <c r="D721" s="948"/>
      <c r="E721" s="950"/>
      <c r="F721" s="462" t="s">
        <v>13</v>
      </c>
      <c r="G721" s="463" t="s">
        <v>14</v>
      </c>
      <c r="H721" s="463" t="s">
        <v>15</v>
      </c>
      <c r="I721" s="464" t="s">
        <v>175</v>
      </c>
      <c r="J721" s="462" t="s">
        <v>13</v>
      </c>
      <c r="K721" s="463" t="s">
        <v>14</v>
      </c>
      <c r="L721" s="465" t="s">
        <v>15</v>
      </c>
      <c r="M721" s="958"/>
      <c r="N721" s="960"/>
      <c r="O721" s="453" t="s">
        <v>179</v>
      </c>
      <c r="P721" s="454" t="s">
        <v>11</v>
      </c>
      <c r="Q721" s="455" t="s">
        <v>12</v>
      </c>
    </row>
    <row r="722" spans="1:17" ht="23.4" x14ac:dyDescent="0.3">
      <c r="A722" s="271" t="s">
        <v>111</v>
      </c>
      <c r="B722" s="445"/>
      <c r="C722" s="272" t="s">
        <v>272</v>
      </c>
      <c r="D722" s="273"/>
      <c r="E722" s="274"/>
      <c r="F722" s="338">
        <f>+G722+H722</f>
        <v>60700</v>
      </c>
      <c r="G722" s="275">
        <v>56280</v>
      </c>
      <c r="H722" s="275">
        <v>4420</v>
      </c>
      <c r="I722" s="357" t="str">
        <f>IFERROR(F722/#REF!,"-")</f>
        <v>-</v>
      </c>
      <c r="J722" s="468">
        <f>+K722+L722</f>
        <v>786314</v>
      </c>
      <c r="K722" s="469">
        <f>+G722+K663</f>
        <v>732200</v>
      </c>
      <c r="L722" s="470">
        <f>+H722+L663</f>
        <v>54114</v>
      </c>
      <c r="M722" s="342" t="str">
        <f>IFERROR(J722/D722,"-")</f>
        <v>-</v>
      </c>
      <c r="N722" s="349">
        <f t="shared" ref="N722:N723" si="627">IFERROR(L722/J722,"-")</f>
        <v>6.8819835332958587E-2</v>
      </c>
      <c r="O722" s="518">
        <v>1.5669</v>
      </c>
      <c r="P722" s="408">
        <f>+O722*G722</f>
        <v>88185.131999999998</v>
      </c>
      <c r="Q722" s="457">
        <f>+O722*K722</f>
        <v>1147284.18</v>
      </c>
    </row>
    <row r="723" spans="1:17" ht="23.4" x14ac:dyDescent="0.3">
      <c r="A723" s="277" t="s">
        <v>111</v>
      </c>
      <c r="B723" s="444"/>
      <c r="C723" s="278" t="s">
        <v>271</v>
      </c>
      <c r="D723" s="279"/>
      <c r="E723" s="280"/>
      <c r="F723" s="339">
        <f t="shared" ref="F723:F726" si="628">+G723+H723</f>
        <v>0</v>
      </c>
      <c r="G723" s="281">
        <v>0</v>
      </c>
      <c r="H723" s="281">
        <v>0</v>
      </c>
      <c r="I723" s="358" t="str">
        <f>IFERROR(F723/#REF!,"-")</f>
        <v>-</v>
      </c>
      <c r="J723" s="339">
        <f t="shared" ref="J723:J726" si="629">+K723+L723</f>
        <v>0</v>
      </c>
      <c r="K723" s="281">
        <f t="shared" ref="K723:K726" si="630">+G723+K664</f>
        <v>0</v>
      </c>
      <c r="L723" s="442">
        <f t="shared" ref="L723:L726" si="631">+H723+L664</f>
        <v>0</v>
      </c>
      <c r="M723" s="343" t="str">
        <f t="shared" ref="M723:M726" si="632">IFERROR(J723/D723,"-")</f>
        <v>-</v>
      </c>
      <c r="N723" s="268" t="str">
        <f t="shared" si="627"/>
        <v>-</v>
      </c>
      <c r="O723" s="519">
        <v>2.3978999999999999</v>
      </c>
      <c r="P723" s="410">
        <f t="shared" ref="P723:P726" si="633">+O723*G723</f>
        <v>0</v>
      </c>
      <c r="Q723" s="459">
        <f t="shared" ref="Q723:Q726" si="634">+O723*K723</f>
        <v>0</v>
      </c>
    </row>
    <row r="724" spans="1:17" ht="23.4" x14ac:dyDescent="0.3">
      <c r="A724" s="277" t="s">
        <v>111</v>
      </c>
      <c r="B724" s="444"/>
      <c r="C724" s="278" t="s">
        <v>273</v>
      </c>
      <c r="D724" s="279"/>
      <c r="E724" s="280"/>
      <c r="F724" s="339">
        <f t="shared" si="628"/>
        <v>0</v>
      </c>
      <c r="G724" s="281">
        <v>0</v>
      </c>
      <c r="H724" s="281">
        <v>0</v>
      </c>
      <c r="I724" s="358" t="str">
        <f>IFERROR(F724/#REF!,"-")</f>
        <v>-</v>
      </c>
      <c r="J724" s="339">
        <f t="shared" si="629"/>
        <v>0</v>
      </c>
      <c r="K724" s="281">
        <f t="shared" si="630"/>
        <v>0</v>
      </c>
      <c r="L724" s="251">
        <f t="shared" si="631"/>
        <v>0</v>
      </c>
      <c r="M724" s="343" t="str">
        <f t="shared" si="632"/>
        <v>-</v>
      </c>
      <c r="N724" s="268" t="str">
        <f>IFERROR(L724/J724,"-")</f>
        <v>-</v>
      </c>
      <c r="O724" s="520">
        <v>4.6797000000000004</v>
      </c>
      <c r="P724" s="410">
        <f t="shared" si="633"/>
        <v>0</v>
      </c>
      <c r="Q724" s="459">
        <f t="shared" si="634"/>
        <v>0</v>
      </c>
    </row>
    <row r="725" spans="1:17" ht="23.4" x14ac:dyDescent="0.3">
      <c r="A725" s="277"/>
      <c r="B725" s="461"/>
      <c r="C725" s="278" t="s">
        <v>372</v>
      </c>
      <c r="D725" s="283"/>
      <c r="E725" s="284"/>
      <c r="F725" s="339">
        <f t="shared" si="628"/>
        <v>51917</v>
      </c>
      <c r="G725" s="285">
        <v>51000</v>
      </c>
      <c r="H725" s="285">
        <v>917</v>
      </c>
      <c r="I725" s="358" t="str">
        <f>IFERROR(F725/#REF!,"-")</f>
        <v>-</v>
      </c>
      <c r="J725" s="339">
        <f t="shared" si="629"/>
        <v>568847</v>
      </c>
      <c r="K725" s="281">
        <f t="shared" si="630"/>
        <v>550000</v>
      </c>
      <c r="L725" s="286">
        <f t="shared" si="631"/>
        <v>18847</v>
      </c>
      <c r="M725" s="343" t="str">
        <f t="shared" si="632"/>
        <v>-</v>
      </c>
      <c r="N725" s="268">
        <f>IFERROR(L725/J725,"-")</f>
        <v>3.3131931784820871E-2</v>
      </c>
      <c r="O725" s="520">
        <v>12.284700000000001</v>
      </c>
      <c r="P725" s="410">
        <f t="shared" si="633"/>
        <v>626519.70000000007</v>
      </c>
      <c r="Q725" s="459">
        <f t="shared" si="634"/>
        <v>6756585</v>
      </c>
    </row>
    <row r="726" spans="1:17" ht="24" thickBot="1" x14ac:dyDescent="0.35">
      <c r="A726" s="277" t="s">
        <v>111</v>
      </c>
      <c r="B726" s="461"/>
      <c r="C726" s="278" t="s">
        <v>361</v>
      </c>
      <c r="D726" s="283"/>
      <c r="E726" s="284"/>
      <c r="F726" s="340">
        <f t="shared" si="628"/>
        <v>0</v>
      </c>
      <c r="G726" s="285">
        <v>0</v>
      </c>
      <c r="H726" s="285">
        <v>0</v>
      </c>
      <c r="I726" s="359" t="str">
        <f>IFERROR(F726/#REF!,"-")</f>
        <v>-</v>
      </c>
      <c r="J726" s="471">
        <f t="shared" si="629"/>
        <v>125654</v>
      </c>
      <c r="K726" s="472">
        <f t="shared" si="630"/>
        <v>123250</v>
      </c>
      <c r="L726" s="258">
        <f t="shared" si="631"/>
        <v>2404</v>
      </c>
      <c r="M726" s="344" t="str">
        <f t="shared" si="632"/>
        <v>-</v>
      </c>
      <c r="N726" s="350">
        <f t="shared" ref="N726:N738" si="635">IFERROR(L726/J726,"-")</f>
        <v>1.9131901889315104E-2</v>
      </c>
      <c r="O726" s="520">
        <v>4.6797000000000004</v>
      </c>
      <c r="P726" s="411">
        <f t="shared" si="633"/>
        <v>0</v>
      </c>
      <c r="Q726" s="460">
        <f t="shared" si="634"/>
        <v>576773.02500000002</v>
      </c>
    </row>
    <row r="727" spans="1:17" ht="24" thickBot="1" x14ac:dyDescent="0.35">
      <c r="A727" s="277" t="s">
        <v>111</v>
      </c>
      <c r="B727" s="906" t="s">
        <v>21</v>
      </c>
      <c r="C727" s="907"/>
      <c r="D727" s="326">
        <f>SUM(D722:D726)</f>
        <v>0</v>
      </c>
      <c r="E727" s="289">
        <v>15000</v>
      </c>
      <c r="F727" s="326">
        <f>SUM(F722:F726)</f>
        <v>112617</v>
      </c>
      <c r="G727" s="327">
        <f>SUM(G722:G726)</f>
        <v>107280</v>
      </c>
      <c r="H727" s="327">
        <f>SUM(H722:H726)</f>
        <v>5337</v>
      </c>
      <c r="I727" s="351" t="str">
        <f>IFERROR(F727/#REF!,"-")</f>
        <v>-</v>
      </c>
      <c r="J727" s="326">
        <f>SUM(J722:J726)</f>
        <v>1480815</v>
      </c>
      <c r="K727" s="327">
        <f>SUM(K722:K726)</f>
        <v>1405450</v>
      </c>
      <c r="L727" s="328">
        <f>SUM(L722:L726)</f>
        <v>75365</v>
      </c>
      <c r="M727" s="345" t="str">
        <f>IFERROR(J727/D727,"-")</f>
        <v>-</v>
      </c>
      <c r="N727" s="351">
        <f t="shared" si="635"/>
        <v>5.0894271060193202E-2</v>
      </c>
      <c r="O727" s="397"/>
      <c r="P727" s="412">
        <f>SUM(P722:P726)</f>
        <v>714704.83200000005</v>
      </c>
      <c r="Q727" s="431">
        <f>SUM(Q722:Q726)</f>
        <v>8480642.2050000001</v>
      </c>
    </row>
    <row r="728" spans="1:17" ht="23.4" x14ac:dyDescent="0.3">
      <c r="A728" s="277" t="s">
        <v>111</v>
      </c>
      <c r="B728" s="445"/>
      <c r="C728" s="272" t="s">
        <v>270</v>
      </c>
      <c r="D728" s="273"/>
      <c r="E728" s="274"/>
      <c r="F728" s="338">
        <f t="shared" ref="F728:F734" si="636">+G728+H728</f>
        <v>0</v>
      </c>
      <c r="G728" s="275">
        <v>0</v>
      </c>
      <c r="H728" s="275">
        <v>0</v>
      </c>
      <c r="I728" s="357" t="str">
        <f>IFERROR(F728/#REF!,"-")</f>
        <v>-</v>
      </c>
      <c r="J728" s="338">
        <f t="shared" ref="J728:J734" si="637">+K728+L728</f>
        <v>18953</v>
      </c>
      <c r="K728" s="275">
        <f t="shared" ref="K728:K734" si="638">+G728+K669</f>
        <v>18480</v>
      </c>
      <c r="L728" s="276">
        <f t="shared" ref="L728:L734" si="639">+H728+L669</f>
        <v>473</v>
      </c>
      <c r="M728" s="342" t="str">
        <f t="shared" ref="M728:M736" si="640">IFERROR(J728/D728,"-")</f>
        <v>-</v>
      </c>
      <c r="N728" s="352">
        <f t="shared" si="635"/>
        <v>2.4956471271038887E-2</v>
      </c>
      <c r="O728" s="518">
        <v>18.2316</v>
      </c>
      <c r="P728" s="408">
        <f t="shared" ref="P728:P734" si="641">+O728*G728</f>
        <v>0</v>
      </c>
      <c r="Q728" s="457">
        <f t="shared" ref="Q728:Q734" si="642">+O728*K728</f>
        <v>336919.96799999999</v>
      </c>
    </row>
    <row r="729" spans="1:17" ht="23.4" x14ac:dyDescent="0.3">
      <c r="A729" s="277" t="s">
        <v>111</v>
      </c>
      <c r="B729" s="444"/>
      <c r="C729" s="278" t="s">
        <v>92</v>
      </c>
      <c r="D729" s="279"/>
      <c r="E729" s="280"/>
      <c r="F729" s="339">
        <f t="shared" si="636"/>
        <v>0</v>
      </c>
      <c r="G729" s="281">
        <v>0</v>
      </c>
      <c r="H729" s="281">
        <v>0</v>
      </c>
      <c r="I729" s="358" t="str">
        <f>IFERROR(F729/#REF!,"-")</f>
        <v>-</v>
      </c>
      <c r="J729" s="339">
        <f t="shared" si="637"/>
        <v>180000</v>
      </c>
      <c r="K729" s="281">
        <f t="shared" si="638"/>
        <v>180000</v>
      </c>
      <c r="L729" s="251">
        <f t="shared" si="639"/>
        <v>0</v>
      </c>
      <c r="M729" s="343" t="str">
        <f t="shared" si="640"/>
        <v>-</v>
      </c>
      <c r="N729" s="264">
        <f t="shared" si="635"/>
        <v>0</v>
      </c>
      <c r="O729" s="519">
        <v>1.2824</v>
      </c>
      <c r="P729" s="410">
        <f t="shared" si="641"/>
        <v>0</v>
      </c>
      <c r="Q729" s="459">
        <f t="shared" si="642"/>
        <v>230832</v>
      </c>
    </row>
    <row r="730" spans="1:17" ht="23.4" x14ac:dyDescent="0.3">
      <c r="A730" s="277" t="s">
        <v>111</v>
      </c>
      <c r="B730" s="444"/>
      <c r="C730" s="278" t="s">
        <v>340</v>
      </c>
      <c r="D730" s="279"/>
      <c r="E730" s="280"/>
      <c r="F730" s="339">
        <f t="shared" si="636"/>
        <v>0</v>
      </c>
      <c r="G730" s="281">
        <v>0</v>
      </c>
      <c r="H730" s="281">
        <v>0</v>
      </c>
      <c r="I730" s="358" t="str">
        <f>IFERROR(F730/#REF!,"-")</f>
        <v>-</v>
      </c>
      <c r="J730" s="339">
        <f t="shared" si="637"/>
        <v>0</v>
      </c>
      <c r="K730" s="281">
        <f t="shared" si="638"/>
        <v>0</v>
      </c>
      <c r="L730" s="251">
        <f t="shared" si="639"/>
        <v>0</v>
      </c>
      <c r="M730" s="343" t="str">
        <f t="shared" si="640"/>
        <v>-</v>
      </c>
      <c r="N730" s="264" t="str">
        <f t="shared" si="635"/>
        <v>-</v>
      </c>
      <c r="O730" s="519">
        <v>5.7342000000000004</v>
      </c>
      <c r="P730" s="410">
        <f t="shared" si="641"/>
        <v>0</v>
      </c>
      <c r="Q730" s="459">
        <f t="shared" si="642"/>
        <v>0</v>
      </c>
    </row>
    <row r="731" spans="1:17" ht="23.4" x14ac:dyDescent="0.3">
      <c r="A731" s="277" t="s">
        <v>111</v>
      </c>
      <c r="B731" s="444"/>
      <c r="C731" s="278" t="s">
        <v>363</v>
      </c>
      <c r="D731" s="279"/>
      <c r="E731" s="280"/>
      <c r="F731" s="339">
        <f t="shared" si="636"/>
        <v>0</v>
      </c>
      <c r="G731" s="281">
        <v>0</v>
      </c>
      <c r="H731" s="281">
        <v>0</v>
      </c>
      <c r="I731" s="358" t="str">
        <f>IFERROR(F731/#REF!,"-")</f>
        <v>-</v>
      </c>
      <c r="J731" s="339">
        <f t="shared" si="637"/>
        <v>0</v>
      </c>
      <c r="K731" s="281">
        <f t="shared" si="638"/>
        <v>0</v>
      </c>
      <c r="L731" s="251">
        <f t="shared" si="639"/>
        <v>0</v>
      </c>
      <c r="M731" s="343" t="str">
        <f t="shared" si="640"/>
        <v>-</v>
      </c>
      <c r="N731" s="264" t="str">
        <f t="shared" si="635"/>
        <v>-</v>
      </c>
      <c r="O731" s="519"/>
      <c r="P731" s="410">
        <f t="shared" si="641"/>
        <v>0</v>
      </c>
      <c r="Q731" s="459">
        <f t="shared" si="642"/>
        <v>0</v>
      </c>
    </row>
    <row r="732" spans="1:17" ht="23.4" x14ac:dyDescent="0.3">
      <c r="A732" s="277" t="s">
        <v>111</v>
      </c>
      <c r="B732" s="444"/>
      <c r="C732" s="278" t="s">
        <v>373</v>
      </c>
      <c r="D732" s="279"/>
      <c r="E732" s="280"/>
      <c r="F732" s="339">
        <f t="shared" si="636"/>
        <v>18072</v>
      </c>
      <c r="G732" s="281">
        <v>18000</v>
      </c>
      <c r="H732" s="281">
        <v>72</v>
      </c>
      <c r="I732" s="358" t="str">
        <f>IFERROR(F732/#REF!,"-")</f>
        <v>-</v>
      </c>
      <c r="J732" s="339">
        <f t="shared" si="637"/>
        <v>326243</v>
      </c>
      <c r="K732" s="281">
        <f t="shared" si="638"/>
        <v>325000</v>
      </c>
      <c r="L732" s="251">
        <f t="shared" si="639"/>
        <v>1243</v>
      </c>
      <c r="M732" s="343" t="str">
        <f t="shared" si="640"/>
        <v>-</v>
      </c>
      <c r="N732" s="264">
        <f t="shared" si="635"/>
        <v>3.8100434338821064E-3</v>
      </c>
      <c r="O732" s="519">
        <v>12.029500000000001</v>
      </c>
      <c r="P732" s="410">
        <f t="shared" si="641"/>
        <v>216531</v>
      </c>
      <c r="Q732" s="459">
        <f t="shared" si="642"/>
        <v>3909587.5</v>
      </c>
    </row>
    <row r="733" spans="1:17" ht="23.4" x14ac:dyDescent="0.3">
      <c r="A733" s="277" t="s">
        <v>111</v>
      </c>
      <c r="B733" s="444"/>
      <c r="C733" s="278"/>
      <c r="D733" s="279"/>
      <c r="E733" s="280"/>
      <c r="F733" s="339">
        <f t="shared" si="636"/>
        <v>0</v>
      </c>
      <c r="G733" s="281">
        <v>0</v>
      </c>
      <c r="H733" s="281">
        <v>0</v>
      </c>
      <c r="I733" s="358" t="str">
        <f>IFERROR(F733/#REF!,"-")</f>
        <v>-</v>
      </c>
      <c r="J733" s="339">
        <f t="shared" si="637"/>
        <v>0</v>
      </c>
      <c r="K733" s="281">
        <f t="shared" si="638"/>
        <v>0</v>
      </c>
      <c r="L733" s="251">
        <f t="shared" si="639"/>
        <v>0</v>
      </c>
      <c r="M733" s="343" t="str">
        <f t="shared" si="640"/>
        <v>-</v>
      </c>
      <c r="N733" s="264" t="str">
        <f t="shared" si="635"/>
        <v>-</v>
      </c>
      <c r="O733" s="519"/>
      <c r="P733" s="410">
        <f t="shared" si="641"/>
        <v>0</v>
      </c>
      <c r="Q733" s="459">
        <f t="shared" si="642"/>
        <v>0</v>
      </c>
    </row>
    <row r="734" spans="1:17" ht="24" thickBot="1" x14ac:dyDescent="0.35">
      <c r="A734" s="277" t="s">
        <v>111</v>
      </c>
      <c r="B734" s="461"/>
      <c r="C734" s="282"/>
      <c r="D734" s="283">
        <v>0</v>
      </c>
      <c r="E734" s="284"/>
      <c r="F734" s="340">
        <f t="shared" si="636"/>
        <v>0</v>
      </c>
      <c r="G734" s="285">
        <v>0</v>
      </c>
      <c r="H734" s="285">
        <v>0</v>
      </c>
      <c r="I734" s="359" t="str">
        <f>IFERROR(F734/#REF!,"-")</f>
        <v>-</v>
      </c>
      <c r="J734" s="340">
        <f t="shared" si="637"/>
        <v>0</v>
      </c>
      <c r="K734" s="285">
        <f t="shared" si="638"/>
        <v>0</v>
      </c>
      <c r="L734" s="286">
        <f t="shared" si="639"/>
        <v>0</v>
      </c>
      <c r="M734" s="344" t="str">
        <f t="shared" si="640"/>
        <v>-</v>
      </c>
      <c r="N734" s="353" t="str">
        <f t="shared" si="635"/>
        <v>-</v>
      </c>
      <c r="O734" s="520"/>
      <c r="P734" s="411">
        <f t="shared" si="641"/>
        <v>0</v>
      </c>
      <c r="Q734" s="460">
        <f t="shared" si="642"/>
        <v>0</v>
      </c>
    </row>
    <row r="735" spans="1:17" ht="24" thickBot="1" x14ac:dyDescent="0.35">
      <c r="A735" s="277" t="s">
        <v>111</v>
      </c>
      <c r="B735" s="906" t="s">
        <v>25</v>
      </c>
      <c r="C735" s="907"/>
      <c r="D735" s="326">
        <f t="shared" ref="D735" si="643">SUM(D728:D734)</f>
        <v>0</v>
      </c>
      <c r="E735" s="289">
        <v>100000</v>
      </c>
      <c r="F735" s="326">
        <f>SUM(F728:F734)</f>
        <v>18072</v>
      </c>
      <c r="G735" s="327">
        <f t="shared" ref="G735:H735" si="644">SUM(G728:G734)</f>
        <v>18000</v>
      </c>
      <c r="H735" s="327">
        <f t="shared" si="644"/>
        <v>72</v>
      </c>
      <c r="I735" s="351" t="str">
        <f>IFERROR(F735/#REF!,"-")</f>
        <v>-</v>
      </c>
      <c r="J735" s="326">
        <f t="shared" ref="J735:L735" si="645">SUM(J728:J734)</f>
        <v>525196</v>
      </c>
      <c r="K735" s="327">
        <f t="shared" si="645"/>
        <v>523480</v>
      </c>
      <c r="L735" s="328">
        <f t="shared" si="645"/>
        <v>1716</v>
      </c>
      <c r="M735" s="345" t="str">
        <f t="shared" si="640"/>
        <v>-</v>
      </c>
      <c r="N735" s="351">
        <f t="shared" si="635"/>
        <v>3.2673516173009694E-3</v>
      </c>
      <c r="O735" s="397"/>
      <c r="P735" s="412">
        <f t="shared" ref="P735:Q735" si="646">SUM(P728:P734)</f>
        <v>216531</v>
      </c>
      <c r="Q735" s="431">
        <f t="shared" si="646"/>
        <v>4477339.4680000003</v>
      </c>
    </row>
    <row r="736" spans="1:17" ht="24" thickBot="1" x14ac:dyDescent="0.35">
      <c r="A736" s="277" t="s">
        <v>111</v>
      </c>
      <c r="B736" s="985" t="s">
        <v>181</v>
      </c>
      <c r="C736" s="986"/>
      <c r="D736" s="332">
        <f>+D727+D735</f>
        <v>0</v>
      </c>
      <c r="E736" s="333">
        <f t="shared" ref="E736:H736" si="647">+E727+E735</f>
        <v>115000</v>
      </c>
      <c r="F736" s="332">
        <f t="shared" si="647"/>
        <v>130689</v>
      </c>
      <c r="G736" s="330">
        <f t="shared" si="647"/>
        <v>125280</v>
      </c>
      <c r="H736" s="330">
        <f t="shared" si="647"/>
        <v>5409</v>
      </c>
      <c r="I736" s="355" t="str">
        <f>IFERROR(F736/#REF!,"-")</f>
        <v>-</v>
      </c>
      <c r="J736" s="332">
        <f t="shared" ref="J736:L736" si="648">+J727+J735</f>
        <v>2006011</v>
      </c>
      <c r="K736" s="330">
        <f t="shared" si="648"/>
        <v>1928930</v>
      </c>
      <c r="L736" s="331">
        <f t="shared" si="648"/>
        <v>77081</v>
      </c>
      <c r="M736" s="347" t="str">
        <f t="shared" si="640"/>
        <v>-</v>
      </c>
      <c r="N736" s="355">
        <f t="shared" si="635"/>
        <v>3.8425013621560401E-2</v>
      </c>
      <c r="O736" s="400"/>
      <c r="P736" s="416">
        <f t="shared" ref="P736:Q736" si="649">+P727+P735</f>
        <v>931235.83200000005</v>
      </c>
      <c r="Q736" s="434">
        <f t="shared" si="649"/>
        <v>12957981.673</v>
      </c>
    </row>
    <row r="737" spans="1:17" ht="23.4" x14ac:dyDescent="0.3">
      <c r="A737" s="244" t="s">
        <v>109</v>
      </c>
      <c r="B737" s="599"/>
      <c r="C737" s="600" t="s">
        <v>314</v>
      </c>
      <c r="D737" s="540"/>
      <c r="E737" s="470"/>
      <c r="F737" s="468">
        <f>+G737+H737</f>
        <v>0</v>
      </c>
      <c r="G737" s="469">
        <v>0</v>
      </c>
      <c r="H737" s="469">
        <v>0</v>
      </c>
      <c r="I737" s="544" t="str">
        <f>IFERROR(F737/#REF!,"-")</f>
        <v>-</v>
      </c>
      <c r="J737" s="468">
        <f>+K737+L737</f>
        <v>0</v>
      </c>
      <c r="K737" s="469">
        <f t="shared" ref="K737:K743" si="650">+G737+K678</f>
        <v>0</v>
      </c>
      <c r="L737" s="247">
        <f t="shared" ref="L737:L743" si="651">+H737+L678</f>
        <v>0</v>
      </c>
      <c r="M737" s="604" t="str">
        <f>IFERROR(J737/D737,"-")</f>
        <v>-</v>
      </c>
      <c r="N737" s="546" t="str">
        <f t="shared" si="635"/>
        <v>-</v>
      </c>
      <c r="O737" s="648">
        <v>4.8285999999999998</v>
      </c>
      <c r="P737" s="547">
        <f t="shared" ref="P737:P743" si="652">+O737*G737</f>
        <v>0</v>
      </c>
      <c r="Q737" s="548">
        <f>+O737*K737</f>
        <v>0</v>
      </c>
    </row>
    <row r="738" spans="1:17" ht="23.4" x14ac:dyDescent="0.3">
      <c r="A738" s="248" t="s">
        <v>109</v>
      </c>
      <c r="B738" s="601"/>
      <c r="C738" s="278" t="s">
        <v>315</v>
      </c>
      <c r="D738" s="279"/>
      <c r="E738" s="442"/>
      <c r="F738" s="339">
        <f t="shared" ref="F738:F743" si="653">+G738+H738</f>
        <v>0</v>
      </c>
      <c r="G738" s="281">
        <v>0</v>
      </c>
      <c r="H738" s="281">
        <v>0</v>
      </c>
      <c r="I738" s="358" t="str">
        <f>IFERROR(F738/#REF!,"-")</f>
        <v>-</v>
      </c>
      <c r="J738" s="339">
        <f t="shared" ref="J738:J743" si="654">+K738+L738</f>
        <v>0</v>
      </c>
      <c r="K738" s="281">
        <f t="shared" si="650"/>
        <v>0</v>
      </c>
      <c r="L738" s="251">
        <f t="shared" si="651"/>
        <v>0</v>
      </c>
      <c r="M738" s="343" t="str">
        <f t="shared" ref="M738:M740" si="655">IFERROR(J738/D738,"-")</f>
        <v>-</v>
      </c>
      <c r="N738" s="268" t="str">
        <f t="shared" si="635"/>
        <v>-</v>
      </c>
      <c r="O738" s="649">
        <v>1.4086000000000001</v>
      </c>
      <c r="P738" s="410">
        <f t="shared" si="652"/>
        <v>0</v>
      </c>
      <c r="Q738" s="459">
        <f t="shared" ref="Q738:Q743" si="656">+O738*K738</f>
        <v>0</v>
      </c>
    </row>
    <row r="739" spans="1:17" ht="23.4" x14ac:dyDescent="0.3">
      <c r="A739" s="248" t="s">
        <v>109</v>
      </c>
      <c r="B739" s="601"/>
      <c r="C739" s="278" t="s">
        <v>367</v>
      </c>
      <c r="D739" s="279"/>
      <c r="E739" s="442"/>
      <c r="F739" s="339">
        <f t="shared" si="653"/>
        <v>0</v>
      </c>
      <c r="G739" s="281">
        <v>0</v>
      </c>
      <c r="H739" s="281">
        <v>0</v>
      </c>
      <c r="I739" s="358" t="str">
        <f>IFERROR(F739/#REF!,"-")</f>
        <v>-</v>
      </c>
      <c r="J739" s="339">
        <f t="shared" si="654"/>
        <v>573613</v>
      </c>
      <c r="K739" s="281">
        <f t="shared" si="650"/>
        <v>566000</v>
      </c>
      <c r="L739" s="251">
        <f t="shared" si="651"/>
        <v>7613</v>
      </c>
      <c r="M739" s="343" t="str">
        <f t="shared" si="655"/>
        <v>-</v>
      </c>
      <c r="N739" s="268">
        <f>IFERROR(L739/J739,"-")</f>
        <v>1.3272014406925924E-2</v>
      </c>
      <c r="O739" s="649">
        <v>2.2141000000000002</v>
      </c>
      <c r="P739" s="410">
        <f t="shared" si="652"/>
        <v>0</v>
      </c>
      <c r="Q739" s="459">
        <f t="shared" si="656"/>
        <v>1253180.6000000001</v>
      </c>
    </row>
    <row r="740" spans="1:17" ht="23.4" x14ac:dyDescent="0.3">
      <c r="A740" s="248" t="s">
        <v>109</v>
      </c>
      <c r="B740" s="602"/>
      <c r="C740" s="278" t="s">
        <v>436</v>
      </c>
      <c r="D740" s="283"/>
      <c r="E740" s="541"/>
      <c r="F740" s="340">
        <f t="shared" si="653"/>
        <v>0</v>
      </c>
      <c r="G740" s="285">
        <v>0</v>
      </c>
      <c r="H740" s="285">
        <v>0</v>
      </c>
      <c r="I740" s="359" t="str">
        <f>IFERROR(F740/#REF!,"-")</f>
        <v>-</v>
      </c>
      <c r="J740" s="339">
        <f t="shared" si="654"/>
        <v>40882</v>
      </c>
      <c r="K740" s="285">
        <f t="shared" si="650"/>
        <v>40000</v>
      </c>
      <c r="L740" s="286">
        <f t="shared" si="651"/>
        <v>882</v>
      </c>
      <c r="M740" s="344" t="str">
        <f t="shared" si="655"/>
        <v>-</v>
      </c>
      <c r="N740" s="350">
        <f t="shared" ref="N740:N747" si="657">IFERROR(L740/J740,"-")</f>
        <v>2.157428697226163E-2</v>
      </c>
      <c r="O740" s="650">
        <v>2.4565999999999999</v>
      </c>
      <c r="P740" s="411">
        <f t="shared" si="652"/>
        <v>0</v>
      </c>
      <c r="Q740" s="460">
        <f t="shared" si="656"/>
        <v>98264</v>
      </c>
    </row>
    <row r="741" spans="1:17" ht="23.4" x14ac:dyDescent="0.3">
      <c r="A741" s="248" t="s">
        <v>109</v>
      </c>
      <c r="B741" s="446"/>
      <c r="C741" s="647" t="s">
        <v>444</v>
      </c>
      <c r="D741" s="521"/>
      <c r="E741" s="542"/>
      <c r="F741" s="339">
        <f t="shared" si="653"/>
        <v>0</v>
      </c>
      <c r="G741" s="561">
        <v>0</v>
      </c>
      <c r="H741" s="561">
        <v>0</v>
      </c>
      <c r="I741" s="358" t="str">
        <f>IFERROR(F741/#REF!,"-")</f>
        <v>-</v>
      </c>
      <c r="J741" s="339">
        <f t="shared" si="654"/>
        <v>16280</v>
      </c>
      <c r="K741" s="285">
        <f t="shared" si="650"/>
        <v>15000</v>
      </c>
      <c r="L741" s="286">
        <f t="shared" si="651"/>
        <v>1280</v>
      </c>
      <c r="M741" s="522"/>
      <c r="N741" s="268">
        <f t="shared" si="657"/>
        <v>7.8624078624078622E-2</v>
      </c>
      <c r="O741" s="553">
        <v>4.8285999999999998</v>
      </c>
      <c r="P741" s="410">
        <f t="shared" si="652"/>
        <v>0</v>
      </c>
      <c r="Q741" s="459">
        <f t="shared" si="656"/>
        <v>72429</v>
      </c>
    </row>
    <row r="742" spans="1:17" ht="23.4" x14ac:dyDescent="0.3">
      <c r="A742" s="248" t="s">
        <v>109</v>
      </c>
      <c r="B742" s="603"/>
      <c r="C742" s="647" t="s">
        <v>439</v>
      </c>
      <c r="D742" s="273"/>
      <c r="E742" s="441"/>
      <c r="F742" s="338">
        <f t="shared" si="653"/>
        <v>61250</v>
      </c>
      <c r="G742" s="275">
        <v>60000</v>
      </c>
      <c r="H742" s="275">
        <v>1250</v>
      </c>
      <c r="I742" s="357" t="str">
        <f>IFERROR(F742/#REF!,"-")</f>
        <v>-</v>
      </c>
      <c r="J742" s="339">
        <f t="shared" si="654"/>
        <v>186657</v>
      </c>
      <c r="K742" s="285">
        <f t="shared" si="650"/>
        <v>179500</v>
      </c>
      <c r="L742" s="286">
        <f t="shared" si="651"/>
        <v>7157</v>
      </c>
      <c r="M742" s="342" t="str">
        <f t="shared" ref="M742:M743" si="658">IFERROR(J742/D742,"-")</f>
        <v>-</v>
      </c>
      <c r="N742" s="352">
        <f t="shared" si="657"/>
        <v>3.8343057051168722E-2</v>
      </c>
      <c r="O742" s="518">
        <v>4.1712999999999996</v>
      </c>
      <c r="P742" s="408">
        <f t="shared" si="652"/>
        <v>250277.99999999997</v>
      </c>
      <c r="Q742" s="457">
        <f t="shared" si="656"/>
        <v>748748.35</v>
      </c>
    </row>
    <row r="743" spans="1:17" ht="24" thickBot="1" x14ac:dyDescent="0.35">
      <c r="A743" s="248" t="s">
        <v>109</v>
      </c>
      <c r="B743" s="601"/>
      <c r="C743" s="278"/>
      <c r="D743" s="279"/>
      <c r="E743" s="442"/>
      <c r="F743" s="339">
        <f t="shared" si="653"/>
        <v>0</v>
      </c>
      <c r="G743" s="281"/>
      <c r="H743" s="281"/>
      <c r="I743" s="358" t="str">
        <f>IFERROR(F743/#REF!,"-")</f>
        <v>-</v>
      </c>
      <c r="J743" s="339">
        <f t="shared" si="654"/>
        <v>0</v>
      </c>
      <c r="K743" s="281">
        <f t="shared" si="650"/>
        <v>0</v>
      </c>
      <c r="L743" s="251">
        <f t="shared" si="651"/>
        <v>0</v>
      </c>
      <c r="M743" s="343" t="str">
        <f t="shared" si="658"/>
        <v>-</v>
      </c>
      <c r="N743" s="264" t="str">
        <f t="shared" si="657"/>
        <v>-</v>
      </c>
      <c r="O743" s="458"/>
      <c r="P743" s="410">
        <f t="shared" si="652"/>
        <v>0</v>
      </c>
      <c r="Q743" s="459">
        <f t="shared" si="656"/>
        <v>0</v>
      </c>
    </row>
    <row r="744" spans="1:17" ht="24" thickBot="1" x14ac:dyDescent="0.35">
      <c r="A744" s="277" t="s">
        <v>109</v>
      </c>
      <c r="B744" s="987" t="s">
        <v>21</v>
      </c>
      <c r="C744" s="925"/>
      <c r="D744" s="326">
        <v>0</v>
      </c>
      <c r="E744" s="289">
        <v>15000</v>
      </c>
      <c r="F744" s="326">
        <f>SUM(F737:F743)</f>
        <v>61250</v>
      </c>
      <c r="G744" s="327">
        <f t="shared" ref="G744:H744" si="659">SUM(G737:G743)</f>
        <v>60000</v>
      </c>
      <c r="H744" s="327">
        <f t="shared" si="659"/>
        <v>1250</v>
      </c>
      <c r="I744" s="351" t="str">
        <f>IFERROR(F744/#REF!,"-")</f>
        <v>-</v>
      </c>
      <c r="J744" s="326">
        <f t="shared" ref="J744" si="660">SUM(J737:J743)</f>
        <v>817432</v>
      </c>
      <c r="K744" s="327">
        <f>SUM(K737:K743)</f>
        <v>800500</v>
      </c>
      <c r="L744" s="327">
        <f>SUM(L737:L743)</f>
        <v>16932</v>
      </c>
      <c r="M744" s="345" t="str">
        <f>IFERROR(J744/D744,"-")</f>
        <v>-</v>
      </c>
      <c r="N744" s="351">
        <f t="shared" si="657"/>
        <v>2.0713649575744526E-2</v>
      </c>
      <c r="O744" s="397"/>
      <c r="P744" s="412">
        <f>SUM(P737:P743)</f>
        <v>250277.99999999997</v>
      </c>
      <c r="Q744" s="431">
        <f>SUM(Q737:Q743)</f>
        <v>2172621.9500000002</v>
      </c>
    </row>
    <row r="745" spans="1:17" ht="24" thickBot="1" x14ac:dyDescent="0.35">
      <c r="A745" s="277" t="s">
        <v>109</v>
      </c>
      <c r="B745" s="988" t="s">
        <v>275</v>
      </c>
      <c r="C745" s="989"/>
      <c r="D745" s="524">
        <f>+D741+D744</f>
        <v>0</v>
      </c>
      <c r="E745" s="538">
        <f>+E741+E744</f>
        <v>15000</v>
      </c>
      <c r="F745" s="524">
        <f>+F741+F744</f>
        <v>61250</v>
      </c>
      <c r="G745" s="526">
        <f>+G741+G744</f>
        <v>60000</v>
      </c>
      <c r="H745" s="526">
        <f>+H741+H744</f>
        <v>1250</v>
      </c>
      <c r="I745" s="527" t="str">
        <f>IFERROR(F745/#REF!,"-")</f>
        <v>-</v>
      </c>
      <c r="J745" s="524">
        <f>+J741+J744</f>
        <v>833712</v>
      </c>
      <c r="K745" s="526">
        <f>+K744</f>
        <v>800500</v>
      </c>
      <c r="L745" s="526">
        <f>+L744</f>
        <v>16932</v>
      </c>
      <c r="M745" s="528" t="str">
        <f t="shared" ref="M745" si="661">IFERROR(J745/D745,"-")</f>
        <v>-</v>
      </c>
      <c r="N745" s="527">
        <f t="shared" si="657"/>
        <v>2.0309171512464735E-2</v>
      </c>
      <c r="O745" s="529"/>
      <c r="P745" s="530">
        <f>+P744</f>
        <v>250277.99999999997</v>
      </c>
      <c r="Q745" s="530">
        <f>+Q744</f>
        <v>2172621.9500000002</v>
      </c>
    </row>
    <row r="746" spans="1:17" ht="23.4" x14ac:dyDescent="0.4">
      <c r="A746" s="244" t="s">
        <v>109</v>
      </c>
      <c r="B746" s="979" t="s">
        <v>277</v>
      </c>
      <c r="C746" s="555" t="s">
        <v>74</v>
      </c>
      <c r="D746" s="540"/>
      <c r="E746" s="470"/>
      <c r="F746" s="468">
        <f>+G746+H746</f>
        <v>2663</v>
      </c>
      <c r="G746" s="469">
        <v>2660</v>
      </c>
      <c r="H746" s="469">
        <v>3</v>
      </c>
      <c r="I746" s="544" t="str">
        <f>IFERROR(F746/#REF!,"-")</f>
        <v>-</v>
      </c>
      <c r="J746" s="468">
        <f>+K746+L746</f>
        <v>46700</v>
      </c>
      <c r="K746" s="469">
        <f t="shared" ref="K746:K774" si="662">+G746+K687</f>
        <v>46660</v>
      </c>
      <c r="L746" s="246">
        <f t="shared" ref="L746:L774" si="663">+H746+L687</f>
        <v>40</v>
      </c>
      <c r="M746" s="263" t="str">
        <f>IFERROR(J746/D746,"-")</f>
        <v>-</v>
      </c>
      <c r="N746" s="546">
        <f t="shared" si="657"/>
        <v>8.5653104925053529E-4</v>
      </c>
      <c r="O746" s="551">
        <v>32.946300000000001</v>
      </c>
      <c r="P746" s="547">
        <f t="shared" ref="P746:P774" si="664">+O746*G746</f>
        <v>87637.157999999996</v>
      </c>
      <c r="Q746" s="548">
        <f t="shared" ref="Q746:Q774" si="665">+O746*K746</f>
        <v>1537274.358</v>
      </c>
    </row>
    <row r="747" spans="1:17" ht="23.4" x14ac:dyDescent="0.4">
      <c r="A747" s="248" t="s">
        <v>109</v>
      </c>
      <c r="B747" s="980"/>
      <c r="C747" s="556" t="s">
        <v>75</v>
      </c>
      <c r="D747" s="523"/>
      <c r="E747" s="442"/>
      <c r="F747" s="339">
        <f t="shared" ref="F747:F774" si="666">+G747+H747</f>
        <v>0</v>
      </c>
      <c r="G747" s="281">
        <v>0</v>
      </c>
      <c r="H747" s="281">
        <v>0</v>
      </c>
      <c r="I747" s="358" t="str">
        <f>IFERROR(F747/#REF!,"-")</f>
        <v>-</v>
      </c>
      <c r="J747" s="339">
        <f t="shared" ref="J747:J774" si="667">+K747+L747</f>
        <v>0</v>
      </c>
      <c r="K747" s="281">
        <f t="shared" si="662"/>
        <v>0</v>
      </c>
      <c r="L747" s="250">
        <f t="shared" si="663"/>
        <v>0</v>
      </c>
      <c r="M747" s="265" t="str">
        <f t="shared" ref="M747:M749" si="668">IFERROR(J747/D747,"-")</f>
        <v>-</v>
      </c>
      <c r="N747" s="268" t="str">
        <f t="shared" si="657"/>
        <v>-</v>
      </c>
      <c r="O747" s="519">
        <v>35.398400000000002</v>
      </c>
      <c r="P747" s="410">
        <f t="shared" si="664"/>
        <v>0</v>
      </c>
      <c r="Q747" s="459">
        <f t="shared" si="665"/>
        <v>0</v>
      </c>
    </row>
    <row r="748" spans="1:17" ht="24" thickBot="1" x14ac:dyDescent="0.45">
      <c r="A748" s="248" t="s">
        <v>109</v>
      </c>
      <c r="B748" s="980"/>
      <c r="C748" s="556" t="s">
        <v>76</v>
      </c>
      <c r="D748" s="279"/>
      <c r="E748" s="442"/>
      <c r="F748" s="339">
        <f t="shared" si="666"/>
        <v>0</v>
      </c>
      <c r="G748" s="281">
        <v>0</v>
      </c>
      <c r="H748" s="281">
        <v>0</v>
      </c>
      <c r="I748" s="358" t="str">
        <f>IFERROR(F748/#REF!,"-")</f>
        <v>-</v>
      </c>
      <c r="J748" s="339">
        <f t="shared" si="667"/>
        <v>10000</v>
      </c>
      <c r="K748" s="281">
        <f t="shared" si="662"/>
        <v>10000</v>
      </c>
      <c r="L748" s="250">
        <f t="shared" si="663"/>
        <v>0</v>
      </c>
      <c r="M748" s="265" t="str">
        <f t="shared" si="668"/>
        <v>-</v>
      </c>
      <c r="N748" s="268">
        <f>IFERROR(L748/J748,"-")</f>
        <v>0</v>
      </c>
      <c r="O748" s="519">
        <v>32.946300000000001</v>
      </c>
      <c r="P748" s="410">
        <f t="shared" si="664"/>
        <v>0</v>
      </c>
      <c r="Q748" s="459">
        <f t="shared" si="665"/>
        <v>329463</v>
      </c>
    </row>
    <row r="749" spans="1:17" ht="23.4" x14ac:dyDescent="0.4">
      <c r="A749" s="248" t="s">
        <v>109</v>
      </c>
      <c r="B749" s="979" t="s">
        <v>278</v>
      </c>
      <c r="C749" s="558" t="s">
        <v>78</v>
      </c>
      <c r="D749" s="279"/>
      <c r="E749" s="541"/>
      <c r="F749" s="340">
        <f t="shared" si="666"/>
        <v>1555</v>
      </c>
      <c r="G749" s="281">
        <v>1025</v>
      </c>
      <c r="H749" s="281">
        <v>530</v>
      </c>
      <c r="I749" s="358" t="str">
        <f>IFERROR(F749/#REF!,"-")</f>
        <v>-</v>
      </c>
      <c r="J749" s="339">
        <f t="shared" si="667"/>
        <v>9803</v>
      </c>
      <c r="K749" s="281">
        <f t="shared" si="662"/>
        <v>8225</v>
      </c>
      <c r="L749" s="250">
        <f t="shared" si="663"/>
        <v>1578</v>
      </c>
      <c r="M749" s="265" t="str">
        <f t="shared" si="668"/>
        <v>-</v>
      </c>
      <c r="N749" s="268">
        <f t="shared" ref="N749" si="669">IFERROR(L749/J749,"-")</f>
        <v>0.16097113128634091</v>
      </c>
      <c r="O749" s="519">
        <v>55.4758</v>
      </c>
      <c r="P749" s="410">
        <f t="shared" si="664"/>
        <v>56862.695</v>
      </c>
      <c r="Q749" s="459">
        <f t="shared" si="665"/>
        <v>456288.45500000002</v>
      </c>
    </row>
    <row r="750" spans="1:17" ht="23.4" x14ac:dyDescent="0.4">
      <c r="A750" s="248" t="s">
        <v>109</v>
      </c>
      <c r="B750" s="980"/>
      <c r="C750" s="558" t="s">
        <v>75</v>
      </c>
      <c r="D750" s="279"/>
      <c r="E750" s="542"/>
      <c r="F750" s="340">
        <f t="shared" si="666"/>
        <v>0</v>
      </c>
      <c r="G750" s="281">
        <v>0</v>
      </c>
      <c r="H750" s="281">
        <v>0</v>
      </c>
      <c r="I750" s="358" t="str">
        <f>IFERROR(F750/#REF!,"-")</f>
        <v>-</v>
      </c>
      <c r="J750" s="339">
        <f t="shared" si="667"/>
        <v>5350</v>
      </c>
      <c r="K750" s="281">
        <f t="shared" si="662"/>
        <v>4150</v>
      </c>
      <c r="L750" s="250">
        <f t="shared" si="663"/>
        <v>1200</v>
      </c>
      <c r="M750" s="522"/>
      <c r="N750" s="378"/>
      <c r="O750" s="553">
        <v>58.836300000000001</v>
      </c>
      <c r="P750" s="410">
        <f t="shared" si="664"/>
        <v>0</v>
      </c>
      <c r="Q750" s="459">
        <f t="shared" si="665"/>
        <v>244170.64500000002</v>
      </c>
    </row>
    <row r="751" spans="1:17" ht="24" thickBot="1" x14ac:dyDescent="0.45">
      <c r="A751" s="248" t="s">
        <v>109</v>
      </c>
      <c r="B751" s="981"/>
      <c r="C751" s="558" t="s">
        <v>435</v>
      </c>
      <c r="D751" s="279"/>
      <c r="E751" s="441"/>
      <c r="F751" s="340">
        <f t="shared" si="666"/>
        <v>5518</v>
      </c>
      <c r="G751" s="281">
        <v>5000</v>
      </c>
      <c r="H751" s="281">
        <v>518</v>
      </c>
      <c r="I751" s="358" t="str">
        <f>IFERROR(F751/#REF!,"-")</f>
        <v>-</v>
      </c>
      <c r="J751" s="339">
        <f t="shared" si="667"/>
        <v>17944</v>
      </c>
      <c r="K751" s="281">
        <f t="shared" si="662"/>
        <v>15500</v>
      </c>
      <c r="L751" s="250">
        <f t="shared" si="663"/>
        <v>2444</v>
      </c>
      <c r="M751" s="265" t="str">
        <f t="shared" ref="M751:M777" si="670">IFERROR(J751/D751,"-")</f>
        <v>-</v>
      </c>
      <c r="N751" s="264">
        <f t="shared" ref="N751:N776" si="671">IFERROR(L751/J751,"-")</f>
        <v>0.13620151582701739</v>
      </c>
      <c r="O751" s="519">
        <v>55.4758</v>
      </c>
      <c r="P751" s="410">
        <f t="shared" si="664"/>
        <v>277379</v>
      </c>
      <c r="Q751" s="459">
        <f t="shared" si="665"/>
        <v>859874.9</v>
      </c>
    </row>
    <row r="752" spans="1:17" ht="23.4" x14ac:dyDescent="0.4">
      <c r="A752" s="248" t="s">
        <v>109</v>
      </c>
      <c r="B752" s="979" t="s">
        <v>79</v>
      </c>
      <c r="C752" s="556" t="s">
        <v>80</v>
      </c>
      <c r="D752" s="279"/>
      <c r="E752" s="442"/>
      <c r="F752" s="339">
        <f t="shared" si="666"/>
        <v>0</v>
      </c>
      <c r="G752" s="281">
        <v>0</v>
      </c>
      <c r="H752" s="281">
        <v>0</v>
      </c>
      <c r="I752" s="358" t="str">
        <f>IFERROR(F752/#REF!,"-")</f>
        <v>-</v>
      </c>
      <c r="J752" s="339">
        <f t="shared" si="667"/>
        <v>0</v>
      </c>
      <c r="K752" s="281">
        <f t="shared" si="662"/>
        <v>0</v>
      </c>
      <c r="L752" s="250">
        <f t="shared" si="663"/>
        <v>0</v>
      </c>
      <c r="M752" s="265" t="str">
        <f t="shared" si="670"/>
        <v>-</v>
      </c>
      <c r="N752" s="264" t="str">
        <f t="shared" si="671"/>
        <v>-</v>
      </c>
      <c r="O752" s="519">
        <v>25.687200000000001</v>
      </c>
      <c r="P752" s="410">
        <f t="shared" si="664"/>
        <v>0</v>
      </c>
      <c r="Q752" s="459">
        <f t="shared" si="665"/>
        <v>0</v>
      </c>
    </row>
    <row r="753" spans="1:17" ht="24" thickBot="1" x14ac:dyDescent="0.45">
      <c r="A753" s="248" t="s">
        <v>109</v>
      </c>
      <c r="B753" s="981"/>
      <c r="C753" s="556" t="s">
        <v>125</v>
      </c>
      <c r="D753" s="279"/>
      <c r="E753" s="442"/>
      <c r="F753" s="339">
        <f t="shared" si="666"/>
        <v>0</v>
      </c>
      <c r="G753" s="281">
        <v>0</v>
      </c>
      <c r="H753" s="281">
        <v>0</v>
      </c>
      <c r="I753" s="358" t="str">
        <f>IFERROR(F753/#REF!,"-")</f>
        <v>-</v>
      </c>
      <c r="J753" s="339">
        <f t="shared" si="667"/>
        <v>0</v>
      </c>
      <c r="K753" s="281">
        <f t="shared" si="662"/>
        <v>0</v>
      </c>
      <c r="L753" s="250">
        <f t="shared" si="663"/>
        <v>0</v>
      </c>
      <c r="M753" s="265" t="str">
        <f t="shared" si="670"/>
        <v>-</v>
      </c>
      <c r="N753" s="264" t="str">
        <f t="shared" si="671"/>
        <v>-</v>
      </c>
      <c r="O753" s="519">
        <v>25.033899999999999</v>
      </c>
      <c r="P753" s="410">
        <f t="shared" si="664"/>
        <v>0</v>
      </c>
      <c r="Q753" s="459">
        <f t="shared" si="665"/>
        <v>0</v>
      </c>
    </row>
    <row r="754" spans="1:17" ht="23.4" x14ac:dyDescent="0.4">
      <c r="A754" s="248"/>
      <c r="B754" s="979" t="s">
        <v>81</v>
      </c>
      <c r="C754" s="556" t="s">
        <v>82</v>
      </c>
      <c r="D754" s="279"/>
      <c r="E754" s="442"/>
      <c r="F754" s="339">
        <f t="shared" si="666"/>
        <v>0</v>
      </c>
      <c r="G754" s="281">
        <v>0</v>
      </c>
      <c r="H754" s="281">
        <v>0</v>
      </c>
      <c r="I754" s="358" t="str">
        <f>IFERROR(F754/#REF!,"-")</f>
        <v>-</v>
      </c>
      <c r="J754" s="339">
        <f t="shared" si="667"/>
        <v>4860</v>
      </c>
      <c r="K754" s="281">
        <f t="shared" si="662"/>
        <v>4840</v>
      </c>
      <c r="L754" s="250">
        <f t="shared" si="663"/>
        <v>20</v>
      </c>
      <c r="M754" s="265" t="str">
        <f t="shared" si="670"/>
        <v>-</v>
      </c>
      <c r="N754" s="264">
        <f t="shared" si="671"/>
        <v>4.11522633744856E-3</v>
      </c>
      <c r="O754" s="519">
        <v>41.992699999999999</v>
      </c>
      <c r="P754" s="410">
        <f t="shared" si="664"/>
        <v>0</v>
      </c>
      <c r="Q754" s="459">
        <f t="shared" si="665"/>
        <v>203244.66800000001</v>
      </c>
    </row>
    <row r="755" spans="1:17" ht="24" thickBot="1" x14ac:dyDescent="0.45">
      <c r="A755" s="248"/>
      <c r="B755" s="980"/>
      <c r="C755" s="556" t="s">
        <v>364</v>
      </c>
      <c r="D755" s="279"/>
      <c r="E755" s="442"/>
      <c r="F755" s="339">
        <f t="shared" si="666"/>
        <v>0</v>
      </c>
      <c r="G755" s="281">
        <v>0</v>
      </c>
      <c r="H755" s="281">
        <v>0</v>
      </c>
      <c r="I755" s="358" t="str">
        <f>IFERROR(F755/#REF!,"-")</f>
        <v>-</v>
      </c>
      <c r="J755" s="339">
        <f t="shared" si="667"/>
        <v>0</v>
      </c>
      <c r="K755" s="281">
        <f t="shared" si="662"/>
        <v>0</v>
      </c>
      <c r="L755" s="250">
        <f t="shared" si="663"/>
        <v>0</v>
      </c>
      <c r="M755" s="265" t="str">
        <f t="shared" si="670"/>
        <v>-</v>
      </c>
      <c r="N755" s="264" t="str">
        <f t="shared" si="671"/>
        <v>-</v>
      </c>
      <c r="O755" s="519">
        <v>41.992699999999999</v>
      </c>
      <c r="P755" s="410">
        <f t="shared" si="664"/>
        <v>0</v>
      </c>
      <c r="Q755" s="459">
        <f t="shared" si="665"/>
        <v>0</v>
      </c>
    </row>
    <row r="756" spans="1:17" ht="24" thickBot="1" x14ac:dyDescent="0.45">
      <c r="A756" s="248"/>
      <c r="B756" s="559" t="s">
        <v>83</v>
      </c>
      <c r="C756" s="556" t="s">
        <v>84</v>
      </c>
      <c r="D756" s="279"/>
      <c r="E756" s="442"/>
      <c r="F756" s="339">
        <f t="shared" si="666"/>
        <v>0</v>
      </c>
      <c r="G756" s="281">
        <v>0</v>
      </c>
      <c r="H756" s="281">
        <v>0</v>
      </c>
      <c r="I756" s="358" t="str">
        <f>IFERROR(F756/#REF!,"-")</f>
        <v>-</v>
      </c>
      <c r="J756" s="339">
        <f t="shared" si="667"/>
        <v>0</v>
      </c>
      <c r="K756" s="281">
        <f t="shared" si="662"/>
        <v>0</v>
      </c>
      <c r="L756" s="250">
        <f t="shared" si="663"/>
        <v>0</v>
      </c>
      <c r="M756" s="265" t="str">
        <f t="shared" si="670"/>
        <v>-</v>
      </c>
      <c r="N756" s="264" t="str">
        <f t="shared" si="671"/>
        <v>-</v>
      </c>
      <c r="O756" s="519">
        <v>4.3535000000000004</v>
      </c>
      <c r="P756" s="410">
        <f t="shared" si="664"/>
        <v>0</v>
      </c>
      <c r="Q756" s="459">
        <f t="shared" si="665"/>
        <v>0</v>
      </c>
    </row>
    <row r="757" spans="1:17" ht="23.4" x14ac:dyDescent="0.4">
      <c r="A757" s="248"/>
      <c r="B757" s="979" t="s">
        <v>280</v>
      </c>
      <c r="C757" s="556" t="s">
        <v>80</v>
      </c>
      <c r="D757" s="279"/>
      <c r="E757" s="442"/>
      <c r="F757" s="339">
        <f t="shared" si="666"/>
        <v>0</v>
      </c>
      <c r="G757" s="281">
        <v>0</v>
      </c>
      <c r="H757" s="281">
        <v>0</v>
      </c>
      <c r="I757" s="358" t="str">
        <f>IFERROR(F757/#REF!,"-")</f>
        <v>-</v>
      </c>
      <c r="J757" s="339">
        <f t="shared" si="667"/>
        <v>0</v>
      </c>
      <c r="K757" s="281">
        <f t="shared" si="662"/>
        <v>0</v>
      </c>
      <c r="L757" s="250">
        <f t="shared" si="663"/>
        <v>0</v>
      </c>
      <c r="M757" s="265" t="str">
        <f t="shared" si="670"/>
        <v>-</v>
      </c>
      <c r="N757" s="264" t="str">
        <f t="shared" si="671"/>
        <v>-</v>
      </c>
      <c r="O757" s="519">
        <v>4.6184000000000003</v>
      </c>
      <c r="P757" s="410">
        <f t="shared" si="664"/>
        <v>0</v>
      </c>
      <c r="Q757" s="459">
        <f t="shared" si="665"/>
        <v>0</v>
      </c>
    </row>
    <row r="758" spans="1:17" ht="23.4" x14ac:dyDescent="0.4">
      <c r="A758" s="248"/>
      <c r="B758" s="980"/>
      <c r="C758" s="556" t="s">
        <v>407</v>
      </c>
      <c r="D758" s="279"/>
      <c r="E758" s="442"/>
      <c r="F758" s="339">
        <f t="shared" si="666"/>
        <v>0</v>
      </c>
      <c r="G758" s="281">
        <v>0</v>
      </c>
      <c r="H758" s="281">
        <v>0</v>
      </c>
      <c r="I758" s="358" t="str">
        <f>IFERROR(F758/#REF!,"-")</f>
        <v>-</v>
      </c>
      <c r="J758" s="339">
        <f t="shared" si="667"/>
        <v>146140</v>
      </c>
      <c r="K758" s="281">
        <f t="shared" si="662"/>
        <v>144842</v>
      </c>
      <c r="L758" s="250">
        <f t="shared" si="663"/>
        <v>1298</v>
      </c>
      <c r="M758" s="265" t="str">
        <f t="shared" si="670"/>
        <v>-</v>
      </c>
      <c r="N758" s="264">
        <f t="shared" si="671"/>
        <v>8.8818940741754483E-3</v>
      </c>
      <c r="O758" s="519">
        <v>4.6184000000000003</v>
      </c>
      <c r="P758" s="410">
        <f t="shared" si="664"/>
        <v>0</v>
      </c>
      <c r="Q758" s="459">
        <f t="shared" si="665"/>
        <v>668938.29280000005</v>
      </c>
    </row>
    <row r="759" spans="1:17" ht="23.4" x14ac:dyDescent="0.4">
      <c r="A759" s="248"/>
      <c r="B759" s="980"/>
      <c r="C759" s="556" t="s">
        <v>279</v>
      </c>
      <c r="D759" s="279"/>
      <c r="E759" s="442"/>
      <c r="F759" s="339">
        <f t="shared" si="666"/>
        <v>0</v>
      </c>
      <c r="G759" s="281">
        <v>0</v>
      </c>
      <c r="H759" s="281">
        <v>0</v>
      </c>
      <c r="I759" s="358" t="str">
        <f>IFERROR(F759/#REF!,"-")</f>
        <v>-</v>
      </c>
      <c r="J759" s="339">
        <f t="shared" si="667"/>
        <v>0</v>
      </c>
      <c r="K759" s="281">
        <f t="shared" si="662"/>
        <v>0</v>
      </c>
      <c r="L759" s="250">
        <f t="shared" si="663"/>
        <v>0</v>
      </c>
      <c r="M759" s="265" t="str">
        <f t="shared" si="670"/>
        <v>-</v>
      </c>
      <c r="N759" s="264" t="str">
        <f t="shared" si="671"/>
        <v>-</v>
      </c>
      <c r="O759" s="519">
        <v>4.6184000000000003</v>
      </c>
      <c r="P759" s="410">
        <f t="shared" si="664"/>
        <v>0</v>
      </c>
      <c r="Q759" s="459">
        <f t="shared" si="665"/>
        <v>0</v>
      </c>
    </row>
    <row r="760" spans="1:17" ht="23.4" x14ac:dyDescent="0.4">
      <c r="A760" s="248"/>
      <c r="B760" s="980"/>
      <c r="C760" s="556" t="s">
        <v>440</v>
      </c>
      <c r="D760" s="279"/>
      <c r="E760" s="442"/>
      <c r="F760" s="339">
        <f t="shared" si="666"/>
        <v>16733</v>
      </c>
      <c r="G760" s="281">
        <v>16500</v>
      </c>
      <c r="H760" s="281">
        <v>233</v>
      </c>
      <c r="I760" s="358" t="str">
        <f>IFERROR(F760/#REF!,"-")</f>
        <v>-</v>
      </c>
      <c r="J760" s="339">
        <f t="shared" si="667"/>
        <v>146333</v>
      </c>
      <c r="K760" s="281">
        <f t="shared" si="662"/>
        <v>145100</v>
      </c>
      <c r="L760" s="250">
        <f t="shared" si="663"/>
        <v>1233</v>
      </c>
      <c r="M760" s="265" t="str">
        <f t="shared" si="670"/>
        <v>-</v>
      </c>
      <c r="N760" s="264">
        <f t="shared" si="671"/>
        <v>8.4259873029323522E-3</v>
      </c>
      <c r="O760" s="519">
        <v>4.7636000000000003</v>
      </c>
      <c r="P760" s="410">
        <f t="shared" si="664"/>
        <v>78599.400000000009</v>
      </c>
      <c r="Q760" s="459">
        <f t="shared" si="665"/>
        <v>691198.36</v>
      </c>
    </row>
    <row r="761" spans="1:17" ht="24" thickBot="1" x14ac:dyDescent="0.45">
      <c r="A761" s="248"/>
      <c r="B761" s="981"/>
      <c r="C761" s="556" t="s">
        <v>429</v>
      </c>
      <c r="D761" s="279"/>
      <c r="E761" s="442"/>
      <c r="F761" s="339">
        <f t="shared" si="666"/>
        <v>0</v>
      </c>
      <c r="G761" s="281">
        <v>0</v>
      </c>
      <c r="H761" s="281">
        <v>0</v>
      </c>
      <c r="I761" s="358" t="str">
        <f>IFERROR(F761/#REF!,"-")</f>
        <v>-</v>
      </c>
      <c r="J761" s="339">
        <f t="shared" si="667"/>
        <v>12296</v>
      </c>
      <c r="K761" s="281">
        <f t="shared" si="662"/>
        <v>12100</v>
      </c>
      <c r="L761" s="250">
        <f t="shared" si="663"/>
        <v>196</v>
      </c>
      <c r="M761" s="265" t="str">
        <f t="shared" si="670"/>
        <v>-</v>
      </c>
      <c r="N761" s="264">
        <f t="shared" si="671"/>
        <v>1.594014313597918E-2</v>
      </c>
      <c r="O761" s="519">
        <v>4.8738000000000001</v>
      </c>
      <c r="P761" s="410">
        <f t="shared" si="664"/>
        <v>0</v>
      </c>
      <c r="Q761" s="459">
        <f t="shared" si="665"/>
        <v>58972.98</v>
      </c>
    </row>
    <row r="762" spans="1:17" ht="24" thickBot="1" x14ac:dyDescent="0.45">
      <c r="A762" s="248"/>
      <c r="B762" s="559" t="s">
        <v>281</v>
      </c>
      <c r="C762" s="556" t="s">
        <v>132</v>
      </c>
      <c r="D762" s="279"/>
      <c r="E762" s="442"/>
      <c r="F762" s="339">
        <f t="shared" si="666"/>
        <v>0</v>
      </c>
      <c r="G762" s="281">
        <v>0</v>
      </c>
      <c r="H762" s="281">
        <v>0</v>
      </c>
      <c r="I762" s="358" t="str">
        <f>IFERROR(F762/#REF!,"-")</f>
        <v>-</v>
      </c>
      <c r="J762" s="339">
        <f t="shared" si="667"/>
        <v>0</v>
      </c>
      <c r="K762" s="281">
        <f t="shared" si="662"/>
        <v>0</v>
      </c>
      <c r="L762" s="250">
        <f t="shared" si="663"/>
        <v>0</v>
      </c>
      <c r="M762" s="265" t="str">
        <f t="shared" si="670"/>
        <v>-</v>
      </c>
      <c r="N762" s="264" t="str">
        <f t="shared" si="671"/>
        <v>-</v>
      </c>
      <c r="O762" s="519">
        <v>4.8738000000000001</v>
      </c>
      <c r="P762" s="410">
        <f t="shared" si="664"/>
        <v>0</v>
      </c>
      <c r="Q762" s="459">
        <f t="shared" si="665"/>
        <v>0</v>
      </c>
    </row>
    <row r="763" spans="1:17" ht="23.4" x14ac:dyDescent="0.4">
      <c r="A763" s="248"/>
      <c r="B763" s="979" t="s">
        <v>283</v>
      </c>
      <c r="C763" s="556" t="s">
        <v>80</v>
      </c>
      <c r="D763" s="279"/>
      <c r="E763" s="442"/>
      <c r="F763" s="339">
        <f t="shared" si="666"/>
        <v>32159</v>
      </c>
      <c r="G763" s="281">
        <v>31950</v>
      </c>
      <c r="H763" s="281">
        <v>209</v>
      </c>
      <c r="I763" s="358" t="str">
        <f>IFERROR(F763/#REF!,"-")</f>
        <v>-</v>
      </c>
      <c r="J763" s="339">
        <f t="shared" si="667"/>
        <v>301675</v>
      </c>
      <c r="K763" s="281">
        <f t="shared" si="662"/>
        <v>295700</v>
      </c>
      <c r="L763" s="281">
        <f t="shared" si="663"/>
        <v>5975</v>
      </c>
      <c r="M763" s="265" t="str">
        <f t="shared" si="670"/>
        <v>-</v>
      </c>
      <c r="N763" s="264">
        <f t="shared" si="671"/>
        <v>1.9806082704897653E-2</v>
      </c>
      <c r="O763" s="519">
        <v>4.9344999999999999</v>
      </c>
      <c r="P763" s="410">
        <f t="shared" si="664"/>
        <v>157657.27499999999</v>
      </c>
      <c r="Q763" s="459">
        <f t="shared" si="665"/>
        <v>1459131.65</v>
      </c>
    </row>
    <row r="764" spans="1:17" ht="23.4" x14ac:dyDescent="0.4">
      <c r="A764" s="248"/>
      <c r="B764" s="980"/>
      <c r="C764" s="556" t="s">
        <v>143</v>
      </c>
      <c r="D764" s="279"/>
      <c r="E764" s="442"/>
      <c r="F764" s="339">
        <f t="shared" si="666"/>
        <v>0</v>
      </c>
      <c r="G764" s="281">
        <v>0</v>
      </c>
      <c r="H764" s="281">
        <v>0</v>
      </c>
      <c r="I764" s="358" t="str">
        <f>IFERROR(F764/#REF!,"-")</f>
        <v>-</v>
      </c>
      <c r="J764" s="339">
        <f t="shared" si="667"/>
        <v>0</v>
      </c>
      <c r="K764" s="281">
        <f t="shared" si="662"/>
        <v>0</v>
      </c>
      <c r="L764" s="250">
        <f t="shared" si="663"/>
        <v>0</v>
      </c>
      <c r="M764" s="265" t="str">
        <f t="shared" si="670"/>
        <v>-</v>
      </c>
      <c r="N764" s="264" t="str">
        <f t="shared" si="671"/>
        <v>-</v>
      </c>
      <c r="O764" s="519">
        <v>4.9344999999999999</v>
      </c>
      <c r="P764" s="410">
        <f t="shared" si="664"/>
        <v>0</v>
      </c>
      <c r="Q764" s="459">
        <f t="shared" si="665"/>
        <v>0</v>
      </c>
    </row>
    <row r="765" spans="1:17" ht="23.4" x14ac:dyDescent="0.4">
      <c r="A765" s="248"/>
      <c r="B765" s="980"/>
      <c r="C765" s="556" t="s">
        <v>137</v>
      </c>
      <c r="D765" s="279"/>
      <c r="E765" s="442"/>
      <c r="F765" s="339">
        <f t="shared" si="666"/>
        <v>0</v>
      </c>
      <c r="G765" s="281">
        <v>0</v>
      </c>
      <c r="H765" s="281">
        <v>0</v>
      </c>
      <c r="I765" s="358" t="str">
        <f>IFERROR(F765/#REF!,"-")</f>
        <v>-</v>
      </c>
      <c r="J765" s="339">
        <f t="shared" si="667"/>
        <v>0</v>
      </c>
      <c r="K765" s="281">
        <f t="shared" si="662"/>
        <v>0</v>
      </c>
      <c r="L765" s="250">
        <f t="shared" si="663"/>
        <v>0</v>
      </c>
      <c r="M765" s="265" t="str">
        <f t="shared" si="670"/>
        <v>-</v>
      </c>
      <c r="N765" s="264" t="str">
        <f t="shared" si="671"/>
        <v>-</v>
      </c>
      <c r="O765" s="519">
        <v>4.9344999999999999</v>
      </c>
      <c r="P765" s="410">
        <f t="shared" si="664"/>
        <v>0</v>
      </c>
      <c r="Q765" s="459">
        <f t="shared" si="665"/>
        <v>0</v>
      </c>
    </row>
    <row r="766" spans="1:17" ht="24" thickBot="1" x14ac:dyDescent="0.45">
      <c r="A766" s="248"/>
      <c r="B766" s="981"/>
      <c r="C766" s="556" t="s">
        <v>282</v>
      </c>
      <c r="D766" s="279"/>
      <c r="E766" s="442"/>
      <c r="F766" s="339">
        <f t="shared" si="666"/>
        <v>0</v>
      </c>
      <c r="G766" s="281">
        <v>0</v>
      </c>
      <c r="H766" s="281">
        <v>0</v>
      </c>
      <c r="I766" s="358" t="str">
        <f>IFERROR(F766/#REF!,"-")</f>
        <v>-</v>
      </c>
      <c r="J766" s="339">
        <f t="shared" si="667"/>
        <v>0</v>
      </c>
      <c r="K766" s="281">
        <f t="shared" si="662"/>
        <v>0</v>
      </c>
      <c r="L766" s="250">
        <f t="shared" si="663"/>
        <v>0</v>
      </c>
      <c r="M766" s="265" t="str">
        <f t="shared" si="670"/>
        <v>-</v>
      </c>
      <c r="N766" s="264" t="str">
        <f t="shared" si="671"/>
        <v>-</v>
      </c>
      <c r="O766" s="519">
        <v>5.5069999999999997</v>
      </c>
      <c r="P766" s="410">
        <f t="shared" si="664"/>
        <v>0</v>
      </c>
      <c r="Q766" s="459">
        <f t="shared" si="665"/>
        <v>0</v>
      </c>
    </row>
    <row r="767" spans="1:17" ht="23.4" x14ac:dyDescent="0.4">
      <c r="A767" s="248"/>
      <c r="B767" s="979" t="s">
        <v>288</v>
      </c>
      <c r="C767" s="556" t="s">
        <v>284</v>
      </c>
      <c r="D767" s="279"/>
      <c r="E767" s="442"/>
      <c r="F767" s="339">
        <f t="shared" si="666"/>
        <v>0</v>
      </c>
      <c r="G767" s="281">
        <v>0</v>
      </c>
      <c r="H767" s="281">
        <v>0</v>
      </c>
      <c r="I767" s="358" t="str">
        <f>IFERROR(F767/#REF!,"-")</f>
        <v>-</v>
      </c>
      <c r="J767" s="339">
        <f t="shared" si="667"/>
        <v>0</v>
      </c>
      <c r="K767" s="281">
        <f t="shared" si="662"/>
        <v>0</v>
      </c>
      <c r="L767" s="250">
        <f t="shared" si="663"/>
        <v>0</v>
      </c>
      <c r="M767" s="265" t="str">
        <f t="shared" si="670"/>
        <v>-</v>
      </c>
      <c r="N767" s="264" t="str">
        <f t="shared" si="671"/>
        <v>-</v>
      </c>
      <c r="O767" s="519">
        <v>5.6550000000000002</v>
      </c>
      <c r="P767" s="410">
        <f t="shared" si="664"/>
        <v>0</v>
      </c>
      <c r="Q767" s="459">
        <f t="shared" si="665"/>
        <v>0</v>
      </c>
    </row>
    <row r="768" spans="1:17" ht="23.4" x14ac:dyDescent="0.4">
      <c r="A768" s="248"/>
      <c r="B768" s="980"/>
      <c r="C768" s="556" t="s">
        <v>285</v>
      </c>
      <c r="D768" s="279"/>
      <c r="E768" s="442"/>
      <c r="F768" s="339">
        <f t="shared" si="666"/>
        <v>0</v>
      </c>
      <c r="G768" s="281">
        <v>0</v>
      </c>
      <c r="H768" s="281">
        <v>0</v>
      </c>
      <c r="I768" s="358" t="str">
        <f>IFERROR(F768/#REF!,"-")</f>
        <v>-</v>
      </c>
      <c r="J768" s="339">
        <f t="shared" si="667"/>
        <v>0</v>
      </c>
      <c r="K768" s="281">
        <f t="shared" si="662"/>
        <v>0</v>
      </c>
      <c r="L768" s="250">
        <f t="shared" si="663"/>
        <v>0</v>
      </c>
      <c r="M768" s="265" t="str">
        <f t="shared" si="670"/>
        <v>-</v>
      </c>
      <c r="N768" s="264" t="str">
        <f t="shared" si="671"/>
        <v>-</v>
      </c>
      <c r="O768" s="519">
        <v>5.6550000000000002</v>
      </c>
      <c r="P768" s="410">
        <f t="shared" si="664"/>
        <v>0</v>
      </c>
      <c r="Q768" s="459">
        <f t="shared" si="665"/>
        <v>0</v>
      </c>
    </row>
    <row r="769" spans="1:17" ht="23.4" x14ac:dyDescent="0.4">
      <c r="A769" s="248"/>
      <c r="B769" s="980"/>
      <c r="C769" s="556" t="s">
        <v>374</v>
      </c>
      <c r="D769" s="279"/>
      <c r="E769" s="442"/>
      <c r="F769" s="339">
        <f t="shared" si="666"/>
        <v>20089</v>
      </c>
      <c r="G769" s="281">
        <v>19400</v>
      </c>
      <c r="H769" s="281">
        <v>689</v>
      </c>
      <c r="I769" s="358" t="str">
        <f>IFERROR(F769/#REF!,"-")</f>
        <v>-</v>
      </c>
      <c r="J769" s="339">
        <f t="shared" si="667"/>
        <v>290077</v>
      </c>
      <c r="K769" s="281">
        <f t="shared" si="662"/>
        <v>284650</v>
      </c>
      <c r="L769" s="250">
        <f t="shared" si="663"/>
        <v>5427</v>
      </c>
      <c r="M769" s="265" t="str">
        <f t="shared" si="670"/>
        <v>-</v>
      </c>
      <c r="N769" s="264">
        <f t="shared" si="671"/>
        <v>1.8708825587688785E-2</v>
      </c>
      <c r="O769" s="519">
        <v>5.6550000000000002</v>
      </c>
      <c r="P769" s="410">
        <f t="shared" si="664"/>
        <v>109707</v>
      </c>
      <c r="Q769" s="459">
        <f t="shared" si="665"/>
        <v>1609695.75</v>
      </c>
    </row>
    <row r="770" spans="1:17" ht="23.4" x14ac:dyDescent="0.4">
      <c r="A770" s="248"/>
      <c r="B770" s="980"/>
      <c r="C770" s="556" t="s">
        <v>286</v>
      </c>
      <c r="D770" s="279"/>
      <c r="E770" s="442"/>
      <c r="F770" s="339">
        <f t="shared" si="666"/>
        <v>0</v>
      </c>
      <c r="G770" s="281">
        <v>0</v>
      </c>
      <c r="H770" s="281">
        <v>0</v>
      </c>
      <c r="I770" s="358" t="str">
        <f>IFERROR(F770/#REF!,"-")</f>
        <v>-</v>
      </c>
      <c r="J770" s="339">
        <f t="shared" si="667"/>
        <v>0</v>
      </c>
      <c r="K770" s="281">
        <f t="shared" si="662"/>
        <v>0</v>
      </c>
      <c r="L770" s="250">
        <f t="shared" si="663"/>
        <v>0</v>
      </c>
      <c r="M770" s="265" t="str">
        <f t="shared" si="670"/>
        <v>-</v>
      </c>
      <c r="N770" s="264" t="str">
        <f t="shared" si="671"/>
        <v>-</v>
      </c>
      <c r="O770" s="519">
        <v>5.6550000000000002</v>
      </c>
      <c r="P770" s="410">
        <f t="shared" si="664"/>
        <v>0</v>
      </c>
      <c r="Q770" s="459">
        <f t="shared" si="665"/>
        <v>0</v>
      </c>
    </row>
    <row r="771" spans="1:17" ht="23.4" x14ac:dyDescent="0.4">
      <c r="A771" s="248" t="s">
        <v>109</v>
      </c>
      <c r="B771" s="980"/>
      <c r="C771" s="556" t="s">
        <v>287</v>
      </c>
      <c r="D771" s="279"/>
      <c r="E771" s="442"/>
      <c r="F771" s="339">
        <f t="shared" si="666"/>
        <v>0</v>
      </c>
      <c r="G771" s="281">
        <v>0</v>
      </c>
      <c r="H771" s="281">
        <v>0</v>
      </c>
      <c r="I771" s="358" t="str">
        <f>IFERROR(F771/#REF!,"-")</f>
        <v>-</v>
      </c>
      <c r="J771" s="339">
        <f t="shared" si="667"/>
        <v>0</v>
      </c>
      <c r="K771" s="281">
        <f t="shared" si="662"/>
        <v>0</v>
      </c>
      <c r="L771" s="250">
        <f t="shared" si="663"/>
        <v>0</v>
      </c>
      <c r="M771" s="265" t="str">
        <f t="shared" si="670"/>
        <v>-</v>
      </c>
      <c r="N771" s="264" t="str">
        <f t="shared" si="671"/>
        <v>-</v>
      </c>
      <c r="O771" s="519">
        <v>3.2963</v>
      </c>
      <c r="P771" s="410">
        <f t="shared" si="664"/>
        <v>0</v>
      </c>
      <c r="Q771" s="459">
        <f t="shared" si="665"/>
        <v>0</v>
      </c>
    </row>
    <row r="772" spans="1:17" ht="24" thickBot="1" x14ac:dyDescent="0.45">
      <c r="A772" s="248" t="s">
        <v>109</v>
      </c>
      <c r="B772" s="981"/>
      <c r="C772" s="556" t="s">
        <v>282</v>
      </c>
      <c r="D772" s="279"/>
      <c r="E772" s="442"/>
      <c r="F772" s="339">
        <f t="shared" si="666"/>
        <v>0</v>
      </c>
      <c r="G772" s="281">
        <v>0</v>
      </c>
      <c r="H772" s="281">
        <v>0</v>
      </c>
      <c r="I772" s="358" t="str">
        <f>IFERROR(F772/#REF!,"-")</f>
        <v>-</v>
      </c>
      <c r="J772" s="339">
        <f t="shared" si="667"/>
        <v>0</v>
      </c>
      <c r="K772" s="281">
        <f t="shared" si="662"/>
        <v>0</v>
      </c>
      <c r="L772" s="250">
        <f t="shared" si="663"/>
        <v>0</v>
      </c>
      <c r="M772" s="265" t="str">
        <f t="shared" si="670"/>
        <v>-</v>
      </c>
      <c r="N772" s="264" t="str">
        <f t="shared" si="671"/>
        <v>-</v>
      </c>
      <c r="O772" s="519">
        <v>3.2963</v>
      </c>
      <c r="P772" s="410">
        <f t="shared" si="664"/>
        <v>0</v>
      </c>
      <c r="Q772" s="459">
        <f t="shared" si="665"/>
        <v>0</v>
      </c>
    </row>
    <row r="773" spans="1:17" ht="23.4" x14ac:dyDescent="0.4">
      <c r="A773" s="248" t="s">
        <v>109</v>
      </c>
      <c r="B773" s="560"/>
      <c r="C773" s="557" t="s">
        <v>92</v>
      </c>
      <c r="D773" s="523"/>
      <c r="E773" s="442"/>
      <c r="F773" s="339">
        <f t="shared" si="666"/>
        <v>0</v>
      </c>
      <c r="G773" s="281">
        <v>0</v>
      </c>
      <c r="H773" s="281">
        <v>0</v>
      </c>
      <c r="I773" s="358" t="str">
        <f>IFERROR(F773/#REF!,"-")</f>
        <v>-</v>
      </c>
      <c r="J773" s="339">
        <f t="shared" si="667"/>
        <v>65530</v>
      </c>
      <c r="K773" s="281">
        <f t="shared" si="662"/>
        <v>65500</v>
      </c>
      <c r="L773" s="250">
        <f t="shared" si="663"/>
        <v>30</v>
      </c>
      <c r="M773" s="265" t="str">
        <f t="shared" si="670"/>
        <v>-</v>
      </c>
      <c r="N773" s="264">
        <f t="shared" si="671"/>
        <v>4.5780558522813981E-4</v>
      </c>
      <c r="O773" s="519">
        <v>2.3201000000000001</v>
      </c>
      <c r="P773" s="410">
        <f t="shared" si="664"/>
        <v>0</v>
      </c>
      <c r="Q773" s="459">
        <f t="shared" si="665"/>
        <v>151966.55000000002</v>
      </c>
    </row>
    <row r="774" spans="1:17" ht="24" thickBot="1" x14ac:dyDescent="0.35">
      <c r="A774" s="248" t="s">
        <v>109</v>
      </c>
      <c r="B774" s="537"/>
      <c r="C774" s="554"/>
      <c r="D774" s="543"/>
      <c r="E774" s="473"/>
      <c r="F774" s="471">
        <f t="shared" si="666"/>
        <v>0</v>
      </c>
      <c r="G774" s="472"/>
      <c r="H774" s="472"/>
      <c r="I774" s="545" t="str">
        <f>IFERROR(F774/#REF!,"-")</f>
        <v>-</v>
      </c>
      <c r="J774" s="471">
        <f t="shared" si="667"/>
        <v>0</v>
      </c>
      <c r="K774" s="472">
        <f t="shared" si="662"/>
        <v>0</v>
      </c>
      <c r="L774" s="257">
        <f t="shared" si="663"/>
        <v>0</v>
      </c>
      <c r="M774" s="267" t="str">
        <f t="shared" si="670"/>
        <v>-</v>
      </c>
      <c r="N774" s="266" t="str">
        <f t="shared" si="671"/>
        <v>-</v>
      </c>
      <c r="O774" s="552"/>
      <c r="P774" s="549">
        <f t="shared" si="664"/>
        <v>0</v>
      </c>
      <c r="Q774" s="550">
        <f t="shared" si="665"/>
        <v>0</v>
      </c>
    </row>
    <row r="775" spans="1:17" ht="24" thickBot="1" x14ac:dyDescent="0.35">
      <c r="A775" s="277" t="s">
        <v>109</v>
      </c>
      <c r="B775" s="982" t="s">
        <v>25</v>
      </c>
      <c r="C775" s="983"/>
      <c r="D775" s="525">
        <f t="shared" ref="D775" si="672">SUM(D751:D774)</f>
        <v>0</v>
      </c>
      <c r="E775" s="539">
        <v>100000</v>
      </c>
      <c r="F775" s="525">
        <f>SUM(F751:F774)</f>
        <v>74499</v>
      </c>
      <c r="G775" s="531">
        <f t="shared" ref="G775:H775" si="673">SUM(G751:G774)</f>
        <v>72850</v>
      </c>
      <c r="H775" s="531">
        <f t="shared" si="673"/>
        <v>1649</v>
      </c>
      <c r="I775" s="532" t="str">
        <f>IFERROR(F775/#REF!,"-")</f>
        <v>-</v>
      </c>
      <c r="J775" s="525">
        <f t="shared" ref="J775" si="674">SUM(J751:J774)</f>
        <v>984855</v>
      </c>
      <c r="K775" s="531">
        <f>SUM(K746:K774)</f>
        <v>1037267</v>
      </c>
      <c r="L775" s="533">
        <f t="shared" ref="L775" si="675">SUM(L751:L774)</f>
        <v>16623</v>
      </c>
      <c r="M775" s="534" t="str">
        <f t="shared" si="670"/>
        <v>-</v>
      </c>
      <c r="N775" s="532">
        <f t="shared" si="671"/>
        <v>1.6878626802930379E-2</v>
      </c>
      <c r="O775" s="535"/>
      <c r="P775" s="536">
        <f>SUM(P746:P774)</f>
        <v>767842.52800000005</v>
      </c>
      <c r="Q775" s="536">
        <f>SUM(Q746:Q774)</f>
        <v>8270219.6088000005</v>
      </c>
    </row>
    <row r="776" spans="1:17" ht="24" thickBot="1" x14ac:dyDescent="0.35">
      <c r="A776" s="324" t="s">
        <v>109</v>
      </c>
      <c r="B776" s="984" t="s">
        <v>276</v>
      </c>
      <c r="C776" s="927"/>
      <c r="D776" s="332">
        <f>+D750+D775</f>
        <v>0</v>
      </c>
      <c r="E776" s="333">
        <f>+E750+E775</f>
        <v>100000</v>
      </c>
      <c r="F776" s="332">
        <f>+F750+F775</f>
        <v>74499</v>
      </c>
      <c r="G776" s="330">
        <f>+G750+G775</f>
        <v>72850</v>
      </c>
      <c r="H776" s="330">
        <f>+H750+H775</f>
        <v>1649</v>
      </c>
      <c r="I776" s="355" t="str">
        <f>IFERROR(F776/#REF!,"-")</f>
        <v>-</v>
      </c>
      <c r="J776" s="332">
        <f>+J750+J775</f>
        <v>990205</v>
      </c>
      <c r="K776" s="330">
        <f>K775</f>
        <v>1037267</v>
      </c>
      <c r="L776" s="331">
        <f>+L750+L775</f>
        <v>17823</v>
      </c>
      <c r="M776" s="347" t="str">
        <f t="shared" si="670"/>
        <v>-</v>
      </c>
      <c r="N776" s="355">
        <f t="shared" si="671"/>
        <v>1.7999303174595159E-2</v>
      </c>
      <c r="O776" s="400"/>
      <c r="P776" s="416">
        <f>+P750+P775</f>
        <v>767842.52800000005</v>
      </c>
      <c r="Q776" s="434">
        <f>Q775</f>
        <v>8270219.6088000005</v>
      </c>
    </row>
    <row r="777" spans="1:17" ht="24.6" thickBot="1" x14ac:dyDescent="0.35">
      <c r="A777" s="325"/>
      <c r="B777" s="915" t="s">
        <v>183</v>
      </c>
      <c r="C777" s="916"/>
      <c r="D777" s="380">
        <f>+D776+D745+D736</f>
        <v>0</v>
      </c>
      <c r="E777" s="380">
        <f>+E776+E745+E736</f>
        <v>230000</v>
      </c>
      <c r="F777" s="380">
        <f>+F776+F745+F736</f>
        <v>266438</v>
      </c>
      <c r="G777" s="380">
        <f>+G776+G745+G736</f>
        <v>258130</v>
      </c>
      <c r="H777" s="380">
        <f>+H776+H745+H736</f>
        <v>8308</v>
      </c>
      <c r="I777" s="381" t="str">
        <f>IFERROR(F777/#REF!,"-")</f>
        <v>-</v>
      </c>
      <c r="J777" s="380">
        <f>+J776+J745+J736</f>
        <v>3829928</v>
      </c>
      <c r="K777" s="380">
        <f>+K776+K745+K736</f>
        <v>3766697</v>
      </c>
      <c r="L777" s="380">
        <f>+L776+L745+L736</f>
        <v>111836</v>
      </c>
      <c r="M777" s="381" t="str">
        <f t="shared" si="670"/>
        <v>-</v>
      </c>
      <c r="N777" s="381">
        <f>IFERROR(L777/J777,"-")</f>
        <v>2.9200548939823413E-2</v>
      </c>
      <c r="O777" s="407"/>
      <c r="P777" s="424">
        <f>+P776+P745+P736</f>
        <v>1949356.36</v>
      </c>
      <c r="Q777" s="424">
        <f>+Q776+Q745+Q736</f>
        <v>23400823.231800001</v>
      </c>
    </row>
    <row r="778" spans="1:17" ht="23.4" x14ac:dyDescent="0.3">
      <c r="A778" s="935" t="s">
        <v>1</v>
      </c>
      <c r="B778" s="938" t="s">
        <v>2</v>
      </c>
      <c r="C778" s="941" t="s">
        <v>3</v>
      </c>
      <c r="D778" s="944" t="s">
        <v>4</v>
      </c>
      <c r="E778" s="945"/>
      <c r="F778" s="945"/>
      <c r="G778" s="945"/>
      <c r="H778" s="945"/>
      <c r="I778" s="945"/>
      <c r="J778" s="945"/>
      <c r="K778" s="945"/>
      <c r="L778" s="945"/>
      <c r="M778" s="945"/>
      <c r="N778" s="946"/>
      <c r="O778" s="965" t="s">
        <v>176</v>
      </c>
      <c r="P778" s="966"/>
      <c r="Q778" s="990"/>
    </row>
    <row r="779" spans="1:17" ht="23.4" x14ac:dyDescent="0.3">
      <c r="A779" s="936"/>
      <c r="B779" s="939"/>
      <c r="C779" s="942"/>
      <c r="D779" s="947" t="s">
        <v>7</v>
      </c>
      <c r="E779" s="949" t="s">
        <v>116</v>
      </c>
      <c r="F779" s="991" t="s">
        <v>472</v>
      </c>
      <c r="G779" s="952"/>
      <c r="H779" s="952"/>
      <c r="I779" s="953"/>
      <c r="J779" s="954" t="s">
        <v>8</v>
      </c>
      <c r="K779" s="955"/>
      <c r="L779" s="956"/>
      <c r="M779" s="957" t="s">
        <v>174</v>
      </c>
      <c r="N779" s="959" t="s">
        <v>173</v>
      </c>
      <c r="O779" s="967" t="s">
        <v>178</v>
      </c>
      <c r="P779" s="968"/>
      <c r="Q779" s="969"/>
    </row>
    <row r="780" spans="1:17" ht="47.4" thickBot="1" x14ac:dyDescent="0.35">
      <c r="A780" s="937"/>
      <c r="B780" s="940"/>
      <c r="C780" s="943"/>
      <c r="D780" s="948"/>
      <c r="E780" s="950"/>
      <c r="F780" s="462" t="s">
        <v>13</v>
      </c>
      <c r="G780" s="463" t="s">
        <v>14</v>
      </c>
      <c r="H780" s="463" t="s">
        <v>15</v>
      </c>
      <c r="I780" s="464" t="s">
        <v>175</v>
      </c>
      <c r="J780" s="462" t="s">
        <v>13</v>
      </c>
      <c r="K780" s="463" t="s">
        <v>14</v>
      </c>
      <c r="L780" s="465" t="s">
        <v>15</v>
      </c>
      <c r="M780" s="958"/>
      <c r="N780" s="960"/>
      <c r="O780" s="453" t="s">
        <v>179</v>
      </c>
      <c r="P780" s="454" t="s">
        <v>11</v>
      </c>
      <c r="Q780" s="455" t="s">
        <v>12</v>
      </c>
    </row>
    <row r="781" spans="1:17" ht="23.4" x14ac:dyDescent="0.3">
      <c r="A781" s="271" t="s">
        <v>111</v>
      </c>
      <c r="B781" s="445"/>
      <c r="C781" s="272" t="s">
        <v>272</v>
      </c>
      <c r="D781" s="273"/>
      <c r="E781" s="274"/>
      <c r="F781" s="338">
        <f>+G781+H781</f>
        <v>0</v>
      </c>
      <c r="G781" s="275">
        <v>0</v>
      </c>
      <c r="H781" s="275">
        <v>0</v>
      </c>
      <c r="I781" s="357" t="str">
        <f>IFERROR(F781/#REF!,"-")</f>
        <v>-</v>
      </c>
      <c r="J781" s="468">
        <f>+K781+L781</f>
        <v>786314</v>
      </c>
      <c r="K781" s="469">
        <f>+G781+K722</f>
        <v>732200</v>
      </c>
      <c r="L781" s="470">
        <f>+H781+L722</f>
        <v>54114</v>
      </c>
      <c r="M781" s="342" t="str">
        <f>IFERROR(J781/D781,"-")</f>
        <v>-</v>
      </c>
      <c r="N781" s="349">
        <f t="shared" ref="N781:N782" si="676">IFERROR(L781/J781,"-")</f>
        <v>6.8819835332958587E-2</v>
      </c>
      <c r="O781" s="518">
        <v>1.5669</v>
      </c>
      <c r="P781" s="408">
        <f>+O781*G781</f>
        <v>0</v>
      </c>
      <c r="Q781" s="457">
        <f>+O781*K781</f>
        <v>1147284.18</v>
      </c>
    </row>
    <row r="782" spans="1:17" ht="23.4" x14ac:dyDescent="0.3">
      <c r="A782" s="277" t="s">
        <v>111</v>
      </c>
      <c r="B782" s="444"/>
      <c r="C782" s="278" t="s">
        <v>271</v>
      </c>
      <c r="D782" s="279"/>
      <c r="E782" s="280"/>
      <c r="F782" s="339">
        <f t="shared" ref="F782:F785" si="677">+G782+H782</f>
        <v>0</v>
      </c>
      <c r="G782" s="281">
        <v>0</v>
      </c>
      <c r="H782" s="281">
        <v>0</v>
      </c>
      <c r="I782" s="358" t="str">
        <f>IFERROR(F782/#REF!,"-")</f>
        <v>-</v>
      </c>
      <c r="J782" s="339">
        <f t="shared" ref="J782:J785" si="678">+K782+L782</f>
        <v>0</v>
      </c>
      <c r="K782" s="281">
        <f t="shared" ref="K782:K785" si="679">+G782+K723</f>
        <v>0</v>
      </c>
      <c r="L782" s="442">
        <f t="shared" ref="L782:L785" si="680">+H782+L723</f>
        <v>0</v>
      </c>
      <c r="M782" s="343" t="str">
        <f t="shared" ref="M782:M785" si="681">IFERROR(J782/D782,"-")</f>
        <v>-</v>
      </c>
      <c r="N782" s="268" t="str">
        <f t="shared" si="676"/>
        <v>-</v>
      </c>
      <c r="O782" s="519">
        <v>2.3978999999999999</v>
      </c>
      <c r="P782" s="410">
        <f t="shared" ref="P782:P785" si="682">+O782*G782</f>
        <v>0</v>
      </c>
      <c r="Q782" s="459">
        <f t="shared" ref="Q782:Q785" si="683">+O782*K782</f>
        <v>0</v>
      </c>
    </row>
    <row r="783" spans="1:17" ht="23.4" x14ac:dyDescent="0.3">
      <c r="A783" s="277" t="s">
        <v>111</v>
      </c>
      <c r="B783" s="444"/>
      <c r="C783" s="278" t="s">
        <v>273</v>
      </c>
      <c r="D783" s="279"/>
      <c r="E783" s="280"/>
      <c r="F783" s="339">
        <f t="shared" si="677"/>
        <v>0</v>
      </c>
      <c r="G783" s="281">
        <v>0</v>
      </c>
      <c r="H783" s="281">
        <v>0</v>
      </c>
      <c r="I783" s="358" t="str">
        <f>IFERROR(F783/#REF!,"-")</f>
        <v>-</v>
      </c>
      <c r="J783" s="339">
        <f t="shared" si="678"/>
        <v>0</v>
      </c>
      <c r="K783" s="281">
        <f t="shared" si="679"/>
        <v>0</v>
      </c>
      <c r="L783" s="251">
        <f t="shared" si="680"/>
        <v>0</v>
      </c>
      <c r="M783" s="343" t="str">
        <f t="shared" si="681"/>
        <v>-</v>
      </c>
      <c r="N783" s="268" t="str">
        <f>IFERROR(L783/J783,"-")</f>
        <v>-</v>
      </c>
      <c r="O783" s="520">
        <v>4.6797000000000004</v>
      </c>
      <c r="P783" s="410">
        <f t="shared" si="682"/>
        <v>0</v>
      </c>
      <c r="Q783" s="459">
        <f t="shared" si="683"/>
        <v>0</v>
      </c>
    </row>
    <row r="784" spans="1:17" ht="23.4" x14ac:dyDescent="0.3">
      <c r="A784" s="277"/>
      <c r="B784" s="461"/>
      <c r="C784" s="278" t="s">
        <v>372</v>
      </c>
      <c r="D784" s="283"/>
      <c r="E784" s="284"/>
      <c r="F784" s="339">
        <f t="shared" si="677"/>
        <v>29716</v>
      </c>
      <c r="G784" s="285">
        <v>29000</v>
      </c>
      <c r="H784" s="285">
        <v>716</v>
      </c>
      <c r="I784" s="358" t="str">
        <f>IFERROR(F784/#REF!,"-")</f>
        <v>-</v>
      </c>
      <c r="J784" s="339">
        <f t="shared" si="678"/>
        <v>598563</v>
      </c>
      <c r="K784" s="281">
        <f t="shared" si="679"/>
        <v>579000</v>
      </c>
      <c r="L784" s="286">
        <f t="shared" si="680"/>
        <v>19563</v>
      </c>
      <c r="M784" s="343" t="str">
        <f t="shared" si="681"/>
        <v>-</v>
      </c>
      <c r="N784" s="268">
        <f>IFERROR(L784/J784,"-")</f>
        <v>3.2683276447090785E-2</v>
      </c>
      <c r="O784" s="520">
        <v>12.284700000000001</v>
      </c>
      <c r="P784" s="410">
        <f t="shared" si="682"/>
        <v>356256.30000000005</v>
      </c>
      <c r="Q784" s="459">
        <f t="shared" si="683"/>
        <v>7112841.3000000007</v>
      </c>
    </row>
    <row r="785" spans="1:17" ht="24" thickBot="1" x14ac:dyDescent="0.35">
      <c r="A785" s="277" t="s">
        <v>111</v>
      </c>
      <c r="B785" s="461"/>
      <c r="C785" s="278" t="s">
        <v>361</v>
      </c>
      <c r="D785" s="283"/>
      <c r="E785" s="284"/>
      <c r="F785" s="340">
        <f t="shared" si="677"/>
        <v>0</v>
      </c>
      <c r="G785" s="285">
        <v>0</v>
      </c>
      <c r="H785" s="285">
        <v>0</v>
      </c>
      <c r="I785" s="359" t="str">
        <f>IFERROR(F785/#REF!,"-")</f>
        <v>-</v>
      </c>
      <c r="J785" s="471">
        <f t="shared" si="678"/>
        <v>125654</v>
      </c>
      <c r="K785" s="472">
        <f t="shared" si="679"/>
        <v>123250</v>
      </c>
      <c r="L785" s="258">
        <f t="shared" si="680"/>
        <v>2404</v>
      </c>
      <c r="M785" s="344" t="str">
        <f t="shared" si="681"/>
        <v>-</v>
      </c>
      <c r="N785" s="350">
        <f t="shared" ref="N785:N797" si="684">IFERROR(L785/J785,"-")</f>
        <v>1.9131901889315104E-2</v>
      </c>
      <c r="O785" s="520">
        <v>4.6797000000000004</v>
      </c>
      <c r="P785" s="411">
        <f t="shared" si="682"/>
        <v>0</v>
      </c>
      <c r="Q785" s="460">
        <f t="shared" si="683"/>
        <v>576773.02500000002</v>
      </c>
    </row>
    <row r="786" spans="1:17" ht="24" thickBot="1" x14ac:dyDescent="0.35">
      <c r="A786" s="277" t="s">
        <v>111</v>
      </c>
      <c r="B786" s="906" t="s">
        <v>21</v>
      </c>
      <c r="C786" s="907"/>
      <c r="D786" s="326">
        <f>SUM(D781:D785)</f>
        <v>0</v>
      </c>
      <c r="E786" s="289">
        <v>15000</v>
      </c>
      <c r="F786" s="326">
        <f>SUM(F781:F785)</f>
        <v>29716</v>
      </c>
      <c r="G786" s="327">
        <f>SUM(G781:G785)</f>
        <v>29000</v>
      </c>
      <c r="H786" s="327">
        <f>SUM(H781:H785)</f>
        <v>716</v>
      </c>
      <c r="I786" s="351" t="str">
        <f>IFERROR(F786/#REF!,"-")</f>
        <v>-</v>
      </c>
      <c r="J786" s="326">
        <f>SUM(J781:J785)</f>
        <v>1510531</v>
      </c>
      <c r="K786" s="327">
        <f>SUM(K781:K785)</f>
        <v>1434450</v>
      </c>
      <c r="L786" s="328">
        <f>SUM(L781:L785)</f>
        <v>76081</v>
      </c>
      <c r="M786" s="345" t="str">
        <f>IFERROR(J786/D786,"-")</f>
        <v>-</v>
      </c>
      <c r="N786" s="351">
        <f t="shared" si="684"/>
        <v>5.036705635303082E-2</v>
      </c>
      <c r="O786" s="397"/>
      <c r="P786" s="412">
        <f>SUM(P781:P785)</f>
        <v>356256.30000000005</v>
      </c>
      <c r="Q786" s="431">
        <f>SUM(Q781:Q785)</f>
        <v>8836898.5050000008</v>
      </c>
    </row>
    <row r="787" spans="1:17" ht="23.4" x14ac:dyDescent="0.3">
      <c r="A787" s="277" t="s">
        <v>111</v>
      </c>
      <c r="B787" s="445"/>
      <c r="C787" s="272" t="s">
        <v>270</v>
      </c>
      <c r="D787" s="273"/>
      <c r="E787" s="274"/>
      <c r="F787" s="338">
        <f t="shared" ref="F787:F793" si="685">+G787+H787</f>
        <v>17874</v>
      </c>
      <c r="G787" s="275">
        <v>17874</v>
      </c>
      <c r="H787" s="275">
        <v>0</v>
      </c>
      <c r="I787" s="357" t="str">
        <f>IFERROR(F787/#REF!,"-")</f>
        <v>-</v>
      </c>
      <c r="J787" s="338">
        <f t="shared" ref="J787:J793" si="686">+K787+L787</f>
        <v>36827</v>
      </c>
      <c r="K787" s="275">
        <f t="shared" ref="K787:K793" si="687">+G787+K728</f>
        <v>36354</v>
      </c>
      <c r="L787" s="276">
        <f t="shared" ref="L787:L793" si="688">+H787+L728</f>
        <v>473</v>
      </c>
      <c r="M787" s="342" t="str">
        <f t="shared" ref="M787:M795" si="689">IFERROR(J787/D787,"-")</f>
        <v>-</v>
      </c>
      <c r="N787" s="352">
        <f t="shared" si="684"/>
        <v>1.284383740190621E-2</v>
      </c>
      <c r="O787" s="518">
        <v>18.2316</v>
      </c>
      <c r="P787" s="408">
        <f t="shared" ref="P787:P793" si="690">+O787*G787</f>
        <v>325871.61839999998</v>
      </c>
      <c r="Q787" s="457">
        <f t="shared" ref="Q787:Q793" si="691">+O787*K787</f>
        <v>662791.58640000003</v>
      </c>
    </row>
    <row r="788" spans="1:17" ht="23.4" x14ac:dyDescent="0.3">
      <c r="A788" s="277" t="s">
        <v>111</v>
      </c>
      <c r="B788" s="444"/>
      <c r="C788" s="278" t="s">
        <v>92</v>
      </c>
      <c r="D788" s="279"/>
      <c r="E788" s="280"/>
      <c r="F788" s="339">
        <f t="shared" si="685"/>
        <v>60000</v>
      </c>
      <c r="G788" s="281">
        <v>60000</v>
      </c>
      <c r="H788" s="281">
        <v>0</v>
      </c>
      <c r="I788" s="358" t="str">
        <f>IFERROR(F788/#REF!,"-")</f>
        <v>-</v>
      </c>
      <c r="J788" s="339">
        <f t="shared" si="686"/>
        <v>240000</v>
      </c>
      <c r="K788" s="281">
        <f t="shared" si="687"/>
        <v>240000</v>
      </c>
      <c r="L788" s="251">
        <f t="shared" si="688"/>
        <v>0</v>
      </c>
      <c r="M788" s="343" t="str">
        <f t="shared" si="689"/>
        <v>-</v>
      </c>
      <c r="N788" s="264">
        <f t="shared" si="684"/>
        <v>0</v>
      </c>
      <c r="O788" s="519">
        <v>1.2824</v>
      </c>
      <c r="P788" s="410">
        <f t="shared" si="690"/>
        <v>76944</v>
      </c>
      <c r="Q788" s="459">
        <f t="shared" si="691"/>
        <v>307776</v>
      </c>
    </row>
    <row r="789" spans="1:17" ht="23.4" x14ac:dyDescent="0.3">
      <c r="A789" s="277" t="s">
        <v>111</v>
      </c>
      <c r="B789" s="444"/>
      <c r="C789" s="278" t="s">
        <v>340</v>
      </c>
      <c r="D789" s="279"/>
      <c r="E789" s="280"/>
      <c r="F789" s="339">
        <f t="shared" si="685"/>
        <v>0</v>
      </c>
      <c r="G789" s="281">
        <v>0</v>
      </c>
      <c r="H789" s="281">
        <v>0</v>
      </c>
      <c r="I789" s="358" t="str">
        <f>IFERROR(F789/#REF!,"-")</f>
        <v>-</v>
      </c>
      <c r="J789" s="339">
        <f t="shared" si="686"/>
        <v>0</v>
      </c>
      <c r="K789" s="281">
        <f t="shared" si="687"/>
        <v>0</v>
      </c>
      <c r="L789" s="251">
        <f t="shared" si="688"/>
        <v>0</v>
      </c>
      <c r="M789" s="343" t="str">
        <f t="shared" si="689"/>
        <v>-</v>
      </c>
      <c r="N789" s="264" t="str">
        <f t="shared" si="684"/>
        <v>-</v>
      </c>
      <c r="O789" s="519">
        <v>5.7342000000000004</v>
      </c>
      <c r="P789" s="410">
        <f t="shared" si="690"/>
        <v>0</v>
      </c>
      <c r="Q789" s="459">
        <f t="shared" si="691"/>
        <v>0</v>
      </c>
    </row>
    <row r="790" spans="1:17" ht="23.4" x14ac:dyDescent="0.3">
      <c r="A790" s="277" t="s">
        <v>111</v>
      </c>
      <c r="B790" s="444"/>
      <c r="C790" s="278" t="s">
        <v>363</v>
      </c>
      <c r="D790" s="279"/>
      <c r="E790" s="280"/>
      <c r="F790" s="339">
        <f t="shared" si="685"/>
        <v>0</v>
      </c>
      <c r="G790" s="281">
        <v>0</v>
      </c>
      <c r="H790" s="281">
        <v>0</v>
      </c>
      <c r="I790" s="358" t="str">
        <f>IFERROR(F790/#REF!,"-")</f>
        <v>-</v>
      </c>
      <c r="J790" s="339">
        <f t="shared" si="686"/>
        <v>0</v>
      </c>
      <c r="K790" s="281">
        <f t="shared" si="687"/>
        <v>0</v>
      </c>
      <c r="L790" s="251">
        <f t="shared" si="688"/>
        <v>0</v>
      </c>
      <c r="M790" s="343" t="str">
        <f t="shared" si="689"/>
        <v>-</v>
      </c>
      <c r="N790" s="264" t="str">
        <f t="shared" si="684"/>
        <v>-</v>
      </c>
      <c r="O790" s="519"/>
      <c r="P790" s="410">
        <f t="shared" si="690"/>
        <v>0</v>
      </c>
      <c r="Q790" s="459">
        <f t="shared" si="691"/>
        <v>0</v>
      </c>
    </row>
    <row r="791" spans="1:17" ht="23.4" x14ac:dyDescent="0.3">
      <c r="A791" s="277" t="s">
        <v>111</v>
      </c>
      <c r="B791" s="444"/>
      <c r="C791" s="278" t="s">
        <v>373</v>
      </c>
      <c r="D791" s="279"/>
      <c r="E791" s="280"/>
      <c r="F791" s="339">
        <f t="shared" si="685"/>
        <v>9054</v>
      </c>
      <c r="G791" s="281">
        <v>9000</v>
      </c>
      <c r="H791" s="281">
        <v>54</v>
      </c>
      <c r="I791" s="358" t="str">
        <f>IFERROR(F791/#REF!,"-")</f>
        <v>-</v>
      </c>
      <c r="J791" s="339">
        <f t="shared" si="686"/>
        <v>335297</v>
      </c>
      <c r="K791" s="281">
        <f t="shared" si="687"/>
        <v>334000</v>
      </c>
      <c r="L791" s="251">
        <f t="shared" si="688"/>
        <v>1297</v>
      </c>
      <c r="M791" s="343" t="str">
        <f t="shared" si="689"/>
        <v>-</v>
      </c>
      <c r="N791" s="264">
        <f t="shared" si="684"/>
        <v>3.868212360981458E-3</v>
      </c>
      <c r="O791" s="519">
        <v>12.029500000000001</v>
      </c>
      <c r="P791" s="410">
        <f t="shared" si="690"/>
        <v>108265.5</v>
      </c>
      <c r="Q791" s="459">
        <f t="shared" si="691"/>
        <v>4017853</v>
      </c>
    </row>
    <row r="792" spans="1:17" ht="23.4" x14ac:dyDescent="0.3">
      <c r="A792" s="277" t="s">
        <v>111</v>
      </c>
      <c r="B792" s="444"/>
      <c r="C792" s="278"/>
      <c r="D792" s="279"/>
      <c r="E792" s="280"/>
      <c r="F792" s="339">
        <f t="shared" si="685"/>
        <v>0</v>
      </c>
      <c r="G792" s="281">
        <v>0</v>
      </c>
      <c r="H792" s="281">
        <v>0</v>
      </c>
      <c r="I792" s="358" t="str">
        <f>IFERROR(F792/#REF!,"-")</f>
        <v>-</v>
      </c>
      <c r="J792" s="339">
        <f t="shared" si="686"/>
        <v>0</v>
      </c>
      <c r="K792" s="281">
        <f t="shared" si="687"/>
        <v>0</v>
      </c>
      <c r="L792" s="251">
        <f t="shared" si="688"/>
        <v>0</v>
      </c>
      <c r="M792" s="343" t="str">
        <f t="shared" si="689"/>
        <v>-</v>
      </c>
      <c r="N792" s="264" t="str">
        <f t="shared" si="684"/>
        <v>-</v>
      </c>
      <c r="O792" s="519"/>
      <c r="P792" s="410">
        <f t="shared" si="690"/>
        <v>0</v>
      </c>
      <c r="Q792" s="459">
        <f t="shared" si="691"/>
        <v>0</v>
      </c>
    </row>
    <row r="793" spans="1:17" ht="24" thickBot="1" x14ac:dyDescent="0.35">
      <c r="A793" s="277" t="s">
        <v>111</v>
      </c>
      <c r="B793" s="461"/>
      <c r="C793" s="282"/>
      <c r="D793" s="283">
        <v>0</v>
      </c>
      <c r="E793" s="284"/>
      <c r="F793" s="340">
        <f t="shared" si="685"/>
        <v>0</v>
      </c>
      <c r="G793" s="285">
        <v>0</v>
      </c>
      <c r="H793" s="285">
        <v>0</v>
      </c>
      <c r="I793" s="359" t="str">
        <f>IFERROR(F793/#REF!,"-")</f>
        <v>-</v>
      </c>
      <c r="J793" s="340">
        <f t="shared" si="686"/>
        <v>0</v>
      </c>
      <c r="K793" s="285">
        <f t="shared" si="687"/>
        <v>0</v>
      </c>
      <c r="L793" s="286">
        <f t="shared" si="688"/>
        <v>0</v>
      </c>
      <c r="M793" s="344" t="str">
        <f t="shared" si="689"/>
        <v>-</v>
      </c>
      <c r="N793" s="353" t="str">
        <f t="shared" si="684"/>
        <v>-</v>
      </c>
      <c r="O793" s="520"/>
      <c r="P793" s="411">
        <f t="shared" si="690"/>
        <v>0</v>
      </c>
      <c r="Q793" s="460">
        <f t="shared" si="691"/>
        <v>0</v>
      </c>
    </row>
    <row r="794" spans="1:17" ht="24" thickBot="1" x14ac:dyDescent="0.35">
      <c r="A794" s="277" t="s">
        <v>111</v>
      </c>
      <c r="B794" s="906" t="s">
        <v>25</v>
      </c>
      <c r="C794" s="907"/>
      <c r="D794" s="326">
        <f t="shared" ref="D794" si="692">SUM(D787:D793)</f>
        <v>0</v>
      </c>
      <c r="E794" s="289">
        <v>100000</v>
      </c>
      <c r="F794" s="326">
        <f>SUM(F787:F793)</f>
        <v>86928</v>
      </c>
      <c r="G794" s="327">
        <f t="shared" ref="G794:H794" si="693">SUM(G787:G793)</f>
        <v>86874</v>
      </c>
      <c r="H794" s="327">
        <f t="shared" si="693"/>
        <v>54</v>
      </c>
      <c r="I794" s="351" t="str">
        <f>IFERROR(F794/#REF!,"-")</f>
        <v>-</v>
      </c>
      <c r="J794" s="326">
        <f t="shared" ref="J794:L794" si="694">SUM(J787:J793)</f>
        <v>612124</v>
      </c>
      <c r="K794" s="327">
        <f t="shared" si="694"/>
        <v>610354</v>
      </c>
      <c r="L794" s="328">
        <f t="shared" si="694"/>
        <v>1770</v>
      </c>
      <c r="M794" s="345" t="str">
        <f t="shared" si="689"/>
        <v>-</v>
      </c>
      <c r="N794" s="351">
        <f t="shared" si="684"/>
        <v>2.8915709888846053E-3</v>
      </c>
      <c r="O794" s="397"/>
      <c r="P794" s="412">
        <f t="shared" ref="P794:Q794" si="695">SUM(P787:P793)</f>
        <v>511081.11839999998</v>
      </c>
      <c r="Q794" s="431">
        <f t="shared" si="695"/>
        <v>4988420.5864000004</v>
      </c>
    </row>
    <row r="795" spans="1:17" ht="24" thickBot="1" x14ac:dyDescent="0.35">
      <c r="A795" s="277" t="s">
        <v>111</v>
      </c>
      <c r="B795" s="985" t="s">
        <v>181</v>
      </c>
      <c r="C795" s="986"/>
      <c r="D795" s="332">
        <f>+D786+D794</f>
        <v>0</v>
      </c>
      <c r="E795" s="333">
        <f t="shared" ref="E795:H795" si="696">+E786+E794</f>
        <v>115000</v>
      </c>
      <c r="F795" s="332">
        <f t="shared" si="696"/>
        <v>116644</v>
      </c>
      <c r="G795" s="330">
        <f t="shared" si="696"/>
        <v>115874</v>
      </c>
      <c r="H795" s="330">
        <f t="shared" si="696"/>
        <v>770</v>
      </c>
      <c r="I795" s="355" t="str">
        <f>IFERROR(F795/#REF!,"-")</f>
        <v>-</v>
      </c>
      <c r="J795" s="332">
        <f t="shared" ref="J795:L795" si="697">+J786+J794</f>
        <v>2122655</v>
      </c>
      <c r="K795" s="330">
        <f t="shared" si="697"/>
        <v>2044804</v>
      </c>
      <c r="L795" s="331">
        <f t="shared" si="697"/>
        <v>77851</v>
      </c>
      <c r="M795" s="347" t="str">
        <f t="shared" si="689"/>
        <v>-</v>
      </c>
      <c r="N795" s="355">
        <f t="shared" si="684"/>
        <v>3.6676238013242851E-2</v>
      </c>
      <c r="O795" s="400"/>
      <c r="P795" s="416">
        <f t="shared" ref="P795:Q795" si="698">+P786+P794</f>
        <v>867337.41840000008</v>
      </c>
      <c r="Q795" s="434">
        <f t="shared" si="698"/>
        <v>13825319.091400001</v>
      </c>
    </row>
    <row r="796" spans="1:17" ht="23.4" x14ac:dyDescent="0.3">
      <c r="A796" s="244" t="s">
        <v>109</v>
      </c>
      <c r="B796" s="599"/>
      <c r="C796" s="600" t="s">
        <v>314</v>
      </c>
      <c r="D796" s="540"/>
      <c r="E796" s="470"/>
      <c r="F796" s="468">
        <f>+G796+H796</f>
        <v>0</v>
      </c>
      <c r="G796" s="469">
        <v>0</v>
      </c>
      <c r="H796" s="469">
        <v>0</v>
      </c>
      <c r="I796" s="544" t="str">
        <f>IFERROR(F796/#REF!,"-")</f>
        <v>-</v>
      </c>
      <c r="J796" s="468">
        <f>+K796+L796</f>
        <v>0</v>
      </c>
      <c r="K796" s="469">
        <f t="shared" ref="K796:K802" si="699">+G796+K737</f>
        <v>0</v>
      </c>
      <c r="L796" s="247">
        <f t="shared" ref="L796:L802" si="700">+H796+L737</f>
        <v>0</v>
      </c>
      <c r="M796" s="604" t="str">
        <f>IFERROR(J796/D796,"-")</f>
        <v>-</v>
      </c>
      <c r="N796" s="546" t="str">
        <f t="shared" si="684"/>
        <v>-</v>
      </c>
      <c r="O796" s="648">
        <v>4.8285999999999998</v>
      </c>
      <c r="P796" s="547">
        <f t="shared" ref="P796:P802" si="701">+O796*G796</f>
        <v>0</v>
      </c>
      <c r="Q796" s="548">
        <f>+O796*K796</f>
        <v>0</v>
      </c>
    </row>
    <row r="797" spans="1:17" ht="23.4" x14ac:dyDescent="0.3">
      <c r="A797" s="248" t="s">
        <v>109</v>
      </c>
      <c r="B797" s="601"/>
      <c r="C797" s="278" t="s">
        <v>315</v>
      </c>
      <c r="D797" s="279"/>
      <c r="E797" s="442"/>
      <c r="F797" s="339">
        <f t="shared" ref="F797:F802" si="702">+G797+H797</f>
        <v>0</v>
      </c>
      <c r="G797" s="281">
        <v>0</v>
      </c>
      <c r="H797" s="281">
        <v>0</v>
      </c>
      <c r="I797" s="358" t="str">
        <f>IFERROR(F797/#REF!,"-")</f>
        <v>-</v>
      </c>
      <c r="J797" s="339">
        <f t="shared" ref="J797:J802" si="703">+K797+L797</f>
        <v>0</v>
      </c>
      <c r="K797" s="281">
        <f t="shared" si="699"/>
        <v>0</v>
      </c>
      <c r="L797" s="251">
        <f t="shared" si="700"/>
        <v>0</v>
      </c>
      <c r="M797" s="343" t="str">
        <f t="shared" ref="M797:M799" si="704">IFERROR(J797/D797,"-")</f>
        <v>-</v>
      </c>
      <c r="N797" s="268" t="str">
        <f t="shared" si="684"/>
        <v>-</v>
      </c>
      <c r="O797" s="649">
        <v>1.4086000000000001</v>
      </c>
      <c r="P797" s="410">
        <f t="shared" si="701"/>
        <v>0</v>
      </c>
      <c r="Q797" s="459">
        <f t="shared" ref="Q797:Q802" si="705">+O797*K797</f>
        <v>0</v>
      </c>
    </row>
    <row r="798" spans="1:17" ht="23.4" x14ac:dyDescent="0.3">
      <c r="A798" s="248" t="s">
        <v>109</v>
      </c>
      <c r="B798" s="601"/>
      <c r="C798" s="278" t="s">
        <v>367</v>
      </c>
      <c r="D798" s="279"/>
      <c r="E798" s="442"/>
      <c r="F798" s="339">
        <f t="shared" si="702"/>
        <v>0</v>
      </c>
      <c r="G798" s="281">
        <v>0</v>
      </c>
      <c r="H798" s="281">
        <v>0</v>
      </c>
      <c r="I798" s="358" t="str">
        <f>IFERROR(F798/#REF!,"-")</f>
        <v>-</v>
      </c>
      <c r="J798" s="339">
        <f t="shared" si="703"/>
        <v>573613</v>
      </c>
      <c r="K798" s="281">
        <f t="shared" si="699"/>
        <v>566000</v>
      </c>
      <c r="L798" s="251">
        <f t="shared" si="700"/>
        <v>7613</v>
      </c>
      <c r="M798" s="343" t="str">
        <f t="shared" si="704"/>
        <v>-</v>
      </c>
      <c r="N798" s="268">
        <f>IFERROR(L798/J798,"-")</f>
        <v>1.3272014406925924E-2</v>
      </c>
      <c r="O798" s="649">
        <v>2.2141000000000002</v>
      </c>
      <c r="P798" s="410">
        <f t="shared" si="701"/>
        <v>0</v>
      </c>
      <c r="Q798" s="459">
        <f t="shared" si="705"/>
        <v>1253180.6000000001</v>
      </c>
    </row>
    <row r="799" spans="1:17" ht="23.4" x14ac:dyDescent="0.3">
      <c r="A799" s="248" t="s">
        <v>109</v>
      </c>
      <c r="B799" s="602"/>
      <c r="C799" s="278" t="s">
        <v>436</v>
      </c>
      <c r="D799" s="283"/>
      <c r="E799" s="541"/>
      <c r="F799" s="340">
        <f t="shared" si="702"/>
        <v>0</v>
      </c>
      <c r="G799" s="285">
        <v>0</v>
      </c>
      <c r="H799" s="285">
        <v>0</v>
      </c>
      <c r="I799" s="359" t="str">
        <f>IFERROR(F799/#REF!,"-")</f>
        <v>-</v>
      </c>
      <c r="J799" s="339">
        <f t="shared" si="703"/>
        <v>40882</v>
      </c>
      <c r="K799" s="285">
        <f t="shared" si="699"/>
        <v>40000</v>
      </c>
      <c r="L799" s="286">
        <f t="shared" si="700"/>
        <v>882</v>
      </c>
      <c r="M799" s="344" t="str">
        <f t="shared" si="704"/>
        <v>-</v>
      </c>
      <c r="N799" s="350">
        <f t="shared" ref="N799:N806" si="706">IFERROR(L799/J799,"-")</f>
        <v>2.157428697226163E-2</v>
      </c>
      <c r="O799" s="650">
        <v>2.4565999999999999</v>
      </c>
      <c r="P799" s="411">
        <f t="shared" si="701"/>
        <v>0</v>
      </c>
      <c r="Q799" s="460">
        <f t="shared" si="705"/>
        <v>98264</v>
      </c>
    </row>
    <row r="800" spans="1:17" ht="23.4" x14ac:dyDescent="0.3">
      <c r="A800" s="248" t="s">
        <v>109</v>
      </c>
      <c r="B800" s="446"/>
      <c r="C800" s="647" t="s">
        <v>444</v>
      </c>
      <c r="D800" s="521"/>
      <c r="E800" s="542"/>
      <c r="F800" s="339">
        <f t="shared" si="702"/>
        <v>0</v>
      </c>
      <c r="G800" s="561">
        <v>0</v>
      </c>
      <c r="H800" s="561">
        <v>0</v>
      </c>
      <c r="I800" s="358" t="str">
        <f>IFERROR(F800/#REF!,"-")</f>
        <v>-</v>
      </c>
      <c r="J800" s="339">
        <f t="shared" si="703"/>
        <v>16280</v>
      </c>
      <c r="K800" s="285">
        <f t="shared" si="699"/>
        <v>15000</v>
      </c>
      <c r="L800" s="286">
        <f t="shared" si="700"/>
        <v>1280</v>
      </c>
      <c r="M800" s="522"/>
      <c r="N800" s="268">
        <f t="shared" si="706"/>
        <v>7.8624078624078622E-2</v>
      </c>
      <c r="O800" s="553">
        <v>4.8285999999999998</v>
      </c>
      <c r="P800" s="410">
        <f t="shared" si="701"/>
        <v>0</v>
      </c>
      <c r="Q800" s="459">
        <f t="shared" si="705"/>
        <v>72429</v>
      </c>
    </row>
    <row r="801" spans="1:17" ht="23.4" x14ac:dyDescent="0.3">
      <c r="A801" s="248" t="s">
        <v>109</v>
      </c>
      <c r="B801" s="603"/>
      <c r="C801" s="647" t="s">
        <v>439</v>
      </c>
      <c r="D801" s="273"/>
      <c r="E801" s="441"/>
      <c r="F801" s="338">
        <f t="shared" si="702"/>
        <v>0</v>
      </c>
      <c r="G801" s="275">
        <v>0</v>
      </c>
      <c r="H801" s="275">
        <v>0</v>
      </c>
      <c r="I801" s="357" t="str">
        <f>IFERROR(F801/#REF!,"-")</f>
        <v>-</v>
      </c>
      <c r="J801" s="339">
        <f t="shared" si="703"/>
        <v>186657</v>
      </c>
      <c r="K801" s="285">
        <f t="shared" si="699"/>
        <v>179500</v>
      </c>
      <c r="L801" s="286">
        <f t="shared" si="700"/>
        <v>7157</v>
      </c>
      <c r="M801" s="342" t="str">
        <f t="shared" ref="M801:M802" si="707">IFERROR(J801/D801,"-")</f>
        <v>-</v>
      </c>
      <c r="N801" s="352">
        <f t="shared" si="706"/>
        <v>3.8343057051168722E-2</v>
      </c>
      <c r="O801" s="518">
        <v>4.1712999999999996</v>
      </c>
      <c r="P801" s="408">
        <f t="shared" si="701"/>
        <v>0</v>
      </c>
      <c r="Q801" s="457">
        <f t="shared" si="705"/>
        <v>748748.35</v>
      </c>
    </row>
    <row r="802" spans="1:17" ht="24" thickBot="1" x14ac:dyDescent="0.35">
      <c r="A802" s="248" t="s">
        <v>109</v>
      </c>
      <c r="B802" s="601"/>
      <c r="C802" s="278"/>
      <c r="D802" s="279"/>
      <c r="E802" s="442"/>
      <c r="F802" s="339">
        <f t="shared" si="702"/>
        <v>0</v>
      </c>
      <c r="G802" s="281"/>
      <c r="H802" s="281"/>
      <c r="I802" s="358" t="str">
        <f>IFERROR(F802/#REF!,"-")</f>
        <v>-</v>
      </c>
      <c r="J802" s="339">
        <f t="shared" si="703"/>
        <v>0</v>
      </c>
      <c r="K802" s="281">
        <f t="shared" si="699"/>
        <v>0</v>
      </c>
      <c r="L802" s="251">
        <f t="shared" si="700"/>
        <v>0</v>
      </c>
      <c r="M802" s="343" t="str">
        <f t="shared" si="707"/>
        <v>-</v>
      </c>
      <c r="N802" s="264" t="str">
        <f t="shared" si="706"/>
        <v>-</v>
      </c>
      <c r="O802" s="458"/>
      <c r="P802" s="410">
        <f t="shared" si="701"/>
        <v>0</v>
      </c>
      <c r="Q802" s="459">
        <f t="shared" si="705"/>
        <v>0</v>
      </c>
    </row>
    <row r="803" spans="1:17" ht="24" thickBot="1" x14ac:dyDescent="0.35">
      <c r="A803" s="277" t="s">
        <v>109</v>
      </c>
      <c r="B803" s="987" t="s">
        <v>21</v>
      </c>
      <c r="C803" s="925"/>
      <c r="D803" s="326">
        <v>0</v>
      </c>
      <c r="E803" s="289">
        <v>15000</v>
      </c>
      <c r="F803" s="326">
        <f>SUM(F796:F802)</f>
        <v>0</v>
      </c>
      <c r="G803" s="327">
        <f t="shared" ref="G803:H803" si="708">SUM(G796:G802)</f>
        <v>0</v>
      </c>
      <c r="H803" s="327">
        <f t="shared" si="708"/>
        <v>0</v>
      </c>
      <c r="I803" s="351" t="str">
        <f>IFERROR(F803/#REF!,"-")</f>
        <v>-</v>
      </c>
      <c r="J803" s="326">
        <f t="shared" ref="J803" si="709">SUM(J796:J802)</f>
        <v>817432</v>
      </c>
      <c r="K803" s="327">
        <f>SUM(K796:K802)</f>
        <v>800500</v>
      </c>
      <c r="L803" s="327">
        <f>SUM(L796:L802)</f>
        <v>16932</v>
      </c>
      <c r="M803" s="345" t="str">
        <f>IFERROR(J803/D803,"-")</f>
        <v>-</v>
      </c>
      <c r="N803" s="351">
        <f t="shared" si="706"/>
        <v>2.0713649575744526E-2</v>
      </c>
      <c r="O803" s="397"/>
      <c r="P803" s="412">
        <f>SUM(P796:P802)</f>
        <v>0</v>
      </c>
      <c r="Q803" s="431">
        <f>SUM(Q796:Q802)</f>
        <v>2172621.9500000002</v>
      </c>
    </row>
    <row r="804" spans="1:17" ht="24" thickBot="1" x14ac:dyDescent="0.35">
      <c r="A804" s="277" t="s">
        <v>109</v>
      </c>
      <c r="B804" s="988" t="s">
        <v>275</v>
      </c>
      <c r="C804" s="989"/>
      <c r="D804" s="524">
        <f>+D800+D803</f>
        <v>0</v>
      </c>
      <c r="E804" s="538">
        <f>+E800+E803</f>
        <v>15000</v>
      </c>
      <c r="F804" s="524">
        <f>+F800+F803</f>
        <v>0</v>
      </c>
      <c r="G804" s="526">
        <f>+G800+G803</f>
        <v>0</v>
      </c>
      <c r="H804" s="526">
        <f>+H800+H803</f>
        <v>0</v>
      </c>
      <c r="I804" s="527" t="str">
        <f>IFERROR(F804/#REF!,"-")</f>
        <v>-</v>
      </c>
      <c r="J804" s="524">
        <f>+J800+J803</f>
        <v>833712</v>
      </c>
      <c r="K804" s="526">
        <f>+K803</f>
        <v>800500</v>
      </c>
      <c r="L804" s="526">
        <f>+L803</f>
        <v>16932</v>
      </c>
      <c r="M804" s="528" t="str">
        <f t="shared" ref="M804" si="710">IFERROR(J804/D804,"-")</f>
        <v>-</v>
      </c>
      <c r="N804" s="527">
        <f t="shared" si="706"/>
        <v>2.0309171512464735E-2</v>
      </c>
      <c r="O804" s="529"/>
      <c r="P804" s="530">
        <f>+P803</f>
        <v>0</v>
      </c>
      <c r="Q804" s="530">
        <f>+Q803</f>
        <v>2172621.9500000002</v>
      </c>
    </row>
    <row r="805" spans="1:17" ht="23.4" x14ac:dyDescent="0.4">
      <c r="A805" s="244" t="s">
        <v>109</v>
      </c>
      <c r="B805" s="979" t="s">
        <v>277</v>
      </c>
      <c r="C805" s="555" t="s">
        <v>74</v>
      </c>
      <c r="D805" s="540"/>
      <c r="E805" s="470"/>
      <c r="F805" s="468">
        <f>+G805+H805</f>
        <v>5504</v>
      </c>
      <c r="G805" s="469">
        <f>5500</f>
        <v>5500</v>
      </c>
      <c r="H805" s="469">
        <f>4</f>
        <v>4</v>
      </c>
      <c r="I805" s="544" t="str">
        <f>IFERROR(F805/#REF!,"-")</f>
        <v>-</v>
      </c>
      <c r="J805" s="468">
        <f>+K805+L805</f>
        <v>52204</v>
      </c>
      <c r="K805" s="469">
        <f t="shared" ref="K805:K810" si="711">+G805+K746</f>
        <v>52160</v>
      </c>
      <c r="L805" s="246">
        <f t="shared" ref="L805:L810" si="712">+H805+L746</f>
        <v>44</v>
      </c>
      <c r="M805" s="263" t="str">
        <f>IFERROR(J805/D805,"-")</f>
        <v>-</v>
      </c>
      <c r="N805" s="546">
        <f t="shared" si="706"/>
        <v>8.4284729139529535E-4</v>
      </c>
      <c r="O805" s="551">
        <v>32.946300000000001</v>
      </c>
      <c r="P805" s="547">
        <f t="shared" ref="P805:P834" si="713">+O805*G805</f>
        <v>181204.65</v>
      </c>
      <c r="Q805" s="548">
        <f t="shared" ref="Q805:Q834" si="714">+O805*K805</f>
        <v>1718479.0080000001</v>
      </c>
    </row>
    <row r="806" spans="1:17" ht="23.4" x14ac:dyDescent="0.4">
      <c r="A806" s="248" t="s">
        <v>109</v>
      </c>
      <c r="B806" s="980"/>
      <c r="C806" s="556" t="s">
        <v>75</v>
      </c>
      <c r="D806" s="523"/>
      <c r="E806" s="442"/>
      <c r="F806" s="339">
        <f t="shared" ref="F806:F834" si="715">+G806+H806</f>
        <v>0</v>
      </c>
      <c r="G806" s="281">
        <v>0</v>
      </c>
      <c r="H806" s="281">
        <v>0</v>
      </c>
      <c r="I806" s="358" t="str">
        <f>IFERROR(F806/#REF!,"-")</f>
        <v>-</v>
      </c>
      <c r="J806" s="339">
        <f t="shared" ref="J806:J834" si="716">+K806+L806</f>
        <v>0</v>
      </c>
      <c r="K806" s="281">
        <f t="shared" si="711"/>
        <v>0</v>
      </c>
      <c r="L806" s="250">
        <f t="shared" si="712"/>
        <v>0</v>
      </c>
      <c r="M806" s="265" t="str">
        <f t="shared" ref="M806:M808" si="717">IFERROR(J806/D806,"-")</f>
        <v>-</v>
      </c>
      <c r="N806" s="268" t="str">
        <f t="shared" si="706"/>
        <v>-</v>
      </c>
      <c r="O806" s="519">
        <v>35.398400000000002</v>
      </c>
      <c r="P806" s="410">
        <f t="shared" si="713"/>
        <v>0</v>
      </c>
      <c r="Q806" s="459">
        <f t="shared" si="714"/>
        <v>0</v>
      </c>
    </row>
    <row r="807" spans="1:17" ht="24" thickBot="1" x14ac:dyDescent="0.45">
      <c r="A807" s="248" t="s">
        <v>109</v>
      </c>
      <c r="B807" s="980"/>
      <c r="C807" s="556" t="s">
        <v>76</v>
      </c>
      <c r="D807" s="279"/>
      <c r="E807" s="442"/>
      <c r="F807" s="339">
        <f t="shared" si="715"/>
        <v>0</v>
      </c>
      <c r="G807" s="281">
        <v>0</v>
      </c>
      <c r="H807" s="281">
        <v>0</v>
      </c>
      <c r="I807" s="358" t="str">
        <f>IFERROR(F807/#REF!,"-")</f>
        <v>-</v>
      </c>
      <c r="J807" s="339">
        <f t="shared" si="716"/>
        <v>10000</v>
      </c>
      <c r="K807" s="281">
        <f t="shared" si="711"/>
        <v>10000</v>
      </c>
      <c r="L807" s="250">
        <f t="shared" si="712"/>
        <v>0</v>
      </c>
      <c r="M807" s="265" t="str">
        <f t="shared" si="717"/>
        <v>-</v>
      </c>
      <c r="N807" s="268">
        <f>IFERROR(L807/J807,"-")</f>
        <v>0</v>
      </c>
      <c r="O807" s="519">
        <v>32.946300000000001</v>
      </c>
      <c r="P807" s="410">
        <f t="shared" si="713"/>
        <v>0</v>
      </c>
      <c r="Q807" s="459">
        <f t="shared" si="714"/>
        <v>329463</v>
      </c>
    </row>
    <row r="808" spans="1:17" ht="23.4" x14ac:dyDescent="0.4">
      <c r="A808" s="248" t="s">
        <v>109</v>
      </c>
      <c r="B808" s="979" t="s">
        <v>278</v>
      </c>
      <c r="C808" s="558" t="s">
        <v>78</v>
      </c>
      <c r="D808" s="279"/>
      <c r="E808" s="541"/>
      <c r="F808" s="340">
        <f t="shared" si="715"/>
        <v>0</v>
      </c>
      <c r="G808" s="281">
        <v>0</v>
      </c>
      <c r="H808" s="281">
        <v>0</v>
      </c>
      <c r="I808" s="358" t="str">
        <f>IFERROR(F808/#REF!,"-")</f>
        <v>-</v>
      </c>
      <c r="J808" s="339">
        <f t="shared" si="716"/>
        <v>9803</v>
      </c>
      <c r="K808" s="281">
        <f t="shared" si="711"/>
        <v>8225</v>
      </c>
      <c r="L808" s="250">
        <f t="shared" si="712"/>
        <v>1578</v>
      </c>
      <c r="M808" s="265" t="str">
        <f t="shared" si="717"/>
        <v>-</v>
      </c>
      <c r="N808" s="268">
        <f t="shared" ref="N808" si="718">IFERROR(L808/J808,"-")</f>
        <v>0.16097113128634091</v>
      </c>
      <c r="O808" s="519">
        <v>55.4758</v>
      </c>
      <c r="P808" s="410">
        <f t="shared" si="713"/>
        <v>0</v>
      </c>
      <c r="Q808" s="459">
        <f t="shared" si="714"/>
        <v>456288.45500000002</v>
      </c>
    </row>
    <row r="809" spans="1:17" ht="23.4" x14ac:dyDescent="0.4">
      <c r="A809" s="248" t="s">
        <v>109</v>
      </c>
      <c r="B809" s="980"/>
      <c r="C809" s="558" t="s">
        <v>75</v>
      </c>
      <c r="D809" s="279"/>
      <c r="E809" s="542"/>
      <c r="F809" s="340">
        <f t="shared" si="715"/>
        <v>0</v>
      </c>
      <c r="G809" s="281">
        <v>0</v>
      </c>
      <c r="H809" s="281">
        <v>0</v>
      </c>
      <c r="I809" s="358" t="str">
        <f>IFERROR(F809/#REF!,"-")</f>
        <v>-</v>
      </c>
      <c r="J809" s="339">
        <f t="shared" si="716"/>
        <v>5350</v>
      </c>
      <c r="K809" s="281">
        <f t="shared" si="711"/>
        <v>4150</v>
      </c>
      <c r="L809" s="250">
        <f t="shared" si="712"/>
        <v>1200</v>
      </c>
      <c r="M809" s="522"/>
      <c r="N809" s="378"/>
      <c r="O809" s="553">
        <v>58.836300000000001</v>
      </c>
      <c r="P809" s="410">
        <f t="shared" si="713"/>
        <v>0</v>
      </c>
      <c r="Q809" s="459">
        <f t="shared" si="714"/>
        <v>244170.64500000002</v>
      </c>
    </row>
    <row r="810" spans="1:17" ht="23.4" x14ac:dyDescent="0.4">
      <c r="A810" s="248" t="s">
        <v>109</v>
      </c>
      <c r="B810" s="980"/>
      <c r="C810" s="558" t="s">
        <v>435</v>
      </c>
      <c r="D810" s="279"/>
      <c r="E810" s="441"/>
      <c r="F810" s="340">
        <f t="shared" si="715"/>
        <v>0</v>
      </c>
      <c r="G810" s="281">
        <v>0</v>
      </c>
      <c r="H810" s="281">
        <v>0</v>
      </c>
      <c r="I810" s="358" t="str">
        <f>IFERROR(F810/#REF!,"-")</f>
        <v>-</v>
      </c>
      <c r="J810" s="339">
        <f t="shared" si="716"/>
        <v>17944</v>
      </c>
      <c r="K810" s="281">
        <f t="shared" si="711"/>
        <v>15500</v>
      </c>
      <c r="L810" s="250">
        <f t="shared" si="712"/>
        <v>2444</v>
      </c>
      <c r="M810" s="265" t="str">
        <f t="shared" ref="M810:M837" si="719">IFERROR(J810/D810,"-")</f>
        <v>-</v>
      </c>
      <c r="N810" s="264">
        <f t="shared" ref="N810:N836" si="720">IFERROR(L810/J810,"-")</f>
        <v>0.13620151582701739</v>
      </c>
      <c r="O810" s="519">
        <v>55.4758</v>
      </c>
      <c r="P810" s="410">
        <f t="shared" si="713"/>
        <v>0</v>
      </c>
      <c r="Q810" s="459">
        <f t="shared" si="714"/>
        <v>859874.9</v>
      </c>
    </row>
    <row r="811" spans="1:17" ht="24" thickBot="1" x14ac:dyDescent="0.45">
      <c r="A811" s="248"/>
      <c r="B811" s="981"/>
      <c r="C811" s="558" t="s">
        <v>471</v>
      </c>
      <c r="D811" s="279"/>
      <c r="E811" s="441"/>
      <c r="F811" s="340">
        <f t="shared" si="715"/>
        <v>2621</v>
      </c>
      <c r="G811" s="281">
        <v>2400</v>
      </c>
      <c r="H811" s="281">
        <v>221</v>
      </c>
      <c r="I811" s="358"/>
      <c r="J811" s="339">
        <f t="shared" si="716"/>
        <v>2621</v>
      </c>
      <c r="K811" s="281">
        <f>+G811</f>
        <v>2400</v>
      </c>
      <c r="L811" s="250">
        <f>+H811</f>
        <v>221</v>
      </c>
      <c r="M811" s="265"/>
      <c r="N811" s="264">
        <f>IFERROR(L811/J811,"-")</f>
        <v>8.4318962228157199E-2</v>
      </c>
      <c r="O811" s="519">
        <v>55.4758</v>
      </c>
      <c r="P811" s="410">
        <f t="shared" si="713"/>
        <v>133141.92000000001</v>
      </c>
      <c r="Q811" s="459">
        <f t="shared" si="714"/>
        <v>133141.92000000001</v>
      </c>
    </row>
    <row r="812" spans="1:17" ht="23.4" x14ac:dyDescent="0.4">
      <c r="A812" s="248" t="s">
        <v>109</v>
      </c>
      <c r="B812" s="979" t="s">
        <v>79</v>
      </c>
      <c r="C812" s="556" t="s">
        <v>80</v>
      </c>
      <c r="D812" s="279"/>
      <c r="E812" s="442"/>
      <c r="F812" s="339">
        <f t="shared" si="715"/>
        <v>0</v>
      </c>
      <c r="G812" s="281">
        <v>0</v>
      </c>
      <c r="H812" s="281">
        <v>0</v>
      </c>
      <c r="I812" s="358" t="str">
        <f>IFERROR(F812/#REF!,"-")</f>
        <v>-</v>
      </c>
      <c r="J812" s="339">
        <f t="shared" si="716"/>
        <v>0</v>
      </c>
      <c r="K812" s="281">
        <f t="shared" ref="K812:K834" si="721">+G812+K752</f>
        <v>0</v>
      </c>
      <c r="L812" s="250">
        <f t="shared" ref="L812:L834" si="722">+H812+L752</f>
        <v>0</v>
      </c>
      <c r="M812" s="265" t="str">
        <f t="shared" si="719"/>
        <v>-</v>
      </c>
      <c r="N812" s="264" t="str">
        <f t="shared" si="720"/>
        <v>-</v>
      </c>
      <c r="O812" s="519">
        <v>25.687200000000001</v>
      </c>
      <c r="P812" s="410">
        <f t="shared" si="713"/>
        <v>0</v>
      </c>
      <c r="Q812" s="459">
        <f t="shared" si="714"/>
        <v>0</v>
      </c>
    </row>
    <row r="813" spans="1:17" ht="24" thickBot="1" x14ac:dyDescent="0.45">
      <c r="A813" s="248" t="s">
        <v>109</v>
      </c>
      <c r="B813" s="981"/>
      <c r="C813" s="556" t="s">
        <v>125</v>
      </c>
      <c r="D813" s="279"/>
      <c r="E813" s="442"/>
      <c r="F813" s="339">
        <f t="shared" si="715"/>
        <v>0</v>
      </c>
      <c r="G813" s="281">
        <v>0</v>
      </c>
      <c r="H813" s="281">
        <v>0</v>
      </c>
      <c r="I813" s="358" t="str">
        <f>IFERROR(F813/#REF!,"-")</f>
        <v>-</v>
      </c>
      <c r="J813" s="339">
        <f t="shared" si="716"/>
        <v>0</v>
      </c>
      <c r="K813" s="281">
        <f t="shared" si="721"/>
        <v>0</v>
      </c>
      <c r="L813" s="250">
        <f t="shared" si="722"/>
        <v>0</v>
      </c>
      <c r="M813" s="265" t="str">
        <f t="shared" si="719"/>
        <v>-</v>
      </c>
      <c r="N813" s="264" t="str">
        <f t="shared" si="720"/>
        <v>-</v>
      </c>
      <c r="O813" s="519">
        <v>25.033899999999999</v>
      </c>
      <c r="P813" s="410">
        <f t="shared" si="713"/>
        <v>0</v>
      </c>
      <c r="Q813" s="459">
        <f t="shared" si="714"/>
        <v>0</v>
      </c>
    </row>
    <row r="814" spans="1:17" ht="23.4" x14ac:dyDescent="0.4">
      <c r="A814" s="248"/>
      <c r="B814" s="979" t="s">
        <v>81</v>
      </c>
      <c r="C814" s="556" t="s">
        <v>82</v>
      </c>
      <c r="D814" s="279"/>
      <c r="E814" s="442"/>
      <c r="F814" s="339">
        <f t="shared" si="715"/>
        <v>4006</v>
      </c>
      <c r="G814" s="281">
        <v>4000</v>
      </c>
      <c r="H814" s="281">
        <v>6</v>
      </c>
      <c r="I814" s="358" t="str">
        <f>IFERROR(F814/#REF!,"-")</f>
        <v>-</v>
      </c>
      <c r="J814" s="339">
        <f t="shared" si="716"/>
        <v>8866</v>
      </c>
      <c r="K814" s="281">
        <f t="shared" si="721"/>
        <v>8840</v>
      </c>
      <c r="L814" s="250">
        <f t="shared" si="722"/>
        <v>26</v>
      </c>
      <c r="M814" s="265" t="str">
        <f t="shared" si="719"/>
        <v>-</v>
      </c>
      <c r="N814" s="264">
        <f t="shared" si="720"/>
        <v>2.9325513196480938E-3</v>
      </c>
      <c r="O814" s="519">
        <v>41.992699999999999</v>
      </c>
      <c r="P814" s="410">
        <f t="shared" si="713"/>
        <v>167970.8</v>
      </c>
      <c r="Q814" s="459">
        <f t="shared" si="714"/>
        <v>371215.46799999999</v>
      </c>
    </row>
    <row r="815" spans="1:17" ht="24" thickBot="1" x14ac:dyDescent="0.45">
      <c r="A815" s="248"/>
      <c r="B815" s="980"/>
      <c r="C815" s="556" t="s">
        <v>364</v>
      </c>
      <c r="D815" s="279"/>
      <c r="E815" s="442"/>
      <c r="F815" s="339">
        <f t="shared" si="715"/>
        <v>0</v>
      </c>
      <c r="G815" s="281">
        <v>0</v>
      </c>
      <c r="H815" s="281">
        <v>0</v>
      </c>
      <c r="I815" s="358" t="str">
        <f>IFERROR(F815/#REF!,"-")</f>
        <v>-</v>
      </c>
      <c r="J815" s="339">
        <f t="shared" si="716"/>
        <v>0</v>
      </c>
      <c r="K815" s="281">
        <f t="shared" si="721"/>
        <v>0</v>
      </c>
      <c r="L815" s="250">
        <f t="shared" si="722"/>
        <v>0</v>
      </c>
      <c r="M815" s="265" t="str">
        <f t="shared" si="719"/>
        <v>-</v>
      </c>
      <c r="N815" s="264" t="str">
        <f t="shared" si="720"/>
        <v>-</v>
      </c>
      <c r="O815" s="519">
        <v>41.992699999999999</v>
      </c>
      <c r="P815" s="410">
        <f t="shared" si="713"/>
        <v>0</v>
      </c>
      <c r="Q815" s="459">
        <f t="shared" si="714"/>
        <v>0</v>
      </c>
    </row>
    <row r="816" spans="1:17" ht="24" thickBot="1" x14ac:dyDescent="0.45">
      <c r="A816" s="248"/>
      <c r="B816" s="559" t="s">
        <v>83</v>
      </c>
      <c r="C816" s="556" t="s">
        <v>84</v>
      </c>
      <c r="D816" s="279"/>
      <c r="E816" s="442"/>
      <c r="F816" s="339">
        <f t="shared" si="715"/>
        <v>0</v>
      </c>
      <c r="G816" s="281">
        <v>0</v>
      </c>
      <c r="H816" s="281">
        <v>0</v>
      </c>
      <c r="I816" s="358" t="str">
        <f>IFERROR(F816/#REF!,"-")</f>
        <v>-</v>
      </c>
      <c r="J816" s="339">
        <f t="shared" si="716"/>
        <v>0</v>
      </c>
      <c r="K816" s="281">
        <f t="shared" si="721"/>
        <v>0</v>
      </c>
      <c r="L816" s="250">
        <f t="shared" si="722"/>
        <v>0</v>
      </c>
      <c r="M816" s="265" t="str">
        <f t="shared" si="719"/>
        <v>-</v>
      </c>
      <c r="N816" s="264" t="str">
        <f t="shared" si="720"/>
        <v>-</v>
      </c>
      <c r="O816" s="519">
        <v>4.3535000000000004</v>
      </c>
      <c r="P816" s="410">
        <f t="shared" si="713"/>
        <v>0</v>
      </c>
      <c r="Q816" s="459">
        <f t="shared" si="714"/>
        <v>0</v>
      </c>
    </row>
    <row r="817" spans="1:17" ht="23.4" x14ac:dyDescent="0.4">
      <c r="A817" s="248"/>
      <c r="B817" s="979" t="s">
        <v>280</v>
      </c>
      <c r="C817" s="556" t="s">
        <v>80</v>
      </c>
      <c r="D817" s="279"/>
      <c r="E817" s="442"/>
      <c r="F817" s="339">
        <f t="shared" si="715"/>
        <v>0</v>
      </c>
      <c r="G817" s="281">
        <v>0</v>
      </c>
      <c r="H817" s="281">
        <v>0</v>
      </c>
      <c r="I817" s="358" t="str">
        <f>IFERROR(F817/#REF!,"-")</f>
        <v>-</v>
      </c>
      <c r="J817" s="339">
        <f t="shared" si="716"/>
        <v>0</v>
      </c>
      <c r="K817" s="281">
        <f t="shared" si="721"/>
        <v>0</v>
      </c>
      <c r="L817" s="250">
        <f t="shared" si="722"/>
        <v>0</v>
      </c>
      <c r="M817" s="265" t="str">
        <f t="shared" si="719"/>
        <v>-</v>
      </c>
      <c r="N817" s="264" t="str">
        <f t="shared" si="720"/>
        <v>-</v>
      </c>
      <c r="O817" s="519">
        <v>4.6184000000000003</v>
      </c>
      <c r="P817" s="410">
        <f t="shared" si="713"/>
        <v>0</v>
      </c>
      <c r="Q817" s="459">
        <f t="shared" si="714"/>
        <v>0</v>
      </c>
    </row>
    <row r="818" spans="1:17" ht="23.4" x14ac:dyDescent="0.4">
      <c r="A818" s="248"/>
      <c r="B818" s="980"/>
      <c r="C818" s="556" t="s">
        <v>407</v>
      </c>
      <c r="D818" s="279"/>
      <c r="E818" s="442"/>
      <c r="F818" s="339">
        <f t="shared" si="715"/>
        <v>0</v>
      </c>
      <c r="G818" s="281">
        <v>0</v>
      </c>
      <c r="H818" s="281">
        <v>0</v>
      </c>
      <c r="I818" s="358" t="str">
        <f>IFERROR(F818/#REF!,"-")</f>
        <v>-</v>
      </c>
      <c r="J818" s="339">
        <f t="shared" si="716"/>
        <v>146140</v>
      </c>
      <c r="K818" s="281">
        <f t="shared" si="721"/>
        <v>144842</v>
      </c>
      <c r="L818" s="250">
        <f t="shared" si="722"/>
        <v>1298</v>
      </c>
      <c r="M818" s="265" t="str">
        <f t="shared" si="719"/>
        <v>-</v>
      </c>
      <c r="N818" s="264">
        <f t="shared" si="720"/>
        <v>8.8818940741754483E-3</v>
      </c>
      <c r="O818" s="519">
        <v>4.6184000000000003</v>
      </c>
      <c r="P818" s="410">
        <f t="shared" si="713"/>
        <v>0</v>
      </c>
      <c r="Q818" s="459">
        <f t="shared" si="714"/>
        <v>668938.29280000005</v>
      </c>
    </row>
    <row r="819" spans="1:17" ht="23.4" x14ac:dyDescent="0.4">
      <c r="A819" s="248"/>
      <c r="B819" s="980"/>
      <c r="C819" s="556" t="s">
        <v>279</v>
      </c>
      <c r="D819" s="279"/>
      <c r="E819" s="442"/>
      <c r="F819" s="339">
        <f t="shared" si="715"/>
        <v>0</v>
      </c>
      <c r="G819" s="281">
        <v>0</v>
      </c>
      <c r="H819" s="281">
        <v>0</v>
      </c>
      <c r="I819" s="358" t="str">
        <f>IFERROR(F819/#REF!,"-")</f>
        <v>-</v>
      </c>
      <c r="J819" s="339">
        <f t="shared" si="716"/>
        <v>0</v>
      </c>
      <c r="K819" s="281">
        <f t="shared" si="721"/>
        <v>0</v>
      </c>
      <c r="L819" s="250">
        <f t="shared" si="722"/>
        <v>0</v>
      </c>
      <c r="M819" s="265" t="str">
        <f t="shared" si="719"/>
        <v>-</v>
      </c>
      <c r="N819" s="264" t="str">
        <f t="shared" si="720"/>
        <v>-</v>
      </c>
      <c r="O819" s="519">
        <v>4.6184000000000003</v>
      </c>
      <c r="P819" s="410">
        <f t="shared" si="713"/>
        <v>0</v>
      </c>
      <c r="Q819" s="459">
        <f t="shared" si="714"/>
        <v>0</v>
      </c>
    </row>
    <row r="820" spans="1:17" ht="23.4" x14ac:dyDescent="0.4">
      <c r="A820" s="248"/>
      <c r="B820" s="980"/>
      <c r="C820" s="556" t="s">
        <v>440</v>
      </c>
      <c r="D820" s="279"/>
      <c r="E820" s="442"/>
      <c r="F820" s="339">
        <f t="shared" si="715"/>
        <v>13434</v>
      </c>
      <c r="G820" s="281">
        <v>13200</v>
      </c>
      <c r="H820" s="281">
        <v>234</v>
      </c>
      <c r="I820" s="358" t="str">
        <f>IFERROR(F820/#REF!,"-")</f>
        <v>-</v>
      </c>
      <c r="J820" s="339">
        <f t="shared" si="716"/>
        <v>159767</v>
      </c>
      <c r="K820" s="281">
        <f t="shared" si="721"/>
        <v>158300</v>
      </c>
      <c r="L820" s="250">
        <f t="shared" si="722"/>
        <v>1467</v>
      </c>
      <c r="M820" s="265" t="str">
        <f t="shared" si="719"/>
        <v>-</v>
      </c>
      <c r="N820" s="264">
        <f t="shared" si="720"/>
        <v>9.1821214643825078E-3</v>
      </c>
      <c r="O820" s="519">
        <v>4.7636000000000003</v>
      </c>
      <c r="P820" s="410">
        <f t="shared" si="713"/>
        <v>62879.520000000004</v>
      </c>
      <c r="Q820" s="459">
        <f t="shared" si="714"/>
        <v>754077.88</v>
      </c>
    </row>
    <row r="821" spans="1:17" ht="24" thickBot="1" x14ac:dyDescent="0.45">
      <c r="A821" s="248"/>
      <c r="B821" s="981"/>
      <c r="C821" s="556" t="s">
        <v>429</v>
      </c>
      <c r="D821" s="279"/>
      <c r="E821" s="442"/>
      <c r="F821" s="339">
        <f t="shared" si="715"/>
        <v>0</v>
      </c>
      <c r="G821" s="281">
        <v>0</v>
      </c>
      <c r="H821" s="281">
        <v>0</v>
      </c>
      <c r="I821" s="358" t="str">
        <f>IFERROR(F821/#REF!,"-")</f>
        <v>-</v>
      </c>
      <c r="J821" s="339">
        <f t="shared" si="716"/>
        <v>12296</v>
      </c>
      <c r="K821" s="281">
        <f t="shared" si="721"/>
        <v>12100</v>
      </c>
      <c r="L821" s="250">
        <f t="shared" si="722"/>
        <v>196</v>
      </c>
      <c r="M821" s="265" t="str">
        <f t="shared" si="719"/>
        <v>-</v>
      </c>
      <c r="N821" s="264">
        <f t="shared" si="720"/>
        <v>1.594014313597918E-2</v>
      </c>
      <c r="O821" s="519">
        <v>4.8738000000000001</v>
      </c>
      <c r="P821" s="410">
        <f t="shared" si="713"/>
        <v>0</v>
      </c>
      <c r="Q821" s="459">
        <f t="shared" si="714"/>
        <v>58972.98</v>
      </c>
    </row>
    <row r="822" spans="1:17" ht="24" thickBot="1" x14ac:dyDescent="0.45">
      <c r="A822" s="248"/>
      <c r="B822" s="559" t="s">
        <v>281</v>
      </c>
      <c r="C822" s="556" t="s">
        <v>132</v>
      </c>
      <c r="D822" s="279"/>
      <c r="E822" s="442"/>
      <c r="F822" s="339">
        <f t="shared" si="715"/>
        <v>0</v>
      </c>
      <c r="G822" s="281">
        <v>0</v>
      </c>
      <c r="H822" s="281">
        <v>0</v>
      </c>
      <c r="I822" s="358" t="str">
        <f>IFERROR(F822/#REF!,"-")</f>
        <v>-</v>
      </c>
      <c r="J822" s="339">
        <f t="shared" si="716"/>
        <v>0</v>
      </c>
      <c r="K822" s="281">
        <f t="shared" si="721"/>
        <v>0</v>
      </c>
      <c r="L822" s="250">
        <f t="shared" si="722"/>
        <v>0</v>
      </c>
      <c r="M822" s="265" t="str">
        <f t="shared" si="719"/>
        <v>-</v>
      </c>
      <c r="N822" s="264" t="str">
        <f t="shared" si="720"/>
        <v>-</v>
      </c>
      <c r="O822" s="519">
        <v>4.8738000000000001</v>
      </c>
      <c r="P822" s="410">
        <f t="shared" si="713"/>
        <v>0</v>
      </c>
      <c r="Q822" s="459">
        <f t="shared" si="714"/>
        <v>0</v>
      </c>
    </row>
    <row r="823" spans="1:17" ht="23.4" x14ac:dyDescent="0.4">
      <c r="A823" s="248"/>
      <c r="B823" s="979" t="s">
        <v>283</v>
      </c>
      <c r="C823" s="556" t="s">
        <v>80</v>
      </c>
      <c r="D823" s="279"/>
      <c r="E823" s="442"/>
      <c r="F823" s="339">
        <f t="shared" si="715"/>
        <v>41183</v>
      </c>
      <c r="G823" s="281">
        <f>10650+20400+9750</f>
        <v>40800</v>
      </c>
      <c r="H823" s="281">
        <f>178+109+96</f>
        <v>383</v>
      </c>
      <c r="I823" s="358" t="str">
        <f>IFERROR(F823/#REF!,"-")</f>
        <v>-</v>
      </c>
      <c r="J823" s="339">
        <f t="shared" si="716"/>
        <v>342858</v>
      </c>
      <c r="K823" s="281">
        <f t="shared" si="721"/>
        <v>336500</v>
      </c>
      <c r="L823" s="281">
        <f t="shared" si="722"/>
        <v>6358</v>
      </c>
      <c r="M823" s="265" t="str">
        <f t="shared" si="719"/>
        <v>-</v>
      </c>
      <c r="N823" s="264">
        <f t="shared" si="720"/>
        <v>1.8544120306365902E-2</v>
      </c>
      <c r="O823" s="519">
        <v>4.9344999999999999</v>
      </c>
      <c r="P823" s="410">
        <f t="shared" si="713"/>
        <v>201327.6</v>
      </c>
      <c r="Q823" s="459">
        <f t="shared" si="714"/>
        <v>1660459.25</v>
      </c>
    </row>
    <row r="824" spans="1:17" ht="23.4" x14ac:dyDescent="0.4">
      <c r="A824" s="248"/>
      <c r="B824" s="980"/>
      <c r="C824" s="556" t="s">
        <v>143</v>
      </c>
      <c r="D824" s="279"/>
      <c r="E824" s="442"/>
      <c r="F824" s="339">
        <f t="shared" si="715"/>
        <v>0</v>
      </c>
      <c r="G824" s="281">
        <v>0</v>
      </c>
      <c r="H824" s="281">
        <v>0</v>
      </c>
      <c r="I824" s="358" t="str">
        <f>IFERROR(F824/#REF!,"-")</f>
        <v>-</v>
      </c>
      <c r="J824" s="339">
        <f t="shared" si="716"/>
        <v>0</v>
      </c>
      <c r="K824" s="281">
        <f t="shared" si="721"/>
        <v>0</v>
      </c>
      <c r="L824" s="250">
        <f t="shared" si="722"/>
        <v>0</v>
      </c>
      <c r="M824" s="265" t="str">
        <f t="shared" si="719"/>
        <v>-</v>
      </c>
      <c r="N824" s="264" t="str">
        <f t="shared" si="720"/>
        <v>-</v>
      </c>
      <c r="O824" s="519">
        <v>4.9344999999999999</v>
      </c>
      <c r="P824" s="410">
        <f t="shared" si="713"/>
        <v>0</v>
      </c>
      <c r="Q824" s="459">
        <f t="shared" si="714"/>
        <v>0</v>
      </c>
    </row>
    <row r="825" spans="1:17" ht="23.4" x14ac:dyDescent="0.4">
      <c r="A825" s="248"/>
      <c r="B825" s="980"/>
      <c r="C825" s="556" t="s">
        <v>137</v>
      </c>
      <c r="D825" s="279"/>
      <c r="E825" s="442"/>
      <c r="F825" s="339">
        <f t="shared" si="715"/>
        <v>0</v>
      </c>
      <c r="G825" s="281">
        <v>0</v>
      </c>
      <c r="H825" s="281">
        <v>0</v>
      </c>
      <c r="I825" s="358" t="str">
        <f>IFERROR(F825/#REF!,"-")</f>
        <v>-</v>
      </c>
      <c r="J825" s="339">
        <f t="shared" si="716"/>
        <v>0</v>
      </c>
      <c r="K825" s="281">
        <f t="shared" si="721"/>
        <v>0</v>
      </c>
      <c r="L825" s="250">
        <f t="shared" si="722"/>
        <v>0</v>
      </c>
      <c r="M825" s="265" t="str">
        <f t="shared" si="719"/>
        <v>-</v>
      </c>
      <c r="N825" s="264" t="str">
        <f t="shared" si="720"/>
        <v>-</v>
      </c>
      <c r="O825" s="519">
        <v>4.9344999999999999</v>
      </c>
      <c r="P825" s="410">
        <f t="shared" si="713"/>
        <v>0</v>
      </c>
      <c r="Q825" s="459">
        <f t="shared" si="714"/>
        <v>0</v>
      </c>
    </row>
    <row r="826" spans="1:17" ht="24" thickBot="1" x14ac:dyDescent="0.45">
      <c r="A826" s="248"/>
      <c r="B826" s="981"/>
      <c r="C826" s="556" t="s">
        <v>282</v>
      </c>
      <c r="D826" s="279"/>
      <c r="E826" s="442"/>
      <c r="F826" s="339">
        <f t="shared" si="715"/>
        <v>0</v>
      </c>
      <c r="G826" s="281">
        <v>0</v>
      </c>
      <c r="H826" s="281">
        <v>0</v>
      </c>
      <c r="I826" s="358" t="str">
        <f>IFERROR(F826/#REF!,"-")</f>
        <v>-</v>
      </c>
      <c r="J826" s="339">
        <f t="shared" si="716"/>
        <v>0</v>
      </c>
      <c r="K826" s="281">
        <f t="shared" si="721"/>
        <v>0</v>
      </c>
      <c r="L826" s="250">
        <f t="shared" si="722"/>
        <v>0</v>
      </c>
      <c r="M826" s="265" t="str">
        <f t="shared" si="719"/>
        <v>-</v>
      </c>
      <c r="N826" s="264" t="str">
        <f t="shared" si="720"/>
        <v>-</v>
      </c>
      <c r="O826" s="519">
        <v>5.5069999999999997</v>
      </c>
      <c r="P826" s="410">
        <f t="shared" si="713"/>
        <v>0</v>
      </c>
      <c r="Q826" s="459">
        <f t="shared" si="714"/>
        <v>0</v>
      </c>
    </row>
    <row r="827" spans="1:17" ht="23.4" x14ac:dyDescent="0.4">
      <c r="A827" s="248"/>
      <c r="B827" s="979" t="s">
        <v>288</v>
      </c>
      <c r="C827" s="556" t="s">
        <v>284</v>
      </c>
      <c r="D827" s="279"/>
      <c r="E827" s="442"/>
      <c r="F827" s="339">
        <f t="shared" si="715"/>
        <v>0</v>
      </c>
      <c r="G827" s="281">
        <v>0</v>
      </c>
      <c r="H827" s="281">
        <v>0</v>
      </c>
      <c r="I827" s="358" t="str">
        <f>IFERROR(F827/#REF!,"-")</f>
        <v>-</v>
      </c>
      <c r="J827" s="339">
        <f t="shared" si="716"/>
        <v>0</v>
      </c>
      <c r="K827" s="281">
        <f t="shared" si="721"/>
        <v>0</v>
      </c>
      <c r="L827" s="250">
        <f t="shared" si="722"/>
        <v>0</v>
      </c>
      <c r="M827" s="265" t="str">
        <f t="shared" si="719"/>
        <v>-</v>
      </c>
      <c r="N827" s="264" t="str">
        <f t="shared" si="720"/>
        <v>-</v>
      </c>
      <c r="O827" s="519">
        <v>5.6550000000000002</v>
      </c>
      <c r="P827" s="410">
        <f t="shared" si="713"/>
        <v>0</v>
      </c>
      <c r="Q827" s="459">
        <f t="shared" si="714"/>
        <v>0</v>
      </c>
    </row>
    <row r="828" spans="1:17" ht="23.4" x14ac:dyDescent="0.4">
      <c r="A828" s="248"/>
      <c r="B828" s="980"/>
      <c r="C828" s="556" t="s">
        <v>285</v>
      </c>
      <c r="D828" s="279"/>
      <c r="E828" s="442"/>
      <c r="F828" s="339">
        <f t="shared" si="715"/>
        <v>0</v>
      </c>
      <c r="G828" s="281">
        <v>0</v>
      </c>
      <c r="H828" s="281">
        <v>0</v>
      </c>
      <c r="I828" s="358" t="str">
        <f>IFERROR(F828/#REF!,"-")</f>
        <v>-</v>
      </c>
      <c r="J828" s="339">
        <f t="shared" si="716"/>
        <v>0</v>
      </c>
      <c r="K828" s="281">
        <f t="shared" si="721"/>
        <v>0</v>
      </c>
      <c r="L828" s="250">
        <f t="shared" si="722"/>
        <v>0</v>
      </c>
      <c r="M828" s="265" t="str">
        <f t="shared" si="719"/>
        <v>-</v>
      </c>
      <c r="N828" s="264" t="str">
        <f t="shared" si="720"/>
        <v>-</v>
      </c>
      <c r="O828" s="519">
        <v>5.6550000000000002</v>
      </c>
      <c r="P828" s="410">
        <f t="shared" si="713"/>
        <v>0</v>
      </c>
      <c r="Q828" s="459">
        <f t="shared" si="714"/>
        <v>0</v>
      </c>
    </row>
    <row r="829" spans="1:17" ht="23.4" x14ac:dyDescent="0.4">
      <c r="A829" s="248"/>
      <c r="B829" s="980"/>
      <c r="C829" s="556" t="s">
        <v>374</v>
      </c>
      <c r="D829" s="279"/>
      <c r="E829" s="442"/>
      <c r="F829" s="339">
        <f t="shared" si="715"/>
        <v>33447</v>
      </c>
      <c r="G829" s="281">
        <f>13500+7200+10400</f>
        <v>31100</v>
      </c>
      <c r="H829" s="281">
        <f>789+869+689</f>
        <v>2347</v>
      </c>
      <c r="I829" s="358" t="str">
        <f>IFERROR(F829/#REF!,"-")</f>
        <v>-</v>
      </c>
      <c r="J829" s="339">
        <f t="shared" si="716"/>
        <v>323524</v>
      </c>
      <c r="K829" s="281">
        <f t="shared" si="721"/>
        <v>315750</v>
      </c>
      <c r="L829" s="250">
        <f t="shared" si="722"/>
        <v>7774</v>
      </c>
      <c r="M829" s="265" t="str">
        <f t="shared" si="719"/>
        <v>-</v>
      </c>
      <c r="N829" s="264">
        <f t="shared" si="720"/>
        <v>2.4029129214525043E-2</v>
      </c>
      <c r="O829" s="519">
        <v>5.6550000000000002</v>
      </c>
      <c r="P829" s="410">
        <f t="shared" si="713"/>
        <v>175870.5</v>
      </c>
      <c r="Q829" s="459">
        <f t="shared" si="714"/>
        <v>1785566.25</v>
      </c>
    </row>
    <row r="830" spans="1:17" ht="23.4" x14ac:dyDescent="0.4">
      <c r="A830" s="248"/>
      <c r="B830" s="980"/>
      <c r="C830" s="556" t="s">
        <v>286</v>
      </c>
      <c r="D830" s="279"/>
      <c r="E830" s="442"/>
      <c r="F830" s="339">
        <f t="shared" si="715"/>
        <v>0</v>
      </c>
      <c r="G830" s="281">
        <v>0</v>
      </c>
      <c r="H830" s="281">
        <v>0</v>
      </c>
      <c r="I830" s="358" t="str">
        <f>IFERROR(F830/#REF!,"-")</f>
        <v>-</v>
      </c>
      <c r="J830" s="339">
        <f t="shared" si="716"/>
        <v>0</v>
      </c>
      <c r="K830" s="281">
        <f t="shared" si="721"/>
        <v>0</v>
      </c>
      <c r="L830" s="250">
        <f t="shared" si="722"/>
        <v>0</v>
      </c>
      <c r="M830" s="265" t="str">
        <f t="shared" si="719"/>
        <v>-</v>
      </c>
      <c r="N830" s="264" t="str">
        <f t="shared" si="720"/>
        <v>-</v>
      </c>
      <c r="O830" s="519">
        <v>5.6550000000000002</v>
      </c>
      <c r="P830" s="410">
        <f t="shared" si="713"/>
        <v>0</v>
      </c>
      <c r="Q830" s="459">
        <f t="shared" si="714"/>
        <v>0</v>
      </c>
    </row>
    <row r="831" spans="1:17" ht="23.4" x14ac:dyDescent="0.4">
      <c r="A831" s="248" t="s">
        <v>109</v>
      </c>
      <c r="B831" s="980"/>
      <c r="C831" s="556" t="s">
        <v>287</v>
      </c>
      <c r="D831" s="279"/>
      <c r="E831" s="442"/>
      <c r="F831" s="339">
        <f t="shared" si="715"/>
        <v>0</v>
      </c>
      <c r="G831" s="281">
        <v>0</v>
      </c>
      <c r="H831" s="281">
        <v>0</v>
      </c>
      <c r="I831" s="358" t="str">
        <f>IFERROR(F831/#REF!,"-")</f>
        <v>-</v>
      </c>
      <c r="J831" s="339">
        <f t="shared" si="716"/>
        <v>0</v>
      </c>
      <c r="K831" s="281">
        <f t="shared" si="721"/>
        <v>0</v>
      </c>
      <c r="L831" s="250">
        <f t="shared" si="722"/>
        <v>0</v>
      </c>
      <c r="M831" s="265" t="str">
        <f t="shared" si="719"/>
        <v>-</v>
      </c>
      <c r="N831" s="264" t="str">
        <f t="shared" si="720"/>
        <v>-</v>
      </c>
      <c r="O831" s="519">
        <v>3.2963</v>
      </c>
      <c r="P831" s="410">
        <f t="shared" si="713"/>
        <v>0</v>
      </c>
      <c r="Q831" s="459">
        <f t="shared" si="714"/>
        <v>0</v>
      </c>
    </row>
    <row r="832" spans="1:17" ht="24" thickBot="1" x14ac:dyDescent="0.45">
      <c r="A832" s="248" t="s">
        <v>109</v>
      </c>
      <c r="B832" s="981"/>
      <c r="C832" s="556" t="s">
        <v>282</v>
      </c>
      <c r="D832" s="279"/>
      <c r="E832" s="442"/>
      <c r="F832" s="339">
        <f t="shared" si="715"/>
        <v>0</v>
      </c>
      <c r="G832" s="281">
        <v>0</v>
      </c>
      <c r="H832" s="281">
        <v>0</v>
      </c>
      <c r="I832" s="358" t="str">
        <f>IFERROR(F832/#REF!,"-")</f>
        <v>-</v>
      </c>
      <c r="J832" s="339">
        <f t="shared" si="716"/>
        <v>0</v>
      </c>
      <c r="K832" s="281">
        <f t="shared" si="721"/>
        <v>0</v>
      </c>
      <c r="L832" s="250">
        <f t="shared" si="722"/>
        <v>0</v>
      </c>
      <c r="M832" s="265" t="str">
        <f t="shared" si="719"/>
        <v>-</v>
      </c>
      <c r="N832" s="264" t="str">
        <f t="shared" si="720"/>
        <v>-</v>
      </c>
      <c r="O832" s="519">
        <v>3.2963</v>
      </c>
      <c r="P832" s="410">
        <f t="shared" si="713"/>
        <v>0</v>
      </c>
      <c r="Q832" s="459">
        <f t="shared" si="714"/>
        <v>0</v>
      </c>
    </row>
    <row r="833" spans="1:17" ht="23.4" x14ac:dyDescent="0.4">
      <c r="A833" s="248" t="s">
        <v>109</v>
      </c>
      <c r="B833" s="560"/>
      <c r="C833" s="557" t="s">
        <v>92</v>
      </c>
      <c r="D833" s="523"/>
      <c r="E833" s="442"/>
      <c r="F833" s="339">
        <f t="shared" si="715"/>
        <v>0</v>
      </c>
      <c r="G833" s="281">
        <v>0</v>
      </c>
      <c r="H833" s="281">
        <v>0</v>
      </c>
      <c r="I833" s="358" t="str">
        <f>IFERROR(F833/#REF!,"-")</f>
        <v>-</v>
      </c>
      <c r="J833" s="339">
        <f t="shared" si="716"/>
        <v>65530</v>
      </c>
      <c r="K833" s="281">
        <f t="shared" si="721"/>
        <v>65500</v>
      </c>
      <c r="L833" s="250">
        <f t="shared" si="722"/>
        <v>30</v>
      </c>
      <c r="M833" s="265" t="str">
        <f t="shared" si="719"/>
        <v>-</v>
      </c>
      <c r="N833" s="264">
        <f t="shared" si="720"/>
        <v>4.5780558522813981E-4</v>
      </c>
      <c r="O833" s="519">
        <v>2.3201000000000001</v>
      </c>
      <c r="P833" s="410">
        <f t="shared" si="713"/>
        <v>0</v>
      </c>
      <c r="Q833" s="459">
        <f t="shared" si="714"/>
        <v>151966.55000000002</v>
      </c>
    </row>
    <row r="834" spans="1:17" ht="24" thickBot="1" x14ac:dyDescent="0.35">
      <c r="A834" s="248" t="s">
        <v>109</v>
      </c>
      <c r="B834" s="537"/>
      <c r="C834" s="554"/>
      <c r="D834" s="543"/>
      <c r="E834" s="473"/>
      <c r="F834" s="471">
        <f t="shared" si="715"/>
        <v>0</v>
      </c>
      <c r="G834" s="472"/>
      <c r="H834" s="472"/>
      <c r="I834" s="545" t="str">
        <f>IFERROR(F834/#REF!,"-")</f>
        <v>-</v>
      </c>
      <c r="J834" s="471">
        <f t="shared" si="716"/>
        <v>0</v>
      </c>
      <c r="K834" s="472">
        <f t="shared" si="721"/>
        <v>0</v>
      </c>
      <c r="L834" s="257">
        <f t="shared" si="722"/>
        <v>0</v>
      </c>
      <c r="M834" s="267" t="str">
        <f t="shared" si="719"/>
        <v>-</v>
      </c>
      <c r="N834" s="266" t="str">
        <f t="shared" si="720"/>
        <v>-</v>
      </c>
      <c r="O834" s="552"/>
      <c r="P834" s="549">
        <f t="shared" si="713"/>
        <v>0</v>
      </c>
      <c r="Q834" s="550">
        <f t="shared" si="714"/>
        <v>0</v>
      </c>
    </row>
    <row r="835" spans="1:17" ht="24" thickBot="1" x14ac:dyDescent="0.35">
      <c r="A835" s="277" t="s">
        <v>109</v>
      </c>
      <c r="B835" s="982" t="s">
        <v>25</v>
      </c>
      <c r="C835" s="983"/>
      <c r="D835" s="525">
        <f t="shared" ref="D835" si="723">SUM(D810:D834)</f>
        <v>0</v>
      </c>
      <c r="E835" s="539">
        <v>100000</v>
      </c>
      <c r="F835" s="525">
        <f>SUM(F810:F834)</f>
        <v>94691</v>
      </c>
      <c r="G835" s="531">
        <f t="shared" ref="G835:H835" si="724">SUM(G810:G834)</f>
        <v>91500</v>
      </c>
      <c r="H835" s="531">
        <f t="shared" si="724"/>
        <v>3191</v>
      </c>
      <c r="I835" s="532" t="str">
        <f>IFERROR(F835/#REF!,"-")</f>
        <v>-</v>
      </c>
      <c r="J835" s="525">
        <f t="shared" ref="J835" si="725">SUM(J810:J834)</f>
        <v>1079546</v>
      </c>
      <c r="K835" s="531">
        <f>SUM(K805:K834)</f>
        <v>1134267</v>
      </c>
      <c r="L835" s="533">
        <f t="shared" ref="L835" si="726">SUM(L810:L834)</f>
        <v>19814</v>
      </c>
      <c r="M835" s="534" t="str">
        <f t="shared" si="719"/>
        <v>-</v>
      </c>
      <c r="N835" s="532">
        <f t="shared" si="720"/>
        <v>1.8354011779025629E-2</v>
      </c>
      <c r="O835" s="535"/>
      <c r="P835" s="536">
        <f>SUM(P805:P834)</f>
        <v>922394.99</v>
      </c>
      <c r="Q835" s="536">
        <f>SUM(Q805:Q834)</f>
        <v>9192614.5987999998</v>
      </c>
    </row>
    <row r="836" spans="1:17" ht="24" thickBot="1" x14ac:dyDescent="0.35">
      <c r="A836" s="324" t="s">
        <v>109</v>
      </c>
      <c r="B836" s="984" t="s">
        <v>276</v>
      </c>
      <c r="C836" s="927"/>
      <c r="D836" s="332">
        <f>+D809+D835</f>
        <v>0</v>
      </c>
      <c r="E836" s="333">
        <f>+E809+E835</f>
        <v>100000</v>
      </c>
      <c r="F836" s="332">
        <f>+F809+F835</f>
        <v>94691</v>
      </c>
      <c r="G836" s="330">
        <f>+G809+G835</f>
        <v>91500</v>
      </c>
      <c r="H836" s="330">
        <f>+H809+H835</f>
        <v>3191</v>
      </c>
      <c r="I836" s="355" t="str">
        <f>IFERROR(F836/#REF!,"-")</f>
        <v>-</v>
      </c>
      <c r="J836" s="332">
        <f>+J809+J835</f>
        <v>1084896</v>
      </c>
      <c r="K836" s="330">
        <f>K835</f>
        <v>1134267</v>
      </c>
      <c r="L836" s="331">
        <f>+L809+L835</f>
        <v>21014</v>
      </c>
      <c r="M836" s="347" t="str">
        <f t="shared" si="719"/>
        <v>-</v>
      </c>
      <c r="N836" s="355">
        <f t="shared" si="720"/>
        <v>1.9369598560599357E-2</v>
      </c>
      <c r="O836" s="400"/>
      <c r="P836" s="416">
        <f>+P809+P835</f>
        <v>922394.99</v>
      </c>
      <c r="Q836" s="434">
        <f>Q835</f>
        <v>9192614.5987999998</v>
      </c>
    </row>
    <row r="837" spans="1:17" ht="24.6" thickBot="1" x14ac:dyDescent="0.35">
      <c r="A837" s="325"/>
      <c r="B837" s="915" t="s">
        <v>183</v>
      </c>
      <c r="C837" s="916"/>
      <c r="D837" s="380">
        <f>+D836+D804+D795</f>
        <v>0</v>
      </c>
      <c r="E837" s="380">
        <f>+E836+E804+E795</f>
        <v>230000</v>
      </c>
      <c r="F837" s="380">
        <f>+F836+F804+F795</f>
        <v>211335</v>
      </c>
      <c r="G837" s="380">
        <f>+G836+G804+G795</f>
        <v>207374</v>
      </c>
      <c r="H837" s="380">
        <f>+H836+H804+H795</f>
        <v>3961</v>
      </c>
      <c r="I837" s="381" t="str">
        <f>IFERROR(F837/#REF!,"-")</f>
        <v>-</v>
      </c>
      <c r="J837" s="380">
        <f>+J836+J804+J795</f>
        <v>4041263</v>
      </c>
      <c r="K837" s="380">
        <f>+K836+K804+K795</f>
        <v>3979571</v>
      </c>
      <c r="L837" s="380">
        <f>+L836+L804+L795</f>
        <v>115797</v>
      </c>
      <c r="M837" s="381" t="str">
        <f t="shared" si="719"/>
        <v>-</v>
      </c>
      <c r="N837" s="381">
        <f>IFERROR(L837/J837,"-")</f>
        <v>2.8653665945522478E-2</v>
      </c>
      <c r="O837" s="407"/>
      <c r="P837" s="424">
        <f>+P836+P804+P795</f>
        <v>1789732.4084000001</v>
      </c>
      <c r="Q837" s="424">
        <f>+Q836+Q804+Q795</f>
        <v>25190555.6402</v>
      </c>
    </row>
    <row r="838" spans="1:17" ht="23.4" x14ac:dyDescent="0.3">
      <c r="A838" s="935" t="s">
        <v>1</v>
      </c>
      <c r="B838" s="938" t="s">
        <v>2</v>
      </c>
      <c r="C838" s="941" t="s">
        <v>3</v>
      </c>
      <c r="D838" s="944" t="s">
        <v>4</v>
      </c>
      <c r="E838" s="945"/>
      <c r="F838" s="945"/>
      <c r="G838" s="945"/>
      <c r="H838" s="945"/>
      <c r="I838" s="945"/>
      <c r="J838" s="945"/>
      <c r="K838" s="945"/>
      <c r="L838" s="945"/>
      <c r="M838" s="945"/>
      <c r="N838" s="946"/>
      <c r="O838" s="965" t="s">
        <v>176</v>
      </c>
      <c r="P838" s="966"/>
      <c r="Q838" s="990"/>
    </row>
    <row r="839" spans="1:17" ht="23.4" x14ac:dyDescent="0.3">
      <c r="A839" s="936"/>
      <c r="B839" s="939"/>
      <c r="C839" s="942"/>
      <c r="D839" s="947" t="s">
        <v>7</v>
      </c>
      <c r="E839" s="949" t="s">
        <v>116</v>
      </c>
      <c r="F839" s="991" t="s">
        <v>474</v>
      </c>
      <c r="G839" s="952"/>
      <c r="H839" s="952"/>
      <c r="I839" s="953"/>
      <c r="J839" s="954" t="s">
        <v>8</v>
      </c>
      <c r="K839" s="955"/>
      <c r="L839" s="956"/>
      <c r="M839" s="957" t="s">
        <v>174</v>
      </c>
      <c r="N839" s="959" t="s">
        <v>173</v>
      </c>
      <c r="O839" s="967" t="s">
        <v>178</v>
      </c>
      <c r="P839" s="968"/>
      <c r="Q839" s="969"/>
    </row>
    <row r="840" spans="1:17" ht="47.4" thickBot="1" x14ac:dyDescent="0.35">
      <c r="A840" s="937"/>
      <c r="B840" s="940"/>
      <c r="C840" s="943"/>
      <c r="D840" s="948"/>
      <c r="E840" s="950"/>
      <c r="F840" s="462" t="s">
        <v>13</v>
      </c>
      <c r="G840" s="463" t="s">
        <v>14</v>
      </c>
      <c r="H840" s="463" t="s">
        <v>15</v>
      </c>
      <c r="I840" s="464" t="s">
        <v>175</v>
      </c>
      <c r="J840" s="462" t="s">
        <v>13</v>
      </c>
      <c r="K840" s="463" t="s">
        <v>14</v>
      </c>
      <c r="L840" s="465" t="s">
        <v>15</v>
      </c>
      <c r="M840" s="958"/>
      <c r="N840" s="960"/>
      <c r="O840" s="453" t="s">
        <v>179</v>
      </c>
      <c r="P840" s="454" t="s">
        <v>11</v>
      </c>
      <c r="Q840" s="455" t="s">
        <v>12</v>
      </c>
    </row>
    <row r="841" spans="1:17" ht="23.4" x14ac:dyDescent="0.3">
      <c r="A841" s="271" t="s">
        <v>111</v>
      </c>
      <c r="B841" s="445"/>
      <c r="C841" s="272" t="s">
        <v>272</v>
      </c>
      <c r="D841" s="273"/>
      <c r="E841" s="274"/>
      <c r="F841" s="338">
        <f>+G841+H841</f>
        <v>112840</v>
      </c>
      <c r="G841" s="275">
        <v>112840</v>
      </c>
      <c r="H841" s="275">
        <v>0</v>
      </c>
      <c r="I841" s="357" t="str">
        <f>IFERROR(F841/#REF!,"-")</f>
        <v>-</v>
      </c>
      <c r="J841" s="468">
        <f>+K841+L841</f>
        <v>899154</v>
      </c>
      <c r="K841" s="469">
        <f>+G841+K781</f>
        <v>845040</v>
      </c>
      <c r="L841" s="469">
        <f>+H841+L781</f>
        <v>54114</v>
      </c>
      <c r="M841" s="342" t="str">
        <f>IFERROR(J841/D841,"-")</f>
        <v>-</v>
      </c>
      <c r="N841" s="349">
        <f t="shared" ref="N841:N842" si="727">IFERROR(L841/J841,"-")</f>
        <v>6.0183238911243234E-2</v>
      </c>
      <c r="O841" s="518">
        <v>1.5669</v>
      </c>
      <c r="P841" s="408">
        <f>+O841*G841</f>
        <v>176808.99599999998</v>
      </c>
      <c r="Q841" s="457">
        <f>+O841*K841</f>
        <v>1324093.176</v>
      </c>
    </row>
    <row r="842" spans="1:17" ht="23.4" x14ac:dyDescent="0.3">
      <c r="A842" s="277" t="s">
        <v>111</v>
      </c>
      <c r="B842" s="444"/>
      <c r="C842" s="278" t="s">
        <v>271</v>
      </c>
      <c r="D842" s="279"/>
      <c r="E842" s="280"/>
      <c r="F842" s="339">
        <f t="shared" ref="F842:F845" si="728">+G842+H842</f>
        <v>0</v>
      </c>
      <c r="G842" s="281">
        <v>0</v>
      </c>
      <c r="H842" s="281">
        <v>0</v>
      </c>
      <c r="I842" s="358" t="str">
        <f>IFERROR(F842/#REF!,"-")</f>
        <v>-</v>
      </c>
      <c r="J842" s="339">
        <f t="shared" ref="J842:J845" si="729">+K842+L842</f>
        <v>0</v>
      </c>
      <c r="K842" s="281">
        <f t="shared" ref="K842:L842" si="730">+G842+K782</f>
        <v>0</v>
      </c>
      <c r="L842" s="442">
        <f t="shared" si="730"/>
        <v>0</v>
      </c>
      <c r="M842" s="343" t="str">
        <f t="shared" ref="M842:M845" si="731">IFERROR(J842/D842,"-")</f>
        <v>-</v>
      </c>
      <c r="N842" s="268" t="str">
        <f t="shared" si="727"/>
        <v>-</v>
      </c>
      <c r="O842" s="519">
        <v>2.3978999999999999</v>
      </c>
      <c r="P842" s="410">
        <f t="shared" ref="P842:P845" si="732">+O842*G842</f>
        <v>0</v>
      </c>
      <c r="Q842" s="459">
        <f t="shared" ref="Q842:Q845" si="733">+O842*K842</f>
        <v>0</v>
      </c>
    </row>
    <row r="843" spans="1:17" ht="23.4" x14ac:dyDescent="0.3">
      <c r="A843" s="277" t="s">
        <v>111</v>
      </c>
      <c r="B843" s="444"/>
      <c r="C843" s="278" t="s">
        <v>273</v>
      </c>
      <c r="D843" s="279"/>
      <c r="E843" s="280"/>
      <c r="F843" s="339">
        <f t="shared" si="728"/>
        <v>0</v>
      </c>
      <c r="G843" s="281">
        <v>0</v>
      </c>
      <c r="H843" s="281">
        <v>0</v>
      </c>
      <c r="I843" s="358" t="str">
        <f>IFERROR(F843/#REF!,"-")</f>
        <v>-</v>
      </c>
      <c r="J843" s="339">
        <f t="shared" si="729"/>
        <v>0</v>
      </c>
      <c r="K843" s="281">
        <f t="shared" ref="K843:L843" si="734">+G843+K783</f>
        <v>0</v>
      </c>
      <c r="L843" s="251">
        <f t="shared" si="734"/>
        <v>0</v>
      </c>
      <c r="M843" s="343" t="str">
        <f t="shared" si="731"/>
        <v>-</v>
      </c>
      <c r="N843" s="268" t="str">
        <f>IFERROR(L843/J843,"-")</f>
        <v>-</v>
      </c>
      <c r="O843" s="520">
        <v>4.6797000000000004</v>
      </c>
      <c r="P843" s="410">
        <f t="shared" si="732"/>
        <v>0</v>
      </c>
      <c r="Q843" s="459">
        <f t="shared" si="733"/>
        <v>0</v>
      </c>
    </row>
    <row r="844" spans="1:17" ht="23.4" x14ac:dyDescent="0.3">
      <c r="A844" s="277"/>
      <c r="B844" s="461"/>
      <c r="C844" s="278" t="s">
        <v>372</v>
      </c>
      <c r="D844" s="283"/>
      <c r="E844" s="284"/>
      <c r="F844" s="339">
        <f t="shared" si="728"/>
        <v>7474</v>
      </c>
      <c r="G844" s="285">
        <v>7200</v>
      </c>
      <c r="H844" s="285">
        <v>274</v>
      </c>
      <c r="I844" s="358" t="str">
        <f>IFERROR(F844/#REF!,"-")</f>
        <v>-</v>
      </c>
      <c r="J844" s="339">
        <f t="shared" si="729"/>
        <v>606037</v>
      </c>
      <c r="K844" s="281">
        <f t="shared" ref="K844:L844" si="735">+G844+K784</f>
        <v>586200</v>
      </c>
      <c r="L844" s="286">
        <f t="shared" si="735"/>
        <v>19837</v>
      </c>
      <c r="M844" s="343" t="str">
        <f t="shared" si="731"/>
        <v>-</v>
      </c>
      <c r="N844" s="268">
        <f>IFERROR(L844/J844,"-")</f>
        <v>3.273232492405579E-2</v>
      </c>
      <c r="O844" s="520">
        <v>12.284700000000001</v>
      </c>
      <c r="P844" s="410">
        <f t="shared" si="732"/>
        <v>88449.840000000011</v>
      </c>
      <c r="Q844" s="459">
        <f t="shared" si="733"/>
        <v>7201291.1400000006</v>
      </c>
    </row>
    <row r="845" spans="1:17" ht="24" thickBot="1" x14ac:dyDescent="0.35">
      <c r="A845" s="277" t="s">
        <v>111</v>
      </c>
      <c r="B845" s="461"/>
      <c r="C845" s="278" t="s">
        <v>497</v>
      </c>
      <c r="D845" s="283"/>
      <c r="E845" s="284"/>
      <c r="F845" s="340">
        <f t="shared" si="728"/>
        <v>46214</v>
      </c>
      <c r="G845" s="281">
        <v>45500</v>
      </c>
      <c r="H845" s="281">
        <v>714</v>
      </c>
      <c r="I845" s="359" t="str">
        <f>IFERROR(F845/#REF!,"-")</f>
        <v>-</v>
      </c>
      <c r="J845" s="471">
        <f t="shared" si="729"/>
        <v>171868</v>
      </c>
      <c r="K845" s="472">
        <f t="shared" ref="K845:L845" si="736">+G845+K785</f>
        <v>168750</v>
      </c>
      <c r="L845" s="258">
        <f t="shared" si="736"/>
        <v>3118</v>
      </c>
      <c r="M845" s="344" t="str">
        <f t="shared" si="731"/>
        <v>-</v>
      </c>
      <c r="N845" s="350">
        <f t="shared" ref="N845:N857" si="737">IFERROR(L845/J845,"-")</f>
        <v>1.8141829776339984E-2</v>
      </c>
      <c r="O845" s="520">
        <v>4.6797000000000004</v>
      </c>
      <c r="P845" s="411">
        <f t="shared" si="732"/>
        <v>212926.35</v>
      </c>
      <c r="Q845" s="460">
        <f t="shared" si="733"/>
        <v>789699.37500000012</v>
      </c>
    </row>
    <row r="846" spans="1:17" ht="24" thickBot="1" x14ac:dyDescent="0.35">
      <c r="A846" s="277" t="s">
        <v>111</v>
      </c>
      <c r="B846" s="906" t="s">
        <v>21</v>
      </c>
      <c r="C846" s="907"/>
      <c r="D846" s="326">
        <f>SUM(D841:D845)</f>
        <v>0</v>
      </c>
      <c r="E846" s="289">
        <v>15000</v>
      </c>
      <c r="F846" s="326">
        <f>SUM(F841:F845)</f>
        <v>166528</v>
      </c>
      <c r="G846" s="327">
        <f>SUM(G841:G845)</f>
        <v>165540</v>
      </c>
      <c r="H846" s="327">
        <f>SUM(H841:H845)</f>
        <v>988</v>
      </c>
      <c r="I846" s="351" t="str">
        <f>IFERROR(F846/#REF!,"-")</f>
        <v>-</v>
      </c>
      <c r="J846" s="326">
        <f>SUM(J841:J845)</f>
        <v>1677059</v>
      </c>
      <c r="K846" s="327">
        <f>SUM(K841:K845)</f>
        <v>1599990</v>
      </c>
      <c r="L846" s="328">
        <f>SUM(L841:L845)</f>
        <v>77069</v>
      </c>
      <c r="M846" s="345" t="str">
        <f>IFERROR(J846/D846,"-")</f>
        <v>-</v>
      </c>
      <c r="N846" s="351">
        <f t="shared" si="737"/>
        <v>4.5954853108924609E-2</v>
      </c>
      <c r="O846" s="397"/>
      <c r="P846" s="412">
        <f>SUM(P841:P845)</f>
        <v>478185.18599999999</v>
      </c>
      <c r="Q846" s="431">
        <f>SUM(Q841:Q845)</f>
        <v>9315083.6909999996</v>
      </c>
    </row>
    <row r="847" spans="1:17" ht="23.4" x14ac:dyDescent="0.3">
      <c r="A847" s="277" t="s">
        <v>111</v>
      </c>
      <c r="B847" s="445"/>
      <c r="C847" s="272" t="s">
        <v>270</v>
      </c>
      <c r="D847" s="273"/>
      <c r="E847" s="274"/>
      <c r="F847" s="338">
        <f t="shared" ref="F847:F853" si="738">+G847+H847</f>
        <v>8559</v>
      </c>
      <c r="G847" s="275">
        <v>4320</v>
      </c>
      <c r="H847" s="275">
        <v>4239</v>
      </c>
      <c r="I847" s="357" t="str">
        <f>IFERROR(F847/#REF!,"-")</f>
        <v>-</v>
      </c>
      <c r="J847" s="338">
        <f t="shared" ref="J847:J853" si="739">+K847+L847</f>
        <v>45386</v>
      </c>
      <c r="K847" s="275">
        <f t="shared" ref="K847:L847" si="740">+G847+K787</f>
        <v>40674</v>
      </c>
      <c r="L847" s="276">
        <f t="shared" si="740"/>
        <v>4712</v>
      </c>
      <c r="M847" s="342" t="str">
        <f t="shared" ref="M847:M855" si="741">IFERROR(J847/D847,"-")</f>
        <v>-</v>
      </c>
      <c r="N847" s="352">
        <f t="shared" si="737"/>
        <v>0.10382056140660116</v>
      </c>
      <c r="O847" s="518">
        <v>18.2316</v>
      </c>
      <c r="P847" s="408">
        <f t="shared" ref="P847:P853" si="742">+O847*G847</f>
        <v>78760.512000000002</v>
      </c>
      <c r="Q847" s="457">
        <f t="shared" ref="Q847:Q853" si="743">+O847*K847</f>
        <v>741552.09840000002</v>
      </c>
    </row>
    <row r="848" spans="1:17" ht="23.4" x14ac:dyDescent="0.3">
      <c r="A848" s="277" t="s">
        <v>111</v>
      </c>
      <c r="B848" s="444"/>
      <c r="C848" s="278" t="s">
        <v>92</v>
      </c>
      <c r="D848" s="279"/>
      <c r="E848" s="280"/>
      <c r="F848" s="339">
        <f t="shared" si="738"/>
        <v>0</v>
      </c>
      <c r="G848" s="281">
        <v>0</v>
      </c>
      <c r="H848" s="281">
        <v>0</v>
      </c>
      <c r="I848" s="358" t="str">
        <f>IFERROR(F848/#REF!,"-")</f>
        <v>-</v>
      </c>
      <c r="J848" s="339">
        <f t="shared" si="739"/>
        <v>240000</v>
      </c>
      <c r="K848" s="281">
        <f t="shared" ref="K848:L848" si="744">+G848+K788</f>
        <v>240000</v>
      </c>
      <c r="L848" s="251">
        <f t="shared" si="744"/>
        <v>0</v>
      </c>
      <c r="M848" s="343" t="str">
        <f t="shared" si="741"/>
        <v>-</v>
      </c>
      <c r="N848" s="264">
        <f t="shared" si="737"/>
        <v>0</v>
      </c>
      <c r="O848" s="519">
        <v>1.2824</v>
      </c>
      <c r="P848" s="410">
        <f t="shared" si="742"/>
        <v>0</v>
      </c>
      <c r="Q848" s="459">
        <f t="shared" si="743"/>
        <v>307776</v>
      </c>
    </row>
    <row r="849" spans="1:17" ht="23.4" x14ac:dyDescent="0.3">
      <c r="A849" s="277" t="s">
        <v>111</v>
      </c>
      <c r="B849" s="444"/>
      <c r="C849" s="278" t="s">
        <v>340</v>
      </c>
      <c r="D849" s="279"/>
      <c r="E849" s="280"/>
      <c r="F849" s="339">
        <f t="shared" si="738"/>
        <v>0</v>
      </c>
      <c r="G849" s="281">
        <v>0</v>
      </c>
      <c r="H849" s="281">
        <v>0</v>
      </c>
      <c r="I849" s="358" t="str">
        <f>IFERROR(F849/#REF!,"-")</f>
        <v>-</v>
      </c>
      <c r="J849" s="339">
        <f t="shared" si="739"/>
        <v>0</v>
      </c>
      <c r="K849" s="281">
        <f t="shared" ref="K849:L849" si="745">+G849+K789</f>
        <v>0</v>
      </c>
      <c r="L849" s="251">
        <f t="shared" si="745"/>
        <v>0</v>
      </c>
      <c r="M849" s="343" t="str">
        <f t="shared" si="741"/>
        <v>-</v>
      </c>
      <c r="N849" s="264" t="str">
        <f t="shared" si="737"/>
        <v>-</v>
      </c>
      <c r="O849" s="519">
        <v>5.7342000000000004</v>
      </c>
      <c r="P849" s="410">
        <f t="shared" si="742"/>
        <v>0</v>
      </c>
      <c r="Q849" s="459">
        <f t="shared" si="743"/>
        <v>0</v>
      </c>
    </row>
    <row r="850" spans="1:17" ht="23.4" x14ac:dyDescent="0.3">
      <c r="A850" s="277" t="s">
        <v>111</v>
      </c>
      <c r="B850" s="444"/>
      <c r="C850" s="278" t="s">
        <v>363</v>
      </c>
      <c r="D850" s="279"/>
      <c r="E850" s="280"/>
      <c r="F850" s="339">
        <f t="shared" si="738"/>
        <v>0</v>
      </c>
      <c r="G850" s="281">
        <v>0</v>
      </c>
      <c r="H850" s="281">
        <v>0</v>
      </c>
      <c r="I850" s="358" t="str">
        <f>IFERROR(F850/#REF!,"-")</f>
        <v>-</v>
      </c>
      <c r="J850" s="339">
        <f t="shared" si="739"/>
        <v>0</v>
      </c>
      <c r="K850" s="281">
        <f t="shared" ref="K850:L850" si="746">+G850+K790</f>
        <v>0</v>
      </c>
      <c r="L850" s="251">
        <f t="shared" si="746"/>
        <v>0</v>
      </c>
      <c r="M850" s="343" t="str">
        <f t="shared" si="741"/>
        <v>-</v>
      </c>
      <c r="N850" s="264" t="str">
        <f t="shared" si="737"/>
        <v>-</v>
      </c>
      <c r="O850" s="519"/>
      <c r="P850" s="410">
        <f t="shared" si="742"/>
        <v>0</v>
      </c>
      <c r="Q850" s="459">
        <f t="shared" si="743"/>
        <v>0</v>
      </c>
    </row>
    <row r="851" spans="1:17" ht="23.4" x14ac:dyDescent="0.3">
      <c r="A851" s="277" t="s">
        <v>111</v>
      </c>
      <c r="B851" s="444"/>
      <c r="C851" s="278" t="s">
        <v>373</v>
      </c>
      <c r="D851" s="279"/>
      <c r="E851" s="280"/>
      <c r="F851" s="339">
        <f t="shared" si="738"/>
        <v>18122</v>
      </c>
      <c r="G851" s="281">
        <v>18000</v>
      </c>
      <c r="H851" s="281">
        <v>122</v>
      </c>
      <c r="I851" s="358" t="str">
        <f>IFERROR(F851/#REF!,"-")</f>
        <v>-</v>
      </c>
      <c r="J851" s="339">
        <f t="shared" si="739"/>
        <v>353419</v>
      </c>
      <c r="K851" s="281">
        <f t="shared" ref="K851:L851" si="747">+G851+K791</f>
        <v>352000</v>
      </c>
      <c r="L851" s="251">
        <f t="shared" si="747"/>
        <v>1419</v>
      </c>
      <c r="M851" s="343" t="str">
        <f t="shared" si="741"/>
        <v>-</v>
      </c>
      <c r="N851" s="264">
        <f t="shared" si="737"/>
        <v>4.015064272152884E-3</v>
      </c>
      <c r="O851" s="519">
        <v>12.029500000000001</v>
      </c>
      <c r="P851" s="410">
        <f t="shared" si="742"/>
        <v>216531</v>
      </c>
      <c r="Q851" s="459">
        <f t="shared" si="743"/>
        <v>4234384</v>
      </c>
    </row>
    <row r="852" spans="1:17" ht="23.4" x14ac:dyDescent="0.3">
      <c r="A852" s="277" t="s">
        <v>111</v>
      </c>
      <c r="B852" s="444"/>
      <c r="C852" s="278"/>
      <c r="D852" s="279"/>
      <c r="E852" s="280"/>
      <c r="F852" s="339">
        <f t="shared" si="738"/>
        <v>0</v>
      </c>
      <c r="G852" s="281">
        <v>0</v>
      </c>
      <c r="H852" s="281">
        <v>0</v>
      </c>
      <c r="I852" s="358" t="str">
        <f>IFERROR(F852/#REF!,"-")</f>
        <v>-</v>
      </c>
      <c r="J852" s="339">
        <f t="shared" si="739"/>
        <v>0</v>
      </c>
      <c r="K852" s="281">
        <f t="shared" ref="K852:L852" si="748">+G852+K792</f>
        <v>0</v>
      </c>
      <c r="L852" s="251">
        <f t="shared" si="748"/>
        <v>0</v>
      </c>
      <c r="M852" s="343" t="str">
        <f t="shared" si="741"/>
        <v>-</v>
      </c>
      <c r="N852" s="264" t="str">
        <f t="shared" si="737"/>
        <v>-</v>
      </c>
      <c r="O852" s="519"/>
      <c r="P852" s="410">
        <f t="shared" si="742"/>
        <v>0</v>
      </c>
      <c r="Q852" s="459">
        <f t="shared" si="743"/>
        <v>0</v>
      </c>
    </row>
    <row r="853" spans="1:17" ht="24" thickBot="1" x14ac:dyDescent="0.35">
      <c r="A853" s="277" t="s">
        <v>111</v>
      </c>
      <c r="B853" s="461"/>
      <c r="C853" s="282"/>
      <c r="D853" s="283">
        <v>0</v>
      </c>
      <c r="E853" s="284"/>
      <c r="F853" s="340">
        <f t="shared" si="738"/>
        <v>0</v>
      </c>
      <c r="G853" s="285">
        <v>0</v>
      </c>
      <c r="H853" s="285">
        <v>0</v>
      </c>
      <c r="I853" s="359" t="str">
        <f>IFERROR(F853/#REF!,"-")</f>
        <v>-</v>
      </c>
      <c r="J853" s="340">
        <f t="shared" si="739"/>
        <v>0</v>
      </c>
      <c r="K853" s="285">
        <f t="shared" ref="K853:L853" si="749">+G853+K793</f>
        <v>0</v>
      </c>
      <c r="L853" s="286">
        <f t="shared" si="749"/>
        <v>0</v>
      </c>
      <c r="M853" s="344" t="str">
        <f t="shared" si="741"/>
        <v>-</v>
      </c>
      <c r="N853" s="353" t="str">
        <f t="shared" si="737"/>
        <v>-</v>
      </c>
      <c r="O853" s="520"/>
      <c r="P853" s="411">
        <f t="shared" si="742"/>
        <v>0</v>
      </c>
      <c r="Q853" s="460">
        <f t="shared" si="743"/>
        <v>0</v>
      </c>
    </row>
    <row r="854" spans="1:17" ht="24" thickBot="1" x14ac:dyDescent="0.35">
      <c r="A854" s="277" t="s">
        <v>111</v>
      </c>
      <c r="B854" s="906" t="s">
        <v>25</v>
      </c>
      <c r="C854" s="907"/>
      <c r="D854" s="326">
        <f t="shared" ref="D854" si="750">SUM(D847:D853)</f>
        <v>0</v>
      </c>
      <c r="E854" s="289">
        <v>100000</v>
      </c>
      <c r="F854" s="326">
        <f>SUM(F847:F853)</f>
        <v>26681</v>
      </c>
      <c r="G854" s="327">
        <f t="shared" ref="G854:H854" si="751">SUM(G847:G853)</f>
        <v>22320</v>
      </c>
      <c r="H854" s="327">
        <f t="shared" si="751"/>
        <v>4361</v>
      </c>
      <c r="I854" s="351" t="str">
        <f>IFERROR(F854/#REF!,"-")</f>
        <v>-</v>
      </c>
      <c r="J854" s="326">
        <f t="shared" ref="J854:L854" si="752">SUM(J847:J853)</f>
        <v>638805</v>
      </c>
      <c r="K854" s="327">
        <f t="shared" si="752"/>
        <v>632674</v>
      </c>
      <c r="L854" s="328">
        <f t="shared" si="752"/>
        <v>6131</v>
      </c>
      <c r="M854" s="345" t="str">
        <f t="shared" si="741"/>
        <v>-</v>
      </c>
      <c r="N854" s="351">
        <f t="shared" si="737"/>
        <v>9.5976080337505185E-3</v>
      </c>
      <c r="O854" s="397"/>
      <c r="P854" s="412">
        <f t="shared" ref="P854:Q854" si="753">SUM(P847:P853)</f>
        <v>295291.51199999999</v>
      </c>
      <c r="Q854" s="431">
        <f t="shared" si="753"/>
        <v>5283712.0984000005</v>
      </c>
    </row>
    <row r="855" spans="1:17" ht="24" thickBot="1" x14ac:dyDescent="0.35">
      <c r="A855" s="277" t="s">
        <v>111</v>
      </c>
      <c r="B855" s="985" t="s">
        <v>181</v>
      </c>
      <c r="C855" s="986"/>
      <c r="D855" s="332">
        <f>+D846+D854</f>
        <v>0</v>
      </c>
      <c r="E855" s="333">
        <f t="shared" ref="E855:H855" si="754">+E846+E854</f>
        <v>115000</v>
      </c>
      <c r="F855" s="332">
        <f t="shared" si="754"/>
        <v>193209</v>
      </c>
      <c r="G855" s="330">
        <f t="shared" si="754"/>
        <v>187860</v>
      </c>
      <c r="H855" s="330">
        <f t="shared" si="754"/>
        <v>5349</v>
      </c>
      <c r="I855" s="355" t="str">
        <f>IFERROR(F855/#REF!,"-")</f>
        <v>-</v>
      </c>
      <c r="J855" s="332">
        <f t="shared" ref="J855:L855" si="755">+J846+J854</f>
        <v>2315864</v>
      </c>
      <c r="K855" s="330">
        <f t="shared" si="755"/>
        <v>2232664</v>
      </c>
      <c r="L855" s="331">
        <f t="shared" si="755"/>
        <v>83200</v>
      </c>
      <c r="M855" s="347" t="str">
        <f t="shared" si="741"/>
        <v>-</v>
      </c>
      <c r="N855" s="355">
        <f t="shared" si="737"/>
        <v>3.5926116559521631E-2</v>
      </c>
      <c r="O855" s="400"/>
      <c r="P855" s="416">
        <f t="shared" ref="P855:Q855" si="756">+P846+P854</f>
        <v>773476.69799999997</v>
      </c>
      <c r="Q855" s="434">
        <f t="shared" si="756"/>
        <v>14598795.7894</v>
      </c>
    </row>
    <row r="856" spans="1:17" ht="23.4" x14ac:dyDescent="0.3">
      <c r="A856" s="244" t="s">
        <v>109</v>
      </c>
      <c r="B856" s="599"/>
      <c r="C856" s="600" t="s">
        <v>314</v>
      </c>
      <c r="D856" s="540"/>
      <c r="E856" s="470"/>
      <c r="F856" s="468">
        <f>+G856+H856</f>
        <v>0</v>
      </c>
      <c r="G856" s="469">
        <v>0</v>
      </c>
      <c r="H856" s="469">
        <v>0</v>
      </c>
      <c r="I856" s="544" t="str">
        <f>IFERROR(F856/#REF!,"-")</f>
        <v>-</v>
      </c>
      <c r="J856" s="468">
        <f>+K856+L856</f>
        <v>0</v>
      </c>
      <c r="K856" s="469">
        <f t="shared" ref="K856:L856" si="757">+G856+K796</f>
        <v>0</v>
      </c>
      <c r="L856" s="247">
        <f t="shared" si="757"/>
        <v>0</v>
      </c>
      <c r="M856" s="604" t="str">
        <f>IFERROR(J856/D856,"-")</f>
        <v>-</v>
      </c>
      <c r="N856" s="546" t="str">
        <f t="shared" si="737"/>
        <v>-</v>
      </c>
      <c r="O856" s="648">
        <v>4.8285999999999998</v>
      </c>
      <c r="P856" s="547">
        <f t="shared" ref="P856:P862" si="758">+O856*G856</f>
        <v>0</v>
      </c>
      <c r="Q856" s="548">
        <f>+O856*K856</f>
        <v>0</v>
      </c>
    </row>
    <row r="857" spans="1:17" ht="23.4" x14ac:dyDescent="0.3">
      <c r="A857" s="248" t="s">
        <v>109</v>
      </c>
      <c r="B857" s="601"/>
      <c r="C857" s="278" t="s">
        <v>315</v>
      </c>
      <c r="D857" s="279"/>
      <c r="E857" s="442"/>
      <c r="F857" s="339">
        <f t="shared" ref="F857:F862" si="759">+G857+H857</f>
        <v>0</v>
      </c>
      <c r="G857" s="281">
        <v>0</v>
      </c>
      <c r="H857" s="281">
        <v>0</v>
      </c>
      <c r="I857" s="358" t="str">
        <f>IFERROR(F857/#REF!,"-")</f>
        <v>-</v>
      </c>
      <c r="J857" s="339">
        <f t="shared" ref="J857:J862" si="760">+K857+L857</f>
        <v>0</v>
      </c>
      <c r="K857" s="281">
        <f t="shared" ref="K857:L857" si="761">+G857+K797</f>
        <v>0</v>
      </c>
      <c r="L857" s="251">
        <f t="shared" si="761"/>
        <v>0</v>
      </c>
      <c r="M857" s="343" t="str">
        <f t="shared" ref="M857:M859" si="762">IFERROR(J857/D857,"-")</f>
        <v>-</v>
      </c>
      <c r="N857" s="268" t="str">
        <f t="shared" si="737"/>
        <v>-</v>
      </c>
      <c r="O857" s="649">
        <v>1.4086000000000001</v>
      </c>
      <c r="P857" s="410">
        <f t="shared" si="758"/>
        <v>0</v>
      </c>
      <c r="Q857" s="459">
        <f t="shared" ref="Q857:Q862" si="763">+O857*K857</f>
        <v>0</v>
      </c>
    </row>
    <row r="858" spans="1:17" ht="23.4" x14ac:dyDescent="0.3">
      <c r="A858" s="248" t="s">
        <v>109</v>
      </c>
      <c r="B858" s="601"/>
      <c r="C858" s="278" t="s">
        <v>367</v>
      </c>
      <c r="D858" s="279"/>
      <c r="E858" s="442"/>
      <c r="F858" s="339">
        <f t="shared" si="759"/>
        <v>0</v>
      </c>
      <c r="G858" s="281">
        <v>0</v>
      </c>
      <c r="H858" s="281">
        <v>0</v>
      </c>
      <c r="I858" s="358" t="str">
        <f>IFERROR(F858/#REF!,"-")</f>
        <v>-</v>
      </c>
      <c r="J858" s="339">
        <f t="shared" si="760"/>
        <v>573613</v>
      </c>
      <c r="K858" s="281">
        <f t="shared" ref="K858:L858" si="764">+G858+K798</f>
        <v>566000</v>
      </c>
      <c r="L858" s="251">
        <f t="shared" si="764"/>
        <v>7613</v>
      </c>
      <c r="M858" s="343" t="str">
        <f t="shared" si="762"/>
        <v>-</v>
      </c>
      <c r="N858" s="268">
        <f>IFERROR(L858/J858,"-")</f>
        <v>1.3272014406925924E-2</v>
      </c>
      <c r="O858" s="649">
        <v>2.2141000000000002</v>
      </c>
      <c r="P858" s="410">
        <f t="shared" si="758"/>
        <v>0</v>
      </c>
      <c r="Q858" s="459">
        <f t="shared" si="763"/>
        <v>1253180.6000000001</v>
      </c>
    </row>
    <row r="859" spans="1:17" ht="23.4" x14ac:dyDescent="0.3">
      <c r="A859" s="248" t="s">
        <v>109</v>
      </c>
      <c r="B859" s="602"/>
      <c r="C859" s="278" t="s">
        <v>436</v>
      </c>
      <c r="D859" s="283"/>
      <c r="E859" s="541"/>
      <c r="F859" s="340">
        <f t="shared" si="759"/>
        <v>0</v>
      </c>
      <c r="G859" s="285">
        <v>0</v>
      </c>
      <c r="H859" s="285">
        <v>0</v>
      </c>
      <c r="I859" s="359" t="str">
        <f>IFERROR(F859/#REF!,"-")</f>
        <v>-</v>
      </c>
      <c r="J859" s="339">
        <f t="shared" si="760"/>
        <v>40882</v>
      </c>
      <c r="K859" s="285">
        <f t="shared" ref="K859:L859" si="765">+G859+K799</f>
        <v>40000</v>
      </c>
      <c r="L859" s="286">
        <f t="shared" si="765"/>
        <v>882</v>
      </c>
      <c r="M859" s="344" t="str">
        <f t="shared" si="762"/>
        <v>-</v>
      </c>
      <c r="N859" s="350">
        <f t="shared" ref="N859:N866" si="766">IFERROR(L859/J859,"-")</f>
        <v>2.157428697226163E-2</v>
      </c>
      <c r="O859" s="650">
        <v>2.4565999999999999</v>
      </c>
      <c r="P859" s="411">
        <f t="shared" si="758"/>
        <v>0</v>
      </c>
      <c r="Q859" s="460">
        <f t="shared" si="763"/>
        <v>98264</v>
      </c>
    </row>
    <row r="860" spans="1:17" ht="23.4" x14ac:dyDescent="0.3">
      <c r="A860" s="248" t="s">
        <v>109</v>
      </c>
      <c r="B860" s="446"/>
      <c r="C860" s="647" t="s">
        <v>444</v>
      </c>
      <c r="D860" s="521"/>
      <c r="E860" s="542"/>
      <c r="F860" s="339">
        <f t="shared" si="759"/>
        <v>0</v>
      </c>
      <c r="G860" s="561">
        <v>0</v>
      </c>
      <c r="H860" s="561">
        <v>0</v>
      </c>
      <c r="I860" s="358" t="str">
        <f>IFERROR(F860/#REF!,"-")</f>
        <v>-</v>
      </c>
      <c r="J860" s="339">
        <f t="shared" si="760"/>
        <v>16280</v>
      </c>
      <c r="K860" s="285">
        <f t="shared" ref="K860:L860" si="767">+G860+K800</f>
        <v>15000</v>
      </c>
      <c r="L860" s="286">
        <f t="shared" si="767"/>
        <v>1280</v>
      </c>
      <c r="M860" s="522"/>
      <c r="N860" s="268">
        <f t="shared" si="766"/>
        <v>7.8624078624078622E-2</v>
      </c>
      <c r="O860" s="553">
        <v>4.8285999999999998</v>
      </c>
      <c r="P860" s="410">
        <f t="shared" si="758"/>
        <v>0</v>
      </c>
      <c r="Q860" s="459">
        <f t="shared" si="763"/>
        <v>72429</v>
      </c>
    </row>
    <row r="861" spans="1:17" ht="23.4" x14ac:dyDescent="0.3">
      <c r="A861" s="248" t="s">
        <v>109</v>
      </c>
      <c r="B861" s="603"/>
      <c r="C861" s="647" t="s">
        <v>439</v>
      </c>
      <c r="D861" s="273"/>
      <c r="E861" s="441"/>
      <c r="F861" s="338">
        <f t="shared" si="759"/>
        <v>58335</v>
      </c>
      <c r="G861" s="275">
        <v>57000</v>
      </c>
      <c r="H861" s="275">
        <v>1335</v>
      </c>
      <c r="I861" s="357" t="str">
        <f>IFERROR(F861/#REF!,"-")</f>
        <v>-</v>
      </c>
      <c r="J861" s="339">
        <f t="shared" si="760"/>
        <v>244992</v>
      </c>
      <c r="K861" s="285">
        <f t="shared" ref="K861:L861" si="768">+G861+K801</f>
        <v>236500</v>
      </c>
      <c r="L861" s="286">
        <f t="shared" si="768"/>
        <v>8492</v>
      </c>
      <c r="M861" s="342" t="str">
        <f t="shared" ref="M861:M862" si="769">IFERROR(J861/D861,"-")</f>
        <v>-</v>
      </c>
      <c r="N861" s="352">
        <f t="shared" si="766"/>
        <v>3.4662356321839081E-2</v>
      </c>
      <c r="O861" s="518">
        <v>4.1712999999999996</v>
      </c>
      <c r="P861" s="408">
        <f t="shared" si="758"/>
        <v>237764.09999999998</v>
      </c>
      <c r="Q861" s="457">
        <f t="shared" si="763"/>
        <v>986512.45</v>
      </c>
    </row>
    <row r="862" spans="1:17" ht="24" thickBot="1" x14ac:dyDescent="0.35">
      <c r="A862" s="248" t="s">
        <v>109</v>
      </c>
      <c r="B862" s="601"/>
      <c r="C862" s="278"/>
      <c r="D862" s="279"/>
      <c r="E862" s="442"/>
      <c r="F862" s="339">
        <f t="shared" si="759"/>
        <v>0</v>
      </c>
      <c r="G862" s="281"/>
      <c r="H862" s="281"/>
      <c r="I862" s="358" t="str">
        <f>IFERROR(F862/#REF!,"-")</f>
        <v>-</v>
      </c>
      <c r="J862" s="339">
        <f t="shared" si="760"/>
        <v>0</v>
      </c>
      <c r="K862" s="281">
        <f t="shared" ref="K862:L862" si="770">+G862+K802</f>
        <v>0</v>
      </c>
      <c r="L862" s="251">
        <f t="shared" si="770"/>
        <v>0</v>
      </c>
      <c r="M862" s="343" t="str">
        <f t="shared" si="769"/>
        <v>-</v>
      </c>
      <c r="N862" s="264" t="str">
        <f t="shared" si="766"/>
        <v>-</v>
      </c>
      <c r="O862" s="458"/>
      <c r="P862" s="410">
        <f t="shared" si="758"/>
        <v>0</v>
      </c>
      <c r="Q862" s="459">
        <f t="shared" si="763"/>
        <v>0</v>
      </c>
    </row>
    <row r="863" spans="1:17" ht="24" thickBot="1" x14ac:dyDescent="0.35">
      <c r="A863" s="277" t="s">
        <v>109</v>
      </c>
      <c r="B863" s="987" t="s">
        <v>21</v>
      </c>
      <c r="C863" s="925"/>
      <c r="D863" s="326">
        <v>0</v>
      </c>
      <c r="E863" s="289">
        <v>15000</v>
      </c>
      <c r="F863" s="326">
        <f>SUM(F856:F862)</f>
        <v>58335</v>
      </c>
      <c r="G863" s="327">
        <f t="shared" ref="G863:H863" si="771">SUM(G856:G862)</f>
        <v>57000</v>
      </c>
      <c r="H863" s="327">
        <f t="shared" si="771"/>
        <v>1335</v>
      </c>
      <c r="I863" s="351" t="str">
        <f>IFERROR(F863/#REF!,"-")</f>
        <v>-</v>
      </c>
      <c r="J863" s="326">
        <f t="shared" ref="J863" si="772">SUM(J856:J862)</f>
        <v>875767</v>
      </c>
      <c r="K863" s="327">
        <f>SUM(K856:K862)</f>
        <v>857500</v>
      </c>
      <c r="L863" s="327">
        <f>SUM(L856:L862)</f>
        <v>18267</v>
      </c>
      <c r="M863" s="345" t="str">
        <f>IFERROR(J863/D863,"-")</f>
        <v>-</v>
      </c>
      <c r="N863" s="351">
        <f t="shared" si="766"/>
        <v>2.0858287649568891E-2</v>
      </c>
      <c r="O863" s="397"/>
      <c r="P863" s="412">
        <f>SUM(P856:P862)</f>
        <v>237764.09999999998</v>
      </c>
      <c r="Q863" s="431">
        <f>SUM(Q856:Q862)</f>
        <v>2410386.0499999998</v>
      </c>
    </row>
    <row r="864" spans="1:17" ht="24" thickBot="1" x14ac:dyDescent="0.35">
      <c r="A864" s="277" t="s">
        <v>109</v>
      </c>
      <c r="B864" s="988" t="s">
        <v>275</v>
      </c>
      <c r="C864" s="989"/>
      <c r="D864" s="524">
        <f>+D860+D863</f>
        <v>0</v>
      </c>
      <c r="E864" s="538">
        <f>+E860+E863</f>
        <v>15000</v>
      </c>
      <c r="F864" s="524">
        <f>+F860+F863</f>
        <v>58335</v>
      </c>
      <c r="G864" s="526">
        <f>+G860+G863</f>
        <v>57000</v>
      </c>
      <c r="H864" s="526">
        <f>+H860+H863</f>
        <v>1335</v>
      </c>
      <c r="I864" s="527" t="str">
        <f>IFERROR(F864/#REF!,"-")</f>
        <v>-</v>
      </c>
      <c r="J864" s="524">
        <f>+J860+J863</f>
        <v>892047</v>
      </c>
      <c r="K864" s="526">
        <f>+K863</f>
        <v>857500</v>
      </c>
      <c r="L864" s="526">
        <f>+L863</f>
        <v>18267</v>
      </c>
      <c r="M864" s="528" t="str">
        <f t="shared" ref="M864" si="773">IFERROR(J864/D864,"-")</f>
        <v>-</v>
      </c>
      <c r="N864" s="527">
        <f t="shared" si="766"/>
        <v>2.0477620573803847E-2</v>
      </c>
      <c r="O864" s="529"/>
      <c r="P864" s="530">
        <f>+P863</f>
        <v>237764.09999999998</v>
      </c>
      <c r="Q864" s="530">
        <f>+Q863</f>
        <v>2410386.0499999998</v>
      </c>
    </row>
    <row r="865" spans="1:17" ht="23.4" x14ac:dyDescent="0.4">
      <c r="A865" s="244" t="s">
        <v>109</v>
      </c>
      <c r="B865" s="979" t="s">
        <v>277</v>
      </c>
      <c r="C865" s="555" t="s">
        <v>74</v>
      </c>
      <c r="D865" s="540"/>
      <c r="E865" s="470"/>
      <c r="F865" s="468">
        <f>+G865+H865</f>
        <v>6757</v>
      </c>
      <c r="G865" s="469">
        <v>6750</v>
      </c>
      <c r="H865" s="469">
        <v>7</v>
      </c>
      <c r="I865" s="544" t="str">
        <f>IFERROR(F865/#REF!,"-")</f>
        <v>-</v>
      </c>
      <c r="J865" s="468">
        <f>+K865+L865</f>
        <v>58961</v>
      </c>
      <c r="K865" s="469">
        <f t="shared" ref="K865:L865" si="774">+G865+K805</f>
        <v>58910</v>
      </c>
      <c r="L865" s="246">
        <f t="shared" si="774"/>
        <v>51</v>
      </c>
      <c r="M865" s="263" t="str">
        <f>IFERROR(J865/D865,"-")</f>
        <v>-</v>
      </c>
      <c r="N865" s="546">
        <f t="shared" si="766"/>
        <v>8.6497854514000776E-4</v>
      </c>
      <c r="O865" s="551">
        <v>32.946300000000001</v>
      </c>
      <c r="P865" s="547">
        <f t="shared" ref="P865:P894" si="775">+O865*G865</f>
        <v>222387.52499999999</v>
      </c>
      <c r="Q865" s="548">
        <f t="shared" ref="Q865:Q894" si="776">+O865*K865</f>
        <v>1940866.5330000001</v>
      </c>
    </row>
    <row r="866" spans="1:17" ht="23.4" x14ac:dyDescent="0.4">
      <c r="A866" s="248" t="s">
        <v>109</v>
      </c>
      <c r="B866" s="980"/>
      <c r="C866" s="556" t="s">
        <v>75</v>
      </c>
      <c r="D866" s="523"/>
      <c r="E866" s="442"/>
      <c r="F866" s="339">
        <f t="shared" ref="F866:F894" si="777">+G866+H866</f>
        <v>0</v>
      </c>
      <c r="G866" s="281">
        <v>0</v>
      </c>
      <c r="H866" s="281">
        <v>0</v>
      </c>
      <c r="I866" s="358" t="str">
        <f>IFERROR(F866/#REF!,"-")</f>
        <v>-</v>
      </c>
      <c r="J866" s="339">
        <f t="shared" ref="J866:J894" si="778">+K866+L866</f>
        <v>0</v>
      </c>
      <c r="K866" s="281">
        <f t="shared" ref="K866:L866" si="779">+G866+K806</f>
        <v>0</v>
      </c>
      <c r="L866" s="250">
        <f t="shared" si="779"/>
        <v>0</v>
      </c>
      <c r="M866" s="265" t="str">
        <f t="shared" ref="M866:M868" si="780">IFERROR(J866/D866,"-")</f>
        <v>-</v>
      </c>
      <c r="N866" s="268" t="str">
        <f t="shared" si="766"/>
        <v>-</v>
      </c>
      <c r="O866" s="519">
        <v>35.398400000000002</v>
      </c>
      <c r="P866" s="410">
        <f t="shared" si="775"/>
        <v>0</v>
      </c>
      <c r="Q866" s="459">
        <f t="shared" si="776"/>
        <v>0</v>
      </c>
    </row>
    <row r="867" spans="1:17" ht="24" thickBot="1" x14ac:dyDescent="0.45">
      <c r="A867" s="248" t="s">
        <v>109</v>
      </c>
      <c r="B867" s="980"/>
      <c r="C867" s="556" t="s">
        <v>76</v>
      </c>
      <c r="D867" s="279"/>
      <c r="E867" s="442"/>
      <c r="F867" s="339">
        <f t="shared" si="777"/>
        <v>0</v>
      </c>
      <c r="G867" s="281">
        <v>0</v>
      </c>
      <c r="H867" s="281">
        <v>0</v>
      </c>
      <c r="I867" s="358" t="str">
        <f>IFERROR(F867/#REF!,"-")</f>
        <v>-</v>
      </c>
      <c r="J867" s="339">
        <f t="shared" si="778"/>
        <v>10000</v>
      </c>
      <c r="K867" s="281">
        <f t="shared" ref="K867:L867" si="781">+G867+K807</f>
        <v>10000</v>
      </c>
      <c r="L867" s="250">
        <f t="shared" si="781"/>
        <v>0</v>
      </c>
      <c r="M867" s="265" t="str">
        <f t="shared" si="780"/>
        <v>-</v>
      </c>
      <c r="N867" s="268">
        <f>IFERROR(L867/J867,"-")</f>
        <v>0</v>
      </c>
      <c r="O867" s="519">
        <v>32.946300000000001</v>
      </c>
      <c r="P867" s="410">
        <f t="shared" si="775"/>
        <v>0</v>
      </c>
      <c r="Q867" s="459">
        <f t="shared" si="776"/>
        <v>329463</v>
      </c>
    </row>
    <row r="868" spans="1:17" ht="23.4" x14ac:dyDescent="0.4">
      <c r="A868" s="248" t="s">
        <v>109</v>
      </c>
      <c r="B868" s="979" t="s">
        <v>278</v>
      </c>
      <c r="C868" s="558" t="s">
        <v>78</v>
      </c>
      <c r="D868" s="279"/>
      <c r="E868" s="541"/>
      <c r="F868" s="340">
        <f t="shared" si="777"/>
        <v>0</v>
      </c>
      <c r="G868" s="281">
        <v>0</v>
      </c>
      <c r="H868" s="281">
        <v>0</v>
      </c>
      <c r="I868" s="358" t="str">
        <f>IFERROR(F868/#REF!,"-")</f>
        <v>-</v>
      </c>
      <c r="J868" s="339">
        <f t="shared" si="778"/>
        <v>9803</v>
      </c>
      <c r="K868" s="281">
        <f t="shared" ref="K868:L868" si="782">+G868+K808</f>
        <v>8225</v>
      </c>
      <c r="L868" s="250">
        <f t="shared" si="782"/>
        <v>1578</v>
      </c>
      <c r="M868" s="265" t="str">
        <f t="shared" si="780"/>
        <v>-</v>
      </c>
      <c r="N868" s="268">
        <f t="shared" ref="N868" si="783">IFERROR(L868/J868,"-")</f>
        <v>0.16097113128634091</v>
      </c>
      <c r="O868" s="519">
        <v>55.4758</v>
      </c>
      <c r="P868" s="410">
        <f t="shared" si="775"/>
        <v>0</v>
      </c>
      <c r="Q868" s="459">
        <f t="shared" si="776"/>
        <v>456288.45500000002</v>
      </c>
    </row>
    <row r="869" spans="1:17" ht="23.4" x14ac:dyDescent="0.4">
      <c r="A869" s="248" t="s">
        <v>109</v>
      </c>
      <c r="B869" s="980"/>
      <c r="C869" s="558" t="s">
        <v>75</v>
      </c>
      <c r="D869" s="279"/>
      <c r="E869" s="542"/>
      <c r="F869" s="340">
        <f t="shared" si="777"/>
        <v>0</v>
      </c>
      <c r="G869" s="281">
        <v>0</v>
      </c>
      <c r="H869" s="281">
        <v>0</v>
      </c>
      <c r="I869" s="358" t="str">
        <f>IFERROR(F869/#REF!,"-")</f>
        <v>-</v>
      </c>
      <c r="J869" s="339">
        <f t="shared" si="778"/>
        <v>5350</v>
      </c>
      <c r="K869" s="281">
        <f t="shared" ref="K869:L869" si="784">+G869+K809</f>
        <v>4150</v>
      </c>
      <c r="L869" s="250">
        <f t="shared" si="784"/>
        <v>1200</v>
      </c>
      <c r="M869" s="522"/>
      <c r="N869" s="378"/>
      <c r="O869" s="553">
        <v>58.836300000000001</v>
      </c>
      <c r="P869" s="410">
        <f t="shared" si="775"/>
        <v>0</v>
      </c>
      <c r="Q869" s="459">
        <f t="shared" si="776"/>
        <v>244170.64500000002</v>
      </c>
    </row>
    <row r="870" spans="1:17" ht="23.4" x14ac:dyDescent="0.4">
      <c r="A870" s="248" t="s">
        <v>109</v>
      </c>
      <c r="B870" s="980"/>
      <c r="C870" s="558" t="s">
        <v>435</v>
      </c>
      <c r="D870" s="279"/>
      <c r="E870" s="441"/>
      <c r="F870" s="340">
        <f t="shared" si="777"/>
        <v>0</v>
      </c>
      <c r="G870" s="281">
        <v>0</v>
      </c>
      <c r="H870" s="281">
        <v>0</v>
      </c>
      <c r="I870" s="358" t="str">
        <f>IFERROR(F870/#REF!,"-")</f>
        <v>-</v>
      </c>
      <c r="J870" s="339">
        <f t="shared" si="778"/>
        <v>17944</v>
      </c>
      <c r="K870" s="281">
        <f t="shared" ref="K870:L870" si="785">+G870+K810</f>
        <v>15500</v>
      </c>
      <c r="L870" s="250">
        <f t="shared" si="785"/>
        <v>2444</v>
      </c>
      <c r="M870" s="265" t="str">
        <f t="shared" ref="M870" si="786">IFERROR(J870/D870,"-")</f>
        <v>-</v>
      </c>
      <c r="N870" s="264">
        <f t="shared" ref="N870" si="787">IFERROR(L870/J870,"-")</f>
        <v>0.13620151582701739</v>
      </c>
      <c r="O870" s="519">
        <v>55.4758</v>
      </c>
      <c r="P870" s="410">
        <f t="shared" si="775"/>
        <v>0</v>
      </c>
      <c r="Q870" s="459">
        <f t="shared" si="776"/>
        <v>859874.9</v>
      </c>
    </row>
    <row r="871" spans="1:17" ht="24" thickBot="1" x14ac:dyDescent="0.45">
      <c r="A871" s="248"/>
      <c r="B871" s="981"/>
      <c r="C871" s="558" t="s">
        <v>471</v>
      </c>
      <c r="D871" s="279"/>
      <c r="E871" s="441"/>
      <c r="F871" s="340">
        <f t="shared" si="777"/>
        <v>4300</v>
      </c>
      <c r="G871" s="281">
        <v>3980</v>
      </c>
      <c r="H871" s="281">
        <v>320</v>
      </c>
      <c r="I871" s="358"/>
      <c r="J871" s="339">
        <f t="shared" si="778"/>
        <v>6921</v>
      </c>
      <c r="K871" s="281">
        <f t="shared" ref="K871:L871" si="788">+G871+K811</f>
        <v>6380</v>
      </c>
      <c r="L871" s="250">
        <f t="shared" si="788"/>
        <v>541</v>
      </c>
      <c r="M871" s="265"/>
      <c r="N871" s="264">
        <f>IFERROR(L871/J871,"-")</f>
        <v>7.8167894812888314E-2</v>
      </c>
      <c r="O871" s="519">
        <v>55.4758</v>
      </c>
      <c r="P871" s="410">
        <f t="shared" si="775"/>
        <v>220793.68400000001</v>
      </c>
      <c r="Q871" s="459">
        <f t="shared" si="776"/>
        <v>353935.60399999999</v>
      </c>
    </row>
    <row r="872" spans="1:17" ht="23.4" x14ac:dyDescent="0.4">
      <c r="A872" s="248" t="s">
        <v>109</v>
      </c>
      <c r="B872" s="979" t="s">
        <v>79</v>
      </c>
      <c r="C872" s="556" t="s">
        <v>80</v>
      </c>
      <c r="D872" s="279"/>
      <c r="E872" s="442"/>
      <c r="F872" s="339">
        <f t="shared" si="777"/>
        <v>1215</v>
      </c>
      <c r="G872" s="281">
        <v>1200</v>
      </c>
      <c r="H872" s="281">
        <v>15</v>
      </c>
      <c r="I872" s="358" t="str">
        <f>IFERROR(F872/#REF!,"-")</f>
        <v>-</v>
      </c>
      <c r="J872" s="339">
        <f t="shared" si="778"/>
        <v>1215</v>
      </c>
      <c r="K872" s="281">
        <f t="shared" ref="K872:L872" si="789">+G872+K812</f>
        <v>1200</v>
      </c>
      <c r="L872" s="250">
        <f t="shared" si="789"/>
        <v>15</v>
      </c>
      <c r="M872" s="265" t="str">
        <f t="shared" ref="M872:M897" si="790">IFERROR(J872/D872,"-")</f>
        <v>-</v>
      </c>
      <c r="N872" s="264">
        <f t="shared" ref="N872:N896" si="791">IFERROR(L872/J872,"-")</f>
        <v>1.2345679012345678E-2</v>
      </c>
      <c r="O872" s="519">
        <v>25.687200000000001</v>
      </c>
      <c r="P872" s="410">
        <f t="shared" si="775"/>
        <v>30824.639999999999</v>
      </c>
      <c r="Q872" s="459">
        <f t="shared" si="776"/>
        <v>30824.639999999999</v>
      </c>
    </row>
    <row r="873" spans="1:17" ht="24" thickBot="1" x14ac:dyDescent="0.45">
      <c r="A873" s="248" t="s">
        <v>109</v>
      </c>
      <c r="B873" s="981"/>
      <c r="C873" s="556" t="s">
        <v>125</v>
      </c>
      <c r="D873" s="279"/>
      <c r="E873" s="442"/>
      <c r="F873" s="339">
        <f t="shared" si="777"/>
        <v>0</v>
      </c>
      <c r="G873" s="281">
        <v>0</v>
      </c>
      <c r="H873" s="281">
        <v>0</v>
      </c>
      <c r="I873" s="358" t="str">
        <f>IFERROR(F873/#REF!,"-")</f>
        <v>-</v>
      </c>
      <c r="J873" s="339">
        <f t="shared" si="778"/>
        <v>0</v>
      </c>
      <c r="K873" s="281">
        <f t="shared" ref="K873:L873" si="792">+G873+K813</f>
        <v>0</v>
      </c>
      <c r="L873" s="250">
        <f t="shared" si="792"/>
        <v>0</v>
      </c>
      <c r="M873" s="265" t="str">
        <f t="shared" si="790"/>
        <v>-</v>
      </c>
      <c r="N873" s="264" t="str">
        <f t="shared" si="791"/>
        <v>-</v>
      </c>
      <c r="O873" s="519">
        <v>25.033899999999999</v>
      </c>
      <c r="P873" s="410">
        <f t="shared" si="775"/>
        <v>0</v>
      </c>
      <c r="Q873" s="459">
        <f t="shared" si="776"/>
        <v>0</v>
      </c>
    </row>
    <row r="874" spans="1:17" ht="23.4" x14ac:dyDescent="0.4">
      <c r="A874" s="248"/>
      <c r="B874" s="979" t="s">
        <v>81</v>
      </c>
      <c r="C874" s="556" t="s">
        <v>82</v>
      </c>
      <c r="D874" s="279"/>
      <c r="E874" s="442"/>
      <c r="F874" s="339">
        <f t="shared" si="777"/>
        <v>6</v>
      </c>
      <c r="G874" s="281">
        <v>0</v>
      </c>
      <c r="H874" s="281">
        <v>6</v>
      </c>
      <c r="I874" s="358" t="str">
        <f>IFERROR(F874/#REF!,"-")</f>
        <v>-</v>
      </c>
      <c r="J874" s="339">
        <f t="shared" si="778"/>
        <v>8872</v>
      </c>
      <c r="K874" s="281">
        <f t="shared" ref="K874:L874" si="793">+G874+K814</f>
        <v>8840</v>
      </c>
      <c r="L874" s="250">
        <f t="shared" si="793"/>
        <v>32</v>
      </c>
      <c r="M874" s="265" t="str">
        <f t="shared" si="790"/>
        <v>-</v>
      </c>
      <c r="N874" s="264">
        <f t="shared" si="791"/>
        <v>3.6068530207394047E-3</v>
      </c>
      <c r="O874" s="519">
        <v>41.992699999999999</v>
      </c>
      <c r="P874" s="410">
        <f t="shared" si="775"/>
        <v>0</v>
      </c>
      <c r="Q874" s="459">
        <f t="shared" si="776"/>
        <v>371215.46799999999</v>
      </c>
    </row>
    <row r="875" spans="1:17" ht="24" thickBot="1" x14ac:dyDescent="0.45">
      <c r="A875" s="248"/>
      <c r="B875" s="980"/>
      <c r="C875" s="556" t="s">
        <v>364</v>
      </c>
      <c r="D875" s="279"/>
      <c r="E875" s="442"/>
      <c r="F875" s="339">
        <f t="shared" si="777"/>
        <v>0</v>
      </c>
      <c r="G875" s="281">
        <v>0</v>
      </c>
      <c r="H875" s="281">
        <v>0</v>
      </c>
      <c r="I875" s="358" t="str">
        <f>IFERROR(F875/#REF!,"-")</f>
        <v>-</v>
      </c>
      <c r="J875" s="339">
        <f t="shared" si="778"/>
        <v>0</v>
      </c>
      <c r="K875" s="281">
        <f t="shared" ref="K875:L875" si="794">+G875+K815</f>
        <v>0</v>
      </c>
      <c r="L875" s="250">
        <f t="shared" si="794"/>
        <v>0</v>
      </c>
      <c r="M875" s="265" t="str">
        <f t="shared" si="790"/>
        <v>-</v>
      </c>
      <c r="N875" s="264" t="str">
        <f t="shared" si="791"/>
        <v>-</v>
      </c>
      <c r="O875" s="519">
        <v>41.992699999999999</v>
      </c>
      <c r="P875" s="410">
        <f t="shared" si="775"/>
        <v>0</v>
      </c>
      <c r="Q875" s="459">
        <f t="shared" si="776"/>
        <v>0</v>
      </c>
    </row>
    <row r="876" spans="1:17" ht="24" thickBot="1" x14ac:dyDescent="0.45">
      <c r="A876" s="248"/>
      <c r="B876" s="559" t="s">
        <v>83</v>
      </c>
      <c r="C876" s="556" t="s">
        <v>84</v>
      </c>
      <c r="D876" s="279"/>
      <c r="E876" s="442"/>
      <c r="F876" s="339">
        <f t="shared" si="777"/>
        <v>1720</v>
      </c>
      <c r="G876" s="281">
        <v>1600</v>
      </c>
      <c r="H876" s="281">
        <v>120</v>
      </c>
      <c r="I876" s="358" t="str">
        <f>IFERROR(F876/#REF!,"-")</f>
        <v>-</v>
      </c>
      <c r="J876" s="339">
        <f t="shared" si="778"/>
        <v>1720</v>
      </c>
      <c r="K876" s="281">
        <f t="shared" ref="K876:L876" si="795">+G876+K816</f>
        <v>1600</v>
      </c>
      <c r="L876" s="250">
        <f t="shared" si="795"/>
        <v>120</v>
      </c>
      <c r="M876" s="265" t="str">
        <f t="shared" si="790"/>
        <v>-</v>
      </c>
      <c r="N876" s="264">
        <f t="shared" si="791"/>
        <v>6.9767441860465115E-2</v>
      </c>
      <c r="O876" s="519">
        <v>4.3535000000000004</v>
      </c>
      <c r="P876" s="410">
        <f t="shared" si="775"/>
        <v>6965.6</v>
      </c>
      <c r="Q876" s="459">
        <f t="shared" si="776"/>
        <v>6965.6</v>
      </c>
    </row>
    <row r="877" spans="1:17" ht="23.4" x14ac:dyDescent="0.4">
      <c r="A877" s="248"/>
      <c r="B877" s="979" t="s">
        <v>280</v>
      </c>
      <c r="C877" s="556" t="s">
        <v>80</v>
      </c>
      <c r="D877" s="279"/>
      <c r="E877" s="442"/>
      <c r="F877" s="339">
        <f t="shared" si="777"/>
        <v>0</v>
      </c>
      <c r="G877" s="281">
        <v>0</v>
      </c>
      <c r="H877" s="281">
        <v>0</v>
      </c>
      <c r="I877" s="358" t="str">
        <f>IFERROR(F877/#REF!,"-")</f>
        <v>-</v>
      </c>
      <c r="J877" s="339">
        <f t="shared" si="778"/>
        <v>0</v>
      </c>
      <c r="K877" s="281">
        <f t="shared" ref="K877:L877" si="796">+G877+K817</f>
        <v>0</v>
      </c>
      <c r="L877" s="250">
        <f t="shared" si="796"/>
        <v>0</v>
      </c>
      <c r="M877" s="265" t="str">
        <f t="shared" si="790"/>
        <v>-</v>
      </c>
      <c r="N877" s="264" t="str">
        <f t="shared" si="791"/>
        <v>-</v>
      </c>
      <c r="O877" s="519">
        <v>4.6184000000000003</v>
      </c>
      <c r="P877" s="410">
        <f t="shared" si="775"/>
        <v>0</v>
      </c>
      <c r="Q877" s="459">
        <f t="shared" si="776"/>
        <v>0</v>
      </c>
    </row>
    <row r="878" spans="1:17" ht="23.4" x14ac:dyDescent="0.4">
      <c r="A878" s="248"/>
      <c r="B878" s="980"/>
      <c r="C878" s="556" t="s">
        <v>407</v>
      </c>
      <c r="D878" s="279"/>
      <c r="E878" s="442"/>
      <c r="F878" s="339">
        <f t="shared" si="777"/>
        <v>0</v>
      </c>
      <c r="G878" s="281">
        <v>0</v>
      </c>
      <c r="H878" s="281">
        <v>0</v>
      </c>
      <c r="I878" s="358" t="str">
        <f>IFERROR(F878/#REF!,"-")</f>
        <v>-</v>
      </c>
      <c r="J878" s="339">
        <f t="shared" si="778"/>
        <v>146140</v>
      </c>
      <c r="K878" s="281">
        <f t="shared" ref="K878:L878" si="797">+G878+K818</f>
        <v>144842</v>
      </c>
      <c r="L878" s="250">
        <f t="shared" si="797"/>
        <v>1298</v>
      </c>
      <c r="M878" s="265" t="str">
        <f t="shared" si="790"/>
        <v>-</v>
      </c>
      <c r="N878" s="264">
        <f t="shared" si="791"/>
        <v>8.8818940741754483E-3</v>
      </c>
      <c r="O878" s="519">
        <v>4.6184000000000003</v>
      </c>
      <c r="P878" s="410">
        <f t="shared" si="775"/>
        <v>0</v>
      </c>
      <c r="Q878" s="459">
        <f t="shared" si="776"/>
        <v>668938.29280000005</v>
      </c>
    </row>
    <row r="879" spans="1:17" ht="23.4" x14ac:dyDescent="0.4">
      <c r="A879" s="248"/>
      <c r="B879" s="980"/>
      <c r="C879" s="556" t="s">
        <v>279</v>
      </c>
      <c r="D879" s="279"/>
      <c r="E879" s="442"/>
      <c r="F879" s="339">
        <f t="shared" si="777"/>
        <v>0</v>
      </c>
      <c r="G879" s="281">
        <v>0</v>
      </c>
      <c r="H879" s="281">
        <v>0</v>
      </c>
      <c r="I879" s="358" t="str">
        <f>IFERROR(F879/#REF!,"-")</f>
        <v>-</v>
      </c>
      <c r="J879" s="339">
        <f t="shared" si="778"/>
        <v>0</v>
      </c>
      <c r="K879" s="281">
        <f t="shared" ref="K879:L879" si="798">+G879+K819</f>
        <v>0</v>
      </c>
      <c r="L879" s="250">
        <f t="shared" si="798"/>
        <v>0</v>
      </c>
      <c r="M879" s="265" t="str">
        <f t="shared" si="790"/>
        <v>-</v>
      </c>
      <c r="N879" s="264" t="str">
        <f t="shared" si="791"/>
        <v>-</v>
      </c>
      <c r="O879" s="519">
        <v>4.6184000000000003</v>
      </c>
      <c r="P879" s="410">
        <f t="shared" si="775"/>
        <v>0</v>
      </c>
      <c r="Q879" s="459">
        <f t="shared" si="776"/>
        <v>0</v>
      </c>
    </row>
    <row r="880" spans="1:17" ht="23.4" x14ac:dyDescent="0.4">
      <c r="A880" s="248"/>
      <c r="B880" s="980"/>
      <c r="C880" s="556" t="s">
        <v>440</v>
      </c>
      <c r="D880" s="279"/>
      <c r="E880" s="442"/>
      <c r="F880" s="339">
        <f t="shared" si="777"/>
        <v>13033</v>
      </c>
      <c r="G880" s="281">
        <v>12900</v>
      </c>
      <c r="H880" s="281">
        <v>133</v>
      </c>
      <c r="I880" s="358" t="str">
        <f>IFERROR(F880/#REF!,"-")</f>
        <v>-</v>
      </c>
      <c r="J880" s="339">
        <f t="shared" si="778"/>
        <v>172800</v>
      </c>
      <c r="K880" s="281">
        <f t="shared" ref="K880:L880" si="799">+G880+K820</f>
        <v>171200</v>
      </c>
      <c r="L880" s="250">
        <f t="shared" si="799"/>
        <v>1600</v>
      </c>
      <c r="M880" s="265" t="str">
        <f t="shared" si="790"/>
        <v>-</v>
      </c>
      <c r="N880" s="264">
        <f t="shared" si="791"/>
        <v>9.2592592592592587E-3</v>
      </c>
      <c r="O880" s="519">
        <v>4.7636000000000003</v>
      </c>
      <c r="P880" s="410">
        <f t="shared" si="775"/>
        <v>61450.44</v>
      </c>
      <c r="Q880" s="459">
        <f t="shared" si="776"/>
        <v>815528.32000000007</v>
      </c>
    </row>
    <row r="881" spans="1:17" ht="24" thickBot="1" x14ac:dyDescent="0.45">
      <c r="A881" s="248"/>
      <c r="B881" s="981"/>
      <c r="C881" s="556" t="s">
        <v>429</v>
      </c>
      <c r="D881" s="279"/>
      <c r="E881" s="442"/>
      <c r="F881" s="339">
        <f t="shared" si="777"/>
        <v>0</v>
      </c>
      <c r="G881" s="281">
        <v>0</v>
      </c>
      <c r="H881" s="281">
        <v>0</v>
      </c>
      <c r="I881" s="358" t="str">
        <f>IFERROR(F881/#REF!,"-")</f>
        <v>-</v>
      </c>
      <c r="J881" s="339">
        <f t="shared" si="778"/>
        <v>12296</v>
      </c>
      <c r="K881" s="281">
        <f t="shared" ref="K881:L881" si="800">+G881+K821</f>
        <v>12100</v>
      </c>
      <c r="L881" s="250">
        <f t="shared" si="800"/>
        <v>196</v>
      </c>
      <c r="M881" s="265" t="str">
        <f t="shared" si="790"/>
        <v>-</v>
      </c>
      <c r="N881" s="264">
        <f t="shared" si="791"/>
        <v>1.594014313597918E-2</v>
      </c>
      <c r="O881" s="519">
        <v>4.8738000000000001</v>
      </c>
      <c r="P881" s="410">
        <f t="shared" si="775"/>
        <v>0</v>
      </c>
      <c r="Q881" s="459">
        <f t="shared" si="776"/>
        <v>58972.98</v>
      </c>
    </row>
    <row r="882" spans="1:17" ht="24" thickBot="1" x14ac:dyDescent="0.45">
      <c r="A882" s="248"/>
      <c r="B882" s="559" t="s">
        <v>281</v>
      </c>
      <c r="C882" s="556" t="s">
        <v>132</v>
      </c>
      <c r="D882" s="279"/>
      <c r="E882" s="442"/>
      <c r="F882" s="339">
        <f t="shared" si="777"/>
        <v>0</v>
      </c>
      <c r="G882" s="281">
        <v>0</v>
      </c>
      <c r="H882" s="281">
        <v>0</v>
      </c>
      <c r="I882" s="358" t="str">
        <f>IFERROR(F882/#REF!,"-")</f>
        <v>-</v>
      </c>
      <c r="J882" s="339">
        <f t="shared" si="778"/>
        <v>0</v>
      </c>
      <c r="K882" s="281">
        <f t="shared" ref="K882:L882" si="801">+G882+K822</f>
        <v>0</v>
      </c>
      <c r="L882" s="250">
        <f t="shared" si="801"/>
        <v>0</v>
      </c>
      <c r="M882" s="265" t="str">
        <f t="shared" si="790"/>
        <v>-</v>
      </c>
      <c r="N882" s="264" t="str">
        <f t="shared" si="791"/>
        <v>-</v>
      </c>
      <c r="O882" s="519">
        <v>4.8738000000000001</v>
      </c>
      <c r="P882" s="410">
        <f t="shared" si="775"/>
        <v>0</v>
      </c>
      <c r="Q882" s="459">
        <f t="shared" si="776"/>
        <v>0</v>
      </c>
    </row>
    <row r="883" spans="1:17" ht="23.4" x14ac:dyDescent="0.4">
      <c r="A883" s="248"/>
      <c r="B883" s="979" t="s">
        <v>283</v>
      </c>
      <c r="C883" s="556" t="s">
        <v>80</v>
      </c>
      <c r="D883" s="279"/>
      <c r="E883" s="442"/>
      <c r="F883" s="339">
        <f t="shared" si="777"/>
        <v>12479</v>
      </c>
      <c r="G883" s="281">
        <v>11950</v>
      </c>
      <c r="H883" s="281">
        <v>529</v>
      </c>
      <c r="I883" s="358" t="str">
        <f>IFERROR(F883/#REF!,"-")</f>
        <v>-</v>
      </c>
      <c r="J883" s="339">
        <f t="shared" si="778"/>
        <v>355337</v>
      </c>
      <c r="K883" s="281">
        <f t="shared" ref="K883:L883" si="802">+G883+K823</f>
        <v>348450</v>
      </c>
      <c r="L883" s="281">
        <f t="shared" si="802"/>
        <v>6887</v>
      </c>
      <c r="M883" s="265" t="str">
        <f t="shared" si="790"/>
        <v>-</v>
      </c>
      <c r="N883" s="264">
        <f t="shared" si="791"/>
        <v>1.9381601127943331E-2</v>
      </c>
      <c r="O883" s="519">
        <v>4.9344999999999999</v>
      </c>
      <c r="P883" s="410">
        <f t="shared" si="775"/>
        <v>58967.275000000001</v>
      </c>
      <c r="Q883" s="459">
        <f t="shared" si="776"/>
        <v>1719426.5249999999</v>
      </c>
    </row>
    <row r="884" spans="1:17" ht="23.4" x14ac:dyDescent="0.4">
      <c r="A884" s="248"/>
      <c r="B884" s="980"/>
      <c r="C884" s="556" t="s">
        <v>143</v>
      </c>
      <c r="D884" s="279"/>
      <c r="E884" s="442"/>
      <c r="F884" s="339">
        <f t="shared" si="777"/>
        <v>0</v>
      </c>
      <c r="G884" s="281">
        <v>0</v>
      </c>
      <c r="H884" s="281">
        <v>0</v>
      </c>
      <c r="I884" s="358" t="str">
        <f>IFERROR(F884/#REF!,"-")</f>
        <v>-</v>
      </c>
      <c r="J884" s="339">
        <f t="shared" si="778"/>
        <v>0</v>
      </c>
      <c r="K884" s="281">
        <f t="shared" ref="K884:L884" si="803">+G884+K824</f>
        <v>0</v>
      </c>
      <c r="L884" s="250">
        <f t="shared" si="803"/>
        <v>0</v>
      </c>
      <c r="M884" s="265" t="str">
        <f t="shared" si="790"/>
        <v>-</v>
      </c>
      <c r="N884" s="264" t="str">
        <f t="shared" si="791"/>
        <v>-</v>
      </c>
      <c r="O884" s="519">
        <v>4.9344999999999999</v>
      </c>
      <c r="P884" s="410">
        <f t="shared" si="775"/>
        <v>0</v>
      </c>
      <c r="Q884" s="459">
        <f t="shared" si="776"/>
        <v>0</v>
      </c>
    </row>
    <row r="885" spans="1:17" ht="23.4" x14ac:dyDescent="0.4">
      <c r="A885" s="248"/>
      <c r="B885" s="980"/>
      <c r="C885" s="556" t="s">
        <v>137</v>
      </c>
      <c r="D885" s="279"/>
      <c r="E885" s="442"/>
      <c r="F885" s="339">
        <f t="shared" si="777"/>
        <v>0</v>
      </c>
      <c r="G885" s="281">
        <v>0</v>
      </c>
      <c r="H885" s="281">
        <v>0</v>
      </c>
      <c r="I885" s="358" t="str">
        <f>IFERROR(F885/#REF!,"-")</f>
        <v>-</v>
      </c>
      <c r="J885" s="339">
        <f t="shared" si="778"/>
        <v>0</v>
      </c>
      <c r="K885" s="281">
        <f t="shared" ref="K885:L885" si="804">+G885+K825</f>
        <v>0</v>
      </c>
      <c r="L885" s="250">
        <f t="shared" si="804"/>
        <v>0</v>
      </c>
      <c r="M885" s="265" t="str">
        <f t="shared" si="790"/>
        <v>-</v>
      </c>
      <c r="N885" s="264" t="str">
        <f t="shared" si="791"/>
        <v>-</v>
      </c>
      <c r="O885" s="519">
        <v>4.9344999999999999</v>
      </c>
      <c r="P885" s="410">
        <f t="shared" si="775"/>
        <v>0</v>
      </c>
      <c r="Q885" s="459">
        <f t="shared" si="776"/>
        <v>0</v>
      </c>
    </row>
    <row r="886" spans="1:17" ht="24" thickBot="1" x14ac:dyDescent="0.45">
      <c r="A886" s="248"/>
      <c r="B886" s="981"/>
      <c r="C886" s="556" t="s">
        <v>282</v>
      </c>
      <c r="D886" s="279"/>
      <c r="E886" s="442"/>
      <c r="F886" s="339">
        <f t="shared" si="777"/>
        <v>0</v>
      </c>
      <c r="G886" s="281">
        <v>0</v>
      </c>
      <c r="H886" s="281">
        <v>0</v>
      </c>
      <c r="I886" s="358" t="str">
        <f>IFERROR(F886/#REF!,"-")</f>
        <v>-</v>
      </c>
      <c r="J886" s="339">
        <f t="shared" si="778"/>
        <v>0</v>
      </c>
      <c r="K886" s="281">
        <f t="shared" ref="K886:L886" si="805">+G886+K826</f>
        <v>0</v>
      </c>
      <c r="L886" s="250">
        <f t="shared" si="805"/>
        <v>0</v>
      </c>
      <c r="M886" s="265" t="str">
        <f t="shared" si="790"/>
        <v>-</v>
      </c>
      <c r="N886" s="264" t="str">
        <f t="shared" si="791"/>
        <v>-</v>
      </c>
      <c r="O886" s="519">
        <v>5.5069999999999997</v>
      </c>
      <c r="P886" s="410">
        <f t="shared" si="775"/>
        <v>0</v>
      </c>
      <c r="Q886" s="459">
        <f t="shared" si="776"/>
        <v>0</v>
      </c>
    </row>
    <row r="887" spans="1:17" ht="23.4" x14ac:dyDescent="0.4">
      <c r="A887" s="248"/>
      <c r="B887" s="979" t="s">
        <v>288</v>
      </c>
      <c r="C887" s="556" t="s">
        <v>284</v>
      </c>
      <c r="D887" s="279"/>
      <c r="E887" s="442"/>
      <c r="F887" s="339">
        <f t="shared" si="777"/>
        <v>0</v>
      </c>
      <c r="G887" s="281">
        <v>0</v>
      </c>
      <c r="H887" s="281">
        <v>0</v>
      </c>
      <c r="I887" s="358" t="str">
        <f>IFERROR(F887/#REF!,"-")</f>
        <v>-</v>
      </c>
      <c r="J887" s="339">
        <f t="shared" si="778"/>
        <v>0</v>
      </c>
      <c r="K887" s="281">
        <f t="shared" ref="K887:L887" si="806">+G887+K827</f>
        <v>0</v>
      </c>
      <c r="L887" s="250">
        <f t="shared" si="806"/>
        <v>0</v>
      </c>
      <c r="M887" s="265" t="str">
        <f t="shared" si="790"/>
        <v>-</v>
      </c>
      <c r="N887" s="264" t="str">
        <f t="shared" si="791"/>
        <v>-</v>
      </c>
      <c r="O887" s="519">
        <v>5.6550000000000002</v>
      </c>
      <c r="P887" s="410">
        <f t="shared" si="775"/>
        <v>0</v>
      </c>
      <c r="Q887" s="459">
        <f t="shared" si="776"/>
        <v>0</v>
      </c>
    </row>
    <row r="888" spans="1:17" ht="23.4" x14ac:dyDescent="0.4">
      <c r="A888" s="248"/>
      <c r="B888" s="980"/>
      <c r="C888" s="556" t="s">
        <v>285</v>
      </c>
      <c r="D888" s="279"/>
      <c r="E888" s="442"/>
      <c r="F888" s="339">
        <f t="shared" si="777"/>
        <v>0</v>
      </c>
      <c r="G888" s="281">
        <v>0</v>
      </c>
      <c r="H888" s="281">
        <v>0</v>
      </c>
      <c r="I888" s="358" t="str">
        <f>IFERROR(F888/#REF!,"-")</f>
        <v>-</v>
      </c>
      <c r="J888" s="339">
        <f t="shared" si="778"/>
        <v>0</v>
      </c>
      <c r="K888" s="281">
        <f t="shared" ref="K888:L888" si="807">+G888+K828</f>
        <v>0</v>
      </c>
      <c r="L888" s="250">
        <f t="shared" si="807"/>
        <v>0</v>
      </c>
      <c r="M888" s="265" t="str">
        <f t="shared" si="790"/>
        <v>-</v>
      </c>
      <c r="N888" s="264" t="str">
        <f t="shared" si="791"/>
        <v>-</v>
      </c>
      <c r="O888" s="519">
        <v>5.6550000000000002</v>
      </c>
      <c r="P888" s="410">
        <f t="shared" si="775"/>
        <v>0</v>
      </c>
      <c r="Q888" s="459">
        <f t="shared" si="776"/>
        <v>0</v>
      </c>
    </row>
    <row r="889" spans="1:17" ht="23.4" x14ac:dyDescent="0.4">
      <c r="A889" s="248"/>
      <c r="B889" s="980"/>
      <c r="C889" s="556" t="s">
        <v>374</v>
      </c>
      <c r="D889" s="279"/>
      <c r="E889" s="442"/>
      <c r="F889" s="339">
        <f t="shared" si="777"/>
        <v>23019</v>
      </c>
      <c r="G889" s="281">
        <v>22250</v>
      </c>
      <c r="H889" s="281">
        <v>769</v>
      </c>
      <c r="I889" s="358" t="str">
        <f>IFERROR(F889/#REF!,"-")</f>
        <v>-</v>
      </c>
      <c r="J889" s="339">
        <f t="shared" si="778"/>
        <v>346543</v>
      </c>
      <c r="K889" s="281">
        <f t="shared" ref="K889:L889" si="808">+G889+K829</f>
        <v>338000</v>
      </c>
      <c r="L889" s="250">
        <f t="shared" si="808"/>
        <v>8543</v>
      </c>
      <c r="M889" s="265" t="str">
        <f t="shared" si="790"/>
        <v>-</v>
      </c>
      <c r="N889" s="264">
        <f t="shared" si="791"/>
        <v>2.465206338030201E-2</v>
      </c>
      <c r="O889" s="519">
        <v>5.6550000000000002</v>
      </c>
      <c r="P889" s="410">
        <f t="shared" si="775"/>
        <v>125823.75</v>
      </c>
      <c r="Q889" s="459">
        <f t="shared" si="776"/>
        <v>1911390</v>
      </c>
    </row>
    <row r="890" spans="1:17" ht="23.4" x14ac:dyDescent="0.4">
      <c r="A890" s="248"/>
      <c r="B890" s="980"/>
      <c r="C890" s="556" t="s">
        <v>286</v>
      </c>
      <c r="D890" s="279"/>
      <c r="E890" s="442"/>
      <c r="F890" s="339">
        <f t="shared" si="777"/>
        <v>0</v>
      </c>
      <c r="G890" s="281">
        <v>0</v>
      </c>
      <c r="H890" s="281">
        <v>0</v>
      </c>
      <c r="I890" s="358" t="str">
        <f>IFERROR(F890/#REF!,"-")</f>
        <v>-</v>
      </c>
      <c r="J890" s="339">
        <f t="shared" si="778"/>
        <v>0</v>
      </c>
      <c r="K890" s="281">
        <f t="shared" ref="K890:L890" si="809">+G890+K830</f>
        <v>0</v>
      </c>
      <c r="L890" s="250">
        <f t="shared" si="809"/>
        <v>0</v>
      </c>
      <c r="M890" s="265" t="str">
        <f t="shared" si="790"/>
        <v>-</v>
      </c>
      <c r="N890" s="264" t="str">
        <f t="shared" si="791"/>
        <v>-</v>
      </c>
      <c r="O890" s="519">
        <v>5.6550000000000002</v>
      </c>
      <c r="P890" s="410">
        <f t="shared" si="775"/>
        <v>0</v>
      </c>
      <c r="Q890" s="459">
        <f t="shared" si="776"/>
        <v>0</v>
      </c>
    </row>
    <row r="891" spans="1:17" ht="23.4" x14ac:dyDescent="0.4">
      <c r="A891" s="248" t="s">
        <v>109</v>
      </c>
      <c r="B891" s="980"/>
      <c r="C891" s="556" t="s">
        <v>287</v>
      </c>
      <c r="D891" s="279"/>
      <c r="E891" s="442"/>
      <c r="F891" s="339">
        <f t="shared" si="777"/>
        <v>0</v>
      </c>
      <c r="G891" s="281">
        <v>0</v>
      </c>
      <c r="H891" s="281">
        <v>0</v>
      </c>
      <c r="I891" s="358" t="str">
        <f>IFERROR(F891/#REF!,"-")</f>
        <v>-</v>
      </c>
      <c r="J891" s="339">
        <f t="shared" si="778"/>
        <v>0</v>
      </c>
      <c r="K891" s="281">
        <f t="shared" ref="K891:L891" si="810">+G891+K831</f>
        <v>0</v>
      </c>
      <c r="L891" s="250">
        <f t="shared" si="810"/>
        <v>0</v>
      </c>
      <c r="M891" s="265" t="str">
        <f t="shared" si="790"/>
        <v>-</v>
      </c>
      <c r="N891" s="264" t="str">
        <f t="shared" si="791"/>
        <v>-</v>
      </c>
      <c r="O891" s="519">
        <v>3.2963</v>
      </c>
      <c r="P891" s="410">
        <f t="shared" si="775"/>
        <v>0</v>
      </c>
      <c r="Q891" s="459">
        <f t="shared" si="776"/>
        <v>0</v>
      </c>
    </row>
    <row r="892" spans="1:17" ht="24" thickBot="1" x14ac:dyDescent="0.45">
      <c r="A892" s="248" t="s">
        <v>109</v>
      </c>
      <c r="B892" s="981"/>
      <c r="C892" s="556" t="s">
        <v>282</v>
      </c>
      <c r="D892" s="279"/>
      <c r="E892" s="442"/>
      <c r="F892" s="339">
        <f t="shared" si="777"/>
        <v>0</v>
      </c>
      <c r="G892" s="281">
        <v>0</v>
      </c>
      <c r="H892" s="281">
        <v>0</v>
      </c>
      <c r="I892" s="358" t="str">
        <f>IFERROR(F892/#REF!,"-")</f>
        <v>-</v>
      </c>
      <c r="J892" s="339">
        <f t="shared" si="778"/>
        <v>0</v>
      </c>
      <c r="K892" s="281">
        <f t="shared" ref="K892:L892" si="811">+G892+K832</f>
        <v>0</v>
      </c>
      <c r="L892" s="250">
        <f t="shared" si="811"/>
        <v>0</v>
      </c>
      <c r="M892" s="265" t="str">
        <f t="shared" si="790"/>
        <v>-</v>
      </c>
      <c r="N892" s="264" t="str">
        <f t="shared" si="791"/>
        <v>-</v>
      </c>
      <c r="O892" s="519">
        <v>3.2963</v>
      </c>
      <c r="P892" s="410">
        <f t="shared" si="775"/>
        <v>0</v>
      </c>
      <c r="Q892" s="459">
        <f t="shared" si="776"/>
        <v>0</v>
      </c>
    </row>
    <row r="893" spans="1:17" ht="23.4" x14ac:dyDescent="0.4">
      <c r="A893" s="248" t="s">
        <v>109</v>
      </c>
      <c r="B893" s="560"/>
      <c r="C893" s="557" t="s">
        <v>92</v>
      </c>
      <c r="D893" s="523"/>
      <c r="E893" s="442"/>
      <c r="F893" s="339">
        <f t="shared" si="777"/>
        <v>0</v>
      </c>
      <c r="G893" s="281">
        <v>0</v>
      </c>
      <c r="H893" s="281">
        <v>0</v>
      </c>
      <c r="I893" s="358" t="str">
        <f>IFERROR(F893/#REF!,"-")</f>
        <v>-</v>
      </c>
      <c r="J893" s="339">
        <f t="shared" si="778"/>
        <v>65530</v>
      </c>
      <c r="K893" s="281">
        <f t="shared" ref="K893:L893" si="812">+G893+K833</f>
        <v>65500</v>
      </c>
      <c r="L893" s="250">
        <f t="shared" si="812"/>
        <v>30</v>
      </c>
      <c r="M893" s="265" t="str">
        <f t="shared" si="790"/>
        <v>-</v>
      </c>
      <c r="N893" s="264">
        <f t="shared" si="791"/>
        <v>4.5780558522813981E-4</v>
      </c>
      <c r="O893" s="519">
        <v>2.3201000000000001</v>
      </c>
      <c r="P893" s="410">
        <f t="shared" si="775"/>
        <v>0</v>
      </c>
      <c r="Q893" s="459">
        <f t="shared" si="776"/>
        <v>151966.55000000002</v>
      </c>
    </row>
    <row r="894" spans="1:17" ht="24" thickBot="1" x14ac:dyDescent="0.35">
      <c r="A894" s="248" t="s">
        <v>109</v>
      </c>
      <c r="B894" s="537"/>
      <c r="C894" s="554"/>
      <c r="D894" s="543"/>
      <c r="E894" s="473"/>
      <c r="F894" s="471">
        <f t="shared" si="777"/>
        <v>0</v>
      </c>
      <c r="G894" s="472"/>
      <c r="H894" s="472"/>
      <c r="I894" s="545" t="str">
        <f>IFERROR(F894/#REF!,"-")</f>
        <v>-</v>
      </c>
      <c r="J894" s="471">
        <f t="shared" si="778"/>
        <v>0</v>
      </c>
      <c r="K894" s="472">
        <f t="shared" ref="K894:L894" si="813">+G894+K834</f>
        <v>0</v>
      </c>
      <c r="L894" s="257">
        <f t="shared" si="813"/>
        <v>0</v>
      </c>
      <c r="M894" s="267" t="str">
        <f t="shared" si="790"/>
        <v>-</v>
      </c>
      <c r="N894" s="266" t="str">
        <f t="shared" si="791"/>
        <v>-</v>
      </c>
      <c r="O894" s="552"/>
      <c r="P894" s="549">
        <f t="shared" si="775"/>
        <v>0</v>
      </c>
      <c r="Q894" s="550">
        <f t="shared" si="776"/>
        <v>0</v>
      </c>
    </row>
    <row r="895" spans="1:17" ht="24" thickBot="1" x14ac:dyDescent="0.35">
      <c r="A895" s="277" t="s">
        <v>109</v>
      </c>
      <c r="B895" s="982" t="s">
        <v>25</v>
      </c>
      <c r="C895" s="983"/>
      <c r="D895" s="525">
        <f t="shared" ref="D895" si="814">SUM(D870:D894)</f>
        <v>0</v>
      </c>
      <c r="E895" s="539">
        <v>100000</v>
      </c>
      <c r="F895" s="525">
        <f>SUM(F870:F894)</f>
        <v>55772</v>
      </c>
      <c r="G895" s="531">
        <f t="shared" ref="G895:H895" si="815">SUM(G870:G894)</f>
        <v>53880</v>
      </c>
      <c r="H895" s="531">
        <f t="shared" si="815"/>
        <v>1892</v>
      </c>
      <c r="I895" s="532" t="str">
        <f>IFERROR(F895/#REF!,"-")</f>
        <v>-</v>
      </c>
      <c r="J895" s="525">
        <f t="shared" ref="J895" si="816">SUM(J870:J894)</f>
        <v>1135318</v>
      </c>
      <c r="K895" s="531">
        <f>SUM(K865:K894)</f>
        <v>1194897</v>
      </c>
      <c r="L895" s="533">
        <f t="shared" ref="L895" si="817">SUM(L870:L894)</f>
        <v>21706</v>
      </c>
      <c r="M895" s="534" t="str">
        <f t="shared" si="790"/>
        <v>-</v>
      </c>
      <c r="N895" s="532">
        <f t="shared" si="791"/>
        <v>1.9118872421647504E-2</v>
      </c>
      <c r="O895" s="535"/>
      <c r="P895" s="536">
        <f>SUM(P865:P894)</f>
        <v>727212.91399999999</v>
      </c>
      <c r="Q895" s="536">
        <f>SUM(Q865:Q894)</f>
        <v>9919827.5128000006</v>
      </c>
    </row>
    <row r="896" spans="1:17" ht="24" thickBot="1" x14ac:dyDescent="0.35">
      <c r="A896" s="324" t="s">
        <v>109</v>
      </c>
      <c r="B896" s="984" t="s">
        <v>276</v>
      </c>
      <c r="C896" s="927"/>
      <c r="D896" s="332">
        <f>+D869+D895</f>
        <v>0</v>
      </c>
      <c r="E896" s="333">
        <f>+E869+E895</f>
        <v>100000</v>
      </c>
      <c r="F896" s="332">
        <f>+F869+F895</f>
        <v>55772</v>
      </c>
      <c r="G896" s="330">
        <f>+G869+G895</f>
        <v>53880</v>
      </c>
      <c r="H896" s="330">
        <f>+H869+H895</f>
        <v>1892</v>
      </c>
      <c r="I896" s="355" t="str">
        <f>IFERROR(F896/#REF!,"-")</f>
        <v>-</v>
      </c>
      <c r="J896" s="332">
        <f>+J869+J895</f>
        <v>1140668</v>
      </c>
      <c r="K896" s="330">
        <f>K895</f>
        <v>1194897</v>
      </c>
      <c r="L896" s="331">
        <f>+L869+L895</f>
        <v>22906</v>
      </c>
      <c r="M896" s="347" t="str">
        <f t="shared" si="790"/>
        <v>-</v>
      </c>
      <c r="N896" s="355">
        <f t="shared" si="791"/>
        <v>2.008121556842131E-2</v>
      </c>
      <c r="O896" s="400"/>
      <c r="P896" s="416">
        <f>+P869+P895</f>
        <v>727212.91399999999</v>
      </c>
      <c r="Q896" s="434">
        <f>Q895</f>
        <v>9919827.5128000006</v>
      </c>
    </row>
    <row r="897" spans="1:17" ht="24.6" thickBot="1" x14ac:dyDescent="0.35">
      <c r="A897" s="325"/>
      <c r="B897" s="915" t="s">
        <v>183</v>
      </c>
      <c r="C897" s="916"/>
      <c r="D897" s="380">
        <f>+D896+D864+D855</f>
        <v>0</v>
      </c>
      <c r="E897" s="380">
        <f>+E896+E864+E855</f>
        <v>230000</v>
      </c>
      <c r="F897" s="380">
        <f>+F896+F864+F855</f>
        <v>307316</v>
      </c>
      <c r="G897" s="380">
        <f>+G896+G864+G855</f>
        <v>298740</v>
      </c>
      <c r="H897" s="380">
        <f>+H896+H864+H855</f>
        <v>8576</v>
      </c>
      <c r="I897" s="381" t="str">
        <f>IFERROR(F897/#REF!,"-")</f>
        <v>-</v>
      </c>
      <c r="J897" s="380">
        <f>+J896+J864+J855</f>
        <v>4348579</v>
      </c>
      <c r="K897" s="380">
        <f>+K896+K864+K855</f>
        <v>4285061</v>
      </c>
      <c r="L897" s="380">
        <f>+L896+L864+L855</f>
        <v>124373</v>
      </c>
      <c r="M897" s="381" t="str">
        <f t="shared" si="790"/>
        <v>-</v>
      </c>
      <c r="N897" s="381">
        <f>IFERROR(L897/J897,"-")</f>
        <v>2.8600837193023285E-2</v>
      </c>
      <c r="O897" s="407"/>
      <c r="P897" s="424">
        <f>+P896+P864+P855</f>
        <v>1738453.7119999998</v>
      </c>
      <c r="Q897" s="424">
        <f>+Q896+Q864+Q855</f>
        <v>26929009.352200001</v>
      </c>
    </row>
    <row r="898" spans="1:17" ht="23.4" x14ac:dyDescent="0.3">
      <c r="A898" s="935" t="s">
        <v>1</v>
      </c>
      <c r="B898" s="938" t="s">
        <v>2</v>
      </c>
      <c r="C898" s="941" t="s">
        <v>3</v>
      </c>
      <c r="D898" s="944" t="s">
        <v>4</v>
      </c>
      <c r="E898" s="945"/>
      <c r="F898" s="945"/>
      <c r="G898" s="945"/>
      <c r="H898" s="945"/>
      <c r="I898" s="945"/>
      <c r="J898" s="945"/>
      <c r="K898" s="945"/>
      <c r="L898" s="945"/>
      <c r="M898" s="945"/>
      <c r="N898" s="946"/>
      <c r="O898" s="965" t="s">
        <v>176</v>
      </c>
      <c r="P898" s="966"/>
      <c r="Q898" s="990"/>
    </row>
    <row r="899" spans="1:17" ht="23.4" x14ac:dyDescent="0.3">
      <c r="A899" s="936"/>
      <c r="B899" s="939"/>
      <c r="C899" s="942"/>
      <c r="D899" s="947" t="s">
        <v>7</v>
      </c>
      <c r="E899" s="949" t="s">
        <v>116</v>
      </c>
      <c r="F899" s="991" t="s">
        <v>477</v>
      </c>
      <c r="G899" s="952"/>
      <c r="H899" s="952"/>
      <c r="I899" s="953"/>
      <c r="J899" s="954" t="s">
        <v>8</v>
      </c>
      <c r="K899" s="955"/>
      <c r="L899" s="956"/>
      <c r="M899" s="957" t="s">
        <v>174</v>
      </c>
      <c r="N899" s="959" t="s">
        <v>173</v>
      </c>
      <c r="O899" s="967" t="s">
        <v>178</v>
      </c>
      <c r="P899" s="968"/>
      <c r="Q899" s="969"/>
    </row>
    <row r="900" spans="1:17" ht="47.4" thickBot="1" x14ac:dyDescent="0.35">
      <c r="A900" s="937"/>
      <c r="B900" s="940"/>
      <c r="C900" s="943"/>
      <c r="D900" s="948"/>
      <c r="E900" s="950"/>
      <c r="F900" s="462" t="s">
        <v>13</v>
      </c>
      <c r="G900" s="463" t="s">
        <v>14</v>
      </c>
      <c r="H900" s="463" t="s">
        <v>15</v>
      </c>
      <c r="I900" s="464" t="s">
        <v>175</v>
      </c>
      <c r="J900" s="462" t="s">
        <v>13</v>
      </c>
      <c r="K900" s="463" t="s">
        <v>14</v>
      </c>
      <c r="L900" s="465" t="s">
        <v>15</v>
      </c>
      <c r="M900" s="958"/>
      <c r="N900" s="960"/>
      <c r="O900" s="453" t="s">
        <v>179</v>
      </c>
      <c r="P900" s="454" t="s">
        <v>11</v>
      </c>
      <c r="Q900" s="455" t="s">
        <v>12</v>
      </c>
    </row>
    <row r="901" spans="1:17" ht="23.4" x14ac:dyDescent="0.3">
      <c r="A901" s="271" t="s">
        <v>111</v>
      </c>
      <c r="B901" s="445"/>
      <c r="C901" s="272" t="s">
        <v>272</v>
      </c>
      <c r="D901" s="273"/>
      <c r="E901" s="274"/>
      <c r="F901" s="338">
        <f>+G901+H901</f>
        <v>92940</v>
      </c>
      <c r="G901" s="275">
        <v>87080</v>
      </c>
      <c r="H901" s="275">
        <v>5860</v>
      </c>
      <c r="I901" s="357" t="str">
        <f>IFERROR(F901/#REF!,"-")</f>
        <v>-</v>
      </c>
      <c r="J901" s="468">
        <f>+K901+L901</f>
        <v>992094</v>
      </c>
      <c r="K901" s="469">
        <f>+G901+K841</f>
        <v>932120</v>
      </c>
      <c r="L901" s="469">
        <f>+H901+L841</f>
        <v>59974</v>
      </c>
      <c r="M901" s="342" t="str">
        <f>IFERROR(J901/D901,"-")</f>
        <v>-</v>
      </c>
      <c r="N901" s="349">
        <f t="shared" ref="N901:N902" si="818">IFERROR(L901/J901,"-")</f>
        <v>6.0451932982156932E-2</v>
      </c>
      <c r="O901" s="518">
        <v>1.5669</v>
      </c>
      <c r="P901" s="408">
        <f>+O901*G901</f>
        <v>136445.652</v>
      </c>
      <c r="Q901" s="457">
        <f>+O901*K901</f>
        <v>1460538.828</v>
      </c>
    </row>
    <row r="902" spans="1:17" ht="23.4" x14ac:dyDescent="0.3">
      <c r="A902" s="277" t="s">
        <v>111</v>
      </c>
      <c r="B902" s="444"/>
      <c r="C902" s="278" t="s">
        <v>271</v>
      </c>
      <c r="D902" s="279"/>
      <c r="E902" s="280"/>
      <c r="F902" s="339">
        <f t="shared" ref="F902:F905" si="819">+G902+H902</f>
        <v>0</v>
      </c>
      <c r="G902" s="281">
        <v>0</v>
      </c>
      <c r="H902" s="281">
        <v>0</v>
      </c>
      <c r="I902" s="358" t="str">
        <f>IFERROR(F902/#REF!,"-")</f>
        <v>-</v>
      </c>
      <c r="J902" s="339">
        <f t="shared" ref="J902:J905" si="820">+K902+L902</f>
        <v>0</v>
      </c>
      <c r="K902" s="281">
        <f t="shared" ref="K902:K905" si="821">+G902+K842</f>
        <v>0</v>
      </c>
      <c r="L902" s="442">
        <f t="shared" ref="L902:L905" si="822">+H902+L842</f>
        <v>0</v>
      </c>
      <c r="M902" s="343" t="str">
        <f t="shared" ref="M902:M905" si="823">IFERROR(J902/D902,"-")</f>
        <v>-</v>
      </c>
      <c r="N902" s="268" t="str">
        <f t="shared" si="818"/>
        <v>-</v>
      </c>
      <c r="O902" s="519">
        <v>2.3978999999999999</v>
      </c>
      <c r="P902" s="410">
        <f t="shared" ref="P902:P905" si="824">+O902*G902</f>
        <v>0</v>
      </c>
      <c r="Q902" s="459">
        <f t="shared" ref="Q902:Q905" si="825">+O902*K902</f>
        <v>0</v>
      </c>
    </row>
    <row r="903" spans="1:17" ht="23.4" x14ac:dyDescent="0.3">
      <c r="A903" s="277" t="s">
        <v>111</v>
      </c>
      <c r="B903" s="444"/>
      <c r="C903" s="278" t="s">
        <v>273</v>
      </c>
      <c r="D903" s="279"/>
      <c r="E903" s="280"/>
      <c r="F903" s="339">
        <f t="shared" si="819"/>
        <v>0</v>
      </c>
      <c r="G903" s="281">
        <v>0</v>
      </c>
      <c r="H903" s="281">
        <v>0</v>
      </c>
      <c r="I903" s="358" t="str">
        <f>IFERROR(F903/#REF!,"-")</f>
        <v>-</v>
      </c>
      <c r="J903" s="339">
        <f t="shared" si="820"/>
        <v>0</v>
      </c>
      <c r="K903" s="281">
        <f t="shared" si="821"/>
        <v>0</v>
      </c>
      <c r="L903" s="251">
        <f t="shared" si="822"/>
        <v>0</v>
      </c>
      <c r="M903" s="343" t="str">
        <f t="shared" si="823"/>
        <v>-</v>
      </c>
      <c r="N903" s="268" t="str">
        <f>IFERROR(L903/J903,"-")</f>
        <v>-</v>
      </c>
      <c r="O903" s="520">
        <v>4.6797000000000004</v>
      </c>
      <c r="P903" s="410">
        <f t="shared" si="824"/>
        <v>0</v>
      </c>
      <c r="Q903" s="459">
        <f t="shared" si="825"/>
        <v>0</v>
      </c>
    </row>
    <row r="904" spans="1:17" ht="23.4" x14ac:dyDescent="0.3">
      <c r="A904" s="277"/>
      <c r="B904" s="461"/>
      <c r="C904" s="278" t="s">
        <v>372</v>
      </c>
      <c r="D904" s="283"/>
      <c r="E904" s="284"/>
      <c r="F904" s="339">
        <f t="shared" si="819"/>
        <v>56150</v>
      </c>
      <c r="G904" s="285">
        <v>55000</v>
      </c>
      <c r="H904" s="285">
        <v>1150</v>
      </c>
      <c r="I904" s="358" t="str">
        <f>IFERROR(F904/#REF!,"-")</f>
        <v>-</v>
      </c>
      <c r="J904" s="339">
        <f t="shared" si="820"/>
        <v>662187</v>
      </c>
      <c r="K904" s="281">
        <f t="shared" si="821"/>
        <v>641200</v>
      </c>
      <c r="L904" s="286">
        <f t="shared" si="822"/>
        <v>20987</v>
      </c>
      <c r="M904" s="343" t="str">
        <f t="shared" si="823"/>
        <v>-</v>
      </c>
      <c r="N904" s="268">
        <f>IFERROR(L904/J904,"-")</f>
        <v>3.1693464232913061E-2</v>
      </c>
      <c r="O904" s="520">
        <v>12.284700000000001</v>
      </c>
      <c r="P904" s="410">
        <f t="shared" si="824"/>
        <v>675658.5</v>
      </c>
      <c r="Q904" s="459">
        <f t="shared" si="825"/>
        <v>7876949.6400000006</v>
      </c>
    </row>
    <row r="905" spans="1:17" ht="24" thickBot="1" x14ac:dyDescent="0.35">
      <c r="A905" s="277" t="s">
        <v>111</v>
      </c>
      <c r="B905" s="461"/>
      <c r="C905" s="278" t="s">
        <v>497</v>
      </c>
      <c r="D905" s="283"/>
      <c r="E905" s="284"/>
      <c r="F905" s="340">
        <f t="shared" si="819"/>
        <v>0</v>
      </c>
      <c r="G905" s="285">
        <v>0</v>
      </c>
      <c r="H905" s="285">
        <v>0</v>
      </c>
      <c r="I905" s="359" t="str">
        <f>IFERROR(F905/#REF!,"-")</f>
        <v>-</v>
      </c>
      <c r="J905" s="471">
        <f t="shared" si="820"/>
        <v>171868</v>
      </c>
      <c r="K905" s="472">
        <f t="shared" si="821"/>
        <v>168750</v>
      </c>
      <c r="L905" s="258">
        <f t="shared" si="822"/>
        <v>3118</v>
      </c>
      <c r="M905" s="344" t="str">
        <f t="shared" si="823"/>
        <v>-</v>
      </c>
      <c r="N905" s="350">
        <f t="shared" ref="N905:N917" si="826">IFERROR(L905/J905,"-")</f>
        <v>1.8141829776339984E-2</v>
      </c>
      <c r="O905" s="520">
        <v>4.6797000000000004</v>
      </c>
      <c r="P905" s="411">
        <f t="shared" si="824"/>
        <v>0</v>
      </c>
      <c r="Q905" s="460">
        <f t="shared" si="825"/>
        <v>789699.37500000012</v>
      </c>
    </row>
    <row r="906" spans="1:17" ht="24" thickBot="1" x14ac:dyDescent="0.35">
      <c r="A906" s="277" t="s">
        <v>111</v>
      </c>
      <c r="B906" s="906" t="s">
        <v>21</v>
      </c>
      <c r="C906" s="907"/>
      <c r="D906" s="326">
        <f>SUM(D901:D905)</f>
        <v>0</v>
      </c>
      <c r="E906" s="289">
        <v>15000</v>
      </c>
      <c r="F906" s="326">
        <f>SUM(F901:F905)</f>
        <v>149090</v>
      </c>
      <c r="G906" s="327">
        <f>SUM(G901:G905)</f>
        <v>142080</v>
      </c>
      <c r="H906" s="327">
        <f>SUM(H901:H905)</f>
        <v>7010</v>
      </c>
      <c r="I906" s="351" t="str">
        <f>IFERROR(F906/#REF!,"-")</f>
        <v>-</v>
      </c>
      <c r="J906" s="326">
        <f>SUM(J901:J905)</f>
        <v>1826149</v>
      </c>
      <c r="K906" s="327">
        <f>SUM(K901:K905)</f>
        <v>1742070</v>
      </c>
      <c r="L906" s="328">
        <f>SUM(L901:L905)</f>
        <v>84079</v>
      </c>
      <c r="M906" s="345" t="str">
        <f>IFERROR(J906/D906,"-")</f>
        <v>-</v>
      </c>
      <c r="N906" s="351">
        <f t="shared" si="826"/>
        <v>4.6041697583274969E-2</v>
      </c>
      <c r="O906" s="397"/>
      <c r="P906" s="412">
        <f>SUM(P901:P905)</f>
        <v>812104.152</v>
      </c>
      <c r="Q906" s="431">
        <f>SUM(Q901:Q905)</f>
        <v>10127187.843</v>
      </c>
    </row>
    <row r="907" spans="1:17" ht="23.4" x14ac:dyDescent="0.3">
      <c r="A907" s="277" t="s">
        <v>111</v>
      </c>
      <c r="B907" s="445"/>
      <c r="C907" s="272" t="s">
        <v>270</v>
      </c>
      <c r="D907" s="273"/>
      <c r="E907" s="274"/>
      <c r="F907" s="338">
        <f t="shared" ref="F907:F913" si="827">+G907+H907</f>
        <v>16308</v>
      </c>
      <c r="G907" s="275">
        <v>15120</v>
      </c>
      <c r="H907" s="275">
        <v>1188</v>
      </c>
      <c r="I907" s="357" t="str">
        <f>IFERROR(F907/#REF!,"-")</f>
        <v>-</v>
      </c>
      <c r="J907" s="338">
        <f t="shared" ref="J907:J913" si="828">+K907+L907</f>
        <v>61694</v>
      </c>
      <c r="K907" s="275">
        <f t="shared" ref="K907:K913" si="829">+G907+K847</f>
        <v>55794</v>
      </c>
      <c r="L907" s="276">
        <f t="shared" ref="L907:L913" si="830">+H907+L847</f>
        <v>5900</v>
      </c>
      <c r="M907" s="342" t="str">
        <f t="shared" ref="M907:M915" si="831">IFERROR(J907/D907,"-")</f>
        <v>-</v>
      </c>
      <c r="N907" s="352">
        <f t="shared" si="826"/>
        <v>9.5633286867442532E-2</v>
      </c>
      <c r="O907" s="518">
        <v>18.2316</v>
      </c>
      <c r="P907" s="408">
        <f t="shared" ref="P907:P913" si="832">+O907*G907</f>
        <v>275661.79200000002</v>
      </c>
      <c r="Q907" s="457">
        <f t="shared" ref="Q907:Q913" si="833">+O907*K907</f>
        <v>1017213.8904</v>
      </c>
    </row>
    <row r="908" spans="1:17" ht="23.4" x14ac:dyDescent="0.3">
      <c r="A908" s="277" t="s">
        <v>111</v>
      </c>
      <c r="B908" s="444"/>
      <c r="C908" s="278" t="s">
        <v>92</v>
      </c>
      <c r="D908" s="279"/>
      <c r="E908" s="280"/>
      <c r="F908" s="339">
        <f t="shared" si="827"/>
        <v>0</v>
      </c>
      <c r="G908" s="281">
        <v>0</v>
      </c>
      <c r="H908" s="281">
        <v>0</v>
      </c>
      <c r="I908" s="358" t="str">
        <f>IFERROR(F908/#REF!,"-")</f>
        <v>-</v>
      </c>
      <c r="J908" s="339">
        <f t="shared" si="828"/>
        <v>240000</v>
      </c>
      <c r="K908" s="281">
        <f t="shared" si="829"/>
        <v>240000</v>
      </c>
      <c r="L908" s="251">
        <f t="shared" si="830"/>
        <v>0</v>
      </c>
      <c r="M908" s="343" t="str">
        <f t="shared" si="831"/>
        <v>-</v>
      </c>
      <c r="N908" s="264">
        <f t="shared" si="826"/>
        <v>0</v>
      </c>
      <c r="O908" s="519">
        <v>1.2824</v>
      </c>
      <c r="P908" s="410">
        <f t="shared" si="832"/>
        <v>0</v>
      </c>
      <c r="Q908" s="459">
        <f t="shared" si="833"/>
        <v>307776</v>
      </c>
    </row>
    <row r="909" spans="1:17" ht="23.4" x14ac:dyDescent="0.3">
      <c r="A909" s="277" t="s">
        <v>111</v>
      </c>
      <c r="B909" s="444"/>
      <c r="C909" s="278" t="s">
        <v>340</v>
      </c>
      <c r="D909" s="279"/>
      <c r="E909" s="280"/>
      <c r="F909" s="339">
        <f t="shared" si="827"/>
        <v>0</v>
      </c>
      <c r="G909" s="281">
        <v>0</v>
      </c>
      <c r="H909" s="281">
        <v>0</v>
      </c>
      <c r="I909" s="358" t="str">
        <f>IFERROR(F909/#REF!,"-")</f>
        <v>-</v>
      </c>
      <c r="J909" s="339">
        <f t="shared" si="828"/>
        <v>0</v>
      </c>
      <c r="K909" s="281">
        <f t="shared" si="829"/>
        <v>0</v>
      </c>
      <c r="L909" s="251">
        <f t="shared" si="830"/>
        <v>0</v>
      </c>
      <c r="M909" s="343" t="str">
        <f t="shared" si="831"/>
        <v>-</v>
      </c>
      <c r="N909" s="264" t="str">
        <f t="shared" si="826"/>
        <v>-</v>
      </c>
      <c r="O909" s="519">
        <v>5.7342000000000004</v>
      </c>
      <c r="P909" s="410">
        <f t="shared" si="832"/>
        <v>0</v>
      </c>
      <c r="Q909" s="459">
        <f t="shared" si="833"/>
        <v>0</v>
      </c>
    </row>
    <row r="910" spans="1:17" ht="23.4" x14ac:dyDescent="0.3">
      <c r="A910" s="277" t="s">
        <v>111</v>
      </c>
      <c r="B910" s="444"/>
      <c r="C910" s="278" t="s">
        <v>363</v>
      </c>
      <c r="D910" s="279"/>
      <c r="E910" s="280"/>
      <c r="F910" s="339">
        <f t="shared" si="827"/>
        <v>0</v>
      </c>
      <c r="G910" s="281">
        <v>0</v>
      </c>
      <c r="H910" s="281">
        <v>0</v>
      </c>
      <c r="I910" s="358" t="str">
        <f>IFERROR(F910/#REF!,"-")</f>
        <v>-</v>
      </c>
      <c r="J910" s="339">
        <f t="shared" si="828"/>
        <v>0</v>
      </c>
      <c r="K910" s="281">
        <f t="shared" si="829"/>
        <v>0</v>
      </c>
      <c r="L910" s="251">
        <f t="shared" si="830"/>
        <v>0</v>
      </c>
      <c r="M910" s="343" t="str">
        <f t="shared" si="831"/>
        <v>-</v>
      </c>
      <c r="N910" s="264" t="str">
        <f t="shared" si="826"/>
        <v>-</v>
      </c>
      <c r="O910" s="519"/>
      <c r="P910" s="410">
        <f t="shared" si="832"/>
        <v>0</v>
      </c>
      <c r="Q910" s="459">
        <f t="shared" si="833"/>
        <v>0</v>
      </c>
    </row>
    <row r="911" spans="1:17" ht="23.4" x14ac:dyDescent="0.3">
      <c r="A911" s="277" t="s">
        <v>111</v>
      </c>
      <c r="B911" s="444"/>
      <c r="C911" s="278" t="s">
        <v>373</v>
      </c>
      <c r="D911" s="279"/>
      <c r="E911" s="280"/>
      <c r="F911" s="339">
        <f t="shared" si="827"/>
        <v>18082</v>
      </c>
      <c r="G911" s="281">
        <v>18000</v>
      </c>
      <c r="H911" s="281">
        <v>82</v>
      </c>
      <c r="I911" s="358" t="str">
        <f>IFERROR(F911/#REF!,"-")</f>
        <v>-</v>
      </c>
      <c r="J911" s="339">
        <f t="shared" si="828"/>
        <v>371501</v>
      </c>
      <c r="K911" s="281">
        <f t="shared" si="829"/>
        <v>370000</v>
      </c>
      <c r="L911" s="251">
        <f t="shared" si="830"/>
        <v>1501</v>
      </c>
      <c r="M911" s="343" t="str">
        <f t="shared" si="831"/>
        <v>-</v>
      </c>
      <c r="N911" s="264">
        <f t="shared" si="826"/>
        <v>4.0403659747887625E-3</v>
      </c>
      <c r="O911" s="519">
        <v>12.029500000000001</v>
      </c>
      <c r="P911" s="410">
        <f t="shared" si="832"/>
        <v>216531</v>
      </c>
      <c r="Q911" s="459">
        <f t="shared" si="833"/>
        <v>4450915</v>
      </c>
    </row>
    <row r="912" spans="1:17" ht="23.4" x14ac:dyDescent="0.3">
      <c r="A912" s="277" t="s">
        <v>111</v>
      </c>
      <c r="B912" s="444"/>
      <c r="C912" s="278"/>
      <c r="D912" s="279"/>
      <c r="E912" s="280"/>
      <c r="F912" s="339">
        <f t="shared" si="827"/>
        <v>0</v>
      </c>
      <c r="G912" s="281">
        <v>0</v>
      </c>
      <c r="H912" s="281">
        <v>0</v>
      </c>
      <c r="I912" s="358" t="str">
        <f>IFERROR(F912/#REF!,"-")</f>
        <v>-</v>
      </c>
      <c r="J912" s="339">
        <f t="shared" si="828"/>
        <v>0</v>
      </c>
      <c r="K912" s="281">
        <f t="shared" si="829"/>
        <v>0</v>
      </c>
      <c r="L912" s="251">
        <f t="shared" si="830"/>
        <v>0</v>
      </c>
      <c r="M912" s="343" t="str">
        <f t="shared" si="831"/>
        <v>-</v>
      </c>
      <c r="N912" s="264" t="str">
        <f t="shared" si="826"/>
        <v>-</v>
      </c>
      <c r="O912" s="519"/>
      <c r="P912" s="410">
        <f t="shared" si="832"/>
        <v>0</v>
      </c>
      <c r="Q912" s="459">
        <f t="shared" si="833"/>
        <v>0</v>
      </c>
    </row>
    <row r="913" spans="1:17" ht="24" thickBot="1" x14ac:dyDescent="0.35">
      <c r="A913" s="277" t="s">
        <v>111</v>
      </c>
      <c r="B913" s="461"/>
      <c r="C913" s="282"/>
      <c r="D913" s="283">
        <v>0</v>
      </c>
      <c r="E913" s="284"/>
      <c r="F913" s="340">
        <f t="shared" si="827"/>
        <v>0</v>
      </c>
      <c r="G913" s="285">
        <v>0</v>
      </c>
      <c r="H913" s="285">
        <v>0</v>
      </c>
      <c r="I913" s="359" t="str">
        <f>IFERROR(F913/#REF!,"-")</f>
        <v>-</v>
      </c>
      <c r="J913" s="340">
        <f t="shared" si="828"/>
        <v>0</v>
      </c>
      <c r="K913" s="285">
        <f t="shared" si="829"/>
        <v>0</v>
      </c>
      <c r="L913" s="286">
        <f t="shared" si="830"/>
        <v>0</v>
      </c>
      <c r="M913" s="344" t="str">
        <f t="shared" si="831"/>
        <v>-</v>
      </c>
      <c r="N913" s="353" t="str">
        <f t="shared" si="826"/>
        <v>-</v>
      </c>
      <c r="O913" s="520"/>
      <c r="P913" s="411">
        <f t="shared" si="832"/>
        <v>0</v>
      </c>
      <c r="Q913" s="460">
        <f t="shared" si="833"/>
        <v>0</v>
      </c>
    </row>
    <row r="914" spans="1:17" ht="24" thickBot="1" x14ac:dyDescent="0.35">
      <c r="A914" s="277" t="s">
        <v>111</v>
      </c>
      <c r="B914" s="906" t="s">
        <v>25</v>
      </c>
      <c r="C914" s="907"/>
      <c r="D914" s="326">
        <f t="shared" ref="D914" si="834">SUM(D907:D913)</f>
        <v>0</v>
      </c>
      <c r="E914" s="289">
        <v>100000</v>
      </c>
      <c r="F914" s="326">
        <f>SUM(F907:F913)</f>
        <v>34390</v>
      </c>
      <c r="G914" s="327">
        <f t="shared" ref="G914:H914" si="835">SUM(G907:G913)</f>
        <v>33120</v>
      </c>
      <c r="H914" s="327">
        <f t="shared" si="835"/>
        <v>1270</v>
      </c>
      <c r="I914" s="351" t="str">
        <f>IFERROR(F914/#REF!,"-")</f>
        <v>-</v>
      </c>
      <c r="J914" s="326">
        <f t="shared" ref="J914:L914" si="836">SUM(J907:J913)</f>
        <v>673195</v>
      </c>
      <c r="K914" s="327">
        <f t="shared" si="836"/>
        <v>665794</v>
      </c>
      <c r="L914" s="328">
        <f t="shared" si="836"/>
        <v>7401</v>
      </c>
      <c r="M914" s="345" t="str">
        <f t="shared" si="831"/>
        <v>-</v>
      </c>
      <c r="N914" s="351">
        <f t="shared" si="826"/>
        <v>1.099384279443549E-2</v>
      </c>
      <c r="O914" s="397"/>
      <c r="P914" s="412">
        <f t="shared" ref="P914:Q914" si="837">SUM(P907:P913)</f>
        <v>492192.79200000002</v>
      </c>
      <c r="Q914" s="431">
        <f t="shared" si="837"/>
        <v>5775904.8903999999</v>
      </c>
    </row>
    <row r="915" spans="1:17" ht="24" thickBot="1" x14ac:dyDescent="0.35">
      <c r="A915" s="277" t="s">
        <v>111</v>
      </c>
      <c r="B915" s="985" t="s">
        <v>181</v>
      </c>
      <c r="C915" s="986"/>
      <c r="D915" s="332">
        <f>+D906+D914</f>
        <v>0</v>
      </c>
      <c r="E915" s="333">
        <f t="shared" ref="E915:H915" si="838">+E906+E914</f>
        <v>115000</v>
      </c>
      <c r="F915" s="332">
        <f t="shared" si="838"/>
        <v>183480</v>
      </c>
      <c r="G915" s="330">
        <f t="shared" si="838"/>
        <v>175200</v>
      </c>
      <c r="H915" s="330">
        <f t="shared" si="838"/>
        <v>8280</v>
      </c>
      <c r="I915" s="355" t="str">
        <f>IFERROR(F915/#REF!,"-")</f>
        <v>-</v>
      </c>
      <c r="J915" s="332">
        <f t="shared" ref="J915:L915" si="839">+J906+J914</f>
        <v>2499344</v>
      </c>
      <c r="K915" s="330">
        <f t="shared" si="839"/>
        <v>2407864</v>
      </c>
      <c r="L915" s="331">
        <f t="shared" si="839"/>
        <v>91480</v>
      </c>
      <c r="M915" s="347" t="str">
        <f t="shared" si="831"/>
        <v>-</v>
      </c>
      <c r="N915" s="355">
        <f t="shared" si="826"/>
        <v>3.6601604260958077E-2</v>
      </c>
      <c r="O915" s="400"/>
      <c r="P915" s="416">
        <f t="shared" ref="P915:Q915" si="840">+P906+P914</f>
        <v>1304296.9440000001</v>
      </c>
      <c r="Q915" s="434">
        <f t="shared" si="840"/>
        <v>15903092.7334</v>
      </c>
    </row>
    <row r="916" spans="1:17" ht="23.4" x14ac:dyDescent="0.3">
      <c r="A916" s="244" t="s">
        <v>109</v>
      </c>
      <c r="B916" s="599"/>
      <c r="C916" s="600" t="s">
        <v>314</v>
      </c>
      <c r="D916" s="540"/>
      <c r="E916" s="470"/>
      <c r="F916" s="468">
        <f>+G916+H916</f>
        <v>0</v>
      </c>
      <c r="G916" s="469">
        <v>0</v>
      </c>
      <c r="H916" s="469">
        <v>0</v>
      </c>
      <c r="I916" s="544" t="str">
        <f>IFERROR(F916/#REF!,"-")</f>
        <v>-</v>
      </c>
      <c r="J916" s="468">
        <f>+K916+L916</f>
        <v>0</v>
      </c>
      <c r="K916" s="469">
        <f t="shared" ref="K916:K922" si="841">+G916+K856</f>
        <v>0</v>
      </c>
      <c r="L916" s="247">
        <f t="shared" ref="L916:L922" si="842">+H916+L856</f>
        <v>0</v>
      </c>
      <c r="M916" s="604" t="str">
        <f>IFERROR(J916/D916,"-")</f>
        <v>-</v>
      </c>
      <c r="N916" s="546" t="str">
        <f t="shared" si="826"/>
        <v>-</v>
      </c>
      <c r="O916" s="648">
        <v>4.8285999999999998</v>
      </c>
      <c r="P916" s="547">
        <f t="shared" ref="P916:P922" si="843">+O916*G916</f>
        <v>0</v>
      </c>
      <c r="Q916" s="548">
        <f>+O916*K916</f>
        <v>0</v>
      </c>
    </row>
    <row r="917" spans="1:17" ht="23.4" x14ac:dyDescent="0.3">
      <c r="A917" s="248" t="s">
        <v>109</v>
      </c>
      <c r="B917" s="601"/>
      <c r="C917" s="278" t="s">
        <v>315</v>
      </c>
      <c r="D917" s="279"/>
      <c r="E917" s="442"/>
      <c r="F917" s="339">
        <f t="shared" ref="F917:F922" si="844">+G917+H917</f>
        <v>0</v>
      </c>
      <c r="G917" s="281">
        <v>0</v>
      </c>
      <c r="H917" s="281">
        <v>0</v>
      </c>
      <c r="I917" s="358" t="str">
        <f>IFERROR(F917/#REF!,"-")</f>
        <v>-</v>
      </c>
      <c r="J917" s="339">
        <f t="shared" ref="J917:J922" si="845">+K917+L917</f>
        <v>0</v>
      </c>
      <c r="K917" s="281">
        <f t="shared" si="841"/>
        <v>0</v>
      </c>
      <c r="L917" s="251">
        <f t="shared" si="842"/>
        <v>0</v>
      </c>
      <c r="M917" s="343" t="str">
        <f t="shared" ref="M917:M919" si="846">IFERROR(J917/D917,"-")</f>
        <v>-</v>
      </c>
      <c r="N917" s="268" t="str">
        <f t="shared" si="826"/>
        <v>-</v>
      </c>
      <c r="O917" s="649">
        <v>1.4086000000000001</v>
      </c>
      <c r="P917" s="410">
        <f t="shared" si="843"/>
        <v>0</v>
      </c>
      <c r="Q917" s="459">
        <f t="shared" ref="Q917:Q922" si="847">+O917*K917</f>
        <v>0</v>
      </c>
    </row>
    <row r="918" spans="1:17" ht="23.4" x14ac:dyDescent="0.3">
      <c r="A918" s="248" t="s">
        <v>109</v>
      </c>
      <c r="B918" s="601"/>
      <c r="C918" s="278" t="s">
        <v>367</v>
      </c>
      <c r="D918" s="279"/>
      <c r="E918" s="442"/>
      <c r="F918" s="339">
        <f t="shared" si="844"/>
        <v>0</v>
      </c>
      <c r="G918" s="281">
        <v>0</v>
      </c>
      <c r="H918" s="281">
        <v>0</v>
      </c>
      <c r="I918" s="358" t="str">
        <f>IFERROR(F918/#REF!,"-")</f>
        <v>-</v>
      </c>
      <c r="J918" s="339">
        <f t="shared" si="845"/>
        <v>573613</v>
      </c>
      <c r="K918" s="281">
        <f t="shared" si="841"/>
        <v>566000</v>
      </c>
      <c r="L918" s="251">
        <f t="shared" si="842"/>
        <v>7613</v>
      </c>
      <c r="M918" s="343" t="str">
        <f t="shared" si="846"/>
        <v>-</v>
      </c>
      <c r="N918" s="268">
        <f>IFERROR(L918/J918,"-")</f>
        <v>1.3272014406925924E-2</v>
      </c>
      <c r="O918" s="649">
        <v>2.2141000000000002</v>
      </c>
      <c r="P918" s="410">
        <f t="shared" si="843"/>
        <v>0</v>
      </c>
      <c r="Q918" s="459">
        <f t="shared" si="847"/>
        <v>1253180.6000000001</v>
      </c>
    </row>
    <row r="919" spans="1:17" ht="23.4" x14ac:dyDescent="0.3">
      <c r="A919" s="248" t="s">
        <v>109</v>
      </c>
      <c r="B919" s="602"/>
      <c r="C919" s="278" t="s">
        <v>436</v>
      </c>
      <c r="D919" s="283"/>
      <c r="E919" s="541"/>
      <c r="F919" s="340">
        <f t="shared" si="844"/>
        <v>0</v>
      </c>
      <c r="G919" s="285">
        <v>0</v>
      </c>
      <c r="H919" s="285">
        <v>0</v>
      </c>
      <c r="I919" s="359" t="str">
        <f>IFERROR(F919/#REF!,"-")</f>
        <v>-</v>
      </c>
      <c r="J919" s="339">
        <f t="shared" si="845"/>
        <v>40882</v>
      </c>
      <c r="K919" s="285">
        <f t="shared" si="841"/>
        <v>40000</v>
      </c>
      <c r="L919" s="286">
        <f t="shared" si="842"/>
        <v>882</v>
      </c>
      <c r="M919" s="344" t="str">
        <f t="shared" si="846"/>
        <v>-</v>
      </c>
      <c r="N919" s="350">
        <f t="shared" ref="N919:N926" si="848">IFERROR(L919/J919,"-")</f>
        <v>2.157428697226163E-2</v>
      </c>
      <c r="O919" s="650">
        <v>2.4565999999999999</v>
      </c>
      <c r="P919" s="411">
        <f t="shared" si="843"/>
        <v>0</v>
      </c>
      <c r="Q919" s="460">
        <f t="shared" si="847"/>
        <v>98264</v>
      </c>
    </row>
    <row r="920" spans="1:17" ht="23.4" x14ac:dyDescent="0.3">
      <c r="A920" s="248" t="s">
        <v>109</v>
      </c>
      <c r="B920" s="446"/>
      <c r="C920" s="647" t="s">
        <v>444</v>
      </c>
      <c r="D920" s="521"/>
      <c r="E920" s="542"/>
      <c r="F920" s="339">
        <f t="shared" si="844"/>
        <v>0</v>
      </c>
      <c r="G920" s="561">
        <v>0</v>
      </c>
      <c r="H920" s="561">
        <v>0</v>
      </c>
      <c r="I920" s="358" t="str">
        <f>IFERROR(F920/#REF!,"-")</f>
        <v>-</v>
      </c>
      <c r="J920" s="339">
        <f t="shared" si="845"/>
        <v>16280</v>
      </c>
      <c r="K920" s="285">
        <f t="shared" si="841"/>
        <v>15000</v>
      </c>
      <c r="L920" s="286">
        <f t="shared" si="842"/>
        <v>1280</v>
      </c>
      <c r="M920" s="522"/>
      <c r="N920" s="268">
        <f t="shared" si="848"/>
        <v>7.8624078624078622E-2</v>
      </c>
      <c r="O920" s="553">
        <v>4.8285999999999998</v>
      </c>
      <c r="P920" s="410">
        <f t="shared" si="843"/>
        <v>0</v>
      </c>
      <c r="Q920" s="459">
        <f t="shared" si="847"/>
        <v>72429</v>
      </c>
    </row>
    <row r="921" spans="1:17" ht="23.4" x14ac:dyDescent="0.3">
      <c r="A921" s="248" t="s">
        <v>109</v>
      </c>
      <c r="B921" s="603"/>
      <c r="C921" s="647" t="s">
        <v>439</v>
      </c>
      <c r="D921" s="273"/>
      <c r="E921" s="441"/>
      <c r="F921" s="338">
        <f t="shared" si="844"/>
        <v>28745</v>
      </c>
      <c r="G921" s="275">
        <v>27750</v>
      </c>
      <c r="H921" s="275">
        <v>995</v>
      </c>
      <c r="I921" s="357" t="str">
        <f>IFERROR(F921/#REF!,"-")</f>
        <v>-</v>
      </c>
      <c r="J921" s="339">
        <f t="shared" si="845"/>
        <v>273737</v>
      </c>
      <c r="K921" s="285">
        <f t="shared" si="841"/>
        <v>264250</v>
      </c>
      <c r="L921" s="286">
        <f t="shared" si="842"/>
        <v>9487</v>
      </c>
      <c r="M921" s="342" t="str">
        <f t="shared" ref="M921:M922" si="849">IFERROR(J921/D921,"-")</f>
        <v>-</v>
      </c>
      <c r="N921" s="352">
        <f t="shared" si="848"/>
        <v>3.4657353591220769E-2</v>
      </c>
      <c r="O921" s="518">
        <v>4.1712999999999996</v>
      </c>
      <c r="P921" s="408">
        <f t="shared" si="843"/>
        <v>115753.57499999998</v>
      </c>
      <c r="Q921" s="457">
        <f t="shared" si="847"/>
        <v>1102266.0249999999</v>
      </c>
    </row>
    <row r="922" spans="1:17" ht="24" thickBot="1" x14ac:dyDescent="0.35">
      <c r="A922" s="248" t="s">
        <v>109</v>
      </c>
      <c r="B922" s="601"/>
      <c r="C922" s="278"/>
      <c r="D922" s="279"/>
      <c r="E922" s="442"/>
      <c r="F922" s="339">
        <f t="shared" si="844"/>
        <v>0</v>
      </c>
      <c r="G922" s="281"/>
      <c r="H922" s="281"/>
      <c r="I922" s="358" t="str">
        <f>IFERROR(F922/#REF!,"-")</f>
        <v>-</v>
      </c>
      <c r="J922" s="339">
        <f t="shared" si="845"/>
        <v>0</v>
      </c>
      <c r="K922" s="281">
        <f t="shared" si="841"/>
        <v>0</v>
      </c>
      <c r="L922" s="251">
        <f t="shared" si="842"/>
        <v>0</v>
      </c>
      <c r="M922" s="343" t="str">
        <f t="shared" si="849"/>
        <v>-</v>
      </c>
      <c r="N922" s="264" t="str">
        <f t="shared" si="848"/>
        <v>-</v>
      </c>
      <c r="O922" s="458"/>
      <c r="P922" s="410">
        <f t="shared" si="843"/>
        <v>0</v>
      </c>
      <c r="Q922" s="459">
        <f t="shared" si="847"/>
        <v>0</v>
      </c>
    </row>
    <row r="923" spans="1:17" ht="24" thickBot="1" x14ac:dyDescent="0.35">
      <c r="A923" s="277" t="s">
        <v>109</v>
      </c>
      <c r="B923" s="987" t="s">
        <v>21</v>
      </c>
      <c r="C923" s="925"/>
      <c r="D923" s="326">
        <v>0</v>
      </c>
      <c r="E923" s="289">
        <v>15000</v>
      </c>
      <c r="F923" s="326">
        <f>SUM(F916:F922)</f>
        <v>28745</v>
      </c>
      <c r="G923" s="327">
        <f t="shared" ref="G923:H923" si="850">SUM(G916:G922)</f>
        <v>27750</v>
      </c>
      <c r="H923" s="327">
        <f t="shared" si="850"/>
        <v>995</v>
      </c>
      <c r="I923" s="351" t="str">
        <f>IFERROR(F923/#REF!,"-")</f>
        <v>-</v>
      </c>
      <c r="J923" s="326">
        <f t="shared" ref="J923" si="851">SUM(J916:J922)</f>
        <v>904512</v>
      </c>
      <c r="K923" s="327">
        <f>SUM(K916:K922)</f>
        <v>885250</v>
      </c>
      <c r="L923" s="327">
        <f>SUM(L916:L922)</f>
        <v>19262</v>
      </c>
      <c r="M923" s="345" t="str">
        <f>IFERROR(J923/D923,"-")</f>
        <v>-</v>
      </c>
      <c r="N923" s="351">
        <f t="shared" si="848"/>
        <v>2.1295460977853252E-2</v>
      </c>
      <c r="O923" s="397"/>
      <c r="P923" s="412">
        <f>SUM(P916:P922)</f>
        <v>115753.57499999998</v>
      </c>
      <c r="Q923" s="431">
        <f>SUM(Q916:Q922)</f>
        <v>2526139.625</v>
      </c>
    </row>
    <row r="924" spans="1:17" ht="24" thickBot="1" x14ac:dyDescent="0.35">
      <c r="A924" s="277" t="s">
        <v>109</v>
      </c>
      <c r="B924" s="988" t="s">
        <v>275</v>
      </c>
      <c r="C924" s="989"/>
      <c r="D924" s="524">
        <f>+D920+D923</f>
        <v>0</v>
      </c>
      <c r="E924" s="538">
        <f>+E920+E923</f>
        <v>15000</v>
      </c>
      <c r="F924" s="524">
        <f>+F920+F923</f>
        <v>28745</v>
      </c>
      <c r="G924" s="526">
        <f>+G920+G923</f>
        <v>27750</v>
      </c>
      <c r="H924" s="526">
        <f>+H920+H923</f>
        <v>995</v>
      </c>
      <c r="I924" s="527" t="str">
        <f>IFERROR(F924/#REF!,"-")</f>
        <v>-</v>
      </c>
      <c r="J924" s="524">
        <f>+J920+J923</f>
        <v>920792</v>
      </c>
      <c r="K924" s="526">
        <f>+K923</f>
        <v>885250</v>
      </c>
      <c r="L924" s="526">
        <f>+L923</f>
        <v>19262</v>
      </c>
      <c r="M924" s="528" t="str">
        <f t="shared" ref="M924" si="852">IFERROR(J924/D924,"-")</f>
        <v>-</v>
      </c>
      <c r="N924" s="527">
        <f t="shared" si="848"/>
        <v>2.091894803603854E-2</v>
      </c>
      <c r="O924" s="529"/>
      <c r="P924" s="530">
        <f>+P923</f>
        <v>115753.57499999998</v>
      </c>
      <c r="Q924" s="530">
        <f>+Q923</f>
        <v>2526139.625</v>
      </c>
    </row>
    <row r="925" spans="1:17" ht="23.4" x14ac:dyDescent="0.4">
      <c r="A925" s="244" t="s">
        <v>109</v>
      </c>
      <c r="B925" s="979" t="s">
        <v>277</v>
      </c>
      <c r="C925" s="555" t="s">
        <v>74</v>
      </c>
      <c r="D925" s="540"/>
      <c r="E925" s="470"/>
      <c r="F925" s="468">
        <f>+G925+H925</f>
        <v>2760</v>
      </c>
      <c r="G925" s="469">
        <v>2750</v>
      </c>
      <c r="H925" s="469">
        <v>10</v>
      </c>
      <c r="I925" s="544" t="str">
        <f>IFERROR(F925/#REF!,"-")</f>
        <v>-</v>
      </c>
      <c r="J925" s="468">
        <f>+K925+L925</f>
        <v>61721</v>
      </c>
      <c r="K925" s="469">
        <f t="shared" ref="K925:K954" si="853">+G925+K865</f>
        <v>61660</v>
      </c>
      <c r="L925" s="246">
        <f t="shared" ref="L925:L954" si="854">+H925+L865</f>
        <v>61</v>
      </c>
      <c r="M925" s="263" t="str">
        <f>IFERROR(J925/D925,"-")</f>
        <v>-</v>
      </c>
      <c r="N925" s="546">
        <f t="shared" si="848"/>
        <v>9.8831840054438517E-4</v>
      </c>
      <c r="O925" s="551">
        <v>32.946300000000001</v>
      </c>
      <c r="P925" s="547">
        <f t="shared" ref="P925:P954" si="855">+O925*G925</f>
        <v>90602.324999999997</v>
      </c>
      <c r="Q925" s="548">
        <f t="shared" ref="Q925:Q954" si="856">+O925*K925</f>
        <v>2031468.858</v>
      </c>
    </row>
    <row r="926" spans="1:17" ht="23.4" x14ac:dyDescent="0.4">
      <c r="A926" s="248" t="s">
        <v>109</v>
      </c>
      <c r="B926" s="980"/>
      <c r="C926" s="556" t="s">
        <v>75</v>
      </c>
      <c r="D926" s="523"/>
      <c r="E926" s="442"/>
      <c r="F926" s="339">
        <f t="shared" ref="F926:F954" si="857">+G926+H926</f>
        <v>0</v>
      </c>
      <c r="G926" s="281">
        <v>0</v>
      </c>
      <c r="H926" s="281">
        <v>0</v>
      </c>
      <c r="I926" s="358" t="str">
        <f>IFERROR(F926/#REF!,"-")</f>
        <v>-</v>
      </c>
      <c r="J926" s="339">
        <f t="shared" ref="J926:J954" si="858">+K926+L926</f>
        <v>0</v>
      </c>
      <c r="K926" s="281">
        <f t="shared" si="853"/>
        <v>0</v>
      </c>
      <c r="L926" s="250">
        <f t="shared" si="854"/>
        <v>0</v>
      </c>
      <c r="M926" s="265" t="str">
        <f t="shared" ref="M926:M928" si="859">IFERROR(J926/D926,"-")</f>
        <v>-</v>
      </c>
      <c r="N926" s="268" t="str">
        <f t="shared" si="848"/>
        <v>-</v>
      </c>
      <c r="O926" s="519">
        <v>35.398400000000002</v>
      </c>
      <c r="P926" s="410">
        <f t="shared" si="855"/>
        <v>0</v>
      </c>
      <c r="Q926" s="459">
        <f t="shared" si="856"/>
        <v>0</v>
      </c>
    </row>
    <row r="927" spans="1:17" ht="24" thickBot="1" x14ac:dyDescent="0.45">
      <c r="A927" s="248" t="s">
        <v>109</v>
      </c>
      <c r="B927" s="980"/>
      <c r="C927" s="556" t="s">
        <v>76</v>
      </c>
      <c r="D927" s="279"/>
      <c r="E927" s="442"/>
      <c r="F927" s="339">
        <f t="shared" si="857"/>
        <v>0</v>
      </c>
      <c r="G927" s="281">
        <v>0</v>
      </c>
      <c r="H927" s="281">
        <v>0</v>
      </c>
      <c r="I927" s="358" t="str">
        <f>IFERROR(F927/#REF!,"-")</f>
        <v>-</v>
      </c>
      <c r="J927" s="339">
        <f t="shared" si="858"/>
        <v>10000</v>
      </c>
      <c r="K927" s="281">
        <f t="shared" si="853"/>
        <v>10000</v>
      </c>
      <c r="L927" s="250">
        <f t="shared" si="854"/>
        <v>0</v>
      </c>
      <c r="M927" s="265" t="str">
        <f t="shared" si="859"/>
        <v>-</v>
      </c>
      <c r="N927" s="268">
        <f>IFERROR(L927/J927,"-")</f>
        <v>0</v>
      </c>
      <c r="O927" s="519">
        <v>32.946300000000001</v>
      </c>
      <c r="P927" s="410">
        <f t="shared" si="855"/>
        <v>0</v>
      </c>
      <c r="Q927" s="459">
        <f t="shared" si="856"/>
        <v>329463</v>
      </c>
    </row>
    <row r="928" spans="1:17" ht="23.4" x14ac:dyDescent="0.4">
      <c r="A928" s="248" t="s">
        <v>109</v>
      </c>
      <c r="B928" s="979" t="s">
        <v>278</v>
      </c>
      <c r="C928" s="558" t="s">
        <v>78</v>
      </c>
      <c r="D928" s="279"/>
      <c r="E928" s="541"/>
      <c r="F928" s="340">
        <f t="shared" si="857"/>
        <v>0</v>
      </c>
      <c r="G928" s="281">
        <v>0</v>
      </c>
      <c r="H928" s="281">
        <v>0</v>
      </c>
      <c r="I928" s="358" t="str">
        <f>IFERROR(F928/#REF!,"-")</f>
        <v>-</v>
      </c>
      <c r="J928" s="339">
        <f t="shared" si="858"/>
        <v>9803</v>
      </c>
      <c r="K928" s="281">
        <f t="shared" si="853"/>
        <v>8225</v>
      </c>
      <c r="L928" s="250">
        <f t="shared" si="854"/>
        <v>1578</v>
      </c>
      <c r="M928" s="265" t="str">
        <f t="shared" si="859"/>
        <v>-</v>
      </c>
      <c r="N928" s="268">
        <f t="shared" ref="N928" si="860">IFERROR(L928/J928,"-")</f>
        <v>0.16097113128634091</v>
      </c>
      <c r="O928" s="519">
        <v>55.4758</v>
      </c>
      <c r="P928" s="410">
        <f t="shared" si="855"/>
        <v>0</v>
      </c>
      <c r="Q928" s="459">
        <f t="shared" si="856"/>
        <v>456288.45500000002</v>
      </c>
    </row>
    <row r="929" spans="1:17" ht="23.4" x14ac:dyDescent="0.4">
      <c r="A929" s="248" t="s">
        <v>109</v>
      </c>
      <c r="B929" s="980"/>
      <c r="C929" s="558" t="s">
        <v>75</v>
      </c>
      <c r="D929" s="279"/>
      <c r="E929" s="542"/>
      <c r="F929" s="340">
        <f t="shared" si="857"/>
        <v>0</v>
      </c>
      <c r="G929" s="281">
        <v>0</v>
      </c>
      <c r="H929" s="281">
        <v>0</v>
      </c>
      <c r="I929" s="358" t="str">
        <f>IFERROR(F929/#REF!,"-")</f>
        <v>-</v>
      </c>
      <c r="J929" s="339">
        <f t="shared" si="858"/>
        <v>5350</v>
      </c>
      <c r="K929" s="281">
        <f t="shared" si="853"/>
        <v>4150</v>
      </c>
      <c r="L929" s="250">
        <f t="shared" si="854"/>
        <v>1200</v>
      </c>
      <c r="M929" s="522"/>
      <c r="N929" s="378"/>
      <c r="O929" s="553">
        <v>58.836300000000001</v>
      </c>
      <c r="P929" s="410">
        <f t="shared" si="855"/>
        <v>0</v>
      </c>
      <c r="Q929" s="459">
        <f t="shared" si="856"/>
        <v>244170.64500000002</v>
      </c>
    </row>
    <row r="930" spans="1:17" ht="23.4" x14ac:dyDescent="0.4">
      <c r="A930" s="248" t="s">
        <v>109</v>
      </c>
      <c r="B930" s="980"/>
      <c r="C930" s="558" t="s">
        <v>435</v>
      </c>
      <c r="D930" s="279"/>
      <c r="E930" s="441"/>
      <c r="F930" s="340">
        <f t="shared" si="857"/>
        <v>0</v>
      </c>
      <c r="G930" s="281">
        <v>0</v>
      </c>
      <c r="H930" s="281">
        <v>0</v>
      </c>
      <c r="I930" s="358" t="str">
        <f>IFERROR(F930/#REF!,"-")</f>
        <v>-</v>
      </c>
      <c r="J930" s="339">
        <f t="shared" si="858"/>
        <v>17944</v>
      </c>
      <c r="K930" s="281">
        <f t="shared" si="853"/>
        <v>15500</v>
      </c>
      <c r="L930" s="250">
        <f t="shared" si="854"/>
        <v>2444</v>
      </c>
      <c r="M930" s="265" t="str">
        <f t="shared" ref="M930" si="861">IFERROR(J930/D930,"-")</f>
        <v>-</v>
      </c>
      <c r="N930" s="264">
        <f t="shared" ref="N930" si="862">IFERROR(L930/J930,"-")</f>
        <v>0.13620151582701739</v>
      </c>
      <c r="O930" s="519">
        <v>55.4758</v>
      </c>
      <c r="P930" s="410">
        <f t="shared" si="855"/>
        <v>0</v>
      </c>
      <c r="Q930" s="459">
        <f t="shared" si="856"/>
        <v>859874.9</v>
      </c>
    </row>
    <row r="931" spans="1:17" ht="24" thickBot="1" x14ac:dyDescent="0.45">
      <c r="A931" s="248"/>
      <c r="B931" s="981"/>
      <c r="C931" s="558" t="s">
        <v>471</v>
      </c>
      <c r="D931" s="279"/>
      <c r="E931" s="441"/>
      <c r="F931" s="340">
        <f t="shared" si="857"/>
        <v>1980</v>
      </c>
      <c r="G931" s="281">
        <v>1800</v>
      </c>
      <c r="H931" s="281">
        <v>180</v>
      </c>
      <c r="I931" s="358"/>
      <c r="J931" s="339">
        <f t="shared" si="858"/>
        <v>8901</v>
      </c>
      <c r="K931" s="281">
        <f t="shared" si="853"/>
        <v>8180</v>
      </c>
      <c r="L931" s="250">
        <f t="shared" si="854"/>
        <v>721</v>
      </c>
      <c r="M931" s="265"/>
      <c r="N931" s="264">
        <f>IFERROR(L931/J931,"-")</f>
        <v>8.1002134591618924E-2</v>
      </c>
      <c r="O931" s="519">
        <v>55.4758</v>
      </c>
      <c r="P931" s="410">
        <f t="shared" si="855"/>
        <v>99856.44</v>
      </c>
      <c r="Q931" s="459">
        <f t="shared" si="856"/>
        <v>453792.04399999999</v>
      </c>
    </row>
    <row r="932" spans="1:17" ht="23.4" x14ac:dyDescent="0.4">
      <c r="A932" s="248" t="s">
        <v>109</v>
      </c>
      <c r="B932" s="979" t="s">
        <v>79</v>
      </c>
      <c r="C932" s="556" t="s">
        <v>80</v>
      </c>
      <c r="D932" s="279"/>
      <c r="E932" s="442"/>
      <c r="F932" s="339">
        <f t="shared" si="857"/>
        <v>411</v>
      </c>
      <c r="G932" s="281">
        <v>400</v>
      </c>
      <c r="H932" s="281">
        <v>11</v>
      </c>
      <c r="I932" s="358" t="str">
        <f>IFERROR(F932/#REF!,"-")</f>
        <v>-</v>
      </c>
      <c r="J932" s="339">
        <f t="shared" si="858"/>
        <v>1626</v>
      </c>
      <c r="K932" s="281">
        <f t="shared" si="853"/>
        <v>1600</v>
      </c>
      <c r="L932" s="250">
        <f t="shared" si="854"/>
        <v>26</v>
      </c>
      <c r="M932" s="265" t="str">
        <f t="shared" ref="M932:M957" si="863">IFERROR(J932/D932,"-")</f>
        <v>-</v>
      </c>
      <c r="N932" s="264">
        <f t="shared" ref="N932:N956" si="864">IFERROR(L932/J932,"-")</f>
        <v>1.5990159901599015E-2</v>
      </c>
      <c r="O932" s="519">
        <v>25.687200000000001</v>
      </c>
      <c r="P932" s="410">
        <f t="shared" si="855"/>
        <v>10274.880000000001</v>
      </c>
      <c r="Q932" s="459">
        <f t="shared" si="856"/>
        <v>41099.520000000004</v>
      </c>
    </row>
    <row r="933" spans="1:17" ht="24" thickBot="1" x14ac:dyDescent="0.45">
      <c r="A933" s="248" t="s">
        <v>109</v>
      </c>
      <c r="B933" s="981"/>
      <c r="C933" s="556" t="s">
        <v>125</v>
      </c>
      <c r="D933" s="279"/>
      <c r="E933" s="442"/>
      <c r="F933" s="339">
        <f t="shared" si="857"/>
        <v>0</v>
      </c>
      <c r="G933" s="281">
        <v>0</v>
      </c>
      <c r="H933" s="281">
        <v>0</v>
      </c>
      <c r="I933" s="358" t="str">
        <f>IFERROR(F933/#REF!,"-")</f>
        <v>-</v>
      </c>
      <c r="J933" s="339">
        <f t="shared" si="858"/>
        <v>0</v>
      </c>
      <c r="K933" s="281">
        <f t="shared" si="853"/>
        <v>0</v>
      </c>
      <c r="L933" s="250">
        <f t="shared" si="854"/>
        <v>0</v>
      </c>
      <c r="M933" s="265" t="str">
        <f t="shared" si="863"/>
        <v>-</v>
      </c>
      <c r="N933" s="264" t="str">
        <f t="shared" si="864"/>
        <v>-</v>
      </c>
      <c r="O933" s="519">
        <v>25.033899999999999</v>
      </c>
      <c r="P933" s="410">
        <f t="shared" si="855"/>
        <v>0</v>
      </c>
      <c r="Q933" s="459">
        <f t="shared" si="856"/>
        <v>0</v>
      </c>
    </row>
    <row r="934" spans="1:17" ht="23.4" x14ac:dyDescent="0.4">
      <c r="A934" s="248"/>
      <c r="B934" s="979" t="s">
        <v>81</v>
      </c>
      <c r="C934" s="556" t="s">
        <v>82</v>
      </c>
      <c r="D934" s="279"/>
      <c r="E934" s="442"/>
      <c r="F934" s="339">
        <f t="shared" si="857"/>
        <v>0</v>
      </c>
      <c r="G934" s="281">
        <v>0</v>
      </c>
      <c r="H934" s="281">
        <v>0</v>
      </c>
      <c r="I934" s="358" t="str">
        <f>IFERROR(F934/#REF!,"-")</f>
        <v>-</v>
      </c>
      <c r="J934" s="339">
        <f t="shared" si="858"/>
        <v>8872</v>
      </c>
      <c r="K934" s="281">
        <f t="shared" si="853"/>
        <v>8840</v>
      </c>
      <c r="L934" s="250">
        <f t="shared" si="854"/>
        <v>32</v>
      </c>
      <c r="M934" s="265" t="str">
        <f t="shared" si="863"/>
        <v>-</v>
      </c>
      <c r="N934" s="264">
        <f t="shared" si="864"/>
        <v>3.6068530207394047E-3</v>
      </c>
      <c r="O934" s="519">
        <v>41.992699999999999</v>
      </c>
      <c r="P934" s="410">
        <f t="shared" si="855"/>
        <v>0</v>
      </c>
      <c r="Q934" s="459">
        <f t="shared" si="856"/>
        <v>371215.46799999999</v>
      </c>
    </row>
    <row r="935" spans="1:17" ht="24" thickBot="1" x14ac:dyDescent="0.45">
      <c r="A935" s="248"/>
      <c r="B935" s="980"/>
      <c r="C935" s="556" t="s">
        <v>364</v>
      </c>
      <c r="D935" s="279"/>
      <c r="E935" s="442"/>
      <c r="F935" s="339">
        <f t="shared" si="857"/>
        <v>0</v>
      </c>
      <c r="G935" s="281">
        <v>0</v>
      </c>
      <c r="H935" s="281">
        <v>0</v>
      </c>
      <c r="I935" s="358" t="str">
        <f>IFERROR(F935/#REF!,"-")</f>
        <v>-</v>
      </c>
      <c r="J935" s="339">
        <f t="shared" si="858"/>
        <v>0</v>
      </c>
      <c r="K935" s="281">
        <f t="shared" si="853"/>
        <v>0</v>
      </c>
      <c r="L935" s="250">
        <f t="shared" si="854"/>
        <v>0</v>
      </c>
      <c r="M935" s="265" t="str">
        <f t="shared" si="863"/>
        <v>-</v>
      </c>
      <c r="N935" s="264" t="str">
        <f t="shared" si="864"/>
        <v>-</v>
      </c>
      <c r="O935" s="519">
        <v>41.992699999999999</v>
      </c>
      <c r="P935" s="410">
        <f t="shared" si="855"/>
        <v>0</v>
      </c>
      <c r="Q935" s="459">
        <f t="shared" si="856"/>
        <v>0</v>
      </c>
    </row>
    <row r="936" spans="1:17" ht="24" thickBot="1" x14ac:dyDescent="0.45">
      <c r="A936" s="248"/>
      <c r="B936" s="559" t="s">
        <v>83</v>
      </c>
      <c r="C936" s="556" t="s">
        <v>84</v>
      </c>
      <c r="D936" s="279"/>
      <c r="E936" s="442"/>
      <c r="F936" s="339">
        <f t="shared" si="857"/>
        <v>451</v>
      </c>
      <c r="G936" s="281">
        <v>400</v>
      </c>
      <c r="H936" s="281">
        <v>51</v>
      </c>
      <c r="I936" s="358" t="str">
        <f>IFERROR(F936/#REF!,"-")</f>
        <v>-</v>
      </c>
      <c r="J936" s="339">
        <f t="shared" si="858"/>
        <v>2171</v>
      </c>
      <c r="K936" s="281">
        <f t="shared" si="853"/>
        <v>2000</v>
      </c>
      <c r="L936" s="250">
        <f t="shared" si="854"/>
        <v>171</v>
      </c>
      <c r="M936" s="265" t="str">
        <f t="shared" si="863"/>
        <v>-</v>
      </c>
      <c r="N936" s="264">
        <f t="shared" si="864"/>
        <v>7.8765545831414097E-2</v>
      </c>
      <c r="O936" s="519">
        <v>4.3535000000000004</v>
      </c>
      <c r="P936" s="410">
        <f t="shared" si="855"/>
        <v>1741.4</v>
      </c>
      <c r="Q936" s="459">
        <f t="shared" si="856"/>
        <v>8707</v>
      </c>
    </row>
    <row r="937" spans="1:17" ht="23.4" x14ac:dyDescent="0.4">
      <c r="A937" s="248"/>
      <c r="B937" s="979" t="s">
        <v>280</v>
      </c>
      <c r="C937" s="556" t="s">
        <v>80</v>
      </c>
      <c r="D937" s="279"/>
      <c r="E937" s="442"/>
      <c r="F937" s="339">
        <f t="shared" si="857"/>
        <v>0</v>
      </c>
      <c r="G937" s="281">
        <v>0</v>
      </c>
      <c r="H937" s="281">
        <v>0</v>
      </c>
      <c r="I937" s="358" t="str">
        <f>IFERROR(F937/#REF!,"-")</f>
        <v>-</v>
      </c>
      <c r="J937" s="339">
        <f t="shared" si="858"/>
        <v>0</v>
      </c>
      <c r="K937" s="281">
        <f t="shared" si="853"/>
        <v>0</v>
      </c>
      <c r="L937" s="250">
        <f t="shared" si="854"/>
        <v>0</v>
      </c>
      <c r="M937" s="265" t="str">
        <f t="shared" si="863"/>
        <v>-</v>
      </c>
      <c r="N937" s="264" t="str">
        <f t="shared" si="864"/>
        <v>-</v>
      </c>
      <c r="O937" s="519">
        <v>4.6184000000000003</v>
      </c>
      <c r="P937" s="410">
        <f t="shared" si="855"/>
        <v>0</v>
      </c>
      <c r="Q937" s="459">
        <f t="shared" si="856"/>
        <v>0</v>
      </c>
    </row>
    <row r="938" spans="1:17" ht="23.4" x14ac:dyDescent="0.4">
      <c r="A938" s="248"/>
      <c r="B938" s="980"/>
      <c r="C938" s="556" t="s">
        <v>407</v>
      </c>
      <c r="D938" s="279"/>
      <c r="E938" s="442"/>
      <c r="F938" s="339">
        <f t="shared" si="857"/>
        <v>0</v>
      </c>
      <c r="G938" s="281">
        <v>0</v>
      </c>
      <c r="H938" s="281">
        <v>0</v>
      </c>
      <c r="I938" s="358" t="str">
        <f>IFERROR(F938/#REF!,"-")</f>
        <v>-</v>
      </c>
      <c r="J938" s="339">
        <f t="shared" si="858"/>
        <v>146140</v>
      </c>
      <c r="K938" s="281">
        <f t="shared" si="853"/>
        <v>144842</v>
      </c>
      <c r="L938" s="250">
        <f t="shared" si="854"/>
        <v>1298</v>
      </c>
      <c r="M938" s="265" t="str">
        <f t="shared" si="863"/>
        <v>-</v>
      </c>
      <c r="N938" s="264">
        <f t="shared" si="864"/>
        <v>8.8818940741754483E-3</v>
      </c>
      <c r="O938" s="519">
        <v>4.6184000000000003</v>
      </c>
      <c r="P938" s="410">
        <f t="shared" si="855"/>
        <v>0</v>
      </c>
      <c r="Q938" s="459">
        <f t="shared" si="856"/>
        <v>668938.29280000005</v>
      </c>
    </row>
    <row r="939" spans="1:17" ht="23.4" x14ac:dyDescent="0.4">
      <c r="A939" s="248"/>
      <c r="B939" s="980"/>
      <c r="C939" s="556" t="s">
        <v>279</v>
      </c>
      <c r="D939" s="279"/>
      <c r="E939" s="442"/>
      <c r="F939" s="339">
        <f t="shared" si="857"/>
        <v>0</v>
      </c>
      <c r="G939" s="281">
        <v>0</v>
      </c>
      <c r="H939" s="281">
        <v>0</v>
      </c>
      <c r="I939" s="358" t="str">
        <f>IFERROR(F939/#REF!,"-")</f>
        <v>-</v>
      </c>
      <c r="J939" s="339">
        <f t="shared" si="858"/>
        <v>0</v>
      </c>
      <c r="K939" s="281">
        <f t="shared" si="853"/>
        <v>0</v>
      </c>
      <c r="L939" s="250">
        <f t="shared" si="854"/>
        <v>0</v>
      </c>
      <c r="M939" s="265" t="str">
        <f t="shared" si="863"/>
        <v>-</v>
      </c>
      <c r="N939" s="264" t="str">
        <f t="shared" si="864"/>
        <v>-</v>
      </c>
      <c r="O939" s="519">
        <v>4.6184000000000003</v>
      </c>
      <c r="P939" s="410">
        <f t="shared" si="855"/>
        <v>0</v>
      </c>
      <c r="Q939" s="459">
        <f t="shared" si="856"/>
        <v>0</v>
      </c>
    </row>
    <row r="940" spans="1:17" ht="23.4" x14ac:dyDescent="0.4">
      <c r="A940" s="248"/>
      <c r="B940" s="980"/>
      <c r="C940" s="556" t="s">
        <v>440</v>
      </c>
      <c r="D940" s="279"/>
      <c r="E940" s="442"/>
      <c r="F940" s="339">
        <f t="shared" si="857"/>
        <v>0</v>
      </c>
      <c r="G940" s="281">
        <v>0</v>
      </c>
      <c r="H940" s="281">
        <v>0</v>
      </c>
      <c r="I940" s="358" t="str">
        <f>IFERROR(F940/#REF!,"-")</f>
        <v>-</v>
      </c>
      <c r="J940" s="339">
        <f t="shared" si="858"/>
        <v>172800</v>
      </c>
      <c r="K940" s="281">
        <f t="shared" si="853"/>
        <v>171200</v>
      </c>
      <c r="L940" s="250">
        <f t="shared" si="854"/>
        <v>1600</v>
      </c>
      <c r="M940" s="265" t="str">
        <f t="shared" si="863"/>
        <v>-</v>
      </c>
      <c r="N940" s="264">
        <f t="shared" si="864"/>
        <v>9.2592592592592587E-3</v>
      </c>
      <c r="O940" s="519">
        <v>4.7636000000000003</v>
      </c>
      <c r="P940" s="410">
        <f t="shared" si="855"/>
        <v>0</v>
      </c>
      <c r="Q940" s="459">
        <f t="shared" si="856"/>
        <v>815528.32000000007</v>
      </c>
    </row>
    <row r="941" spans="1:17" ht="24" thickBot="1" x14ac:dyDescent="0.45">
      <c r="A941" s="248"/>
      <c r="B941" s="981"/>
      <c r="C941" s="556" t="s">
        <v>429</v>
      </c>
      <c r="D941" s="279"/>
      <c r="E941" s="442"/>
      <c r="F941" s="339">
        <f t="shared" si="857"/>
        <v>0</v>
      </c>
      <c r="G941" s="281">
        <v>0</v>
      </c>
      <c r="H941" s="281">
        <v>0</v>
      </c>
      <c r="I941" s="358" t="str">
        <f>IFERROR(F941/#REF!,"-")</f>
        <v>-</v>
      </c>
      <c r="J941" s="339">
        <f t="shared" si="858"/>
        <v>12296</v>
      </c>
      <c r="K941" s="281">
        <f t="shared" si="853"/>
        <v>12100</v>
      </c>
      <c r="L941" s="250">
        <f t="shared" si="854"/>
        <v>196</v>
      </c>
      <c r="M941" s="265" t="str">
        <f t="shared" si="863"/>
        <v>-</v>
      </c>
      <c r="N941" s="264">
        <f t="shared" si="864"/>
        <v>1.594014313597918E-2</v>
      </c>
      <c r="O941" s="519">
        <v>4.8738000000000001</v>
      </c>
      <c r="P941" s="410">
        <f t="shared" si="855"/>
        <v>0</v>
      </c>
      <c r="Q941" s="459">
        <f t="shared" si="856"/>
        <v>58972.98</v>
      </c>
    </row>
    <row r="942" spans="1:17" ht="24" thickBot="1" x14ac:dyDescent="0.45">
      <c r="A942" s="248"/>
      <c r="B942" s="559" t="s">
        <v>281</v>
      </c>
      <c r="C942" s="556" t="s">
        <v>132</v>
      </c>
      <c r="D942" s="279"/>
      <c r="E942" s="442"/>
      <c r="F942" s="339">
        <f t="shared" si="857"/>
        <v>0</v>
      </c>
      <c r="G942" s="281">
        <v>0</v>
      </c>
      <c r="H942" s="281">
        <v>0</v>
      </c>
      <c r="I942" s="358" t="str">
        <f>IFERROR(F942/#REF!,"-")</f>
        <v>-</v>
      </c>
      <c r="J942" s="339">
        <f t="shared" si="858"/>
        <v>0</v>
      </c>
      <c r="K942" s="281">
        <f t="shared" si="853"/>
        <v>0</v>
      </c>
      <c r="L942" s="250">
        <f t="shared" si="854"/>
        <v>0</v>
      </c>
      <c r="M942" s="265" t="str">
        <f t="shared" si="863"/>
        <v>-</v>
      </c>
      <c r="N942" s="264" t="str">
        <f t="shared" si="864"/>
        <v>-</v>
      </c>
      <c r="O942" s="519">
        <v>4.8738000000000001</v>
      </c>
      <c r="P942" s="410">
        <f t="shared" si="855"/>
        <v>0</v>
      </c>
      <c r="Q942" s="459">
        <f t="shared" si="856"/>
        <v>0</v>
      </c>
    </row>
    <row r="943" spans="1:17" ht="23.4" x14ac:dyDescent="0.4">
      <c r="A943" s="248"/>
      <c r="B943" s="979" t="s">
        <v>283</v>
      </c>
      <c r="C943" s="556" t="s">
        <v>80</v>
      </c>
      <c r="D943" s="279"/>
      <c r="E943" s="442"/>
      <c r="F943" s="339">
        <f t="shared" si="857"/>
        <v>23546</v>
      </c>
      <c r="G943" s="281">
        <v>23050</v>
      </c>
      <c r="H943" s="281">
        <v>496</v>
      </c>
      <c r="I943" s="358" t="str">
        <f>IFERROR(F943/#REF!,"-")</f>
        <v>-</v>
      </c>
      <c r="J943" s="339">
        <f t="shared" si="858"/>
        <v>378883</v>
      </c>
      <c r="K943" s="281">
        <f t="shared" si="853"/>
        <v>371500</v>
      </c>
      <c r="L943" s="281">
        <f t="shared" si="854"/>
        <v>7383</v>
      </c>
      <c r="M943" s="265" t="str">
        <f t="shared" si="863"/>
        <v>-</v>
      </c>
      <c r="N943" s="264">
        <f t="shared" si="864"/>
        <v>1.9486226618771495E-2</v>
      </c>
      <c r="O943" s="519">
        <v>4.9344999999999999</v>
      </c>
      <c r="P943" s="410">
        <f t="shared" si="855"/>
        <v>113740.22499999999</v>
      </c>
      <c r="Q943" s="459">
        <f t="shared" si="856"/>
        <v>1833166.75</v>
      </c>
    </row>
    <row r="944" spans="1:17" ht="23.4" x14ac:dyDescent="0.4">
      <c r="A944" s="248"/>
      <c r="B944" s="980"/>
      <c r="C944" s="556" t="s">
        <v>143</v>
      </c>
      <c r="D944" s="279"/>
      <c r="E944" s="442"/>
      <c r="F944" s="339">
        <f t="shared" si="857"/>
        <v>0</v>
      </c>
      <c r="G944" s="281">
        <v>0</v>
      </c>
      <c r="H944" s="281">
        <v>0</v>
      </c>
      <c r="I944" s="358" t="str">
        <f>IFERROR(F944/#REF!,"-")</f>
        <v>-</v>
      </c>
      <c r="J944" s="339">
        <f t="shared" si="858"/>
        <v>0</v>
      </c>
      <c r="K944" s="281">
        <f t="shared" si="853"/>
        <v>0</v>
      </c>
      <c r="L944" s="250">
        <f t="shared" si="854"/>
        <v>0</v>
      </c>
      <c r="M944" s="265" t="str">
        <f t="shared" si="863"/>
        <v>-</v>
      </c>
      <c r="N944" s="264" t="str">
        <f t="shared" si="864"/>
        <v>-</v>
      </c>
      <c r="O944" s="519">
        <v>4.9344999999999999</v>
      </c>
      <c r="P944" s="410">
        <f t="shared" si="855"/>
        <v>0</v>
      </c>
      <c r="Q944" s="459">
        <f t="shared" si="856"/>
        <v>0</v>
      </c>
    </row>
    <row r="945" spans="1:17" ht="23.4" x14ac:dyDescent="0.4">
      <c r="A945" s="248"/>
      <c r="B945" s="980"/>
      <c r="C945" s="556" t="s">
        <v>137</v>
      </c>
      <c r="D945" s="279"/>
      <c r="E945" s="442"/>
      <c r="F945" s="339">
        <f t="shared" si="857"/>
        <v>0</v>
      </c>
      <c r="G945" s="281">
        <v>0</v>
      </c>
      <c r="H945" s="281">
        <v>0</v>
      </c>
      <c r="I945" s="358" t="str">
        <f>IFERROR(F945/#REF!,"-")</f>
        <v>-</v>
      </c>
      <c r="J945" s="339">
        <f t="shared" si="858"/>
        <v>0</v>
      </c>
      <c r="K945" s="281">
        <f t="shared" si="853"/>
        <v>0</v>
      </c>
      <c r="L945" s="250">
        <f t="shared" si="854"/>
        <v>0</v>
      </c>
      <c r="M945" s="265" t="str">
        <f t="shared" si="863"/>
        <v>-</v>
      </c>
      <c r="N945" s="264" t="str">
        <f t="shared" si="864"/>
        <v>-</v>
      </c>
      <c r="O945" s="519">
        <v>4.9344999999999999</v>
      </c>
      <c r="P945" s="410">
        <f t="shared" si="855"/>
        <v>0</v>
      </c>
      <c r="Q945" s="459">
        <f t="shared" si="856"/>
        <v>0</v>
      </c>
    </row>
    <row r="946" spans="1:17" ht="24" thickBot="1" x14ac:dyDescent="0.45">
      <c r="A946" s="248"/>
      <c r="B946" s="981"/>
      <c r="C946" s="556" t="s">
        <v>282</v>
      </c>
      <c r="D946" s="279"/>
      <c r="E946" s="442"/>
      <c r="F946" s="339">
        <f t="shared" si="857"/>
        <v>0</v>
      </c>
      <c r="G946" s="281">
        <v>0</v>
      </c>
      <c r="H946" s="281">
        <v>0</v>
      </c>
      <c r="I946" s="358" t="str">
        <f>IFERROR(F946/#REF!,"-")</f>
        <v>-</v>
      </c>
      <c r="J946" s="339">
        <f t="shared" si="858"/>
        <v>0</v>
      </c>
      <c r="K946" s="281">
        <f t="shared" si="853"/>
        <v>0</v>
      </c>
      <c r="L946" s="250">
        <f t="shared" si="854"/>
        <v>0</v>
      </c>
      <c r="M946" s="265" t="str">
        <f t="shared" si="863"/>
        <v>-</v>
      </c>
      <c r="N946" s="264" t="str">
        <f t="shared" si="864"/>
        <v>-</v>
      </c>
      <c r="O946" s="519">
        <v>5.5069999999999997</v>
      </c>
      <c r="P946" s="410">
        <f t="shared" si="855"/>
        <v>0</v>
      </c>
      <c r="Q946" s="459">
        <f t="shared" si="856"/>
        <v>0</v>
      </c>
    </row>
    <row r="947" spans="1:17" ht="23.4" x14ac:dyDescent="0.4">
      <c r="A947" s="248"/>
      <c r="B947" s="979" t="s">
        <v>288</v>
      </c>
      <c r="C947" s="556" t="s">
        <v>284</v>
      </c>
      <c r="D947" s="279"/>
      <c r="E947" s="442"/>
      <c r="F947" s="339">
        <f t="shared" si="857"/>
        <v>0</v>
      </c>
      <c r="G947" s="281">
        <v>0</v>
      </c>
      <c r="H947" s="281">
        <v>0</v>
      </c>
      <c r="I947" s="358" t="str">
        <f>IFERROR(F947/#REF!,"-")</f>
        <v>-</v>
      </c>
      <c r="J947" s="339">
        <f t="shared" si="858"/>
        <v>0</v>
      </c>
      <c r="K947" s="281">
        <f t="shared" si="853"/>
        <v>0</v>
      </c>
      <c r="L947" s="250">
        <f t="shared" si="854"/>
        <v>0</v>
      </c>
      <c r="M947" s="265" t="str">
        <f t="shared" si="863"/>
        <v>-</v>
      </c>
      <c r="N947" s="264" t="str">
        <f t="shared" si="864"/>
        <v>-</v>
      </c>
      <c r="O947" s="519">
        <v>5.6550000000000002</v>
      </c>
      <c r="P947" s="410">
        <f t="shared" si="855"/>
        <v>0</v>
      </c>
      <c r="Q947" s="459">
        <f t="shared" si="856"/>
        <v>0</v>
      </c>
    </row>
    <row r="948" spans="1:17" ht="23.4" x14ac:dyDescent="0.4">
      <c r="A948" s="248"/>
      <c r="B948" s="980"/>
      <c r="C948" s="556" t="s">
        <v>285</v>
      </c>
      <c r="D948" s="279"/>
      <c r="E948" s="442"/>
      <c r="F948" s="339">
        <f t="shared" si="857"/>
        <v>0</v>
      </c>
      <c r="G948" s="281">
        <v>0</v>
      </c>
      <c r="H948" s="281">
        <v>0</v>
      </c>
      <c r="I948" s="358" t="str">
        <f>IFERROR(F948/#REF!,"-")</f>
        <v>-</v>
      </c>
      <c r="J948" s="339">
        <f t="shared" si="858"/>
        <v>0</v>
      </c>
      <c r="K948" s="281">
        <f t="shared" si="853"/>
        <v>0</v>
      </c>
      <c r="L948" s="250">
        <f t="shared" si="854"/>
        <v>0</v>
      </c>
      <c r="M948" s="265" t="str">
        <f t="shared" si="863"/>
        <v>-</v>
      </c>
      <c r="N948" s="264" t="str">
        <f t="shared" si="864"/>
        <v>-</v>
      </c>
      <c r="O948" s="519">
        <v>5.6550000000000002</v>
      </c>
      <c r="P948" s="410">
        <f t="shared" si="855"/>
        <v>0</v>
      </c>
      <c r="Q948" s="459">
        <f t="shared" si="856"/>
        <v>0</v>
      </c>
    </row>
    <row r="949" spans="1:17" ht="23.4" x14ac:dyDescent="0.4">
      <c r="A949" s="248"/>
      <c r="B949" s="980"/>
      <c r="C949" s="556" t="s">
        <v>374</v>
      </c>
      <c r="D949" s="279"/>
      <c r="E949" s="442"/>
      <c r="F949" s="339">
        <f t="shared" si="857"/>
        <v>24334</v>
      </c>
      <c r="G949" s="281">
        <v>24000</v>
      </c>
      <c r="H949" s="281">
        <v>334</v>
      </c>
      <c r="I949" s="358" t="str">
        <f>IFERROR(F949/#REF!,"-")</f>
        <v>-</v>
      </c>
      <c r="J949" s="339">
        <f t="shared" si="858"/>
        <v>370877</v>
      </c>
      <c r="K949" s="281">
        <f t="shared" si="853"/>
        <v>362000</v>
      </c>
      <c r="L949" s="250">
        <f t="shared" si="854"/>
        <v>8877</v>
      </c>
      <c r="M949" s="265" t="str">
        <f t="shared" si="863"/>
        <v>-</v>
      </c>
      <c r="N949" s="264">
        <f t="shared" si="864"/>
        <v>2.3935159095872755E-2</v>
      </c>
      <c r="O949" s="519">
        <v>5.6550000000000002</v>
      </c>
      <c r="P949" s="410">
        <f t="shared" si="855"/>
        <v>135720</v>
      </c>
      <c r="Q949" s="459">
        <f t="shared" si="856"/>
        <v>2047110</v>
      </c>
    </row>
    <row r="950" spans="1:17" ht="23.4" x14ac:dyDescent="0.4">
      <c r="A950" s="248"/>
      <c r="B950" s="980"/>
      <c r="C950" s="556" t="s">
        <v>286</v>
      </c>
      <c r="D950" s="279"/>
      <c r="E950" s="442"/>
      <c r="F950" s="339">
        <f t="shared" si="857"/>
        <v>0</v>
      </c>
      <c r="G950" s="281">
        <v>0</v>
      </c>
      <c r="H950" s="281">
        <v>0</v>
      </c>
      <c r="I950" s="358" t="str">
        <f>IFERROR(F950/#REF!,"-")</f>
        <v>-</v>
      </c>
      <c r="J950" s="339">
        <f t="shared" si="858"/>
        <v>0</v>
      </c>
      <c r="K950" s="281">
        <f t="shared" si="853"/>
        <v>0</v>
      </c>
      <c r="L950" s="250">
        <f t="shared" si="854"/>
        <v>0</v>
      </c>
      <c r="M950" s="265" t="str">
        <f t="shared" si="863"/>
        <v>-</v>
      </c>
      <c r="N950" s="264" t="str">
        <f t="shared" si="864"/>
        <v>-</v>
      </c>
      <c r="O950" s="519">
        <v>5.6550000000000002</v>
      </c>
      <c r="P950" s="410">
        <f t="shared" si="855"/>
        <v>0</v>
      </c>
      <c r="Q950" s="459">
        <f t="shared" si="856"/>
        <v>0</v>
      </c>
    </row>
    <row r="951" spans="1:17" ht="23.4" x14ac:dyDescent="0.4">
      <c r="A951" s="248" t="s">
        <v>109</v>
      </c>
      <c r="B951" s="980"/>
      <c r="C951" s="556" t="s">
        <v>287</v>
      </c>
      <c r="D951" s="279"/>
      <c r="E951" s="442"/>
      <c r="F951" s="339">
        <f t="shared" si="857"/>
        <v>0</v>
      </c>
      <c r="G951" s="281">
        <v>0</v>
      </c>
      <c r="H951" s="281">
        <v>0</v>
      </c>
      <c r="I951" s="358" t="str">
        <f>IFERROR(F951/#REF!,"-")</f>
        <v>-</v>
      </c>
      <c r="J951" s="339">
        <f t="shared" si="858"/>
        <v>0</v>
      </c>
      <c r="K951" s="281">
        <f t="shared" si="853"/>
        <v>0</v>
      </c>
      <c r="L951" s="250">
        <f t="shared" si="854"/>
        <v>0</v>
      </c>
      <c r="M951" s="265" t="str">
        <f t="shared" si="863"/>
        <v>-</v>
      </c>
      <c r="N951" s="264" t="str">
        <f t="shared" si="864"/>
        <v>-</v>
      </c>
      <c r="O951" s="519">
        <v>3.2963</v>
      </c>
      <c r="P951" s="410">
        <f t="shared" si="855"/>
        <v>0</v>
      </c>
      <c r="Q951" s="459">
        <f t="shared" si="856"/>
        <v>0</v>
      </c>
    </row>
    <row r="952" spans="1:17" ht="24" thickBot="1" x14ac:dyDescent="0.45">
      <c r="A952" s="248" t="s">
        <v>109</v>
      </c>
      <c r="B952" s="981"/>
      <c r="C952" s="556" t="s">
        <v>282</v>
      </c>
      <c r="D952" s="279"/>
      <c r="E952" s="442"/>
      <c r="F952" s="339">
        <f t="shared" si="857"/>
        <v>0</v>
      </c>
      <c r="G952" s="281">
        <v>0</v>
      </c>
      <c r="H952" s="281">
        <v>0</v>
      </c>
      <c r="I952" s="358" t="str">
        <f>IFERROR(F952/#REF!,"-")</f>
        <v>-</v>
      </c>
      <c r="J952" s="339">
        <f t="shared" si="858"/>
        <v>0</v>
      </c>
      <c r="K952" s="281">
        <f t="shared" si="853"/>
        <v>0</v>
      </c>
      <c r="L952" s="250">
        <f t="shared" si="854"/>
        <v>0</v>
      </c>
      <c r="M952" s="265" t="str">
        <f t="shared" si="863"/>
        <v>-</v>
      </c>
      <c r="N952" s="264" t="str">
        <f t="shared" si="864"/>
        <v>-</v>
      </c>
      <c r="O952" s="519">
        <v>3.2963</v>
      </c>
      <c r="P952" s="410">
        <f t="shared" si="855"/>
        <v>0</v>
      </c>
      <c r="Q952" s="459">
        <f t="shared" si="856"/>
        <v>0</v>
      </c>
    </row>
    <row r="953" spans="1:17" ht="23.4" x14ac:dyDescent="0.4">
      <c r="A953" s="248" t="s">
        <v>109</v>
      </c>
      <c r="B953" s="560"/>
      <c r="C953" s="557" t="s">
        <v>92</v>
      </c>
      <c r="D953" s="523"/>
      <c r="E953" s="442"/>
      <c r="F953" s="339">
        <f t="shared" si="857"/>
        <v>0</v>
      </c>
      <c r="G953" s="281">
        <v>0</v>
      </c>
      <c r="H953" s="281">
        <v>0</v>
      </c>
      <c r="I953" s="358" t="str">
        <f>IFERROR(F953/#REF!,"-")</f>
        <v>-</v>
      </c>
      <c r="J953" s="339">
        <f t="shared" si="858"/>
        <v>65530</v>
      </c>
      <c r="K953" s="281">
        <f t="shared" si="853"/>
        <v>65500</v>
      </c>
      <c r="L953" s="250">
        <f t="shared" si="854"/>
        <v>30</v>
      </c>
      <c r="M953" s="265" t="str">
        <f t="shared" si="863"/>
        <v>-</v>
      </c>
      <c r="N953" s="264">
        <f t="shared" si="864"/>
        <v>4.5780558522813981E-4</v>
      </c>
      <c r="O953" s="519">
        <v>2.3201000000000001</v>
      </c>
      <c r="P953" s="410">
        <f t="shared" si="855"/>
        <v>0</v>
      </c>
      <c r="Q953" s="459">
        <f t="shared" si="856"/>
        <v>151966.55000000002</v>
      </c>
    </row>
    <row r="954" spans="1:17" ht="24" thickBot="1" x14ac:dyDescent="0.35">
      <c r="A954" s="248" t="s">
        <v>109</v>
      </c>
      <c r="B954" s="537"/>
      <c r="C954" s="554"/>
      <c r="D954" s="543"/>
      <c r="E954" s="473"/>
      <c r="F954" s="471">
        <f t="shared" si="857"/>
        <v>0</v>
      </c>
      <c r="G954" s="472"/>
      <c r="H954" s="472"/>
      <c r="I954" s="545" t="str">
        <f>IFERROR(F954/#REF!,"-")</f>
        <v>-</v>
      </c>
      <c r="J954" s="471">
        <f t="shared" si="858"/>
        <v>0</v>
      </c>
      <c r="K954" s="472">
        <f t="shared" si="853"/>
        <v>0</v>
      </c>
      <c r="L954" s="257">
        <f t="shared" si="854"/>
        <v>0</v>
      </c>
      <c r="M954" s="267" t="str">
        <f t="shared" si="863"/>
        <v>-</v>
      </c>
      <c r="N954" s="266" t="str">
        <f t="shared" si="864"/>
        <v>-</v>
      </c>
      <c r="O954" s="552"/>
      <c r="P954" s="549">
        <f t="shared" si="855"/>
        <v>0</v>
      </c>
      <c r="Q954" s="550">
        <f t="shared" si="856"/>
        <v>0</v>
      </c>
    </row>
    <row r="955" spans="1:17" ht="24" thickBot="1" x14ac:dyDescent="0.35">
      <c r="A955" s="277" t="s">
        <v>109</v>
      </c>
      <c r="B955" s="982" t="s">
        <v>25</v>
      </c>
      <c r="C955" s="983"/>
      <c r="D955" s="525">
        <f t="shared" ref="D955" si="865">SUM(D930:D954)</f>
        <v>0</v>
      </c>
      <c r="E955" s="539">
        <v>100000</v>
      </c>
      <c r="F955" s="525">
        <f>SUM(F930:F954)</f>
        <v>50722</v>
      </c>
      <c r="G955" s="531">
        <f t="shared" ref="G955:H955" si="866">SUM(G930:G954)</f>
        <v>49650</v>
      </c>
      <c r="H955" s="531">
        <f t="shared" si="866"/>
        <v>1072</v>
      </c>
      <c r="I955" s="532" t="str">
        <f>IFERROR(F955/#REF!,"-")</f>
        <v>-</v>
      </c>
      <c r="J955" s="525">
        <f t="shared" ref="J955" si="867">SUM(J930:J954)</f>
        <v>1186040</v>
      </c>
      <c r="K955" s="531">
        <f>SUM(K925:K954)</f>
        <v>1247297</v>
      </c>
      <c r="L955" s="533">
        <f t="shared" ref="L955" si="868">SUM(L930:L954)</f>
        <v>22778</v>
      </c>
      <c r="M955" s="534" t="str">
        <f t="shared" si="863"/>
        <v>-</v>
      </c>
      <c r="N955" s="532">
        <f t="shared" si="864"/>
        <v>1.9205085831843782E-2</v>
      </c>
      <c r="O955" s="535"/>
      <c r="P955" s="536">
        <f>SUM(P925:P954)</f>
        <v>451935.27</v>
      </c>
      <c r="Q955" s="536">
        <f>SUM(Q925:Q954)</f>
        <v>10371762.7828</v>
      </c>
    </row>
    <row r="956" spans="1:17" ht="24" thickBot="1" x14ac:dyDescent="0.35">
      <c r="A956" s="324" t="s">
        <v>109</v>
      </c>
      <c r="B956" s="984" t="s">
        <v>276</v>
      </c>
      <c r="C956" s="927"/>
      <c r="D956" s="332">
        <f>+D929+D955</f>
        <v>0</v>
      </c>
      <c r="E956" s="333">
        <f>+E929+E955</f>
        <v>100000</v>
      </c>
      <c r="F956" s="332">
        <f>+F929+F955</f>
        <v>50722</v>
      </c>
      <c r="G956" s="330">
        <f>+G929+G955</f>
        <v>49650</v>
      </c>
      <c r="H956" s="330">
        <f>+H929+H955</f>
        <v>1072</v>
      </c>
      <c r="I956" s="355" t="str">
        <f>IFERROR(F956/#REF!,"-")</f>
        <v>-</v>
      </c>
      <c r="J956" s="332">
        <f>+J929+J955</f>
        <v>1191390</v>
      </c>
      <c r="K956" s="330">
        <f>K955</f>
        <v>1247297</v>
      </c>
      <c r="L956" s="331">
        <f>+L929+L955</f>
        <v>23978</v>
      </c>
      <c r="M956" s="347" t="str">
        <f t="shared" si="863"/>
        <v>-</v>
      </c>
      <c r="N956" s="355">
        <f t="shared" si="864"/>
        <v>2.0126071227725598E-2</v>
      </c>
      <c r="O956" s="400"/>
      <c r="P956" s="416">
        <f>+P929+P955</f>
        <v>451935.27</v>
      </c>
      <c r="Q956" s="434">
        <f>Q955</f>
        <v>10371762.7828</v>
      </c>
    </row>
    <row r="957" spans="1:17" ht="24.6" thickBot="1" x14ac:dyDescent="0.35">
      <c r="A957" s="325"/>
      <c r="B957" s="915" t="s">
        <v>183</v>
      </c>
      <c r="C957" s="916"/>
      <c r="D957" s="380">
        <f>+D956+D924+D915</f>
        <v>0</v>
      </c>
      <c r="E957" s="380">
        <f>+E956+E924+E915</f>
        <v>230000</v>
      </c>
      <c r="F957" s="380">
        <f>+F956+F924+F915</f>
        <v>262947</v>
      </c>
      <c r="G957" s="380">
        <f>+G956+G924+G915</f>
        <v>252600</v>
      </c>
      <c r="H957" s="380">
        <f>+H956+H924+H915</f>
        <v>10347</v>
      </c>
      <c r="I957" s="381" t="str">
        <f>IFERROR(F957/#REF!,"-")</f>
        <v>-</v>
      </c>
      <c r="J957" s="380">
        <f>+J956+J924+J915</f>
        <v>4611526</v>
      </c>
      <c r="K957" s="380">
        <f>+K956+K924+K915</f>
        <v>4540411</v>
      </c>
      <c r="L957" s="380">
        <f>+L956+L924+L915</f>
        <v>134720</v>
      </c>
      <c r="M957" s="381" t="str">
        <f t="shared" si="863"/>
        <v>-</v>
      </c>
      <c r="N957" s="381">
        <f>IFERROR(L957/J957,"-")</f>
        <v>2.9213757007983909E-2</v>
      </c>
      <c r="O957" s="407"/>
      <c r="P957" s="424">
        <f>+P956+P924+P915</f>
        <v>1871985.7890000001</v>
      </c>
      <c r="Q957" s="424">
        <f>+Q956+Q924+Q915</f>
        <v>28800995.141199999</v>
      </c>
    </row>
    <row r="958" spans="1:17" ht="23.4" x14ac:dyDescent="0.3">
      <c r="A958" s="935" t="s">
        <v>1</v>
      </c>
      <c r="B958" s="938" t="s">
        <v>2</v>
      </c>
      <c r="C958" s="941" t="s">
        <v>3</v>
      </c>
      <c r="D958" s="944" t="s">
        <v>4</v>
      </c>
      <c r="E958" s="945"/>
      <c r="F958" s="945"/>
      <c r="G958" s="945"/>
      <c r="H958" s="945"/>
      <c r="I958" s="945"/>
      <c r="J958" s="945"/>
      <c r="K958" s="945"/>
      <c r="L958" s="945"/>
      <c r="M958" s="945"/>
      <c r="N958" s="946"/>
      <c r="O958" s="965" t="s">
        <v>176</v>
      </c>
      <c r="P958" s="966"/>
      <c r="Q958" s="990"/>
    </row>
    <row r="959" spans="1:17" ht="23.4" x14ac:dyDescent="0.3">
      <c r="A959" s="936"/>
      <c r="B959" s="939"/>
      <c r="C959" s="942"/>
      <c r="D959" s="947" t="s">
        <v>7</v>
      </c>
      <c r="E959" s="949" t="s">
        <v>116</v>
      </c>
      <c r="F959" s="991" t="s">
        <v>478</v>
      </c>
      <c r="G959" s="952"/>
      <c r="H959" s="952"/>
      <c r="I959" s="953"/>
      <c r="J959" s="954" t="s">
        <v>8</v>
      </c>
      <c r="K959" s="955"/>
      <c r="L959" s="956"/>
      <c r="M959" s="957" t="s">
        <v>174</v>
      </c>
      <c r="N959" s="959" t="s">
        <v>173</v>
      </c>
      <c r="O959" s="967" t="s">
        <v>178</v>
      </c>
      <c r="P959" s="968"/>
      <c r="Q959" s="969"/>
    </row>
    <row r="960" spans="1:17" ht="47.4" thickBot="1" x14ac:dyDescent="0.35">
      <c r="A960" s="937"/>
      <c r="B960" s="940"/>
      <c r="C960" s="943"/>
      <c r="D960" s="948"/>
      <c r="E960" s="950"/>
      <c r="F960" s="462" t="s">
        <v>13</v>
      </c>
      <c r="G960" s="463" t="s">
        <v>14</v>
      </c>
      <c r="H960" s="463" t="s">
        <v>15</v>
      </c>
      <c r="I960" s="464" t="s">
        <v>175</v>
      </c>
      <c r="J960" s="462" t="s">
        <v>13</v>
      </c>
      <c r="K960" s="463" t="s">
        <v>14</v>
      </c>
      <c r="L960" s="465" t="s">
        <v>15</v>
      </c>
      <c r="M960" s="958"/>
      <c r="N960" s="960"/>
      <c r="O960" s="453" t="s">
        <v>179</v>
      </c>
      <c r="P960" s="454" t="s">
        <v>11</v>
      </c>
      <c r="Q960" s="455" t="s">
        <v>12</v>
      </c>
    </row>
    <row r="961" spans="1:17" ht="23.4" x14ac:dyDescent="0.3">
      <c r="A961" s="271" t="s">
        <v>111</v>
      </c>
      <c r="B961" s="445"/>
      <c r="C961" s="272" t="s">
        <v>272</v>
      </c>
      <c r="D961" s="273"/>
      <c r="E961" s="274"/>
      <c r="F961" s="338">
        <f>+G961+H961</f>
        <v>46782</v>
      </c>
      <c r="G961" s="275">
        <v>45360</v>
      </c>
      <c r="H961" s="275">
        <v>1422</v>
      </c>
      <c r="I961" s="357" t="str">
        <f>IFERROR(F961/#REF!,"-")</f>
        <v>-</v>
      </c>
      <c r="J961" s="468">
        <f>+K961+L961</f>
        <v>1038876</v>
      </c>
      <c r="K961" s="469">
        <f>+G961+K901</f>
        <v>977480</v>
      </c>
      <c r="L961" s="469">
        <f>+H961+L901</f>
        <v>61396</v>
      </c>
      <c r="M961" s="342" t="str">
        <f>IFERROR(J961/D961,"-")</f>
        <v>-</v>
      </c>
      <c r="N961" s="349">
        <f t="shared" ref="N961:N962" si="869">IFERROR(L961/J961,"-")</f>
        <v>5.9098487211178233E-2</v>
      </c>
      <c r="O961" s="518">
        <v>1.5669</v>
      </c>
      <c r="P961" s="408">
        <f>+O961*G961</f>
        <v>71074.584000000003</v>
      </c>
      <c r="Q961" s="457">
        <f>+O961*K961</f>
        <v>1531613.412</v>
      </c>
    </row>
    <row r="962" spans="1:17" ht="23.4" x14ac:dyDescent="0.3">
      <c r="A962" s="277" t="s">
        <v>111</v>
      </c>
      <c r="B962" s="444"/>
      <c r="C962" s="278" t="s">
        <v>271</v>
      </c>
      <c r="D962" s="279"/>
      <c r="E962" s="280"/>
      <c r="F962" s="339">
        <f t="shared" ref="F962:F965" si="870">+G962+H962</f>
        <v>0</v>
      </c>
      <c r="G962" s="281">
        <v>0</v>
      </c>
      <c r="H962" s="281">
        <v>0</v>
      </c>
      <c r="I962" s="358" t="str">
        <f>IFERROR(F962/#REF!,"-")</f>
        <v>-</v>
      </c>
      <c r="J962" s="339">
        <f t="shared" ref="J962:J965" si="871">+K962+L962</f>
        <v>0</v>
      </c>
      <c r="K962" s="281">
        <f t="shared" ref="K962:K965" si="872">+G962+K902</f>
        <v>0</v>
      </c>
      <c r="L962" s="442">
        <f t="shared" ref="L962:L965" si="873">+H962+L902</f>
        <v>0</v>
      </c>
      <c r="M962" s="343" t="str">
        <f t="shared" ref="M962:M965" si="874">IFERROR(J962/D962,"-")</f>
        <v>-</v>
      </c>
      <c r="N962" s="268" t="str">
        <f t="shared" si="869"/>
        <v>-</v>
      </c>
      <c r="O962" s="519">
        <v>2.3978999999999999</v>
      </c>
      <c r="P962" s="410">
        <f t="shared" ref="P962:P965" si="875">+O962*G962</f>
        <v>0</v>
      </c>
      <c r="Q962" s="459">
        <f t="shared" ref="Q962:Q965" si="876">+O962*K962</f>
        <v>0</v>
      </c>
    </row>
    <row r="963" spans="1:17" ht="23.4" x14ac:dyDescent="0.3">
      <c r="A963" s="277" t="s">
        <v>111</v>
      </c>
      <c r="B963" s="444"/>
      <c r="C963" s="278" t="s">
        <v>273</v>
      </c>
      <c r="D963" s="279"/>
      <c r="E963" s="280"/>
      <c r="F963" s="339">
        <f t="shared" si="870"/>
        <v>0</v>
      </c>
      <c r="G963" s="281">
        <v>0</v>
      </c>
      <c r="H963" s="281">
        <v>0</v>
      </c>
      <c r="I963" s="358" t="str">
        <f>IFERROR(F963/#REF!,"-")</f>
        <v>-</v>
      </c>
      <c r="J963" s="339">
        <f t="shared" si="871"/>
        <v>0</v>
      </c>
      <c r="K963" s="281">
        <f t="shared" si="872"/>
        <v>0</v>
      </c>
      <c r="L963" s="251">
        <f t="shared" si="873"/>
        <v>0</v>
      </c>
      <c r="M963" s="343" t="str">
        <f t="shared" si="874"/>
        <v>-</v>
      </c>
      <c r="N963" s="268" t="str">
        <f>IFERROR(L963/J963,"-")</f>
        <v>-</v>
      </c>
      <c r="O963" s="520">
        <v>4.6797000000000004</v>
      </c>
      <c r="P963" s="410">
        <f t="shared" si="875"/>
        <v>0</v>
      </c>
      <c r="Q963" s="459">
        <f t="shared" si="876"/>
        <v>0</v>
      </c>
    </row>
    <row r="964" spans="1:17" ht="23.4" x14ac:dyDescent="0.3">
      <c r="A964" s="277"/>
      <c r="B964" s="461"/>
      <c r="C964" s="278" t="s">
        <v>372</v>
      </c>
      <c r="D964" s="283"/>
      <c r="E964" s="284"/>
      <c r="F964" s="339">
        <f t="shared" si="870"/>
        <v>66936</v>
      </c>
      <c r="G964" s="285">
        <f>33000+33000</f>
        <v>66000</v>
      </c>
      <c r="H964" s="285">
        <f>472+464</f>
        <v>936</v>
      </c>
      <c r="I964" s="358" t="str">
        <f>IFERROR(F964/#REF!,"-")</f>
        <v>-</v>
      </c>
      <c r="J964" s="339">
        <f t="shared" si="871"/>
        <v>729123</v>
      </c>
      <c r="K964" s="281">
        <f t="shared" si="872"/>
        <v>707200</v>
      </c>
      <c r="L964" s="286">
        <f t="shared" si="873"/>
        <v>21923</v>
      </c>
      <c r="M964" s="343" t="str">
        <f t="shared" si="874"/>
        <v>-</v>
      </c>
      <c r="N964" s="268">
        <f>IFERROR(L964/J964,"-")</f>
        <v>3.0067629192879666E-2</v>
      </c>
      <c r="O964" s="520">
        <v>12.284700000000001</v>
      </c>
      <c r="P964" s="410">
        <f t="shared" si="875"/>
        <v>810790.20000000007</v>
      </c>
      <c r="Q964" s="459">
        <f t="shared" si="876"/>
        <v>8687739.8399999999</v>
      </c>
    </row>
    <row r="965" spans="1:17" ht="24" thickBot="1" x14ac:dyDescent="0.35">
      <c r="A965" s="277" t="s">
        <v>111</v>
      </c>
      <c r="B965" s="461"/>
      <c r="C965" s="278" t="s">
        <v>497</v>
      </c>
      <c r="D965" s="283"/>
      <c r="E965" s="284"/>
      <c r="F965" s="340">
        <f t="shared" si="870"/>
        <v>0</v>
      </c>
      <c r="G965" s="285">
        <v>0</v>
      </c>
      <c r="H965" s="285">
        <v>0</v>
      </c>
      <c r="I965" s="359" t="str">
        <f>IFERROR(F965/#REF!,"-")</f>
        <v>-</v>
      </c>
      <c r="J965" s="471">
        <f t="shared" si="871"/>
        <v>171868</v>
      </c>
      <c r="K965" s="472">
        <f t="shared" si="872"/>
        <v>168750</v>
      </c>
      <c r="L965" s="258">
        <f t="shared" si="873"/>
        <v>3118</v>
      </c>
      <c r="M965" s="344" t="str">
        <f t="shared" si="874"/>
        <v>-</v>
      </c>
      <c r="N965" s="350">
        <f t="shared" ref="N965:N977" si="877">IFERROR(L965/J965,"-")</f>
        <v>1.8141829776339984E-2</v>
      </c>
      <c r="O965" s="520">
        <v>4.6797000000000004</v>
      </c>
      <c r="P965" s="411">
        <f t="shared" si="875"/>
        <v>0</v>
      </c>
      <c r="Q965" s="460">
        <f t="shared" si="876"/>
        <v>789699.37500000012</v>
      </c>
    </row>
    <row r="966" spans="1:17" ht="24" thickBot="1" x14ac:dyDescent="0.35">
      <c r="A966" s="277" t="s">
        <v>111</v>
      </c>
      <c r="B966" s="906" t="s">
        <v>21</v>
      </c>
      <c r="C966" s="907"/>
      <c r="D966" s="326">
        <f>SUM(D961:D965)</f>
        <v>0</v>
      </c>
      <c r="E966" s="289">
        <v>15000</v>
      </c>
      <c r="F966" s="326">
        <f>SUM(F961:F965)</f>
        <v>113718</v>
      </c>
      <c r="G966" s="327">
        <f>SUM(G961:G965)</f>
        <v>111360</v>
      </c>
      <c r="H966" s="327">
        <f>SUM(H961:H965)</f>
        <v>2358</v>
      </c>
      <c r="I966" s="351" t="str">
        <f>IFERROR(F966/#REF!,"-")</f>
        <v>-</v>
      </c>
      <c r="J966" s="326">
        <f>SUM(J961:J965)</f>
        <v>1939867</v>
      </c>
      <c r="K966" s="327">
        <f>SUM(K961:K965)</f>
        <v>1853430</v>
      </c>
      <c r="L966" s="328">
        <f>SUM(L961:L965)</f>
        <v>86437</v>
      </c>
      <c r="M966" s="345" t="str">
        <f>IFERROR(J966/D966,"-")</f>
        <v>-</v>
      </c>
      <c r="N966" s="351">
        <f t="shared" si="877"/>
        <v>4.4558209403015775E-2</v>
      </c>
      <c r="O966" s="397"/>
      <c r="P966" s="412">
        <f>SUM(P961:P965)</f>
        <v>881864.7840000001</v>
      </c>
      <c r="Q966" s="431">
        <f>SUM(Q961:Q965)</f>
        <v>11009052.627</v>
      </c>
    </row>
    <row r="967" spans="1:17" ht="23.4" x14ac:dyDescent="0.3">
      <c r="A967" s="277" t="s">
        <v>111</v>
      </c>
      <c r="B967" s="445"/>
      <c r="C967" s="272" t="s">
        <v>270</v>
      </c>
      <c r="D967" s="273"/>
      <c r="E967" s="274"/>
      <c r="F967" s="338">
        <f t="shared" ref="F967:F973" si="878">+G967+H967</f>
        <v>7312</v>
      </c>
      <c r="G967" s="275">
        <v>7200</v>
      </c>
      <c r="H967" s="275">
        <v>112</v>
      </c>
      <c r="I967" s="357" t="str">
        <f>IFERROR(F967/#REF!,"-")</f>
        <v>-</v>
      </c>
      <c r="J967" s="338">
        <f t="shared" ref="J967:J973" si="879">+K967+L967</f>
        <v>69006</v>
      </c>
      <c r="K967" s="275">
        <f t="shared" ref="K967:K973" si="880">+G967+K907</f>
        <v>62994</v>
      </c>
      <c r="L967" s="276">
        <f t="shared" ref="L967:L973" si="881">+H967+L907</f>
        <v>6012</v>
      </c>
      <c r="M967" s="342" t="str">
        <f t="shared" ref="M967:M975" si="882">IFERROR(J967/D967,"-")</f>
        <v>-</v>
      </c>
      <c r="N967" s="352">
        <f t="shared" si="877"/>
        <v>8.7122858881836365E-2</v>
      </c>
      <c r="O967" s="518">
        <v>18.2316</v>
      </c>
      <c r="P967" s="408">
        <f t="shared" ref="P967:P973" si="883">+O967*G967</f>
        <v>131267.51999999999</v>
      </c>
      <c r="Q967" s="457">
        <f t="shared" ref="Q967:Q973" si="884">+O967*K967</f>
        <v>1148481.4103999999</v>
      </c>
    </row>
    <row r="968" spans="1:17" ht="23.4" x14ac:dyDescent="0.3">
      <c r="A968" s="277" t="s">
        <v>111</v>
      </c>
      <c r="B968" s="444"/>
      <c r="C968" s="278" t="s">
        <v>92</v>
      </c>
      <c r="D968" s="279"/>
      <c r="E968" s="280"/>
      <c r="F968" s="339">
        <f t="shared" si="878"/>
        <v>60000</v>
      </c>
      <c r="G968" s="281">
        <v>60000</v>
      </c>
      <c r="H968" s="281">
        <v>0</v>
      </c>
      <c r="I968" s="358" t="str">
        <f>IFERROR(F968/#REF!,"-")</f>
        <v>-</v>
      </c>
      <c r="J968" s="339">
        <f t="shared" si="879"/>
        <v>300000</v>
      </c>
      <c r="K968" s="281">
        <f t="shared" si="880"/>
        <v>300000</v>
      </c>
      <c r="L968" s="251">
        <f t="shared" si="881"/>
        <v>0</v>
      </c>
      <c r="M968" s="343" t="str">
        <f t="shared" si="882"/>
        <v>-</v>
      </c>
      <c r="N968" s="264">
        <f t="shared" si="877"/>
        <v>0</v>
      </c>
      <c r="O968" s="519">
        <v>1.2824</v>
      </c>
      <c r="P968" s="410">
        <f t="shared" si="883"/>
        <v>76944</v>
      </c>
      <c r="Q968" s="459">
        <f t="shared" si="884"/>
        <v>384720</v>
      </c>
    </row>
    <row r="969" spans="1:17" ht="23.4" x14ac:dyDescent="0.3">
      <c r="A969" s="277" t="s">
        <v>111</v>
      </c>
      <c r="B969" s="444"/>
      <c r="C969" s="278" t="s">
        <v>340</v>
      </c>
      <c r="D969" s="279"/>
      <c r="E969" s="280"/>
      <c r="F969" s="339">
        <f t="shared" si="878"/>
        <v>0</v>
      </c>
      <c r="G969" s="281">
        <v>0</v>
      </c>
      <c r="H969" s="281">
        <v>0</v>
      </c>
      <c r="I969" s="358" t="str">
        <f>IFERROR(F969/#REF!,"-")</f>
        <v>-</v>
      </c>
      <c r="J969" s="339">
        <f t="shared" si="879"/>
        <v>0</v>
      </c>
      <c r="K969" s="281">
        <f t="shared" si="880"/>
        <v>0</v>
      </c>
      <c r="L969" s="251">
        <f t="shared" si="881"/>
        <v>0</v>
      </c>
      <c r="M969" s="343" t="str">
        <f t="shared" si="882"/>
        <v>-</v>
      </c>
      <c r="N969" s="264" t="str">
        <f t="shared" si="877"/>
        <v>-</v>
      </c>
      <c r="O969" s="519">
        <v>5.7342000000000004</v>
      </c>
      <c r="P969" s="410">
        <f t="shared" si="883"/>
        <v>0</v>
      </c>
      <c r="Q969" s="459">
        <f t="shared" si="884"/>
        <v>0</v>
      </c>
    </row>
    <row r="970" spans="1:17" ht="23.4" x14ac:dyDescent="0.3">
      <c r="A970" s="277" t="s">
        <v>111</v>
      </c>
      <c r="B970" s="444"/>
      <c r="C970" s="278" t="s">
        <v>363</v>
      </c>
      <c r="D970" s="279"/>
      <c r="E970" s="280"/>
      <c r="F970" s="339">
        <f t="shared" si="878"/>
        <v>0</v>
      </c>
      <c r="G970" s="281">
        <v>0</v>
      </c>
      <c r="H970" s="281">
        <v>0</v>
      </c>
      <c r="I970" s="358" t="str">
        <f>IFERROR(F970/#REF!,"-")</f>
        <v>-</v>
      </c>
      <c r="J970" s="339">
        <f t="shared" si="879"/>
        <v>0</v>
      </c>
      <c r="K970" s="281">
        <f t="shared" si="880"/>
        <v>0</v>
      </c>
      <c r="L970" s="251">
        <f t="shared" si="881"/>
        <v>0</v>
      </c>
      <c r="M970" s="343" t="str">
        <f t="shared" si="882"/>
        <v>-</v>
      </c>
      <c r="N970" s="264" t="str">
        <f t="shared" si="877"/>
        <v>-</v>
      </c>
      <c r="O970" s="519"/>
      <c r="P970" s="410">
        <f t="shared" si="883"/>
        <v>0</v>
      </c>
      <c r="Q970" s="459">
        <f t="shared" si="884"/>
        <v>0</v>
      </c>
    </row>
    <row r="971" spans="1:17" ht="23.4" x14ac:dyDescent="0.3">
      <c r="A971" s="277" t="s">
        <v>111</v>
      </c>
      <c r="B971" s="444"/>
      <c r="C971" s="278" t="s">
        <v>373</v>
      </c>
      <c r="D971" s="279"/>
      <c r="E971" s="280"/>
      <c r="F971" s="339">
        <f t="shared" si="878"/>
        <v>0</v>
      </c>
      <c r="G971" s="281">
        <v>0</v>
      </c>
      <c r="H971" s="281">
        <v>0</v>
      </c>
      <c r="I971" s="358" t="str">
        <f>IFERROR(F971/#REF!,"-")</f>
        <v>-</v>
      </c>
      <c r="J971" s="339">
        <f t="shared" si="879"/>
        <v>371501</v>
      </c>
      <c r="K971" s="281">
        <f t="shared" si="880"/>
        <v>370000</v>
      </c>
      <c r="L971" s="251">
        <f t="shared" si="881"/>
        <v>1501</v>
      </c>
      <c r="M971" s="343" t="str">
        <f t="shared" si="882"/>
        <v>-</v>
      </c>
      <c r="N971" s="264">
        <f t="shared" si="877"/>
        <v>4.0403659747887625E-3</v>
      </c>
      <c r="O971" s="519">
        <v>12.029500000000001</v>
      </c>
      <c r="P971" s="410">
        <f t="shared" si="883"/>
        <v>0</v>
      </c>
      <c r="Q971" s="459">
        <f t="shared" si="884"/>
        <v>4450915</v>
      </c>
    </row>
    <row r="972" spans="1:17" ht="23.4" x14ac:dyDescent="0.3">
      <c r="A972" s="277" t="s">
        <v>111</v>
      </c>
      <c r="B972" s="444"/>
      <c r="C972" s="278"/>
      <c r="D972" s="279"/>
      <c r="E972" s="280"/>
      <c r="F972" s="339">
        <f t="shared" si="878"/>
        <v>0</v>
      </c>
      <c r="G972" s="281">
        <v>0</v>
      </c>
      <c r="H972" s="281">
        <v>0</v>
      </c>
      <c r="I972" s="358" t="str">
        <f>IFERROR(F972/#REF!,"-")</f>
        <v>-</v>
      </c>
      <c r="J972" s="339">
        <f t="shared" si="879"/>
        <v>0</v>
      </c>
      <c r="K972" s="281">
        <f t="shared" si="880"/>
        <v>0</v>
      </c>
      <c r="L972" s="251">
        <f t="shared" si="881"/>
        <v>0</v>
      </c>
      <c r="M972" s="343" t="str">
        <f t="shared" si="882"/>
        <v>-</v>
      </c>
      <c r="N972" s="264" t="str">
        <f t="shared" si="877"/>
        <v>-</v>
      </c>
      <c r="O972" s="519"/>
      <c r="P972" s="410">
        <f t="shared" si="883"/>
        <v>0</v>
      </c>
      <c r="Q972" s="459">
        <f t="shared" si="884"/>
        <v>0</v>
      </c>
    </row>
    <row r="973" spans="1:17" ht="24" thickBot="1" x14ac:dyDescent="0.35">
      <c r="A973" s="277" t="s">
        <v>111</v>
      </c>
      <c r="B973" s="461"/>
      <c r="C973" s="282"/>
      <c r="D973" s="283">
        <v>0</v>
      </c>
      <c r="E973" s="284"/>
      <c r="F973" s="340">
        <f t="shared" si="878"/>
        <v>0</v>
      </c>
      <c r="G973" s="285">
        <v>0</v>
      </c>
      <c r="H973" s="285">
        <v>0</v>
      </c>
      <c r="I973" s="359" t="str">
        <f>IFERROR(F973/#REF!,"-")</f>
        <v>-</v>
      </c>
      <c r="J973" s="340">
        <f t="shared" si="879"/>
        <v>0</v>
      </c>
      <c r="K973" s="285">
        <f t="shared" si="880"/>
        <v>0</v>
      </c>
      <c r="L973" s="286">
        <f t="shared" si="881"/>
        <v>0</v>
      </c>
      <c r="M973" s="344" t="str">
        <f t="shared" si="882"/>
        <v>-</v>
      </c>
      <c r="N973" s="353" t="str">
        <f t="shared" si="877"/>
        <v>-</v>
      </c>
      <c r="O973" s="520"/>
      <c r="P973" s="411">
        <f t="shared" si="883"/>
        <v>0</v>
      </c>
      <c r="Q973" s="460">
        <f t="shared" si="884"/>
        <v>0</v>
      </c>
    </row>
    <row r="974" spans="1:17" ht="24" thickBot="1" x14ac:dyDescent="0.35">
      <c r="A974" s="277" t="s">
        <v>111</v>
      </c>
      <c r="B974" s="906" t="s">
        <v>25</v>
      </c>
      <c r="C974" s="907"/>
      <c r="D974" s="326">
        <f t="shared" ref="D974" si="885">SUM(D967:D973)</f>
        <v>0</v>
      </c>
      <c r="E974" s="289">
        <v>100000</v>
      </c>
      <c r="F974" s="326">
        <f>SUM(F967:F973)</f>
        <v>67312</v>
      </c>
      <c r="G974" s="327">
        <f t="shared" ref="G974:H974" si="886">SUM(G967:G973)</f>
        <v>67200</v>
      </c>
      <c r="H974" s="327">
        <f t="shared" si="886"/>
        <v>112</v>
      </c>
      <c r="I974" s="351" t="str">
        <f>IFERROR(F974/#REF!,"-")</f>
        <v>-</v>
      </c>
      <c r="J974" s="326">
        <f t="shared" ref="J974:L974" si="887">SUM(J967:J973)</f>
        <v>740507</v>
      </c>
      <c r="K974" s="327">
        <f t="shared" si="887"/>
        <v>732994</v>
      </c>
      <c r="L974" s="328">
        <f t="shared" si="887"/>
        <v>7513</v>
      </c>
      <c r="M974" s="345" t="str">
        <f t="shared" si="882"/>
        <v>-</v>
      </c>
      <c r="N974" s="351">
        <f t="shared" si="877"/>
        <v>1.0145751491883263E-2</v>
      </c>
      <c r="O974" s="397"/>
      <c r="P974" s="412">
        <f t="shared" ref="P974:Q974" si="888">SUM(P967:P973)</f>
        <v>208211.52</v>
      </c>
      <c r="Q974" s="431">
        <f t="shared" si="888"/>
        <v>5984116.4103999995</v>
      </c>
    </row>
    <row r="975" spans="1:17" ht="24" thickBot="1" x14ac:dyDescent="0.35">
      <c r="A975" s="277" t="s">
        <v>111</v>
      </c>
      <c r="B975" s="985" t="s">
        <v>181</v>
      </c>
      <c r="C975" s="986"/>
      <c r="D975" s="332">
        <f>+D966+D974</f>
        <v>0</v>
      </c>
      <c r="E975" s="333">
        <f t="shared" ref="E975:H975" si="889">+E966+E974</f>
        <v>115000</v>
      </c>
      <c r="F975" s="332">
        <f t="shared" si="889"/>
        <v>181030</v>
      </c>
      <c r="G975" s="330">
        <f t="shared" si="889"/>
        <v>178560</v>
      </c>
      <c r="H975" s="330">
        <f t="shared" si="889"/>
        <v>2470</v>
      </c>
      <c r="I975" s="355" t="str">
        <f>IFERROR(F975/#REF!,"-")</f>
        <v>-</v>
      </c>
      <c r="J975" s="332">
        <f t="shared" ref="J975:L975" si="890">+J966+J974</f>
        <v>2680374</v>
      </c>
      <c r="K975" s="330">
        <f t="shared" si="890"/>
        <v>2586424</v>
      </c>
      <c r="L975" s="331">
        <f t="shared" si="890"/>
        <v>93950</v>
      </c>
      <c r="M975" s="347" t="str">
        <f t="shared" si="882"/>
        <v>-</v>
      </c>
      <c r="N975" s="355">
        <f t="shared" si="877"/>
        <v>3.5051078692749593E-2</v>
      </c>
      <c r="O975" s="400"/>
      <c r="P975" s="416">
        <f t="shared" ref="P975:Q975" si="891">+P966+P974</f>
        <v>1090076.304</v>
      </c>
      <c r="Q975" s="434">
        <f t="shared" si="891"/>
        <v>16993169.0374</v>
      </c>
    </row>
    <row r="976" spans="1:17" ht="23.4" x14ac:dyDescent="0.3">
      <c r="A976" s="244" t="s">
        <v>109</v>
      </c>
      <c r="B976" s="599"/>
      <c r="C976" s="600" t="s">
        <v>314</v>
      </c>
      <c r="D976" s="540"/>
      <c r="E976" s="470"/>
      <c r="F976" s="468">
        <f>+G976+H976</f>
        <v>0</v>
      </c>
      <c r="G976" s="469">
        <v>0</v>
      </c>
      <c r="H976" s="469">
        <v>0</v>
      </c>
      <c r="I976" s="544" t="str">
        <f>IFERROR(F976/#REF!,"-")</f>
        <v>-</v>
      </c>
      <c r="J976" s="468">
        <f>+K976+L976</f>
        <v>0</v>
      </c>
      <c r="K976" s="469">
        <f t="shared" ref="K976:K982" si="892">+G976+K916</f>
        <v>0</v>
      </c>
      <c r="L976" s="247">
        <f t="shared" ref="L976:L982" si="893">+H976+L916</f>
        <v>0</v>
      </c>
      <c r="M976" s="604" t="str">
        <f>IFERROR(J976/D976,"-")</f>
        <v>-</v>
      </c>
      <c r="N976" s="546" t="str">
        <f t="shared" si="877"/>
        <v>-</v>
      </c>
      <c r="O976" s="648">
        <v>4.8285999999999998</v>
      </c>
      <c r="P976" s="547">
        <f t="shared" ref="P976:P982" si="894">+O976*G976</f>
        <v>0</v>
      </c>
      <c r="Q976" s="548">
        <f>+O976*K976</f>
        <v>0</v>
      </c>
    </row>
    <row r="977" spans="1:17" ht="23.4" x14ac:dyDescent="0.3">
      <c r="A977" s="248" t="s">
        <v>109</v>
      </c>
      <c r="B977" s="601"/>
      <c r="C977" s="278" t="s">
        <v>315</v>
      </c>
      <c r="D977" s="279"/>
      <c r="E977" s="442"/>
      <c r="F977" s="339">
        <f t="shared" ref="F977:F982" si="895">+G977+H977</f>
        <v>0</v>
      </c>
      <c r="G977" s="281">
        <v>0</v>
      </c>
      <c r="H977" s="281">
        <v>0</v>
      </c>
      <c r="I977" s="358" t="str">
        <f>IFERROR(F977/#REF!,"-")</f>
        <v>-</v>
      </c>
      <c r="J977" s="339">
        <f t="shared" ref="J977:J982" si="896">+K977+L977</f>
        <v>0</v>
      </c>
      <c r="K977" s="281">
        <f t="shared" si="892"/>
        <v>0</v>
      </c>
      <c r="L977" s="251">
        <f t="shared" si="893"/>
        <v>0</v>
      </c>
      <c r="M977" s="343" t="str">
        <f t="shared" ref="M977:M979" si="897">IFERROR(J977/D977,"-")</f>
        <v>-</v>
      </c>
      <c r="N977" s="268" t="str">
        <f t="shared" si="877"/>
        <v>-</v>
      </c>
      <c r="O977" s="649">
        <v>1.4086000000000001</v>
      </c>
      <c r="P977" s="410">
        <f t="shared" si="894"/>
        <v>0</v>
      </c>
      <c r="Q977" s="459">
        <f t="shared" ref="Q977:Q982" si="898">+O977*K977</f>
        <v>0</v>
      </c>
    </row>
    <row r="978" spans="1:17" ht="23.4" x14ac:dyDescent="0.3">
      <c r="A978" s="248" t="s">
        <v>109</v>
      </c>
      <c r="B978" s="601"/>
      <c r="C978" s="278" t="s">
        <v>367</v>
      </c>
      <c r="D978" s="279"/>
      <c r="E978" s="442"/>
      <c r="F978" s="339">
        <f t="shared" si="895"/>
        <v>0</v>
      </c>
      <c r="G978" s="281">
        <v>0</v>
      </c>
      <c r="H978" s="281">
        <v>0</v>
      </c>
      <c r="I978" s="358" t="str">
        <f>IFERROR(F978/#REF!,"-")</f>
        <v>-</v>
      </c>
      <c r="J978" s="339">
        <f t="shared" si="896"/>
        <v>573613</v>
      </c>
      <c r="K978" s="281">
        <f t="shared" si="892"/>
        <v>566000</v>
      </c>
      <c r="L978" s="251">
        <f t="shared" si="893"/>
        <v>7613</v>
      </c>
      <c r="M978" s="343" t="str">
        <f t="shared" si="897"/>
        <v>-</v>
      </c>
      <c r="N978" s="268">
        <f>IFERROR(L978/J978,"-")</f>
        <v>1.3272014406925924E-2</v>
      </c>
      <c r="O978" s="649">
        <v>2.2141000000000002</v>
      </c>
      <c r="P978" s="410">
        <f t="shared" si="894"/>
        <v>0</v>
      </c>
      <c r="Q978" s="459">
        <f t="shared" si="898"/>
        <v>1253180.6000000001</v>
      </c>
    </row>
    <row r="979" spans="1:17" ht="23.4" x14ac:dyDescent="0.3">
      <c r="A979" s="248" t="s">
        <v>109</v>
      </c>
      <c r="B979" s="602"/>
      <c r="C979" s="278" t="s">
        <v>436</v>
      </c>
      <c r="D979" s="283"/>
      <c r="E979" s="541"/>
      <c r="F979" s="340">
        <f t="shared" si="895"/>
        <v>0</v>
      </c>
      <c r="G979" s="285">
        <v>0</v>
      </c>
      <c r="H979" s="285">
        <v>0</v>
      </c>
      <c r="I979" s="359" t="str">
        <f>IFERROR(F979/#REF!,"-")</f>
        <v>-</v>
      </c>
      <c r="J979" s="339">
        <f t="shared" si="896"/>
        <v>40882</v>
      </c>
      <c r="K979" s="285">
        <f t="shared" si="892"/>
        <v>40000</v>
      </c>
      <c r="L979" s="286">
        <f t="shared" si="893"/>
        <v>882</v>
      </c>
      <c r="M979" s="344" t="str">
        <f t="shared" si="897"/>
        <v>-</v>
      </c>
      <c r="N979" s="350">
        <f t="shared" ref="N979:N986" si="899">IFERROR(L979/J979,"-")</f>
        <v>2.157428697226163E-2</v>
      </c>
      <c r="O979" s="650">
        <v>2.4565999999999999</v>
      </c>
      <c r="P979" s="411">
        <f t="shared" si="894"/>
        <v>0</v>
      </c>
      <c r="Q979" s="460">
        <f t="shared" si="898"/>
        <v>98264</v>
      </c>
    </row>
    <row r="980" spans="1:17" ht="23.4" x14ac:dyDescent="0.3">
      <c r="A980" s="248" t="s">
        <v>109</v>
      </c>
      <c r="B980" s="446"/>
      <c r="C980" s="647" t="s">
        <v>444</v>
      </c>
      <c r="D980" s="521"/>
      <c r="E980" s="542"/>
      <c r="F980" s="339">
        <f t="shared" si="895"/>
        <v>0</v>
      </c>
      <c r="G980" s="561">
        <v>0</v>
      </c>
      <c r="H980" s="561">
        <v>0</v>
      </c>
      <c r="I980" s="358" t="str">
        <f>IFERROR(F980/#REF!,"-")</f>
        <v>-</v>
      </c>
      <c r="J980" s="339">
        <f t="shared" si="896"/>
        <v>16280</v>
      </c>
      <c r="K980" s="285">
        <f t="shared" si="892"/>
        <v>15000</v>
      </c>
      <c r="L980" s="286">
        <f t="shared" si="893"/>
        <v>1280</v>
      </c>
      <c r="M980" s="522"/>
      <c r="N980" s="268">
        <f t="shared" si="899"/>
        <v>7.8624078624078622E-2</v>
      </c>
      <c r="O980" s="553">
        <v>4.8285999999999998</v>
      </c>
      <c r="P980" s="410">
        <f t="shared" si="894"/>
        <v>0</v>
      </c>
      <c r="Q980" s="459">
        <f t="shared" si="898"/>
        <v>72429</v>
      </c>
    </row>
    <row r="981" spans="1:17" ht="23.4" x14ac:dyDescent="0.3">
      <c r="A981" s="248" t="s">
        <v>109</v>
      </c>
      <c r="B981" s="603"/>
      <c r="C981" s="647" t="s">
        <v>439</v>
      </c>
      <c r="D981" s="273"/>
      <c r="E981" s="441"/>
      <c r="F981" s="338">
        <f t="shared" si="895"/>
        <v>0</v>
      </c>
      <c r="G981" s="275">
        <v>0</v>
      </c>
      <c r="H981" s="275">
        <v>0</v>
      </c>
      <c r="I981" s="357" t="str">
        <f>IFERROR(F981/#REF!,"-")</f>
        <v>-</v>
      </c>
      <c r="J981" s="339">
        <f t="shared" si="896"/>
        <v>273737</v>
      </c>
      <c r="K981" s="285">
        <f t="shared" si="892"/>
        <v>264250</v>
      </c>
      <c r="L981" s="286">
        <f t="shared" si="893"/>
        <v>9487</v>
      </c>
      <c r="M981" s="342" t="str">
        <f t="shared" ref="M981:M982" si="900">IFERROR(J981/D981,"-")</f>
        <v>-</v>
      </c>
      <c r="N981" s="352">
        <f t="shared" si="899"/>
        <v>3.4657353591220769E-2</v>
      </c>
      <c r="O981" s="518">
        <v>4.1712999999999996</v>
      </c>
      <c r="P981" s="408">
        <f t="shared" si="894"/>
        <v>0</v>
      </c>
      <c r="Q981" s="457">
        <f t="shared" si="898"/>
        <v>1102266.0249999999</v>
      </c>
    </row>
    <row r="982" spans="1:17" ht="24" thickBot="1" x14ac:dyDescent="0.35">
      <c r="A982" s="248" t="s">
        <v>109</v>
      </c>
      <c r="B982" s="601"/>
      <c r="C982" s="278"/>
      <c r="D982" s="279"/>
      <c r="E982" s="442"/>
      <c r="F982" s="339">
        <f t="shared" si="895"/>
        <v>0</v>
      </c>
      <c r="G982" s="281"/>
      <c r="H982" s="281"/>
      <c r="I982" s="358" t="str">
        <f>IFERROR(F982/#REF!,"-")</f>
        <v>-</v>
      </c>
      <c r="J982" s="339">
        <f t="shared" si="896"/>
        <v>0</v>
      </c>
      <c r="K982" s="281">
        <f t="shared" si="892"/>
        <v>0</v>
      </c>
      <c r="L982" s="251">
        <f t="shared" si="893"/>
        <v>0</v>
      </c>
      <c r="M982" s="343" t="str">
        <f t="shared" si="900"/>
        <v>-</v>
      </c>
      <c r="N982" s="264" t="str">
        <f t="shared" si="899"/>
        <v>-</v>
      </c>
      <c r="O982" s="458"/>
      <c r="P982" s="410">
        <f t="shared" si="894"/>
        <v>0</v>
      </c>
      <c r="Q982" s="459">
        <f t="shared" si="898"/>
        <v>0</v>
      </c>
    </row>
    <row r="983" spans="1:17" ht="24" thickBot="1" x14ac:dyDescent="0.35">
      <c r="A983" s="277" t="s">
        <v>109</v>
      </c>
      <c r="B983" s="987" t="s">
        <v>21</v>
      </c>
      <c r="C983" s="925"/>
      <c r="D983" s="326">
        <v>0</v>
      </c>
      <c r="E983" s="289">
        <v>15000</v>
      </c>
      <c r="F983" s="326">
        <f>SUM(F976:F982)</f>
        <v>0</v>
      </c>
      <c r="G983" s="327">
        <f t="shared" ref="G983:H983" si="901">SUM(G976:G982)</f>
        <v>0</v>
      </c>
      <c r="H983" s="327">
        <f t="shared" si="901"/>
        <v>0</v>
      </c>
      <c r="I983" s="351" t="str">
        <f>IFERROR(F983/#REF!,"-")</f>
        <v>-</v>
      </c>
      <c r="J983" s="326">
        <f t="shared" ref="J983" si="902">SUM(J976:J982)</f>
        <v>904512</v>
      </c>
      <c r="K983" s="327">
        <f>SUM(K976:K982)</f>
        <v>885250</v>
      </c>
      <c r="L983" s="327">
        <f>SUM(L976:L982)</f>
        <v>19262</v>
      </c>
      <c r="M983" s="345" t="str">
        <f>IFERROR(J983/D983,"-")</f>
        <v>-</v>
      </c>
      <c r="N983" s="351">
        <f t="shared" si="899"/>
        <v>2.1295460977853252E-2</v>
      </c>
      <c r="O983" s="397"/>
      <c r="P983" s="412">
        <f>SUM(P976:P982)</f>
        <v>0</v>
      </c>
      <c r="Q983" s="431">
        <f>SUM(Q976:Q982)</f>
        <v>2526139.625</v>
      </c>
    </row>
    <row r="984" spans="1:17" ht="24" thickBot="1" x14ac:dyDescent="0.35">
      <c r="A984" s="277" t="s">
        <v>109</v>
      </c>
      <c r="B984" s="988" t="s">
        <v>275</v>
      </c>
      <c r="C984" s="989"/>
      <c r="D984" s="524">
        <f>+D980+D983</f>
        <v>0</v>
      </c>
      <c r="E984" s="538">
        <f>+E980+E983</f>
        <v>15000</v>
      </c>
      <c r="F984" s="524">
        <f>+F980+F983</f>
        <v>0</v>
      </c>
      <c r="G984" s="526">
        <f>+G980+G983</f>
        <v>0</v>
      </c>
      <c r="H984" s="526">
        <f>+H980+H983</f>
        <v>0</v>
      </c>
      <c r="I984" s="527" t="str">
        <f>IFERROR(F984/#REF!,"-")</f>
        <v>-</v>
      </c>
      <c r="J984" s="524">
        <f>+J980+J983</f>
        <v>920792</v>
      </c>
      <c r="K984" s="526">
        <f>+K983</f>
        <v>885250</v>
      </c>
      <c r="L984" s="526">
        <f>+L983</f>
        <v>19262</v>
      </c>
      <c r="M984" s="528" t="str">
        <f t="shared" ref="M984" si="903">IFERROR(J984/D984,"-")</f>
        <v>-</v>
      </c>
      <c r="N984" s="527">
        <f t="shared" si="899"/>
        <v>2.091894803603854E-2</v>
      </c>
      <c r="O984" s="529"/>
      <c r="P984" s="530">
        <f>+P983</f>
        <v>0</v>
      </c>
      <c r="Q984" s="530">
        <f>+Q983</f>
        <v>2526139.625</v>
      </c>
    </row>
    <row r="985" spans="1:17" ht="23.4" x14ac:dyDescent="0.4">
      <c r="A985" s="244" t="s">
        <v>109</v>
      </c>
      <c r="B985" s="979" t="s">
        <v>277</v>
      </c>
      <c r="C985" s="555" t="s">
        <v>74</v>
      </c>
      <c r="D985" s="540"/>
      <c r="E985" s="470"/>
      <c r="F985" s="468">
        <f>+G985+H985</f>
        <v>0</v>
      </c>
      <c r="G985" s="469">
        <v>0</v>
      </c>
      <c r="H985" s="469">
        <v>0</v>
      </c>
      <c r="I985" s="544" t="str">
        <f>IFERROR(F985/#REF!,"-")</f>
        <v>-</v>
      </c>
      <c r="J985" s="468">
        <f>+K985+L985</f>
        <v>61721</v>
      </c>
      <c r="K985" s="469">
        <f t="shared" ref="K985:K1014" si="904">+G985+K925</f>
        <v>61660</v>
      </c>
      <c r="L985" s="246">
        <f t="shared" ref="L985:L1014" si="905">+H985+L925</f>
        <v>61</v>
      </c>
      <c r="M985" s="263" t="str">
        <f>IFERROR(J985/D985,"-")</f>
        <v>-</v>
      </c>
      <c r="N985" s="546">
        <f t="shared" si="899"/>
        <v>9.8831840054438517E-4</v>
      </c>
      <c r="O985" s="551">
        <v>32.946300000000001</v>
      </c>
      <c r="P985" s="547">
        <f t="shared" ref="P985:P1014" si="906">+O985*G985</f>
        <v>0</v>
      </c>
      <c r="Q985" s="548">
        <f t="shared" ref="Q985:Q1014" si="907">+O985*K985</f>
        <v>2031468.858</v>
      </c>
    </row>
    <row r="986" spans="1:17" ht="23.4" x14ac:dyDescent="0.4">
      <c r="A986" s="248" t="s">
        <v>109</v>
      </c>
      <c r="B986" s="980"/>
      <c r="C986" s="556" t="s">
        <v>75</v>
      </c>
      <c r="D986" s="523"/>
      <c r="E986" s="442"/>
      <c r="F986" s="339">
        <f t="shared" ref="F986:F1014" si="908">+G986+H986</f>
        <v>0</v>
      </c>
      <c r="G986" s="281">
        <v>0</v>
      </c>
      <c r="H986" s="281">
        <v>0</v>
      </c>
      <c r="I986" s="358" t="str">
        <f>IFERROR(F986/#REF!,"-")</f>
        <v>-</v>
      </c>
      <c r="J986" s="339">
        <f t="shared" ref="J986:J1014" si="909">+K986+L986</f>
        <v>0</v>
      </c>
      <c r="K986" s="281">
        <f t="shared" si="904"/>
        <v>0</v>
      </c>
      <c r="L986" s="250">
        <f t="shared" si="905"/>
        <v>0</v>
      </c>
      <c r="M986" s="265" t="str">
        <f t="shared" ref="M986:M988" si="910">IFERROR(J986/D986,"-")</f>
        <v>-</v>
      </c>
      <c r="N986" s="268" t="str">
        <f t="shared" si="899"/>
        <v>-</v>
      </c>
      <c r="O986" s="519">
        <v>35.398400000000002</v>
      </c>
      <c r="P986" s="410">
        <f t="shared" si="906"/>
        <v>0</v>
      </c>
      <c r="Q986" s="459">
        <f t="shared" si="907"/>
        <v>0</v>
      </c>
    </row>
    <row r="987" spans="1:17" ht="24" thickBot="1" x14ac:dyDescent="0.45">
      <c r="A987" s="248" t="s">
        <v>109</v>
      </c>
      <c r="B987" s="980"/>
      <c r="C987" s="556" t="s">
        <v>76</v>
      </c>
      <c r="D987" s="279"/>
      <c r="E987" s="442"/>
      <c r="F987" s="339">
        <f t="shared" si="908"/>
        <v>0</v>
      </c>
      <c r="G987" s="281">
        <v>0</v>
      </c>
      <c r="H987" s="281">
        <v>0</v>
      </c>
      <c r="I987" s="358" t="str">
        <f>IFERROR(F987/#REF!,"-")</f>
        <v>-</v>
      </c>
      <c r="J987" s="339">
        <f t="shared" si="909"/>
        <v>10000</v>
      </c>
      <c r="K987" s="281">
        <f t="shared" si="904"/>
        <v>10000</v>
      </c>
      <c r="L987" s="250">
        <f t="shared" si="905"/>
        <v>0</v>
      </c>
      <c r="M987" s="265" t="str">
        <f t="shared" si="910"/>
        <v>-</v>
      </c>
      <c r="N987" s="268">
        <f>IFERROR(L987/J987,"-")</f>
        <v>0</v>
      </c>
      <c r="O987" s="519">
        <v>32.946300000000001</v>
      </c>
      <c r="P987" s="410">
        <f t="shared" si="906"/>
        <v>0</v>
      </c>
      <c r="Q987" s="459">
        <f t="shared" si="907"/>
        <v>329463</v>
      </c>
    </row>
    <row r="988" spans="1:17" ht="23.4" x14ac:dyDescent="0.4">
      <c r="A988" s="248" t="s">
        <v>109</v>
      </c>
      <c r="B988" s="979" t="s">
        <v>278</v>
      </c>
      <c r="C988" s="558" t="s">
        <v>78</v>
      </c>
      <c r="D988" s="279"/>
      <c r="E988" s="541"/>
      <c r="F988" s="340">
        <f t="shared" si="908"/>
        <v>0</v>
      </c>
      <c r="G988" s="281">
        <v>0</v>
      </c>
      <c r="H988" s="281">
        <v>0</v>
      </c>
      <c r="I988" s="358" t="str">
        <f>IFERROR(F988/#REF!,"-")</f>
        <v>-</v>
      </c>
      <c r="J988" s="339">
        <f t="shared" si="909"/>
        <v>9803</v>
      </c>
      <c r="K988" s="281">
        <f t="shared" si="904"/>
        <v>8225</v>
      </c>
      <c r="L988" s="250">
        <f t="shared" si="905"/>
        <v>1578</v>
      </c>
      <c r="M988" s="265" t="str">
        <f t="shared" si="910"/>
        <v>-</v>
      </c>
      <c r="N988" s="268">
        <f t="shared" ref="N988" si="911">IFERROR(L988/J988,"-")</f>
        <v>0.16097113128634091</v>
      </c>
      <c r="O988" s="519">
        <v>55.4758</v>
      </c>
      <c r="P988" s="410">
        <f t="shared" si="906"/>
        <v>0</v>
      </c>
      <c r="Q988" s="459">
        <f t="shared" si="907"/>
        <v>456288.45500000002</v>
      </c>
    </row>
    <row r="989" spans="1:17" ht="23.4" x14ac:dyDescent="0.4">
      <c r="A989" s="248" t="s">
        <v>109</v>
      </c>
      <c r="B989" s="980"/>
      <c r="C989" s="558" t="s">
        <v>75</v>
      </c>
      <c r="D989" s="279"/>
      <c r="E989" s="542"/>
      <c r="F989" s="340">
        <f t="shared" si="908"/>
        <v>0</v>
      </c>
      <c r="G989" s="281">
        <v>0</v>
      </c>
      <c r="H989" s="281">
        <v>0</v>
      </c>
      <c r="I989" s="358" t="str">
        <f>IFERROR(F989/#REF!,"-")</f>
        <v>-</v>
      </c>
      <c r="J989" s="339">
        <f t="shared" si="909"/>
        <v>5350</v>
      </c>
      <c r="K989" s="281">
        <f t="shared" si="904"/>
        <v>4150</v>
      </c>
      <c r="L989" s="250">
        <f t="shared" si="905"/>
        <v>1200</v>
      </c>
      <c r="M989" s="522"/>
      <c r="N989" s="378"/>
      <c r="O989" s="553">
        <v>58.836300000000001</v>
      </c>
      <c r="P989" s="410">
        <f t="shared" si="906"/>
        <v>0</v>
      </c>
      <c r="Q989" s="459">
        <f t="shared" si="907"/>
        <v>244170.64500000002</v>
      </c>
    </row>
    <row r="990" spans="1:17" ht="23.4" x14ac:dyDescent="0.4">
      <c r="A990" s="248" t="s">
        <v>109</v>
      </c>
      <c r="B990" s="980"/>
      <c r="C990" s="558" t="s">
        <v>435</v>
      </c>
      <c r="D990" s="279"/>
      <c r="E990" s="441"/>
      <c r="F990" s="340">
        <f t="shared" si="908"/>
        <v>0</v>
      </c>
      <c r="G990" s="281">
        <v>0</v>
      </c>
      <c r="H990" s="281">
        <v>0</v>
      </c>
      <c r="I990" s="358" t="str">
        <f>IFERROR(F990/#REF!,"-")</f>
        <v>-</v>
      </c>
      <c r="J990" s="339">
        <f t="shared" si="909"/>
        <v>17944</v>
      </c>
      <c r="K990" s="281">
        <f t="shared" si="904"/>
        <v>15500</v>
      </c>
      <c r="L990" s="250">
        <f t="shared" si="905"/>
        <v>2444</v>
      </c>
      <c r="M990" s="265" t="str">
        <f t="shared" ref="M990" si="912">IFERROR(J990/D990,"-")</f>
        <v>-</v>
      </c>
      <c r="N990" s="264">
        <f t="shared" ref="N990" si="913">IFERROR(L990/J990,"-")</f>
        <v>0.13620151582701739</v>
      </c>
      <c r="O990" s="519">
        <v>55.4758</v>
      </c>
      <c r="P990" s="410">
        <f t="shared" si="906"/>
        <v>0</v>
      </c>
      <c r="Q990" s="459">
        <f t="shared" si="907"/>
        <v>859874.9</v>
      </c>
    </row>
    <row r="991" spans="1:17" ht="24" thickBot="1" x14ac:dyDescent="0.45">
      <c r="A991" s="248"/>
      <c r="B991" s="981"/>
      <c r="C991" s="558" t="s">
        <v>471</v>
      </c>
      <c r="D991" s="279"/>
      <c r="E991" s="441"/>
      <c r="F991" s="340">
        <f t="shared" si="908"/>
        <v>375</v>
      </c>
      <c r="G991" s="281">
        <v>360</v>
      </c>
      <c r="H991" s="281">
        <v>15</v>
      </c>
      <c r="I991" s="358"/>
      <c r="J991" s="339">
        <f t="shared" si="909"/>
        <v>9276</v>
      </c>
      <c r="K991" s="281">
        <f t="shared" si="904"/>
        <v>8540</v>
      </c>
      <c r="L991" s="250">
        <f t="shared" si="905"/>
        <v>736</v>
      </c>
      <c r="M991" s="265"/>
      <c r="N991" s="264">
        <f>IFERROR(L991/J991,"-")</f>
        <v>7.9344545062526944E-2</v>
      </c>
      <c r="O991" s="519">
        <v>55.4758</v>
      </c>
      <c r="P991" s="410">
        <f t="shared" si="906"/>
        <v>19971.288</v>
      </c>
      <c r="Q991" s="459">
        <f t="shared" si="907"/>
        <v>473763.33199999999</v>
      </c>
    </row>
    <row r="992" spans="1:17" ht="23.4" x14ac:dyDescent="0.4">
      <c r="A992" s="248" t="s">
        <v>109</v>
      </c>
      <c r="B992" s="979" t="s">
        <v>79</v>
      </c>
      <c r="C992" s="556" t="s">
        <v>80</v>
      </c>
      <c r="D992" s="279"/>
      <c r="E992" s="442"/>
      <c r="F992" s="339">
        <f t="shared" si="908"/>
        <v>1613</v>
      </c>
      <c r="G992" s="281">
        <v>1600</v>
      </c>
      <c r="H992" s="281">
        <v>13</v>
      </c>
      <c r="I992" s="358" t="str">
        <f>IFERROR(F992/#REF!,"-")</f>
        <v>-</v>
      </c>
      <c r="J992" s="339">
        <f t="shared" si="909"/>
        <v>3239</v>
      </c>
      <c r="K992" s="281">
        <f t="shared" si="904"/>
        <v>3200</v>
      </c>
      <c r="L992" s="250">
        <f t="shared" si="905"/>
        <v>39</v>
      </c>
      <c r="M992" s="265" t="str">
        <f t="shared" ref="M992:M1017" si="914">IFERROR(J992/D992,"-")</f>
        <v>-</v>
      </c>
      <c r="N992" s="264">
        <f t="shared" ref="N992:N1016" si="915">IFERROR(L992/J992,"-")</f>
        <v>1.2040753318925594E-2</v>
      </c>
      <c r="O992" s="519">
        <v>25.687200000000001</v>
      </c>
      <c r="P992" s="410">
        <f t="shared" si="906"/>
        <v>41099.520000000004</v>
      </c>
      <c r="Q992" s="459">
        <f t="shared" si="907"/>
        <v>82199.040000000008</v>
      </c>
    </row>
    <row r="993" spans="1:17" ht="24" thickBot="1" x14ac:dyDescent="0.45">
      <c r="A993" s="248" t="s">
        <v>109</v>
      </c>
      <c r="B993" s="981"/>
      <c r="C993" s="556" t="s">
        <v>125</v>
      </c>
      <c r="D993" s="279"/>
      <c r="E993" s="442"/>
      <c r="F993" s="339">
        <f t="shared" si="908"/>
        <v>0</v>
      </c>
      <c r="G993" s="281">
        <v>0</v>
      </c>
      <c r="H993" s="281">
        <v>0</v>
      </c>
      <c r="I993" s="358" t="str">
        <f>IFERROR(F993/#REF!,"-")</f>
        <v>-</v>
      </c>
      <c r="J993" s="339">
        <f t="shared" si="909"/>
        <v>0</v>
      </c>
      <c r="K993" s="281">
        <f t="shared" si="904"/>
        <v>0</v>
      </c>
      <c r="L993" s="250">
        <f t="shared" si="905"/>
        <v>0</v>
      </c>
      <c r="M993" s="265" t="str">
        <f t="shared" si="914"/>
        <v>-</v>
      </c>
      <c r="N993" s="264" t="str">
        <f t="shared" si="915"/>
        <v>-</v>
      </c>
      <c r="O993" s="519">
        <v>25.033899999999999</v>
      </c>
      <c r="P993" s="410">
        <f t="shared" si="906"/>
        <v>0</v>
      </c>
      <c r="Q993" s="459">
        <f t="shared" si="907"/>
        <v>0</v>
      </c>
    </row>
    <row r="994" spans="1:17" ht="23.4" x14ac:dyDescent="0.4">
      <c r="A994" s="248"/>
      <c r="B994" s="979" t="s">
        <v>81</v>
      </c>
      <c r="C994" s="556" t="s">
        <v>82</v>
      </c>
      <c r="D994" s="279"/>
      <c r="E994" s="442"/>
      <c r="F994" s="339">
        <f t="shared" si="908"/>
        <v>1616</v>
      </c>
      <c r="G994" s="281">
        <v>1600</v>
      </c>
      <c r="H994" s="281">
        <v>16</v>
      </c>
      <c r="I994" s="358" t="str">
        <f>IFERROR(F994/#REF!,"-")</f>
        <v>-</v>
      </c>
      <c r="J994" s="339">
        <f t="shared" si="909"/>
        <v>10488</v>
      </c>
      <c r="K994" s="281">
        <f t="shared" si="904"/>
        <v>10440</v>
      </c>
      <c r="L994" s="250">
        <f t="shared" si="905"/>
        <v>48</v>
      </c>
      <c r="M994" s="265" t="str">
        <f t="shared" si="914"/>
        <v>-</v>
      </c>
      <c r="N994" s="264">
        <f t="shared" si="915"/>
        <v>4.5766590389016018E-3</v>
      </c>
      <c r="O994" s="519">
        <v>41.992699999999999</v>
      </c>
      <c r="P994" s="410">
        <f t="shared" si="906"/>
        <v>67188.319999999992</v>
      </c>
      <c r="Q994" s="459">
        <f t="shared" si="907"/>
        <v>438403.788</v>
      </c>
    </row>
    <row r="995" spans="1:17" ht="24" thickBot="1" x14ac:dyDescent="0.45">
      <c r="A995" s="248"/>
      <c r="B995" s="980"/>
      <c r="C995" s="556" t="s">
        <v>364</v>
      </c>
      <c r="D995" s="279"/>
      <c r="E995" s="442"/>
      <c r="F995" s="339">
        <f t="shared" si="908"/>
        <v>0</v>
      </c>
      <c r="G995" s="281">
        <v>0</v>
      </c>
      <c r="H995" s="281">
        <v>0</v>
      </c>
      <c r="I995" s="358" t="str">
        <f>IFERROR(F995/#REF!,"-")</f>
        <v>-</v>
      </c>
      <c r="J995" s="339">
        <f t="shared" si="909"/>
        <v>0</v>
      </c>
      <c r="K995" s="281">
        <f t="shared" si="904"/>
        <v>0</v>
      </c>
      <c r="L995" s="250">
        <f t="shared" si="905"/>
        <v>0</v>
      </c>
      <c r="M995" s="265" t="str">
        <f t="shared" si="914"/>
        <v>-</v>
      </c>
      <c r="N995" s="264" t="str">
        <f t="shared" si="915"/>
        <v>-</v>
      </c>
      <c r="O995" s="519">
        <v>41.992699999999999</v>
      </c>
      <c r="P995" s="410">
        <f t="shared" si="906"/>
        <v>0</v>
      </c>
      <c r="Q995" s="459">
        <f t="shared" si="907"/>
        <v>0</v>
      </c>
    </row>
    <row r="996" spans="1:17" ht="24" thickBot="1" x14ac:dyDescent="0.45">
      <c r="A996" s="248"/>
      <c r="B996" s="559" t="s">
        <v>83</v>
      </c>
      <c r="C996" s="556" t="s">
        <v>84</v>
      </c>
      <c r="D996" s="279"/>
      <c r="E996" s="442"/>
      <c r="F996" s="339">
        <f t="shared" si="908"/>
        <v>1646</v>
      </c>
      <c r="G996" s="281">
        <v>1600</v>
      </c>
      <c r="H996" s="281">
        <v>46</v>
      </c>
      <c r="I996" s="358" t="str">
        <f>IFERROR(F996/#REF!,"-")</f>
        <v>-</v>
      </c>
      <c r="J996" s="339">
        <f t="shared" si="909"/>
        <v>3817</v>
      </c>
      <c r="K996" s="281">
        <f t="shared" si="904"/>
        <v>3600</v>
      </c>
      <c r="L996" s="250">
        <f t="shared" si="905"/>
        <v>217</v>
      </c>
      <c r="M996" s="265" t="str">
        <f t="shared" si="914"/>
        <v>-</v>
      </c>
      <c r="N996" s="264">
        <f t="shared" si="915"/>
        <v>5.6850930049777315E-2</v>
      </c>
      <c r="O996" s="519">
        <v>4.3535000000000004</v>
      </c>
      <c r="P996" s="410">
        <f t="shared" si="906"/>
        <v>6965.6</v>
      </c>
      <c r="Q996" s="459">
        <f t="shared" si="907"/>
        <v>15672.600000000002</v>
      </c>
    </row>
    <row r="997" spans="1:17" ht="23.4" x14ac:dyDescent="0.4">
      <c r="A997" s="248"/>
      <c r="B997" s="979" t="s">
        <v>280</v>
      </c>
      <c r="C997" s="556" t="s">
        <v>80</v>
      </c>
      <c r="D997" s="279"/>
      <c r="E997" s="442"/>
      <c r="F997" s="339">
        <f t="shared" si="908"/>
        <v>0</v>
      </c>
      <c r="G997" s="281">
        <v>0</v>
      </c>
      <c r="H997" s="281">
        <v>0</v>
      </c>
      <c r="I997" s="358" t="str">
        <f>IFERROR(F997/#REF!,"-")</f>
        <v>-</v>
      </c>
      <c r="J997" s="339">
        <f t="shared" si="909"/>
        <v>0</v>
      </c>
      <c r="K997" s="281">
        <f t="shared" si="904"/>
        <v>0</v>
      </c>
      <c r="L997" s="250">
        <f t="shared" si="905"/>
        <v>0</v>
      </c>
      <c r="M997" s="265" t="str">
        <f t="shared" si="914"/>
        <v>-</v>
      </c>
      <c r="N997" s="264" t="str">
        <f t="shared" si="915"/>
        <v>-</v>
      </c>
      <c r="O997" s="519">
        <v>4.6184000000000003</v>
      </c>
      <c r="P997" s="410">
        <f t="shared" si="906"/>
        <v>0</v>
      </c>
      <c r="Q997" s="459">
        <f t="shared" si="907"/>
        <v>0</v>
      </c>
    </row>
    <row r="998" spans="1:17" ht="23.4" x14ac:dyDescent="0.4">
      <c r="A998" s="248"/>
      <c r="B998" s="980"/>
      <c r="C998" s="556" t="s">
        <v>407</v>
      </c>
      <c r="D998" s="279"/>
      <c r="E998" s="442"/>
      <c r="F998" s="339">
        <f t="shared" si="908"/>
        <v>0</v>
      </c>
      <c r="G998" s="281">
        <v>0</v>
      </c>
      <c r="H998" s="281">
        <v>0</v>
      </c>
      <c r="I998" s="358" t="str">
        <f>IFERROR(F998/#REF!,"-")</f>
        <v>-</v>
      </c>
      <c r="J998" s="339">
        <f t="shared" si="909"/>
        <v>146140</v>
      </c>
      <c r="K998" s="281">
        <f t="shared" si="904"/>
        <v>144842</v>
      </c>
      <c r="L998" s="250">
        <f t="shared" si="905"/>
        <v>1298</v>
      </c>
      <c r="M998" s="265" t="str">
        <f t="shared" si="914"/>
        <v>-</v>
      </c>
      <c r="N998" s="264">
        <f t="shared" si="915"/>
        <v>8.8818940741754483E-3</v>
      </c>
      <c r="O998" s="519">
        <v>4.6184000000000003</v>
      </c>
      <c r="P998" s="410">
        <f t="shared" si="906"/>
        <v>0</v>
      </c>
      <c r="Q998" s="459">
        <f t="shared" si="907"/>
        <v>668938.29280000005</v>
      </c>
    </row>
    <row r="999" spans="1:17" ht="23.4" x14ac:dyDescent="0.4">
      <c r="A999" s="248"/>
      <c r="B999" s="980"/>
      <c r="C999" s="556" t="s">
        <v>279</v>
      </c>
      <c r="D999" s="279"/>
      <c r="E999" s="442"/>
      <c r="F999" s="339">
        <f t="shared" si="908"/>
        <v>0</v>
      </c>
      <c r="G999" s="281">
        <v>0</v>
      </c>
      <c r="H999" s="281">
        <v>0</v>
      </c>
      <c r="I999" s="358" t="str">
        <f>IFERROR(F999/#REF!,"-")</f>
        <v>-</v>
      </c>
      <c r="J999" s="339">
        <f t="shared" si="909"/>
        <v>0</v>
      </c>
      <c r="K999" s="281">
        <f t="shared" si="904"/>
        <v>0</v>
      </c>
      <c r="L999" s="250">
        <f t="shared" si="905"/>
        <v>0</v>
      </c>
      <c r="M999" s="265" t="str">
        <f t="shared" si="914"/>
        <v>-</v>
      </c>
      <c r="N999" s="264" t="str">
        <f t="shared" si="915"/>
        <v>-</v>
      </c>
      <c r="O999" s="519">
        <v>4.6184000000000003</v>
      </c>
      <c r="P999" s="410">
        <f t="shared" si="906"/>
        <v>0</v>
      </c>
      <c r="Q999" s="459">
        <f t="shared" si="907"/>
        <v>0</v>
      </c>
    </row>
    <row r="1000" spans="1:17" ht="23.4" x14ac:dyDescent="0.4">
      <c r="A1000" s="248"/>
      <c r="B1000" s="980"/>
      <c r="C1000" s="556" t="s">
        <v>440</v>
      </c>
      <c r="D1000" s="279"/>
      <c r="E1000" s="442"/>
      <c r="F1000" s="339">
        <f t="shared" si="908"/>
        <v>28979</v>
      </c>
      <c r="G1000" s="281">
        <v>28600</v>
      </c>
      <c r="H1000" s="281">
        <v>379</v>
      </c>
      <c r="I1000" s="358" t="str">
        <f>IFERROR(F1000/#REF!,"-")</f>
        <v>-</v>
      </c>
      <c r="J1000" s="339">
        <f t="shared" si="909"/>
        <v>201779</v>
      </c>
      <c r="K1000" s="281">
        <f t="shared" si="904"/>
        <v>199800</v>
      </c>
      <c r="L1000" s="250">
        <f t="shared" si="905"/>
        <v>1979</v>
      </c>
      <c r="M1000" s="265" t="str">
        <f t="shared" si="914"/>
        <v>-</v>
      </c>
      <c r="N1000" s="264">
        <f t="shared" si="915"/>
        <v>9.8077599750221785E-3</v>
      </c>
      <c r="O1000" s="519">
        <v>4.7636000000000003</v>
      </c>
      <c r="P1000" s="410">
        <f t="shared" si="906"/>
        <v>136238.96000000002</v>
      </c>
      <c r="Q1000" s="459">
        <f t="shared" si="907"/>
        <v>951767.28</v>
      </c>
    </row>
    <row r="1001" spans="1:17" ht="24" thickBot="1" x14ac:dyDescent="0.45">
      <c r="A1001" s="248"/>
      <c r="B1001" s="981"/>
      <c r="C1001" s="556" t="s">
        <v>429</v>
      </c>
      <c r="D1001" s="279"/>
      <c r="E1001" s="442"/>
      <c r="F1001" s="339">
        <f t="shared" si="908"/>
        <v>0</v>
      </c>
      <c r="G1001" s="281">
        <v>0</v>
      </c>
      <c r="H1001" s="281">
        <v>0</v>
      </c>
      <c r="I1001" s="358" t="str">
        <f>IFERROR(F1001/#REF!,"-")</f>
        <v>-</v>
      </c>
      <c r="J1001" s="339">
        <f t="shared" si="909"/>
        <v>12296</v>
      </c>
      <c r="K1001" s="281">
        <f t="shared" si="904"/>
        <v>12100</v>
      </c>
      <c r="L1001" s="250">
        <f t="shared" si="905"/>
        <v>196</v>
      </c>
      <c r="M1001" s="265" t="str">
        <f t="shared" si="914"/>
        <v>-</v>
      </c>
      <c r="N1001" s="264">
        <f t="shared" si="915"/>
        <v>1.594014313597918E-2</v>
      </c>
      <c r="O1001" s="519">
        <v>4.8738000000000001</v>
      </c>
      <c r="P1001" s="410">
        <f t="shared" si="906"/>
        <v>0</v>
      </c>
      <c r="Q1001" s="459">
        <f t="shared" si="907"/>
        <v>58972.98</v>
      </c>
    </row>
    <row r="1002" spans="1:17" ht="24" thickBot="1" x14ac:dyDescent="0.45">
      <c r="A1002" s="248"/>
      <c r="B1002" s="559" t="s">
        <v>281</v>
      </c>
      <c r="C1002" s="556" t="s">
        <v>132</v>
      </c>
      <c r="D1002" s="279"/>
      <c r="E1002" s="442"/>
      <c r="F1002" s="339">
        <f t="shared" si="908"/>
        <v>0</v>
      </c>
      <c r="G1002" s="281">
        <v>0</v>
      </c>
      <c r="H1002" s="281">
        <v>0</v>
      </c>
      <c r="I1002" s="358" t="str">
        <f>IFERROR(F1002/#REF!,"-")</f>
        <v>-</v>
      </c>
      <c r="J1002" s="339">
        <f t="shared" si="909"/>
        <v>0</v>
      </c>
      <c r="K1002" s="281">
        <f t="shared" si="904"/>
        <v>0</v>
      </c>
      <c r="L1002" s="250">
        <f t="shared" si="905"/>
        <v>0</v>
      </c>
      <c r="M1002" s="265" t="str">
        <f t="shared" si="914"/>
        <v>-</v>
      </c>
      <c r="N1002" s="264" t="str">
        <f t="shared" si="915"/>
        <v>-</v>
      </c>
      <c r="O1002" s="519">
        <v>4.8738000000000001</v>
      </c>
      <c r="P1002" s="410">
        <f t="shared" si="906"/>
        <v>0</v>
      </c>
      <c r="Q1002" s="459">
        <f t="shared" si="907"/>
        <v>0</v>
      </c>
    </row>
    <row r="1003" spans="1:17" ht="23.4" x14ac:dyDescent="0.4">
      <c r="A1003" s="248"/>
      <c r="B1003" s="979" t="s">
        <v>283</v>
      </c>
      <c r="C1003" s="556" t="s">
        <v>80</v>
      </c>
      <c r="D1003" s="279"/>
      <c r="E1003" s="442"/>
      <c r="F1003" s="339">
        <f t="shared" si="908"/>
        <v>20884</v>
      </c>
      <c r="G1003" s="281">
        <v>20400</v>
      </c>
      <c r="H1003" s="281">
        <v>484</v>
      </c>
      <c r="I1003" s="358" t="str">
        <f>IFERROR(F1003/#REF!,"-")</f>
        <v>-</v>
      </c>
      <c r="J1003" s="339">
        <f t="shared" si="909"/>
        <v>399767</v>
      </c>
      <c r="K1003" s="281">
        <f t="shared" si="904"/>
        <v>391900</v>
      </c>
      <c r="L1003" s="281">
        <f t="shared" si="905"/>
        <v>7867</v>
      </c>
      <c r="M1003" s="265" t="str">
        <f t="shared" si="914"/>
        <v>-</v>
      </c>
      <c r="N1003" s="264">
        <f t="shared" si="915"/>
        <v>1.9678962995945137E-2</v>
      </c>
      <c r="O1003" s="519">
        <v>4.9344999999999999</v>
      </c>
      <c r="P1003" s="410">
        <f t="shared" si="906"/>
        <v>100663.8</v>
      </c>
      <c r="Q1003" s="459">
        <f t="shared" si="907"/>
        <v>1933830.55</v>
      </c>
    </row>
    <row r="1004" spans="1:17" ht="23.4" x14ac:dyDescent="0.4">
      <c r="A1004" s="248"/>
      <c r="B1004" s="980"/>
      <c r="C1004" s="556" t="s">
        <v>143</v>
      </c>
      <c r="D1004" s="279"/>
      <c r="E1004" s="442"/>
      <c r="F1004" s="339">
        <f t="shared" si="908"/>
        <v>0</v>
      </c>
      <c r="G1004" s="281">
        <v>0</v>
      </c>
      <c r="H1004" s="281">
        <v>0</v>
      </c>
      <c r="I1004" s="358" t="str">
        <f>IFERROR(F1004/#REF!,"-")</f>
        <v>-</v>
      </c>
      <c r="J1004" s="339">
        <f t="shared" si="909"/>
        <v>0</v>
      </c>
      <c r="K1004" s="281">
        <f t="shared" si="904"/>
        <v>0</v>
      </c>
      <c r="L1004" s="250">
        <f t="shared" si="905"/>
        <v>0</v>
      </c>
      <c r="M1004" s="265" t="str">
        <f t="shared" si="914"/>
        <v>-</v>
      </c>
      <c r="N1004" s="264" t="str">
        <f t="shared" si="915"/>
        <v>-</v>
      </c>
      <c r="O1004" s="519">
        <v>4.9344999999999999</v>
      </c>
      <c r="P1004" s="410">
        <f t="shared" si="906"/>
        <v>0</v>
      </c>
      <c r="Q1004" s="459">
        <f t="shared" si="907"/>
        <v>0</v>
      </c>
    </row>
    <row r="1005" spans="1:17" ht="23.4" x14ac:dyDescent="0.4">
      <c r="A1005" s="248"/>
      <c r="B1005" s="980"/>
      <c r="C1005" s="556" t="s">
        <v>137</v>
      </c>
      <c r="D1005" s="279"/>
      <c r="E1005" s="442"/>
      <c r="F1005" s="339">
        <f t="shared" si="908"/>
        <v>0</v>
      </c>
      <c r="G1005" s="281">
        <v>0</v>
      </c>
      <c r="H1005" s="281">
        <v>0</v>
      </c>
      <c r="I1005" s="358" t="str">
        <f>IFERROR(F1005/#REF!,"-")</f>
        <v>-</v>
      </c>
      <c r="J1005" s="339">
        <f t="shared" si="909"/>
        <v>0</v>
      </c>
      <c r="K1005" s="281">
        <f t="shared" si="904"/>
        <v>0</v>
      </c>
      <c r="L1005" s="250">
        <f t="shared" si="905"/>
        <v>0</v>
      </c>
      <c r="M1005" s="265" t="str">
        <f t="shared" si="914"/>
        <v>-</v>
      </c>
      <c r="N1005" s="264" t="str">
        <f t="shared" si="915"/>
        <v>-</v>
      </c>
      <c r="O1005" s="519">
        <v>4.9344999999999999</v>
      </c>
      <c r="P1005" s="410">
        <f t="shared" si="906"/>
        <v>0</v>
      </c>
      <c r="Q1005" s="459">
        <f t="shared" si="907"/>
        <v>0</v>
      </c>
    </row>
    <row r="1006" spans="1:17" ht="24" thickBot="1" x14ac:dyDescent="0.45">
      <c r="A1006" s="248"/>
      <c r="B1006" s="981"/>
      <c r="C1006" s="556" t="s">
        <v>282</v>
      </c>
      <c r="D1006" s="279"/>
      <c r="E1006" s="442"/>
      <c r="F1006" s="339">
        <f t="shared" si="908"/>
        <v>0</v>
      </c>
      <c r="G1006" s="281">
        <v>0</v>
      </c>
      <c r="H1006" s="281">
        <v>0</v>
      </c>
      <c r="I1006" s="358" t="str">
        <f>IFERROR(F1006/#REF!,"-")</f>
        <v>-</v>
      </c>
      <c r="J1006" s="339">
        <f t="shared" si="909"/>
        <v>0</v>
      </c>
      <c r="K1006" s="281">
        <f t="shared" si="904"/>
        <v>0</v>
      </c>
      <c r="L1006" s="250">
        <f t="shared" si="905"/>
        <v>0</v>
      </c>
      <c r="M1006" s="265" t="str">
        <f t="shared" si="914"/>
        <v>-</v>
      </c>
      <c r="N1006" s="264" t="str">
        <f t="shared" si="915"/>
        <v>-</v>
      </c>
      <c r="O1006" s="519">
        <v>5.5069999999999997</v>
      </c>
      <c r="P1006" s="410">
        <f t="shared" si="906"/>
        <v>0</v>
      </c>
      <c r="Q1006" s="459">
        <f t="shared" si="907"/>
        <v>0</v>
      </c>
    </row>
    <row r="1007" spans="1:17" ht="23.4" x14ac:dyDescent="0.4">
      <c r="A1007" s="248"/>
      <c r="B1007" s="979" t="s">
        <v>288</v>
      </c>
      <c r="C1007" s="556" t="s">
        <v>284</v>
      </c>
      <c r="D1007" s="279"/>
      <c r="E1007" s="442"/>
      <c r="F1007" s="339">
        <f t="shared" si="908"/>
        <v>0</v>
      </c>
      <c r="G1007" s="281">
        <v>0</v>
      </c>
      <c r="H1007" s="281">
        <v>0</v>
      </c>
      <c r="I1007" s="358" t="str">
        <f>IFERROR(F1007/#REF!,"-")</f>
        <v>-</v>
      </c>
      <c r="J1007" s="339">
        <f t="shared" si="909"/>
        <v>0</v>
      </c>
      <c r="K1007" s="281">
        <f t="shared" si="904"/>
        <v>0</v>
      </c>
      <c r="L1007" s="250">
        <f t="shared" si="905"/>
        <v>0</v>
      </c>
      <c r="M1007" s="265" t="str">
        <f t="shared" si="914"/>
        <v>-</v>
      </c>
      <c r="N1007" s="264" t="str">
        <f t="shared" si="915"/>
        <v>-</v>
      </c>
      <c r="O1007" s="519">
        <v>5.6550000000000002</v>
      </c>
      <c r="P1007" s="410">
        <f t="shared" si="906"/>
        <v>0</v>
      </c>
      <c r="Q1007" s="459">
        <f t="shared" si="907"/>
        <v>0</v>
      </c>
    </row>
    <row r="1008" spans="1:17" ht="23.4" x14ac:dyDescent="0.4">
      <c r="A1008" s="248"/>
      <c r="B1008" s="980"/>
      <c r="C1008" s="556" t="s">
        <v>285</v>
      </c>
      <c r="D1008" s="279"/>
      <c r="E1008" s="442"/>
      <c r="F1008" s="339">
        <f t="shared" si="908"/>
        <v>0</v>
      </c>
      <c r="G1008" s="281">
        <v>0</v>
      </c>
      <c r="H1008" s="281">
        <v>0</v>
      </c>
      <c r="I1008" s="358" t="str">
        <f>IFERROR(F1008/#REF!,"-")</f>
        <v>-</v>
      </c>
      <c r="J1008" s="339">
        <f t="shared" si="909"/>
        <v>0</v>
      </c>
      <c r="K1008" s="281">
        <f t="shared" si="904"/>
        <v>0</v>
      </c>
      <c r="L1008" s="250">
        <f t="shared" si="905"/>
        <v>0</v>
      </c>
      <c r="M1008" s="265" t="str">
        <f t="shared" si="914"/>
        <v>-</v>
      </c>
      <c r="N1008" s="264" t="str">
        <f t="shared" si="915"/>
        <v>-</v>
      </c>
      <c r="O1008" s="519">
        <v>5.6550000000000002</v>
      </c>
      <c r="P1008" s="410">
        <f t="shared" si="906"/>
        <v>0</v>
      </c>
      <c r="Q1008" s="459">
        <f t="shared" si="907"/>
        <v>0</v>
      </c>
    </row>
    <row r="1009" spans="1:17" ht="23.4" x14ac:dyDescent="0.4">
      <c r="A1009" s="248"/>
      <c r="B1009" s="980"/>
      <c r="C1009" s="556" t="s">
        <v>374</v>
      </c>
      <c r="D1009" s="279"/>
      <c r="E1009" s="442"/>
      <c r="F1009" s="339">
        <f t="shared" si="908"/>
        <v>25612</v>
      </c>
      <c r="G1009" s="281">
        <v>24850</v>
      </c>
      <c r="H1009" s="281">
        <v>762</v>
      </c>
      <c r="I1009" s="358" t="str">
        <f>IFERROR(F1009/#REF!,"-")</f>
        <v>-</v>
      </c>
      <c r="J1009" s="339">
        <f t="shared" si="909"/>
        <v>396489</v>
      </c>
      <c r="K1009" s="281">
        <f t="shared" si="904"/>
        <v>386850</v>
      </c>
      <c r="L1009" s="250">
        <f t="shared" si="905"/>
        <v>9639</v>
      </c>
      <c r="M1009" s="265" t="str">
        <f t="shared" si="914"/>
        <v>-</v>
      </c>
      <c r="N1009" s="264">
        <f t="shared" si="915"/>
        <v>2.431088882667615E-2</v>
      </c>
      <c r="O1009" s="519">
        <v>5.6550000000000002</v>
      </c>
      <c r="P1009" s="410">
        <f t="shared" si="906"/>
        <v>140526.75</v>
      </c>
      <c r="Q1009" s="459">
        <f t="shared" si="907"/>
        <v>2187636.75</v>
      </c>
    </row>
    <row r="1010" spans="1:17" ht="23.4" x14ac:dyDescent="0.4">
      <c r="A1010" s="248"/>
      <c r="B1010" s="980"/>
      <c r="C1010" s="556" t="s">
        <v>286</v>
      </c>
      <c r="D1010" s="279"/>
      <c r="E1010" s="442"/>
      <c r="F1010" s="339">
        <f t="shared" si="908"/>
        <v>0</v>
      </c>
      <c r="G1010" s="281">
        <v>0</v>
      </c>
      <c r="H1010" s="281">
        <v>0</v>
      </c>
      <c r="I1010" s="358" t="str">
        <f>IFERROR(F1010/#REF!,"-")</f>
        <v>-</v>
      </c>
      <c r="J1010" s="339">
        <f t="shared" si="909"/>
        <v>0</v>
      </c>
      <c r="K1010" s="281">
        <f t="shared" si="904"/>
        <v>0</v>
      </c>
      <c r="L1010" s="250">
        <f t="shared" si="905"/>
        <v>0</v>
      </c>
      <c r="M1010" s="265" t="str">
        <f t="shared" si="914"/>
        <v>-</v>
      </c>
      <c r="N1010" s="264" t="str">
        <f t="shared" si="915"/>
        <v>-</v>
      </c>
      <c r="O1010" s="519">
        <v>5.6550000000000002</v>
      </c>
      <c r="P1010" s="410">
        <f t="shared" si="906"/>
        <v>0</v>
      </c>
      <c r="Q1010" s="459">
        <f t="shared" si="907"/>
        <v>0</v>
      </c>
    </row>
    <row r="1011" spans="1:17" ht="23.4" x14ac:dyDescent="0.4">
      <c r="A1011" s="248" t="s">
        <v>109</v>
      </c>
      <c r="B1011" s="980"/>
      <c r="C1011" s="556" t="s">
        <v>287</v>
      </c>
      <c r="D1011" s="279"/>
      <c r="E1011" s="442"/>
      <c r="F1011" s="339">
        <f t="shared" si="908"/>
        <v>0</v>
      </c>
      <c r="G1011" s="281">
        <v>0</v>
      </c>
      <c r="H1011" s="281">
        <v>0</v>
      </c>
      <c r="I1011" s="358" t="str">
        <f>IFERROR(F1011/#REF!,"-")</f>
        <v>-</v>
      </c>
      <c r="J1011" s="339">
        <f t="shared" si="909"/>
        <v>0</v>
      </c>
      <c r="K1011" s="281">
        <f t="shared" si="904"/>
        <v>0</v>
      </c>
      <c r="L1011" s="250">
        <f t="shared" si="905"/>
        <v>0</v>
      </c>
      <c r="M1011" s="265" t="str">
        <f t="shared" si="914"/>
        <v>-</v>
      </c>
      <c r="N1011" s="264" t="str">
        <f t="shared" si="915"/>
        <v>-</v>
      </c>
      <c r="O1011" s="519">
        <v>3.2963</v>
      </c>
      <c r="P1011" s="410">
        <f t="shared" si="906"/>
        <v>0</v>
      </c>
      <c r="Q1011" s="459">
        <f t="shared" si="907"/>
        <v>0</v>
      </c>
    </row>
    <row r="1012" spans="1:17" ht="24" thickBot="1" x14ac:dyDescent="0.45">
      <c r="A1012" s="248" t="s">
        <v>109</v>
      </c>
      <c r="B1012" s="981"/>
      <c r="C1012" s="556" t="s">
        <v>282</v>
      </c>
      <c r="D1012" s="279"/>
      <c r="E1012" s="442"/>
      <c r="F1012" s="339">
        <f t="shared" si="908"/>
        <v>0</v>
      </c>
      <c r="G1012" s="281">
        <v>0</v>
      </c>
      <c r="H1012" s="281">
        <v>0</v>
      </c>
      <c r="I1012" s="358" t="str">
        <f>IFERROR(F1012/#REF!,"-")</f>
        <v>-</v>
      </c>
      <c r="J1012" s="339">
        <f t="shared" si="909"/>
        <v>0</v>
      </c>
      <c r="K1012" s="281">
        <f t="shared" si="904"/>
        <v>0</v>
      </c>
      <c r="L1012" s="250">
        <f t="shared" si="905"/>
        <v>0</v>
      </c>
      <c r="M1012" s="265" t="str">
        <f t="shared" si="914"/>
        <v>-</v>
      </c>
      <c r="N1012" s="264" t="str">
        <f t="shared" si="915"/>
        <v>-</v>
      </c>
      <c r="O1012" s="519">
        <v>3.2963</v>
      </c>
      <c r="P1012" s="410">
        <f t="shared" si="906"/>
        <v>0</v>
      </c>
      <c r="Q1012" s="459">
        <f t="shared" si="907"/>
        <v>0</v>
      </c>
    </row>
    <row r="1013" spans="1:17" ht="23.4" x14ac:dyDescent="0.4">
      <c r="A1013" s="248" t="s">
        <v>109</v>
      </c>
      <c r="B1013" s="560"/>
      <c r="C1013" s="557" t="s">
        <v>92</v>
      </c>
      <c r="D1013" s="523"/>
      <c r="E1013" s="442"/>
      <c r="F1013" s="339">
        <f t="shared" si="908"/>
        <v>0</v>
      </c>
      <c r="G1013" s="281">
        <v>0</v>
      </c>
      <c r="H1013" s="281">
        <v>0</v>
      </c>
      <c r="I1013" s="358" t="str">
        <f>IFERROR(F1013/#REF!,"-")</f>
        <v>-</v>
      </c>
      <c r="J1013" s="339">
        <f t="shared" si="909"/>
        <v>65530</v>
      </c>
      <c r="K1013" s="281">
        <f t="shared" si="904"/>
        <v>65500</v>
      </c>
      <c r="L1013" s="250">
        <f t="shared" si="905"/>
        <v>30</v>
      </c>
      <c r="M1013" s="265" t="str">
        <f t="shared" si="914"/>
        <v>-</v>
      </c>
      <c r="N1013" s="264">
        <f t="shared" si="915"/>
        <v>4.5780558522813981E-4</v>
      </c>
      <c r="O1013" s="519">
        <v>2.3201000000000001</v>
      </c>
      <c r="P1013" s="410">
        <f t="shared" si="906"/>
        <v>0</v>
      </c>
      <c r="Q1013" s="459">
        <f t="shared" si="907"/>
        <v>151966.55000000002</v>
      </c>
    </row>
    <row r="1014" spans="1:17" ht="24" thickBot="1" x14ac:dyDescent="0.35">
      <c r="A1014" s="248" t="s">
        <v>109</v>
      </c>
      <c r="B1014" s="537"/>
      <c r="C1014" s="554"/>
      <c r="D1014" s="543"/>
      <c r="E1014" s="473"/>
      <c r="F1014" s="471">
        <f t="shared" si="908"/>
        <v>0</v>
      </c>
      <c r="G1014" s="472"/>
      <c r="H1014" s="472"/>
      <c r="I1014" s="545" t="str">
        <f>IFERROR(F1014/#REF!,"-")</f>
        <v>-</v>
      </c>
      <c r="J1014" s="471">
        <f t="shared" si="909"/>
        <v>0</v>
      </c>
      <c r="K1014" s="472">
        <f t="shared" si="904"/>
        <v>0</v>
      </c>
      <c r="L1014" s="257">
        <f t="shared" si="905"/>
        <v>0</v>
      </c>
      <c r="M1014" s="267" t="str">
        <f t="shared" si="914"/>
        <v>-</v>
      </c>
      <c r="N1014" s="266" t="str">
        <f t="shared" si="915"/>
        <v>-</v>
      </c>
      <c r="O1014" s="552"/>
      <c r="P1014" s="549">
        <f t="shared" si="906"/>
        <v>0</v>
      </c>
      <c r="Q1014" s="550">
        <f t="shared" si="907"/>
        <v>0</v>
      </c>
    </row>
    <row r="1015" spans="1:17" ht="24" thickBot="1" x14ac:dyDescent="0.35">
      <c r="A1015" s="277" t="s">
        <v>109</v>
      </c>
      <c r="B1015" s="982" t="s">
        <v>25</v>
      </c>
      <c r="C1015" s="983"/>
      <c r="D1015" s="525">
        <f t="shared" ref="D1015" si="916">SUM(D990:D1014)</f>
        <v>0</v>
      </c>
      <c r="E1015" s="539">
        <v>100000</v>
      </c>
      <c r="F1015" s="525">
        <f>SUM(F990:F1014)</f>
        <v>80725</v>
      </c>
      <c r="G1015" s="531">
        <f t="shared" ref="G1015:H1015" si="917">SUM(G990:G1014)</f>
        <v>79010</v>
      </c>
      <c r="H1015" s="531">
        <f t="shared" si="917"/>
        <v>1715</v>
      </c>
      <c r="I1015" s="532" t="str">
        <f>IFERROR(F1015/#REF!,"-")</f>
        <v>-</v>
      </c>
      <c r="J1015" s="525">
        <f t="shared" ref="J1015" si="918">SUM(J990:J1014)</f>
        <v>1266765</v>
      </c>
      <c r="K1015" s="531">
        <f>SUM(K985:K1014)</f>
        <v>1326307</v>
      </c>
      <c r="L1015" s="533">
        <f t="shared" ref="L1015" si="919">SUM(L990:L1014)</f>
        <v>24493</v>
      </c>
      <c r="M1015" s="534" t="str">
        <f t="shared" si="914"/>
        <v>-</v>
      </c>
      <c r="N1015" s="532">
        <f t="shared" si="915"/>
        <v>1.9335077934739278E-2</v>
      </c>
      <c r="O1015" s="535"/>
      <c r="P1015" s="536">
        <f>SUM(P985:P1014)</f>
        <v>512654.23800000001</v>
      </c>
      <c r="Q1015" s="536">
        <f>SUM(Q985:Q1014)</f>
        <v>10884417.020800002</v>
      </c>
    </row>
    <row r="1016" spans="1:17" ht="24" thickBot="1" x14ac:dyDescent="0.35">
      <c r="A1016" s="324" t="s">
        <v>109</v>
      </c>
      <c r="B1016" s="984" t="s">
        <v>276</v>
      </c>
      <c r="C1016" s="927"/>
      <c r="D1016" s="332">
        <f>+D989+D1015</f>
        <v>0</v>
      </c>
      <c r="E1016" s="333">
        <f>+E989+E1015</f>
        <v>100000</v>
      </c>
      <c r="F1016" s="332">
        <f>+F989+F1015</f>
        <v>80725</v>
      </c>
      <c r="G1016" s="330">
        <f>+G989+G1015</f>
        <v>79010</v>
      </c>
      <c r="H1016" s="330">
        <f>+H989+H1015</f>
        <v>1715</v>
      </c>
      <c r="I1016" s="355" t="str">
        <f>IFERROR(F1016/#REF!,"-")</f>
        <v>-</v>
      </c>
      <c r="J1016" s="332">
        <f>+J989+J1015</f>
        <v>1272115</v>
      </c>
      <c r="K1016" s="330">
        <f>K1015</f>
        <v>1326307</v>
      </c>
      <c r="L1016" s="331">
        <f>+L989+L1015</f>
        <v>25693</v>
      </c>
      <c r="M1016" s="347" t="str">
        <f t="shared" si="914"/>
        <v>-</v>
      </c>
      <c r="N1016" s="355">
        <f t="shared" si="915"/>
        <v>2.0197073377799964E-2</v>
      </c>
      <c r="O1016" s="400"/>
      <c r="P1016" s="416">
        <f>+P989+P1015</f>
        <v>512654.23800000001</v>
      </c>
      <c r="Q1016" s="434">
        <f>Q1015</f>
        <v>10884417.020800002</v>
      </c>
    </row>
    <row r="1017" spans="1:17" ht="24.6" thickBot="1" x14ac:dyDescent="0.35">
      <c r="A1017" s="325"/>
      <c r="B1017" s="915" t="s">
        <v>183</v>
      </c>
      <c r="C1017" s="916"/>
      <c r="D1017" s="380">
        <f>+D1016+D984+D975</f>
        <v>0</v>
      </c>
      <c r="E1017" s="380">
        <f>+E1016+E984+E975</f>
        <v>230000</v>
      </c>
      <c r="F1017" s="380">
        <f>+F1016+F984+F975</f>
        <v>261755</v>
      </c>
      <c r="G1017" s="380">
        <f>+G1016+G984+G975</f>
        <v>257570</v>
      </c>
      <c r="H1017" s="380">
        <f>+H1016+H984+H975</f>
        <v>4185</v>
      </c>
      <c r="I1017" s="381" t="str">
        <f>IFERROR(F1017/#REF!,"-")</f>
        <v>-</v>
      </c>
      <c r="J1017" s="380">
        <f>+J1016+J984+J975</f>
        <v>4873281</v>
      </c>
      <c r="K1017" s="380">
        <f>+K1016+K984+K975</f>
        <v>4797981</v>
      </c>
      <c r="L1017" s="380">
        <f>+L1016+L984+L975</f>
        <v>138905</v>
      </c>
      <c r="M1017" s="381" t="str">
        <f t="shared" si="914"/>
        <v>-</v>
      </c>
      <c r="N1017" s="381">
        <f>IFERROR(L1017/J1017,"-")</f>
        <v>2.8503384065068277E-2</v>
      </c>
      <c r="O1017" s="407"/>
      <c r="P1017" s="424">
        <f>+P1016+P984+P975</f>
        <v>1602730.5419999999</v>
      </c>
      <c r="Q1017" s="424">
        <f>+Q1016+Q984+Q975</f>
        <v>30403725.683200002</v>
      </c>
    </row>
    <row r="1018" spans="1:17" ht="23.4" x14ac:dyDescent="0.3">
      <c r="A1018" s="935" t="s">
        <v>1</v>
      </c>
      <c r="B1018" s="938" t="s">
        <v>2</v>
      </c>
      <c r="C1018" s="941" t="s">
        <v>3</v>
      </c>
      <c r="D1018" s="944" t="s">
        <v>4</v>
      </c>
      <c r="E1018" s="945"/>
      <c r="F1018" s="945"/>
      <c r="G1018" s="945"/>
      <c r="H1018" s="945"/>
      <c r="I1018" s="945"/>
      <c r="J1018" s="945"/>
      <c r="K1018" s="945"/>
      <c r="L1018" s="945"/>
      <c r="M1018" s="945"/>
      <c r="N1018" s="946"/>
      <c r="O1018" s="965" t="s">
        <v>176</v>
      </c>
      <c r="P1018" s="966"/>
      <c r="Q1018" s="990"/>
    </row>
    <row r="1019" spans="1:17" ht="23.4" x14ac:dyDescent="0.3">
      <c r="A1019" s="936"/>
      <c r="B1019" s="939"/>
      <c r="C1019" s="942"/>
      <c r="D1019" s="947" t="s">
        <v>7</v>
      </c>
      <c r="E1019" s="949" t="s">
        <v>116</v>
      </c>
      <c r="F1019" s="991" t="s">
        <v>482</v>
      </c>
      <c r="G1019" s="952"/>
      <c r="H1019" s="952"/>
      <c r="I1019" s="953"/>
      <c r="J1019" s="954" t="s">
        <v>8</v>
      </c>
      <c r="K1019" s="955"/>
      <c r="L1019" s="956"/>
      <c r="M1019" s="957" t="s">
        <v>174</v>
      </c>
      <c r="N1019" s="959" t="s">
        <v>173</v>
      </c>
      <c r="O1019" s="967" t="s">
        <v>178</v>
      </c>
      <c r="P1019" s="968"/>
      <c r="Q1019" s="969"/>
    </row>
    <row r="1020" spans="1:17" ht="47.4" thickBot="1" x14ac:dyDescent="0.35">
      <c r="A1020" s="937"/>
      <c r="B1020" s="940"/>
      <c r="C1020" s="943"/>
      <c r="D1020" s="948"/>
      <c r="E1020" s="950"/>
      <c r="F1020" s="462" t="s">
        <v>13</v>
      </c>
      <c r="G1020" s="463" t="s">
        <v>14</v>
      </c>
      <c r="H1020" s="463" t="s">
        <v>15</v>
      </c>
      <c r="I1020" s="464" t="s">
        <v>175</v>
      </c>
      <c r="J1020" s="462" t="s">
        <v>13</v>
      </c>
      <c r="K1020" s="463" t="s">
        <v>14</v>
      </c>
      <c r="L1020" s="465" t="s">
        <v>15</v>
      </c>
      <c r="M1020" s="958"/>
      <c r="N1020" s="960"/>
      <c r="O1020" s="453" t="s">
        <v>179</v>
      </c>
      <c r="P1020" s="454" t="s">
        <v>11</v>
      </c>
      <c r="Q1020" s="455" t="s">
        <v>12</v>
      </c>
    </row>
    <row r="1021" spans="1:17" ht="23.4" x14ac:dyDescent="0.3">
      <c r="A1021" s="271" t="s">
        <v>111</v>
      </c>
      <c r="B1021" s="445"/>
      <c r="C1021" s="272" t="s">
        <v>272</v>
      </c>
      <c r="D1021" s="273"/>
      <c r="E1021" s="274"/>
      <c r="F1021" s="338">
        <f>+G1021+H1021</f>
        <v>96720</v>
      </c>
      <c r="G1021" s="275">
        <v>92400</v>
      </c>
      <c r="H1021" s="275">
        <v>4320</v>
      </c>
      <c r="I1021" s="357" t="str">
        <f>IFERROR(F1021/#REF!,"-")</f>
        <v>-</v>
      </c>
      <c r="J1021" s="468">
        <f>+K1021+L1021</f>
        <v>1135596</v>
      </c>
      <c r="K1021" s="469">
        <f>+G1021+K961</f>
        <v>1069880</v>
      </c>
      <c r="L1021" s="469">
        <f>+H1021+L961</f>
        <v>65716</v>
      </c>
      <c r="M1021" s="342" t="str">
        <f>IFERROR(J1021/D1021,"-")</f>
        <v>-</v>
      </c>
      <c r="N1021" s="349">
        <f t="shared" ref="N1021:N1022" si="920">IFERROR(L1021/J1021,"-")</f>
        <v>5.78691717829228E-2</v>
      </c>
      <c r="O1021" s="518">
        <v>1.5669</v>
      </c>
      <c r="P1021" s="408">
        <f>+O1021*G1021</f>
        <v>144781.56</v>
      </c>
      <c r="Q1021" s="457">
        <f>+O1021*K1021</f>
        <v>1676394.9720000001</v>
      </c>
    </row>
    <row r="1022" spans="1:17" ht="23.4" x14ac:dyDescent="0.3">
      <c r="A1022" s="277" t="s">
        <v>111</v>
      </c>
      <c r="B1022" s="444"/>
      <c r="C1022" s="278" t="s">
        <v>271</v>
      </c>
      <c r="D1022" s="279"/>
      <c r="E1022" s="280"/>
      <c r="F1022" s="339">
        <f t="shared" ref="F1022:F1025" si="921">+G1022+H1022</f>
        <v>26548</v>
      </c>
      <c r="G1022" s="281">
        <v>26500</v>
      </c>
      <c r="H1022" s="281">
        <v>48</v>
      </c>
      <c r="I1022" s="358" t="str">
        <f>IFERROR(F1022/#REF!,"-")</f>
        <v>-</v>
      </c>
      <c r="J1022" s="339">
        <f t="shared" ref="J1022:J1025" si="922">+K1022+L1022</f>
        <v>26548</v>
      </c>
      <c r="K1022" s="281">
        <f t="shared" ref="K1022:K1025" si="923">+G1022+K962</f>
        <v>26500</v>
      </c>
      <c r="L1022" s="442">
        <f t="shared" ref="L1022:L1025" si="924">+H1022+L962</f>
        <v>48</v>
      </c>
      <c r="M1022" s="343" t="str">
        <f t="shared" ref="M1022:M1025" si="925">IFERROR(J1022/D1022,"-")</f>
        <v>-</v>
      </c>
      <c r="N1022" s="268">
        <f t="shared" si="920"/>
        <v>1.8080458038270302E-3</v>
      </c>
      <c r="O1022" s="519">
        <v>2.3978999999999999</v>
      </c>
      <c r="P1022" s="410">
        <f t="shared" ref="P1022:P1025" si="926">+O1022*G1022</f>
        <v>63544.35</v>
      </c>
      <c r="Q1022" s="459">
        <f t="shared" ref="Q1022:Q1025" si="927">+O1022*K1022</f>
        <v>63544.35</v>
      </c>
    </row>
    <row r="1023" spans="1:17" ht="23.4" x14ac:dyDescent="0.3">
      <c r="A1023" s="277" t="s">
        <v>111</v>
      </c>
      <c r="B1023" s="444"/>
      <c r="C1023" s="278" t="s">
        <v>488</v>
      </c>
      <c r="D1023" s="279"/>
      <c r="E1023" s="280"/>
      <c r="F1023" s="339">
        <f t="shared" si="921"/>
        <v>0</v>
      </c>
      <c r="G1023" s="281">
        <v>0</v>
      </c>
      <c r="H1023" s="281">
        <v>0</v>
      </c>
      <c r="I1023" s="358" t="str">
        <f>IFERROR(F1023/#REF!,"-")</f>
        <v>-</v>
      </c>
      <c r="J1023" s="339">
        <f t="shared" si="922"/>
        <v>0</v>
      </c>
      <c r="K1023" s="281">
        <f t="shared" si="923"/>
        <v>0</v>
      </c>
      <c r="L1023" s="251">
        <f t="shared" si="924"/>
        <v>0</v>
      </c>
      <c r="M1023" s="343" t="str">
        <f t="shared" si="925"/>
        <v>-</v>
      </c>
      <c r="N1023" s="268" t="str">
        <f>IFERROR(L1023/J1023,"-")</f>
        <v>-</v>
      </c>
      <c r="O1023" s="520">
        <v>4.6797000000000004</v>
      </c>
      <c r="P1023" s="410">
        <f t="shared" si="926"/>
        <v>0</v>
      </c>
      <c r="Q1023" s="459">
        <f t="shared" si="927"/>
        <v>0</v>
      </c>
    </row>
    <row r="1024" spans="1:17" ht="23.4" x14ac:dyDescent="0.3">
      <c r="A1024" s="277"/>
      <c r="B1024" s="461"/>
      <c r="C1024" s="278" t="s">
        <v>372</v>
      </c>
      <c r="D1024" s="283"/>
      <c r="E1024" s="284"/>
      <c r="F1024" s="339">
        <f t="shared" si="921"/>
        <v>16984</v>
      </c>
      <c r="G1024" s="285">
        <v>16600</v>
      </c>
      <c r="H1024" s="285">
        <v>384</v>
      </c>
      <c r="I1024" s="358" t="str">
        <f>IFERROR(F1024/#REF!,"-")</f>
        <v>-</v>
      </c>
      <c r="J1024" s="339">
        <f t="shared" si="922"/>
        <v>746107</v>
      </c>
      <c r="K1024" s="281">
        <f t="shared" si="923"/>
        <v>723800</v>
      </c>
      <c r="L1024" s="286">
        <f t="shared" si="924"/>
        <v>22307</v>
      </c>
      <c r="M1024" s="343" t="str">
        <f t="shared" si="925"/>
        <v>-</v>
      </c>
      <c r="N1024" s="268">
        <f>IFERROR(L1024/J1024,"-")</f>
        <v>2.9897856473669326E-2</v>
      </c>
      <c r="O1024" s="520">
        <v>12.284700000000001</v>
      </c>
      <c r="P1024" s="410">
        <f t="shared" si="926"/>
        <v>203926.02000000002</v>
      </c>
      <c r="Q1024" s="459">
        <f t="shared" si="927"/>
        <v>8891665.8600000013</v>
      </c>
    </row>
    <row r="1025" spans="1:17" ht="24" thickBot="1" x14ac:dyDescent="0.35">
      <c r="A1025" s="277" t="s">
        <v>111</v>
      </c>
      <c r="B1025" s="461"/>
      <c r="C1025" s="278" t="s">
        <v>497</v>
      </c>
      <c r="D1025" s="283"/>
      <c r="E1025" s="284"/>
      <c r="F1025" s="340">
        <f t="shared" si="921"/>
        <v>0</v>
      </c>
      <c r="G1025" s="285">
        <v>0</v>
      </c>
      <c r="H1025" s="285">
        <v>0</v>
      </c>
      <c r="I1025" s="359" t="str">
        <f>IFERROR(F1025/#REF!,"-")</f>
        <v>-</v>
      </c>
      <c r="J1025" s="471">
        <f t="shared" si="922"/>
        <v>171868</v>
      </c>
      <c r="K1025" s="472">
        <f t="shared" si="923"/>
        <v>168750</v>
      </c>
      <c r="L1025" s="258">
        <f t="shared" si="924"/>
        <v>3118</v>
      </c>
      <c r="M1025" s="344" t="str">
        <f t="shared" si="925"/>
        <v>-</v>
      </c>
      <c r="N1025" s="350">
        <f t="shared" ref="N1025:N1037" si="928">IFERROR(L1025/J1025,"-")</f>
        <v>1.8141829776339984E-2</v>
      </c>
      <c r="O1025" s="520">
        <v>4.6797000000000004</v>
      </c>
      <c r="P1025" s="411">
        <f t="shared" si="926"/>
        <v>0</v>
      </c>
      <c r="Q1025" s="460">
        <f t="shared" si="927"/>
        <v>789699.37500000012</v>
      </c>
    </row>
    <row r="1026" spans="1:17" ht="24" thickBot="1" x14ac:dyDescent="0.35">
      <c r="A1026" s="277" t="s">
        <v>111</v>
      </c>
      <c r="B1026" s="906" t="s">
        <v>21</v>
      </c>
      <c r="C1026" s="907"/>
      <c r="D1026" s="326">
        <f>SUM(D1021:D1025)</f>
        <v>0</v>
      </c>
      <c r="E1026" s="289">
        <v>15000</v>
      </c>
      <c r="F1026" s="326">
        <f>SUM(F1021:F1025)</f>
        <v>140252</v>
      </c>
      <c r="G1026" s="327">
        <f>SUM(G1021:G1025)</f>
        <v>135500</v>
      </c>
      <c r="H1026" s="327">
        <f>SUM(H1021:H1025)</f>
        <v>4752</v>
      </c>
      <c r="I1026" s="351" t="str">
        <f>IFERROR(F1026/#REF!,"-")</f>
        <v>-</v>
      </c>
      <c r="J1026" s="326">
        <f>SUM(J1021:J1025)</f>
        <v>2080119</v>
      </c>
      <c r="K1026" s="327">
        <f>SUM(K1021:K1025)</f>
        <v>1988930</v>
      </c>
      <c r="L1026" s="328">
        <f>SUM(L1021:L1025)</f>
        <v>91189</v>
      </c>
      <c r="M1026" s="345" t="str">
        <f>IFERROR(J1026/D1026,"-")</f>
        <v>-</v>
      </c>
      <c r="N1026" s="351">
        <f t="shared" si="928"/>
        <v>4.3838357324749208E-2</v>
      </c>
      <c r="O1026" s="397"/>
      <c r="P1026" s="412">
        <f>SUM(P1021:P1025)</f>
        <v>412251.93000000005</v>
      </c>
      <c r="Q1026" s="431">
        <f>SUM(Q1021:Q1025)</f>
        <v>11421304.557000002</v>
      </c>
    </row>
    <row r="1027" spans="1:17" ht="23.4" x14ac:dyDescent="0.3">
      <c r="A1027" s="277" t="s">
        <v>111</v>
      </c>
      <c r="B1027" s="445"/>
      <c r="C1027" s="272" t="s">
        <v>270</v>
      </c>
      <c r="D1027" s="273"/>
      <c r="E1027" s="274"/>
      <c r="F1027" s="338">
        <f t="shared" ref="F1027:F1033" si="929">+G1027+H1027</f>
        <v>12074</v>
      </c>
      <c r="G1027" s="275">
        <v>11880</v>
      </c>
      <c r="H1027" s="275">
        <v>194</v>
      </c>
      <c r="I1027" s="357" t="str">
        <f>IFERROR(F1027/#REF!,"-")</f>
        <v>-</v>
      </c>
      <c r="J1027" s="338">
        <f t="shared" ref="J1027:J1033" si="930">+K1027+L1027</f>
        <v>81080</v>
      </c>
      <c r="K1027" s="275">
        <f t="shared" ref="K1027:K1033" si="931">+G1027+K967</f>
        <v>74874</v>
      </c>
      <c r="L1027" s="276">
        <f t="shared" ref="L1027:L1033" si="932">+H1027+L967</f>
        <v>6206</v>
      </c>
      <c r="M1027" s="342" t="str">
        <f t="shared" ref="M1027:M1035" si="933">IFERROR(J1027/D1027,"-")</f>
        <v>-</v>
      </c>
      <c r="N1027" s="352">
        <f t="shared" si="928"/>
        <v>7.6541687222496296E-2</v>
      </c>
      <c r="O1027" s="518">
        <v>18.2316</v>
      </c>
      <c r="P1027" s="408">
        <f t="shared" ref="P1027:P1033" si="934">+O1027*G1027</f>
        <v>216591.408</v>
      </c>
      <c r="Q1027" s="457">
        <f t="shared" ref="Q1027:Q1033" si="935">+O1027*K1027</f>
        <v>1365072.8184</v>
      </c>
    </row>
    <row r="1028" spans="1:17" ht="23.4" x14ac:dyDescent="0.3">
      <c r="A1028" s="277" t="s">
        <v>111</v>
      </c>
      <c r="B1028" s="444"/>
      <c r="C1028" s="278" t="s">
        <v>92</v>
      </c>
      <c r="D1028" s="279"/>
      <c r="E1028" s="280"/>
      <c r="F1028" s="339">
        <f t="shared" si="929"/>
        <v>60000</v>
      </c>
      <c r="G1028" s="281">
        <v>60000</v>
      </c>
      <c r="H1028" s="281">
        <v>0</v>
      </c>
      <c r="I1028" s="358" t="str">
        <f>IFERROR(F1028/#REF!,"-")</f>
        <v>-</v>
      </c>
      <c r="J1028" s="339">
        <f t="shared" si="930"/>
        <v>360000</v>
      </c>
      <c r="K1028" s="281">
        <f t="shared" si="931"/>
        <v>360000</v>
      </c>
      <c r="L1028" s="251">
        <f t="shared" si="932"/>
        <v>0</v>
      </c>
      <c r="M1028" s="343" t="str">
        <f t="shared" si="933"/>
        <v>-</v>
      </c>
      <c r="N1028" s="264">
        <f t="shared" si="928"/>
        <v>0</v>
      </c>
      <c r="O1028" s="519">
        <v>1.2824</v>
      </c>
      <c r="P1028" s="410">
        <f t="shared" si="934"/>
        <v>76944</v>
      </c>
      <c r="Q1028" s="459">
        <f t="shared" si="935"/>
        <v>461664</v>
      </c>
    </row>
    <row r="1029" spans="1:17" ht="23.4" x14ac:dyDescent="0.3">
      <c r="A1029" s="277" t="s">
        <v>111</v>
      </c>
      <c r="B1029" s="444"/>
      <c r="C1029" s="278" t="s">
        <v>340</v>
      </c>
      <c r="D1029" s="279"/>
      <c r="E1029" s="280"/>
      <c r="F1029" s="339">
        <f t="shared" si="929"/>
        <v>0</v>
      </c>
      <c r="G1029" s="281">
        <v>0</v>
      </c>
      <c r="H1029" s="281">
        <v>0</v>
      </c>
      <c r="I1029" s="358" t="str">
        <f>IFERROR(F1029/#REF!,"-")</f>
        <v>-</v>
      </c>
      <c r="J1029" s="339">
        <f t="shared" si="930"/>
        <v>0</v>
      </c>
      <c r="K1029" s="281">
        <f t="shared" si="931"/>
        <v>0</v>
      </c>
      <c r="L1029" s="251">
        <f t="shared" si="932"/>
        <v>0</v>
      </c>
      <c r="M1029" s="343" t="str">
        <f t="shared" si="933"/>
        <v>-</v>
      </c>
      <c r="N1029" s="264" t="str">
        <f t="shared" si="928"/>
        <v>-</v>
      </c>
      <c r="O1029" s="519">
        <v>5.7342000000000004</v>
      </c>
      <c r="P1029" s="410">
        <f t="shared" si="934"/>
        <v>0</v>
      </c>
      <c r="Q1029" s="459">
        <f t="shared" si="935"/>
        <v>0</v>
      </c>
    </row>
    <row r="1030" spans="1:17" ht="23.4" x14ac:dyDescent="0.3">
      <c r="A1030" s="277" t="s">
        <v>111</v>
      </c>
      <c r="B1030" s="444"/>
      <c r="C1030" s="278" t="s">
        <v>363</v>
      </c>
      <c r="D1030" s="279"/>
      <c r="E1030" s="280"/>
      <c r="F1030" s="339">
        <f t="shared" si="929"/>
        <v>0</v>
      </c>
      <c r="G1030" s="281">
        <v>0</v>
      </c>
      <c r="H1030" s="281">
        <v>0</v>
      </c>
      <c r="I1030" s="358" t="str">
        <f>IFERROR(F1030/#REF!,"-")</f>
        <v>-</v>
      </c>
      <c r="J1030" s="339">
        <f t="shared" si="930"/>
        <v>0</v>
      </c>
      <c r="K1030" s="281">
        <f t="shared" si="931"/>
        <v>0</v>
      </c>
      <c r="L1030" s="251">
        <f t="shared" si="932"/>
        <v>0</v>
      </c>
      <c r="M1030" s="343" t="str">
        <f t="shared" si="933"/>
        <v>-</v>
      </c>
      <c r="N1030" s="264" t="str">
        <f t="shared" si="928"/>
        <v>-</v>
      </c>
      <c r="O1030" s="519"/>
      <c r="P1030" s="410">
        <f t="shared" si="934"/>
        <v>0</v>
      </c>
      <c r="Q1030" s="459">
        <f t="shared" si="935"/>
        <v>0</v>
      </c>
    </row>
    <row r="1031" spans="1:17" ht="23.4" x14ac:dyDescent="0.3">
      <c r="A1031" s="277" t="s">
        <v>111</v>
      </c>
      <c r="B1031" s="444"/>
      <c r="C1031" s="278" t="s">
        <v>373</v>
      </c>
      <c r="D1031" s="279"/>
      <c r="E1031" s="280"/>
      <c r="F1031" s="339">
        <f t="shared" si="929"/>
        <v>18094</v>
      </c>
      <c r="G1031" s="281">
        <v>18000</v>
      </c>
      <c r="H1031" s="281">
        <v>94</v>
      </c>
      <c r="I1031" s="358" t="str">
        <f>IFERROR(F1031/#REF!,"-")</f>
        <v>-</v>
      </c>
      <c r="J1031" s="339">
        <f t="shared" si="930"/>
        <v>389595</v>
      </c>
      <c r="K1031" s="281">
        <f t="shared" si="931"/>
        <v>388000</v>
      </c>
      <c r="L1031" s="251">
        <f t="shared" si="932"/>
        <v>1595</v>
      </c>
      <c r="M1031" s="343" t="str">
        <f t="shared" si="933"/>
        <v>-</v>
      </c>
      <c r="N1031" s="264">
        <f t="shared" si="928"/>
        <v>4.0939950461376558E-3</v>
      </c>
      <c r="O1031" s="519">
        <v>12.029500000000001</v>
      </c>
      <c r="P1031" s="410">
        <f t="shared" si="934"/>
        <v>216531</v>
      </c>
      <c r="Q1031" s="459">
        <f t="shared" si="935"/>
        <v>4667446</v>
      </c>
    </row>
    <row r="1032" spans="1:17" ht="23.4" x14ac:dyDescent="0.3">
      <c r="A1032" s="277" t="s">
        <v>111</v>
      </c>
      <c r="B1032" s="444"/>
      <c r="C1032" s="278"/>
      <c r="D1032" s="279"/>
      <c r="E1032" s="280"/>
      <c r="F1032" s="339">
        <f t="shared" si="929"/>
        <v>0</v>
      </c>
      <c r="G1032" s="281">
        <v>0</v>
      </c>
      <c r="H1032" s="281">
        <v>0</v>
      </c>
      <c r="I1032" s="358" t="str">
        <f>IFERROR(F1032/#REF!,"-")</f>
        <v>-</v>
      </c>
      <c r="J1032" s="339">
        <f t="shared" si="930"/>
        <v>0</v>
      </c>
      <c r="K1032" s="281">
        <f t="shared" si="931"/>
        <v>0</v>
      </c>
      <c r="L1032" s="251">
        <f t="shared" si="932"/>
        <v>0</v>
      </c>
      <c r="M1032" s="343" t="str">
        <f t="shared" si="933"/>
        <v>-</v>
      </c>
      <c r="N1032" s="264" t="str">
        <f t="shared" si="928"/>
        <v>-</v>
      </c>
      <c r="O1032" s="519"/>
      <c r="P1032" s="410">
        <f t="shared" si="934"/>
        <v>0</v>
      </c>
      <c r="Q1032" s="459">
        <f t="shared" si="935"/>
        <v>0</v>
      </c>
    </row>
    <row r="1033" spans="1:17" ht="24" thickBot="1" x14ac:dyDescent="0.35">
      <c r="A1033" s="277" t="s">
        <v>111</v>
      </c>
      <c r="B1033" s="461"/>
      <c r="C1033" s="282"/>
      <c r="D1033" s="283">
        <v>0</v>
      </c>
      <c r="E1033" s="284"/>
      <c r="F1033" s="340">
        <f t="shared" si="929"/>
        <v>0</v>
      </c>
      <c r="G1033" s="285">
        <v>0</v>
      </c>
      <c r="H1033" s="285">
        <v>0</v>
      </c>
      <c r="I1033" s="359" t="str">
        <f>IFERROR(F1033/#REF!,"-")</f>
        <v>-</v>
      </c>
      <c r="J1033" s="340">
        <f t="shared" si="930"/>
        <v>0</v>
      </c>
      <c r="K1033" s="285">
        <f t="shared" si="931"/>
        <v>0</v>
      </c>
      <c r="L1033" s="286">
        <f t="shared" si="932"/>
        <v>0</v>
      </c>
      <c r="M1033" s="344" t="str">
        <f t="shared" si="933"/>
        <v>-</v>
      </c>
      <c r="N1033" s="353" t="str">
        <f t="shared" si="928"/>
        <v>-</v>
      </c>
      <c r="O1033" s="520"/>
      <c r="P1033" s="411">
        <f t="shared" si="934"/>
        <v>0</v>
      </c>
      <c r="Q1033" s="460">
        <f t="shared" si="935"/>
        <v>0</v>
      </c>
    </row>
    <row r="1034" spans="1:17" ht="24" thickBot="1" x14ac:dyDescent="0.35">
      <c r="A1034" s="277" t="s">
        <v>111</v>
      </c>
      <c r="B1034" s="906" t="s">
        <v>25</v>
      </c>
      <c r="C1034" s="907"/>
      <c r="D1034" s="326">
        <f t="shared" ref="D1034" si="936">SUM(D1027:D1033)</f>
        <v>0</v>
      </c>
      <c r="E1034" s="289">
        <v>100000</v>
      </c>
      <c r="F1034" s="326">
        <f>SUM(F1027:F1033)</f>
        <v>90168</v>
      </c>
      <c r="G1034" s="327">
        <f t="shared" ref="G1034:H1034" si="937">SUM(G1027:G1033)</f>
        <v>89880</v>
      </c>
      <c r="H1034" s="327">
        <f t="shared" si="937"/>
        <v>288</v>
      </c>
      <c r="I1034" s="351" t="str">
        <f>IFERROR(F1034/#REF!,"-")</f>
        <v>-</v>
      </c>
      <c r="J1034" s="326">
        <f t="shared" ref="J1034:L1034" si="938">SUM(J1027:J1033)</f>
        <v>830675</v>
      </c>
      <c r="K1034" s="327">
        <f t="shared" si="938"/>
        <v>822874</v>
      </c>
      <c r="L1034" s="328">
        <f t="shared" si="938"/>
        <v>7801</v>
      </c>
      <c r="M1034" s="345" t="str">
        <f t="shared" si="933"/>
        <v>-</v>
      </c>
      <c r="N1034" s="351">
        <f t="shared" si="928"/>
        <v>9.3911577933608204E-3</v>
      </c>
      <c r="O1034" s="397"/>
      <c r="P1034" s="412">
        <f t="shared" ref="P1034:Q1034" si="939">SUM(P1027:P1033)</f>
        <v>510066.408</v>
      </c>
      <c r="Q1034" s="431">
        <f t="shared" si="939"/>
        <v>6494182.8184000002</v>
      </c>
    </row>
    <row r="1035" spans="1:17" ht="24" thickBot="1" x14ac:dyDescent="0.35">
      <c r="A1035" s="277" t="s">
        <v>111</v>
      </c>
      <c r="B1035" s="985" t="s">
        <v>181</v>
      </c>
      <c r="C1035" s="986"/>
      <c r="D1035" s="332">
        <f>+D1026+D1034</f>
        <v>0</v>
      </c>
      <c r="E1035" s="333">
        <f t="shared" ref="E1035:H1035" si="940">+E1026+E1034</f>
        <v>115000</v>
      </c>
      <c r="F1035" s="332">
        <f t="shared" si="940"/>
        <v>230420</v>
      </c>
      <c r="G1035" s="330">
        <f t="shared" si="940"/>
        <v>225380</v>
      </c>
      <c r="H1035" s="330">
        <f t="shared" si="940"/>
        <v>5040</v>
      </c>
      <c r="I1035" s="355" t="str">
        <f>IFERROR(F1035/#REF!,"-")</f>
        <v>-</v>
      </c>
      <c r="J1035" s="332">
        <f t="shared" ref="J1035:L1035" si="941">+J1026+J1034</f>
        <v>2910794</v>
      </c>
      <c r="K1035" s="330">
        <f t="shared" si="941"/>
        <v>2811804</v>
      </c>
      <c r="L1035" s="331">
        <f t="shared" si="941"/>
        <v>98990</v>
      </c>
      <c r="M1035" s="347" t="str">
        <f t="shared" si="933"/>
        <v>-</v>
      </c>
      <c r="N1035" s="355">
        <f t="shared" si="928"/>
        <v>3.4007902998288438E-2</v>
      </c>
      <c r="O1035" s="400"/>
      <c r="P1035" s="416">
        <f t="shared" ref="P1035:Q1035" si="942">+P1026+P1034</f>
        <v>922318.33799999999</v>
      </c>
      <c r="Q1035" s="434">
        <f t="shared" si="942"/>
        <v>17915487.375400003</v>
      </c>
    </row>
    <row r="1036" spans="1:17" ht="23.4" x14ac:dyDescent="0.3">
      <c r="A1036" s="244" t="s">
        <v>109</v>
      </c>
      <c r="B1036" s="599"/>
      <c r="C1036" s="600" t="s">
        <v>314</v>
      </c>
      <c r="D1036" s="540"/>
      <c r="E1036" s="470"/>
      <c r="F1036" s="468">
        <f>+G1036+H1036</f>
        <v>0</v>
      </c>
      <c r="G1036" s="469">
        <v>0</v>
      </c>
      <c r="H1036" s="469">
        <v>0</v>
      </c>
      <c r="I1036" s="544" t="str">
        <f>IFERROR(F1036/#REF!,"-")</f>
        <v>-</v>
      </c>
      <c r="J1036" s="468">
        <f>+K1036+L1036</f>
        <v>0</v>
      </c>
      <c r="K1036" s="469">
        <f t="shared" ref="K1036:K1042" si="943">+G1036+K976</f>
        <v>0</v>
      </c>
      <c r="L1036" s="247">
        <f t="shared" ref="L1036:L1042" si="944">+H1036+L976</f>
        <v>0</v>
      </c>
      <c r="M1036" s="604" t="str">
        <f>IFERROR(J1036/D1036,"-")</f>
        <v>-</v>
      </c>
      <c r="N1036" s="546" t="str">
        <f t="shared" si="928"/>
        <v>-</v>
      </c>
      <c r="O1036" s="648">
        <v>4.8285999999999998</v>
      </c>
      <c r="P1036" s="547">
        <f t="shared" ref="P1036:P1042" si="945">+O1036*G1036</f>
        <v>0</v>
      </c>
      <c r="Q1036" s="548">
        <f>+O1036*K1036</f>
        <v>0</v>
      </c>
    </row>
    <row r="1037" spans="1:17" ht="23.4" x14ac:dyDescent="0.3">
      <c r="A1037" s="248" t="s">
        <v>109</v>
      </c>
      <c r="B1037" s="601"/>
      <c r="C1037" s="278" t="s">
        <v>315</v>
      </c>
      <c r="D1037" s="279"/>
      <c r="E1037" s="442"/>
      <c r="F1037" s="339">
        <f t="shared" ref="F1037:F1042" si="946">+G1037+H1037</f>
        <v>0</v>
      </c>
      <c r="G1037" s="281">
        <v>0</v>
      </c>
      <c r="H1037" s="281">
        <v>0</v>
      </c>
      <c r="I1037" s="358" t="str">
        <f>IFERROR(F1037/#REF!,"-")</f>
        <v>-</v>
      </c>
      <c r="J1037" s="339">
        <f t="shared" ref="J1037:J1042" si="947">+K1037+L1037</f>
        <v>0</v>
      </c>
      <c r="K1037" s="281">
        <f t="shared" si="943"/>
        <v>0</v>
      </c>
      <c r="L1037" s="251">
        <f t="shared" si="944"/>
        <v>0</v>
      </c>
      <c r="M1037" s="343" t="str">
        <f t="shared" ref="M1037:M1039" si="948">IFERROR(J1037/D1037,"-")</f>
        <v>-</v>
      </c>
      <c r="N1037" s="268" t="str">
        <f t="shared" si="928"/>
        <v>-</v>
      </c>
      <c r="O1037" s="649">
        <v>1.4086000000000001</v>
      </c>
      <c r="P1037" s="410">
        <f t="shared" si="945"/>
        <v>0</v>
      </c>
      <c r="Q1037" s="459">
        <f t="shared" ref="Q1037:Q1042" si="949">+O1037*K1037</f>
        <v>0</v>
      </c>
    </row>
    <row r="1038" spans="1:17" ht="23.4" x14ac:dyDescent="0.3">
      <c r="A1038" s="248" t="s">
        <v>109</v>
      </c>
      <c r="B1038" s="601"/>
      <c r="C1038" s="278" t="s">
        <v>367</v>
      </c>
      <c r="D1038" s="279"/>
      <c r="E1038" s="442"/>
      <c r="F1038" s="339">
        <f t="shared" si="946"/>
        <v>0</v>
      </c>
      <c r="G1038" s="281">
        <v>0</v>
      </c>
      <c r="H1038" s="281">
        <v>0</v>
      </c>
      <c r="I1038" s="358" t="str">
        <f>IFERROR(F1038/#REF!,"-")</f>
        <v>-</v>
      </c>
      <c r="J1038" s="339">
        <f t="shared" si="947"/>
        <v>573613</v>
      </c>
      <c r="K1038" s="281">
        <f t="shared" si="943"/>
        <v>566000</v>
      </c>
      <c r="L1038" s="251">
        <f t="shared" si="944"/>
        <v>7613</v>
      </c>
      <c r="M1038" s="343" t="str">
        <f t="shared" si="948"/>
        <v>-</v>
      </c>
      <c r="N1038" s="268">
        <f>IFERROR(L1038/J1038,"-")</f>
        <v>1.3272014406925924E-2</v>
      </c>
      <c r="O1038" s="649">
        <v>2.2141000000000002</v>
      </c>
      <c r="P1038" s="410">
        <f t="shared" si="945"/>
        <v>0</v>
      </c>
      <c r="Q1038" s="459">
        <f t="shared" si="949"/>
        <v>1253180.6000000001</v>
      </c>
    </row>
    <row r="1039" spans="1:17" ht="23.4" x14ac:dyDescent="0.3">
      <c r="A1039" s="248" t="s">
        <v>109</v>
      </c>
      <c r="B1039" s="602"/>
      <c r="C1039" s="278" t="s">
        <v>436</v>
      </c>
      <c r="D1039" s="283"/>
      <c r="E1039" s="541"/>
      <c r="F1039" s="340">
        <f t="shared" si="946"/>
        <v>0</v>
      </c>
      <c r="G1039" s="285">
        <v>0</v>
      </c>
      <c r="H1039" s="285">
        <v>0</v>
      </c>
      <c r="I1039" s="359" t="str">
        <f>IFERROR(F1039/#REF!,"-")</f>
        <v>-</v>
      </c>
      <c r="J1039" s="339">
        <f t="shared" si="947"/>
        <v>40882</v>
      </c>
      <c r="K1039" s="285">
        <f t="shared" si="943"/>
        <v>40000</v>
      </c>
      <c r="L1039" s="286">
        <f t="shared" si="944"/>
        <v>882</v>
      </c>
      <c r="M1039" s="344" t="str">
        <f t="shared" si="948"/>
        <v>-</v>
      </c>
      <c r="N1039" s="350">
        <f t="shared" ref="N1039:N1046" si="950">IFERROR(L1039/J1039,"-")</f>
        <v>2.157428697226163E-2</v>
      </c>
      <c r="O1039" s="650">
        <v>2.4565999999999999</v>
      </c>
      <c r="P1039" s="411">
        <f t="shared" si="945"/>
        <v>0</v>
      </c>
      <c r="Q1039" s="460">
        <f t="shared" si="949"/>
        <v>98264</v>
      </c>
    </row>
    <row r="1040" spans="1:17" ht="23.4" x14ac:dyDescent="0.3">
      <c r="A1040" s="248" t="s">
        <v>109</v>
      </c>
      <c r="B1040" s="446"/>
      <c r="C1040" s="647" t="s">
        <v>444</v>
      </c>
      <c r="D1040" s="521"/>
      <c r="E1040" s="542"/>
      <c r="F1040" s="339">
        <f t="shared" si="946"/>
        <v>0</v>
      </c>
      <c r="G1040" s="561">
        <v>0</v>
      </c>
      <c r="H1040" s="561">
        <v>0</v>
      </c>
      <c r="I1040" s="358" t="str">
        <f>IFERROR(F1040/#REF!,"-")</f>
        <v>-</v>
      </c>
      <c r="J1040" s="339">
        <f t="shared" si="947"/>
        <v>16280</v>
      </c>
      <c r="K1040" s="285">
        <f t="shared" si="943"/>
        <v>15000</v>
      </c>
      <c r="L1040" s="286">
        <f t="shared" si="944"/>
        <v>1280</v>
      </c>
      <c r="M1040" s="522"/>
      <c r="N1040" s="268">
        <f t="shared" si="950"/>
        <v>7.8624078624078622E-2</v>
      </c>
      <c r="O1040" s="553">
        <v>4.8285999999999998</v>
      </c>
      <c r="P1040" s="410">
        <f t="shared" si="945"/>
        <v>0</v>
      </c>
      <c r="Q1040" s="459">
        <f t="shared" si="949"/>
        <v>72429</v>
      </c>
    </row>
    <row r="1041" spans="1:17" ht="23.4" x14ac:dyDescent="0.3">
      <c r="A1041" s="248" t="s">
        <v>109</v>
      </c>
      <c r="B1041" s="603"/>
      <c r="C1041" s="647" t="s">
        <v>439</v>
      </c>
      <c r="D1041" s="273"/>
      <c r="E1041" s="441"/>
      <c r="F1041" s="338">
        <f t="shared" si="946"/>
        <v>0</v>
      </c>
      <c r="G1041" s="275">
        <v>0</v>
      </c>
      <c r="H1041" s="275">
        <v>0</v>
      </c>
      <c r="I1041" s="357" t="str">
        <f>IFERROR(F1041/#REF!,"-")</f>
        <v>-</v>
      </c>
      <c r="J1041" s="339">
        <f t="shared" si="947"/>
        <v>273737</v>
      </c>
      <c r="K1041" s="285">
        <f t="shared" si="943"/>
        <v>264250</v>
      </c>
      <c r="L1041" s="286">
        <f t="shared" si="944"/>
        <v>9487</v>
      </c>
      <c r="M1041" s="342" t="str">
        <f t="shared" ref="M1041:M1042" si="951">IFERROR(J1041/D1041,"-")</f>
        <v>-</v>
      </c>
      <c r="N1041" s="352">
        <f t="shared" si="950"/>
        <v>3.4657353591220769E-2</v>
      </c>
      <c r="O1041" s="518">
        <v>4.1712999999999996</v>
      </c>
      <c r="P1041" s="408">
        <f t="shared" si="945"/>
        <v>0</v>
      </c>
      <c r="Q1041" s="457">
        <f t="shared" si="949"/>
        <v>1102266.0249999999</v>
      </c>
    </row>
    <row r="1042" spans="1:17" ht="24" thickBot="1" x14ac:dyDescent="0.35">
      <c r="A1042" s="248" t="s">
        <v>109</v>
      </c>
      <c r="B1042" s="601"/>
      <c r="C1042" s="278"/>
      <c r="D1042" s="279"/>
      <c r="E1042" s="442"/>
      <c r="F1042" s="339">
        <f t="shared" si="946"/>
        <v>0</v>
      </c>
      <c r="G1042" s="281"/>
      <c r="H1042" s="281"/>
      <c r="I1042" s="358" t="str">
        <f>IFERROR(F1042/#REF!,"-")</f>
        <v>-</v>
      </c>
      <c r="J1042" s="339">
        <f t="shared" si="947"/>
        <v>0</v>
      </c>
      <c r="K1042" s="281">
        <f t="shared" si="943"/>
        <v>0</v>
      </c>
      <c r="L1042" s="251">
        <f t="shared" si="944"/>
        <v>0</v>
      </c>
      <c r="M1042" s="343" t="str">
        <f t="shared" si="951"/>
        <v>-</v>
      </c>
      <c r="N1042" s="264" t="str">
        <f t="shared" si="950"/>
        <v>-</v>
      </c>
      <c r="O1042" s="458"/>
      <c r="P1042" s="410">
        <f t="shared" si="945"/>
        <v>0</v>
      </c>
      <c r="Q1042" s="459">
        <f t="shared" si="949"/>
        <v>0</v>
      </c>
    </row>
    <row r="1043" spans="1:17" ht="24" thickBot="1" x14ac:dyDescent="0.35">
      <c r="A1043" s="277" t="s">
        <v>109</v>
      </c>
      <c r="B1043" s="987" t="s">
        <v>21</v>
      </c>
      <c r="C1043" s="925"/>
      <c r="D1043" s="326">
        <v>0</v>
      </c>
      <c r="E1043" s="289">
        <v>15000</v>
      </c>
      <c r="F1043" s="326">
        <f>SUM(F1036:F1042)</f>
        <v>0</v>
      </c>
      <c r="G1043" s="327">
        <f t="shared" ref="G1043:H1043" si="952">SUM(G1036:G1042)</f>
        <v>0</v>
      </c>
      <c r="H1043" s="327">
        <f t="shared" si="952"/>
        <v>0</v>
      </c>
      <c r="I1043" s="351" t="str">
        <f>IFERROR(F1043/#REF!,"-")</f>
        <v>-</v>
      </c>
      <c r="J1043" s="326">
        <f t="shared" ref="J1043" si="953">SUM(J1036:J1042)</f>
        <v>904512</v>
      </c>
      <c r="K1043" s="327">
        <f>SUM(K1036:K1042)</f>
        <v>885250</v>
      </c>
      <c r="L1043" s="327">
        <f>SUM(L1036:L1042)</f>
        <v>19262</v>
      </c>
      <c r="M1043" s="345" t="str">
        <f>IFERROR(J1043/D1043,"-")</f>
        <v>-</v>
      </c>
      <c r="N1043" s="351">
        <f t="shared" si="950"/>
        <v>2.1295460977853252E-2</v>
      </c>
      <c r="O1043" s="397"/>
      <c r="P1043" s="412">
        <f>SUM(P1036:P1042)</f>
        <v>0</v>
      </c>
      <c r="Q1043" s="431">
        <f>SUM(Q1036:Q1042)</f>
        <v>2526139.625</v>
      </c>
    </row>
    <row r="1044" spans="1:17" ht="24" thickBot="1" x14ac:dyDescent="0.35">
      <c r="A1044" s="277" t="s">
        <v>109</v>
      </c>
      <c r="B1044" s="988" t="s">
        <v>275</v>
      </c>
      <c r="C1044" s="989"/>
      <c r="D1044" s="524">
        <f>+D1040+D1043</f>
        <v>0</v>
      </c>
      <c r="E1044" s="538">
        <f>+E1040+E1043</f>
        <v>15000</v>
      </c>
      <c r="F1044" s="524">
        <f>+F1040+F1043</f>
        <v>0</v>
      </c>
      <c r="G1044" s="526">
        <f>+G1040+G1043</f>
        <v>0</v>
      </c>
      <c r="H1044" s="526">
        <f>+H1040+H1043</f>
        <v>0</v>
      </c>
      <c r="I1044" s="527" t="str">
        <f>IFERROR(F1044/#REF!,"-")</f>
        <v>-</v>
      </c>
      <c r="J1044" s="524">
        <f>+J1040+J1043</f>
        <v>920792</v>
      </c>
      <c r="K1044" s="526">
        <f>+K1043</f>
        <v>885250</v>
      </c>
      <c r="L1044" s="526">
        <f>+L1043</f>
        <v>19262</v>
      </c>
      <c r="M1044" s="528" t="str">
        <f t="shared" ref="M1044" si="954">IFERROR(J1044/D1044,"-")</f>
        <v>-</v>
      </c>
      <c r="N1044" s="527">
        <f t="shared" si="950"/>
        <v>2.091894803603854E-2</v>
      </c>
      <c r="O1044" s="529"/>
      <c r="P1044" s="530">
        <f>+P1043</f>
        <v>0</v>
      </c>
      <c r="Q1044" s="530">
        <f>+Q1043</f>
        <v>2526139.625</v>
      </c>
    </row>
    <row r="1045" spans="1:17" ht="23.4" x14ac:dyDescent="0.4">
      <c r="A1045" s="244" t="s">
        <v>109</v>
      </c>
      <c r="B1045" s="979" t="s">
        <v>277</v>
      </c>
      <c r="C1045" s="555" t="s">
        <v>74</v>
      </c>
      <c r="D1045" s="540"/>
      <c r="E1045" s="470"/>
      <c r="F1045" s="468">
        <f>+G1045+H1045</f>
        <v>0</v>
      </c>
      <c r="G1045" s="469">
        <v>0</v>
      </c>
      <c r="H1045" s="469">
        <v>0</v>
      </c>
      <c r="I1045" s="544" t="str">
        <f>IFERROR(F1045/#REF!,"-")</f>
        <v>-</v>
      </c>
      <c r="J1045" s="468">
        <f>+K1045+L1045</f>
        <v>61721</v>
      </c>
      <c r="K1045" s="469">
        <f t="shared" ref="K1045:K1074" si="955">+G1045+K985</f>
        <v>61660</v>
      </c>
      <c r="L1045" s="246">
        <f t="shared" ref="L1045:L1074" si="956">+H1045+L985</f>
        <v>61</v>
      </c>
      <c r="M1045" s="263" t="str">
        <f>IFERROR(J1045/D1045,"-")</f>
        <v>-</v>
      </c>
      <c r="N1045" s="546">
        <f t="shared" si="950"/>
        <v>9.8831840054438517E-4</v>
      </c>
      <c r="O1045" s="551">
        <v>32.946300000000001</v>
      </c>
      <c r="P1045" s="547">
        <f t="shared" ref="P1045:P1074" si="957">+O1045*G1045</f>
        <v>0</v>
      </c>
      <c r="Q1045" s="548">
        <f t="shared" ref="Q1045:Q1074" si="958">+O1045*K1045</f>
        <v>2031468.858</v>
      </c>
    </row>
    <row r="1046" spans="1:17" ht="23.4" x14ac:dyDescent="0.4">
      <c r="A1046" s="248" t="s">
        <v>109</v>
      </c>
      <c r="B1046" s="980"/>
      <c r="C1046" s="556" t="s">
        <v>75</v>
      </c>
      <c r="D1046" s="523"/>
      <c r="E1046" s="442"/>
      <c r="F1046" s="339">
        <f t="shared" ref="F1046:F1074" si="959">+G1046+H1046</f>
        <v>0</v>
      </c>
      <c r="G1046" s="281">
        <v>0</v>
      </c>
      <c r="H1046" s="281">
        <v>0</v>
      </c>
      <c r="I1046" s="358" t="str">
        <f>IFERROR(F1046/#REF!,"-")</f>
        <v>-</v>
      </c>
      <c r="J1046" s="339">
        <f t="shared" ref="J1046:J1074" si="960">+K1046+L1046</f>
        <v>0</v>
      </c>
      <c r="K1046" s="281">
        <f t="shared" si="955"/>
        <v>0</v>
      </c>
      <c r="L1046" s="250">
        <f t="shared" si="956"/>
        <v>0</v>
      </c>
      <c r="M1046" s="265" t="str">
        <f t="shared" ref="M1046:M1048" si="961">IFERROR(J1046/D1046,"-")</f>
        <v>-</v>
      </c>
      <c r="N1046" s="268" t="str">
        <f t="shared" si="950"/>
        <v>-</v>
      </c>
      <c r="O1046" s="519">
        <v>35.398400000000002</v>
      </c>
      <c r="P1046" s="410">
        <f t="shared" si="957"/>
        <v>0</v>
      </c>
      <c r="Q1046" s="459">
        <f t="shared" si="958"/>
        <v>0</v>
      </c>
    </row>
    <row r="1047" spans="1:17" ht="24" thickBot="1" x14ac:dyDescent="0.45">
      <c r="A1047" s="248" t="s">
        <v>109</v>
      </c>
      <c r="B1047" s="980"/>
      <c r="C1047" s="556" t="s">
        <v>76</v>
      </c>
      <c r="D1047" s="279"/>
      <c r="E1047" s="442"/>
      <c r="F1047" s="339">
        <f t="shared" si="959"/>
        <v>0</v>
      </c>
      <c r="G1047" s="281">
        <v>0</v>
      </c>
      <c r="H1047" s="281">
        <v>0</v>
      </c>
      <c r="I1047" s="358" t="str">
        <f>IFERROR(F1047/#REF!,"-")</f>
        <v>-</v>
      </c>
      <c r="J1047" s="339">
        <f t="shared" si="960"/>
        <v>10000</v>
      </c>
      <c r="K1047" s="281">
        <f t="shared" si="955"/>
        <v>10000</v>
      </c>
      <c r="L1047" s="250">
        <f t="shared" si="956"/>
        <v>0</v>
      </c>
      <c r="M1047" s="265" t="str">
        <f t="shared" si="961"/>
        <v>-</v>
      </c>
      <c r="N1047" s="268">
        <f>IFERROR(L1047/J1047,"-")</f>
        <v>0</v>
      </c>
      <c r="O1047" s="519">
        <v>32.946300000000001</v>
      </c>
      <c r="P1047" s="410">
        <f t="shared" si="957"/>
        <v>0</v>
      </c>
      <c r="Q1047" s="459">
        <f t="shared" si="958"/>
        <v>329463</v>
      </c>
    </row>
    <row r="1048" spans="1:17" ht="23.4" x14ac:dyDescent="0.4">
      <c r="A1048" s="248" t="s">
        <v>109</v>
      </c>
      <c r="B1048" s="979" t="s">
        <v>278</v>
      </c>
      <c r="C1048" s="558" t="s">
        <v>78</v>
      </c>
      <c r="D1048" s="279"/>
      <c r="E1048" s="541"/>
      <c r="F1048" s="340">
        <f t="shared" si="959"/>
        <v>0</v>
      </c>
      <c r="G1048" s="281">
        <v>0</v>
      </c>
      <c r="H1048" s="281">
        <v>0</v>
      </c>
      <c r="I1048" s="358" t="str">
        <f>IFERROR(F1048/#REF!,"-")</f>
        <v>-</v>
      </c>
      <c r="J1048" s="339">
        <f t="shared" si="960"/>
        <v>9803</v>
      </c>
      <c r="K1048" s="281">
        <f t="shared" si="955"/>
        <v>8225</v>
      </c>
      <c r="L1048" s="250">
        <f t="shared" si="956"/>
        <v>1578</v>
      </c>
      <c r="M1048" s="265" t="str">
        <f t="shared" si="961"/>
        <v>-</v>
      </c>
      <c r="N1048" s="268">
        <f t="shared" ref="N1048" si="962">IFERROR(L1048/J1048,"-")</f>
        <v>0.16097113128634091</v>
      </c>
      <c r="O1048" s="519">
        <v>55.4758</v>
      </c>
      <c r="P1048" s="410">
        <f t="shared" si="957"/>
        <v>0</v>
      </c>
      <c r="Q1048" s="459">
        <f t="shared" si="958"/>
        <v>456288.45500000002</v>
      </c>
    </row>
    <row r="1049" spans="1:17" ht="23.4" x14ac:dyDescent="0.4">
      <c r="A1049" s="248" t="s">
        <v>109</v>
      </c>
      <c r="B1049" s="980"/>
      <c r="C1049" s="558" t="s">
        <v>75</v>
      </c>
      <c r="D1049" s="279"/>
      <c r="E1049" s="542"/>
      <c r="F1049" s="340">
        <f t="shared" si="959"/>
        <v>0</v>
      </c>
      <c r="G1049" s="281">
        <v>0</v>
      </c>
      <c r="H1049" s="281">
        <v>0</v>
      </c>
      <c r="I1049" s="358" t="str">
        <f>IFERROR(F1049/#REF!,"-")</f>
        <v>-</v>
      </c>
      <c r="J1049" s="339">
        <f t="shared" si="960"/>
        <v>5350</v>
      </c>
      <c r="K1049" s="281">
        <f t="shared" si="955"/>
        <v>4150</v>
      </c>
      <c r="L1049" s="250">
        <f t="shared" si="956"/>
        <v>1200</v>
      </c>
      <c r="M1049" s="522"/>
      <c r="N1049" s="378"/>
      <c r="O1049" s="553">
        <v>58.836300000000001</v>
      </c>
      <c r="P1049" s="410">
        <f t="shared" si="957"/>
        <v>0</v>
      </c>
      <c r="Q1049" s="459">
        <f t="shared" si="958"/>
        <v>244170.64500000002</v>
      </c>
    </row>
    <row r="1050" spans="1:17" ht="23.4" x14ac:dyDescent="0.4">
      <c r="A1050" s="248" t="s">
        <v>109</v>
      </c>
      <c r="B1050" s="980"/>
      <c r="C1050" s="558" t="s">
        <v>435</v>
      </c>
      <c r="D1050" s="279"/>
      <c r="E1050" s="441"/>
      <c r="F1050" s="340">
        <f t="shared" si="959"/>
        <v>0</v>
      </c>
      <c r="G1050" s="281">
        <v>0</v>
      </c>
      <c r="H1050" s="281">
        <v>0</v>
      </c>
      <c r="I1050" s="358" t="str">
        <f>IFERROR(F1050/#REF!,"-")</f>
        <v>-</v>
      </c>
      <c r="J1050" s="339">
        <f t="shared" si="960"/>
        <v>17944</v>
      </c>
      <c r="K1050" s="281">
        <f t="shared" si="955"/>
        <v>15500</v>
      </c>
      <c r="L1050" s="250">
        <f t="shared" si="956"/>
        <v>2444</v>
      </c>
      <c r="M1050" s="265" t="str">
        <f t="shared" ref="M1050" si="963">IFERROR(J1050/D1050,"-")</f>
        <v>-</v>
      </c>
      <c r="N1050" s="264">
        <f t="shared" ref="N1050" si="964">IFERROR(L1050/J1050,"-")</f>
        <v>0.13620151582701739</v>
      </c>
      <c r="O1050" s="519">
        <v>55.4758</v>
      </c>
      <c r="P1050" s="410">
        <f t="shared" si="957"/>
        <v>0</v>
      </c>
      <c r="Q1050" s="459">
        <f t="shared" si="958"/>
        <v>859874.9</v>
      </c>
    </row>
    <row r="1051" spans="1:17" ht="24" thickBot="1" x14ac:dyDescent="0.45">
      <c r="A1051" s="248"/>
      <c r="B1051" s="981"/>
      <c r="C1051" s="558" t="s">
        <v>471</v>
      </c>
      <c r="D1051" s="279"/>
      <c r="E1051" s="441"/>
      <c r="F1051" s="340">
        <f t="shared" si="959"/>
        <v>2484</v>
      </c>
      <c r="G1051" s="281">
        <v>2400</v>
      </c>
      <c r="H1051" s="281">
        <v>84</v>
      </c>
      <c r="I1051" s="358"/>
      <c r="J1051" s="339">
        <f t="shared" si="960"/>
        <v>11760</v>
      </c>
      <c r="K1051" s="281">
        <f t="shared" si="955"/>
        <v>10940</v>
      </c>
      <c r="L1051" s="250">
        <f t="shared" si="956"/>
        <v>820</v>
      </c>
      <c r="M1051" s="265"/>
      <c r="N1051" s="264">
        <f>IFERROR(L1051/J1051,"-")</f>
        <v>6.9727891156462579E-2</v>
      </c>
      <c r="O1051" s="519">
        <v>55.4758</v>
      </c>
      <c r="P1051" s="410">
        <f t="shared" si="957"/>
        <v>133141.92000000001</v>
      </c>
      <c r="Q1051" s="459">
        <f t="shared" si="958"/>
        <v>606905.25199999998</v>
      </c>
    </row>
    <row r="1052" spans="1:17" ht="23.4" x14ac:dyDescent="0.4">
      <c r="A1052" s="248" t="s">
        <v>109</v>
      </c>
      <c r="B1052" s="979" t="s">
        <v>79</v>
      </c>
      <c r="C1052" s="556" t="s">
        <v>80</v>
      </c>
      <c r="D1052" s="279"/>
      <c r="E1052" s="442"/>
      <c r="F1052" s="339">
        <f t="shared" si="959"/>
        <v>3357</v>
      </c>
      <c r="G1052" s="281">
        <v>3341</v>
      </c>
      <c r="H1052" s="281">
        <v>16</v>
      </c>
      <c r="I1052" s="358" t="str">
        <f>IFERROR(F1052/#REF!,"-")</f>
        <v>-</v>
      </c>
      <c r="J1052" s="339">
        <f t="shared" si="960"/>
        <v>6596</v>
      </c>
      <c r="K1052" s="281">
        <f t="shared" si="955"/>
        <v>6541</v>
      </c>
      <c r="L1052" s="250">
        <f t="shared" si="956"/>
        <v>55</v>
      </c>
      <c r="M1052" s="265" t="str">
        <f t="shared" ref="M1052:M1077" si="965">IFERROR(J1052/D1052,"-")</f>
        <v>-</v>
      </c>
      <c r="N1052" s="264">
        <f t="shared" ref="N1052:N1076" si="966">IFERROR(L1052/J1052,"-")</f>
        <v>8.3383869011522133E-3</v>
      </c>
      <c r="O1052" s="519">
        <v>25.687200000000001</v>
      </c>
      <c r="P1052" s="410">
        <f t="shared" si="957"/>
        <v>85820.935200000007</v>
      </c>
      <c r="Q1052" s="459">
        <f t="shared" si="958"/>
        <v>168019.97520000002</v>
      </c>
    </row>
    <row r="1053" spans="1:17" ht="24" thickBot="1" x14ac:dyDescent="0.45">
      <c r="A1053" s="248" t="s">
        <v>109</v>
      </c>
      <c r="B1053" s="981"/>
      <c r="C1053" s="556" t="s">
        <v>125</v>
      </c>
      <c r="D1053" s="279"/>
      <c r="E1053" s="442"/>
      <c r="F1053" s="339">
        <f t="shared" si="959"/>
        <v>0</v>
      </c>
      <c r="G1053" s="281">
        <v>0</v>
      </c>
      <c r="H1053" s="281">
        <v>0</v>
      </c>
      <c r="I1053" s="358" t="str">
        <f>IFERROR(F1053/#REF!,"-")</f>
        <v>-</v>
      </c>
      <c r="J1053" s="339">
        <f t="shared" si="960"/>
        <v>0</v>
      </c>
      <c r="K1053" s="281">
        <f t="shared" si="955"/>
        <v>0</v>
      </c>
      <c r="L1053" s="250">
        <f t="shared" si="956"/>
        <v>0</v>
      </c>
      <c r="M1053" s="265" t="str">
        <f t="shared" si="965"/>
        <v>-</v>
      </c>
      <c r="N1053" s="264" t="str">
        <f t="shared" si="966"/>
        <v>-</v>
      </c>
      <c r="O1053" s="519">
        <v>25.033899999999999</v>
      </c>
      <c r="P1053" s="410">
        <f t="shared" si="957"/>
        <v>0</v>
      </c>
      <c r="Q1053" s="459">
        <f t="shared" si="958"/>
        <v>0</v>
      </c>
    </row>
    <row r="1054" spans="1:17" ht="23.4" x14ac:dyDescent="0.4">
      <c r="A1054" s="248"/>
      <c r="B1054" s="979" t="s">
        <v>81</v>
      </c>
      <c r="C1054" s="556" t="s">
        <v>82</v>
      </c>
      <c r="D1054" s="279"/>
      <c r="E1054" s="442"/>
      <c r="F1054" s="339">
        <f t="shared" si="959"/>
        <v>3214</v>
      </c>
      <c r="G1054" s="281">
        <v>3200</v>
      </c>
      <c r="H1054" s="281">
        <v>14</v>
      </c>
      <c r="I1054" s="358" t="str">
        <f>IFERROR(F1054/#REF!,"-")</f>
        <v>-</v>
      </c>
      <c r="J1054" s="339">
        <f t="shared" si="960"/>
        <v>13702</v>
      </c>
      <c r="K1054" s="281">
        <f t="shared" si="955"/>
        <v>13640</v>
      </c>
      <c r="L1054" s="250">
        <f t="shared" si="956"/>
        <v>62</v>
      </c>
      <c r="M1054" s="265" t="str">
        <f t="shared" si="965"/>
        <v>-</v>
      </c>
      <c r="N1054" s="264">
        <f t="shared" si="966"/>
        <v>4.5248868778280547E-3</v>
      </c>
      <c r="O1054" s="519">
        <v>41.992699999999999</v>
      </c>
      <c r="P1054" s="410">
        <f t="shared" si="957"/>
        <v>134376.63999999998</v>
      </c>
      <c r="Q1054" s="459">
        <f t="shared" si="958"/>
        <v>572780.42799999996</v>
      </c>
    </row>
    <row r="1055" spans="1:17" ht="24" thickBot="1" x14ac:dyDescent="0.45">
      <c r="A1055" s="248"/>
      <c r="B1055" s="980"/>
      <c r="C1055" s="556" t="s">
        <v>364</v>
      </c>
      <c r="D1055" s="279"/>
      <c r="E1055" s="442"/>
      <c r="F1055" s="339">
        <f t="shared" si="959"/>
        <v>0</v>
      </c>
      <c r="G1055" s="281">
        <v>0</v>
      </c>
      <c r="H1055" s="281">
        <v>0</v>
      </c>
      <c r="I1055" s="358" t="str">
        <f>IFERROR(F1055/#REF!,"-")</f>
        <v>-</v>
      </c>
      <c r="J1055" s="339">
        <f t="shared" si="960"/>
        <v>0</v>
      </c>
      <c r="K1055" s="281">
        <f t="shared" si="955"/>
        <v>0</v>
      </c>
      <c r="L1055" s="250">
        <f t="shared" si="956"/>
        <v>0</v>
      </c>
      <c r="M1055" s="265" t="str">
        <f t="shared" si="965"/>
        <v>-</v>
      </c>
      <c r="N1055" s="264" t="str">
        <f t="shared" si="966"/>
        <v>-</v>
      </c>
      <c r="O1055" s="519">
        <v>41.992699999999999</v>
      </c>
      <c r="P1055" s="410">
        <f t="shared" si="957"/>
        <v>0</v>
      </c>
      <c r="Q1055" s="459">
        <f t="shared" si="958"/>
        <v>0</v>
      </c>
    </row>
    <row r="1056" spans="1:17" ht="24" thickBot="1" x14ac:dyDescent="0.45">
      <c r="A1056" s="248"/>
      <c r="B1056" s="559" t="s">
        <v>83</v>
      </c>
      <c r="C1056" s="556" t="s">
        <v>84</v>
      </c>
      <c r="D1056" s="279"/>
      <c r="E1056" s="442"/>
      <c r="F1056" s="339">
        <f t="shared" si="959"/>
        <v>3451</v>
      </c>
      <c r="G1056" s="281">
        <v>3341</v>
      </c>
      <c r="H1056" s="281">
        <v>110</v>
      </c>
      <c r="I1056" s="358" t="str">
        <f>IFERROR(F1056/#REF!,"-")</f>
        <v>-</v>
      </c>
      <c r="J1056" s="339">
        <f t="shared" si="960"/>
        <v>7268</v>
      </c>
      <c r="K1056" s="281">
        <f t="shared" si="955"/>
        <v>6941</v>
      </c>
      <c r="L1056" s="250">
        <f t="shared" si="956"/>
        <v>327</v>
      </c>
      <c r="M1056" s="265" t="str">
        <f t="shared" si="965"/>
        <v>-</v>
      </c>
      <c r="N1056" s="264">
        <f t="shared" si="966"/>
        <v>4.4991744634012107E-2</v>
      </c>
      <c r="O1056" s="519">
        <v>4.3535000000000004</v>
      </c>
      <c r="P1056" s="410">
        <f t="shared" si="957"/>
        <v>14545.043500000002</v>
      </c>
      <c r="Q1056" s="459">
        <f t="shared" si="958"/>
        <v>30217.643500000002</v>
      </c>
    </row>
    <row r="1057" spans="1:17" ht="23.4" x14ac:dyDescent="0.4">
      <c r="A1057" s="248"/>
      <c r="B1057" s="979" t="s">
        <v>280</v>
      </c>
      <c r="C1057" s="556" t="s">
        <v>80</v>
      </c>
      <c r="D1057" s="279"/>
      <c r="E1057" s="442"/>
      <c r="F1057" s="339">
        <f t="shared" si="959"/>
        <v>0</v>
      </c>
      <c r="G1057" s="281">
        <v>0</v>
      </c>
      <c r="H1057" s="281">
        <v>0</v>
      </c>
      <c r="I1057" s="358" t="str">
        <f>IFERROR(F1057/#REF!,"-")</f>
        <v>-</v>
      </c>
      <c r="J1057" s="339">
        <f t="shared" si="960"/>
        <v>0</v>
      </c>
      <c r="K1057" s="281">
        <f t="shared" si="955"/>
        <v>0</v>
      </c>
      <c r="L1057" s="250">
        <f t="shared" si="956"/>
        <v>0</v>
      </c>
      <c r="M1057" s="265" t="str">
        <f t="shared" si="965"/>
        <v>-</v>
      </c>
      <c r="N1057" s="264" t="str">
        <f t="shared" si="966"/>
        <v>-</v>
      </c>
      <c r="O1057" s="519">
        <v>4.6184000000000003</v>
      </c>
      <c r="P1057" s="410">
        <f t="shared" si="957"/>
        <v>0</v>
      </c>
      <c r="Q1057" s="459">
        <f t="shared" si="958"/>
        <v>0</v>
      </c>
    </row>
    <row r="1058" spans="1:17" ht="23.4" x14ac:dyDescent="0.4">
      <c r="A1058" s="248"/>
      <c r="B1058" s="980"/>
      <c r="C1058" s="556" t="s">
        <v>407</v>
      </c>
      <c r="D1058" s="279"/>
      <c r="E1058" s="442"/>
      <c r="F1058" s="339">
        <f t="shared" si="959"/>
        <v>0</v>
      </c>
      <c r="G1058" s="281">
        <v>0</v>
      </c>
      <c r="H1058" s="281">
        <v>0</v>
      </c>
      <c r="I1058" s="358" t="str">
        <f>IFERROR(F1058/#REF!,"-")</f>
        <v>-</v>
      </c>
      <c r="J1058" s="339">
        <f t="shared" si="960"/>
        <v>146140</v>
      </c>
      <c r="K1058" s="281">
        <f t="shared" si="955"/>
        <v>144842</v>
      </c>
      <c r="L1058" s="250">
        <f t="shared" si="956"/>
        <v>1298</v>
      </c>
      <c r="M1058" s="265" t="str">
        <f t="shared" si="965"/>
        <v>-</v>
      </c>
      <c r="N1058" s="264">
        <f t="shared" si="966"/>
        <v>8.8818940741754483E-3</v>
      </c>
      <c r="O1058" s="519">
        <v>4.6184000000000003</v>
      </c>
      <c r="P1058" s="410">
        <f t="shared" si="957"/>
        <v>0</v>
      </c>
      <c r="Q1058" s="459">
        <f t="shared" si="958"/>
        <v>668938.29280000005</v>
      </c>
    </row>
    <row r="1059" spans="1:17" ht="23.4" x14ac:dyDescent="0.4">
      <c r="A1059" s="248"/>
      <c r="B1059" s="980"/>
      <c r="C1059" s="556" t="s">
        <v>279</v>
      </c>
      <c r="D1059" s="279"/>
      <c r="E1059" s="442"/>
      <c r="F1059" s="339">
        <f t="shared" si="959"/>
        <v>0</v>
      </c>
      <c r="G1059" s="281">
        <v>0</v>
      </c>
      <c r="H1059" s="281">
        <v>0</v>
      </c>
      <c r="I1059" s="358" t="str">
        <f>IFERROR(F1059/#REF!,"-")</f>
        <v>-</v>
      </c>
      <c r="J1059" s="339">
        <f t="shared" si="960"/>
        <v>0</v>
      </c>
      <c r="K1059" s="281">
        <f t="shared" si="955"/>
        <v>0</v>
      </c>
      <c r="L1059" s="250">
        <f t="shared" si="956"/>
        <v>0</v>
      </c>
      <c r="M1059" s="265" t="str">
        <f t="shared" si="965"/>
        <v>-</v>
      </c>
      <c r="N1059" s="264" t="str">
        <f t="shared" si="966"/>
        <v>-</v>
      </c>
      <c r="O1059" s="519">
        <v>4.6184000000000003</v>
      </c>
      <c r="P1059" s="410">
        <f t="shared" si="957"/>
        <v>0</v>
      </c>
      <c r="Q1059" s="459">
        <f t="shared" si="958"/>
        <v>0</v>
      </c>
    </row>
    <row r="1060" spans="1:17" ht="23.4" x14ac:dyDescent="0.4">
      <c r="A1060" s="248"/>
      <c r="B1060" s="980"/>
      <c r="C1060" s="556" t="s">
        <v>440</v>
      </c>
      <c r="D1060" s="279"/>
      <c r="E1060" s="442"/>
      <c r="F1060" s="339">
        <f t="shared" si="959"/>
        <v>25392</v>
      </c>
      <c r="G1060" s="281">
        <v>25300</v>
      </c>
      <c r="H1060" s="281">
        <v>92</v>
      </c>
      <c r="I1060" s="358" t="str">
        <f>IFERROR(F1060/#REF!,"-")</f>
        <v>-</v>
      </c>
      <c r="J1060" s="339">
        <f t="shared" si="960"/>
        <v>227171</v>
      </c>
      <c r="K1060" s="281">
        <f t="shared" si="955"/>
        <v>225100</v>
      </c>
      <c r="L1060" s="250">
        <f t="shared" si="956"/>
        <v>2071</v>
      </c>
      <c r="M1060" s="265" t="str">
        <f t="shared" si="965"/>
        <v>-</v>
      </c>
      <c r="N1060" s="264">
        <f t="shared" si="966"/>
        <v>9.1164805366882214E-3</v>
      </c>
      <c r="O1060" s="519">
        <v>4.7636000000000003</v>
      </c>
      <c r="P1060" s="410">
        <f t="shared" si="957"/>
        <v>120519.08</v>
      </c>
      <c r="Q1060" s="459">
        <f t="shared" si="958"/>
        <v>1072286.3600000001</v>
      </c>
    </row>
    <row r="1061" spans="1:17" ht="24" thickBot="1" x14ac:dyDescent="0.45">
      <c r="A1061" s="248"/>
      <c r="B1061" s="981"/>
      <c r="C1061" s="556" t="s">
        <v>429</v>
      </c>
      <c r="D1061" s="279"/>
      <c r="E1061" s="442"/>
      <c r="F1061" s="339">
        <f t="shared" si="959"/>
        <v>0</v>
      </c>
      <c r="G1061" s="281">
        <v>0</v>
      </c>
      <c r="H1061" s="281">
        <v>0</v>
      </c>
      <c r="I1061" s="358" t="str">
        <f>IFERROR(F1061/#REF!,"-")</f>
        <v>-</v>
      </c>
      <c r="J1061" s="339">
        <f t="shared" si="960"/>
        <v>12296</v>
      </c>
      <c r="K1061" s="281">
        <f t="shared" si="955"/>
        <v>12100</v>
      </c>
      <c r="L1061" s="250">
        <f t="shared" si="956"/>
        <v>196</v>
      </c>
      <c r="M1061" s="265" t="str">
        <f t="shared" si="965"/>
        <v>-</v>
      </c>
      <c r="N1061" s="264">
        <f t="shared" si="966"/>
        <v>1.594014313597918E-2</v>
      </c>
      <c r="O1061" s="519">
        <v>4.8738000000000001</v>
      </c>
      <c r="P1061" s="410">
        <f t="shared" si="957"/>
        <v>0</v>
      </c>
      <c r="Q1061" s="459">
        <f t="shared" si="958"/>
        <v>58972.98</v>
      </c>
    </row>
    <row r="1062" spans="1:17" ht="24" thickBot="1" x14ac:dyDescent="0.45">
      <c r="A1062" s="248"/>
      <c r="B1062" s="559" t="s">
        <v>281</v>
      </c>
      <c r="C1062" s="556" t="s">
        <v>132</v>
      </c>
      <c r="D1062" s="279"/>
      <c r="E1062" s="442"/>
      <c r="F1062" s="339">
        <f t="shared" si="959"/>
        <v>0</v>
      </c>
      <c r="G1062" s="281">
        <v>0</v>
      </c>
      <c r="H1062" s="281">
        <v>0</v>
      </c>
      <c r="I1062" s="358" t="str">
        <f>IFERROR(F1062/#REF!,"-")</f>
        <v>-</v>
      </c>
      <c r="J1062" s="339">
        <f t="shared" si="960"/>
        <v>0</v>
      </c>
      <c r="K1062" s="281">
        <f t="shared" si="955"/>
        <v>0</v>
      </c>
      <c r="L1062" s="250">
        <f t="shared" si="956"/>
        <v>0</v>
      </c>
      <c r="M1062" s="265" t="str">
        <f t="shared" si="965"/>
        <v>-</v>
      </c>
      <c r="N1062" s="264" t="str">
        <f t="shared" si="966"/>
        <v>-</v>
      </c>
      <c r="O1062" s="519">
        <v>4.8738000000000001</v>
      </c>
      <c r="P1062" s="410">
        <f t="shared" si="957"/>
        <v>0</v>
      </c>
      <c r="Q1062" s="459">
        <f t="shared" si="958"/>
        <v>0</v>
      </c>
    </row>
    <row r="1063" spans="1:17" ht="23.4" x14ac:dyDescent="0.4">
      <c r="A1063" s="248"/>
      <c r="B1063" s="979" t="s">
        <v>283</v>
      </c>
      <c r="C1063" s="556" t="s">
        <v>80</v>
      </c>
      <c r="D1063" s="279"/>
      <c r="E1063" s="442"/>
      <c r="F1063" s="339">
        <f t="shared" si="959"/>
        <v>31632</v>
      </c>
      <c r="G1063" s="281">
        <v>31250</v>
      </c>
      <c r="H1063" s="281">
        <v>382</v>
      </c>
      <c r="I1063" s="358" t="str">
        <f>IFERROR(F1063/#REF!,"-")</f>
        <v>-</v>
      </c>
      <c r="J1063" s="339">
        <f t="shared" si="960"/>
        <v>431399</v>
      </c>
      <c r="K1063" s="281">
        <f t="shared" si="955"/>
        <v>423150</v>
      </c>
      <c r="L1063" s="281">
        <f t="shared" si="956"/>
        <v>8249</v>
      </c>
      <c r="M1063" s="265" t="str">
        <f t="shared" si="965"/>
        <v>-</v>
      </c>
      <c r="N1063" s="264">
        <f t="shared" si="966"/>
        <v>1.9121509321996574E-2</v>
      </c>
      <c r="O1063" s="519">
        <v>4.9344999999999999</v>
      </c>
      <c r="P1063" s="410">
        <f t="shared" si="957"/>
        <v>154203.125</v>
      </c>
      <c r="Q1063" s="459">
        <f t="shared" si="958"/>
        <v>2088033.675</v>
      </c>
    </row>
    <row r="1064" spans="1:17" ht="23.4" x14ac:dyDescent="0.4">
      <c r="A1064" s="248"/>
      <c r="B1064" s="980"/>
      <c r="C1064" s="556" t="s">
        <v>143</v>
      </c>
      <c r="D1064" s="279"/>
      <c r="E1064" s="442"/>
      <c r="F1064" s="339">
        <f t="shared" si="959"/>
        <v>0</v>
      </c>
      <c r="G1064" s="281">
        <v>0</v>
      </c>
      <c r="H1064" s="281">
        <v>0</v>
      </c>
      <c r="I1064" s="358" t="str">
        <f>IFERROR(F1064/#REF!,"-")</f>
        <v>-</v>
      </c>
      <c r="J1064" s="339">
        <f t="shared" si="960"/>
        <v>0</v>
      </c>
      <c r="K1064" s="281">
        <f t="shared" si="955"/>
        <v>0</v>
      </c>
      <c r="L1064" s="250">
        <f t="shared" si="956"/>
        <v>0</v>
      </c>
      <c r="M1064" s="265" t="str">
        <f t="shared" si="965"/>
        <v>-</v>
      </c>
      <c r="N1064" s="264" t="str">
        <f t="shared" si="966"/>
        <v>-</v>
      </c>
      <c r="O1064" s="519">
        <v>4.9344999999999999</v>
      </c>
      <c r="P1064" s="410">
        <f t="shared" si="957"/>
        <v>0</v>
      </c>
      <c r="Q1064" s="459">
        <f t="shared" si="958"/>
        <v>0</v>
      </c>
    </row>
    <row r="1065" spans="1:17" ht="23.4" x14ac:dyDescent="0.4">
      <c r="A1065" s="248"/>
      <c r="B1065" s="980"/>
      <c r="C1065" s="556" t="s">
        <v>137</v>
      </c>
      <c r="D1065" s="279"/>
      <c r="E1065" s="442"/>
      <c r="F1065" s="339">
        <f t="shared" si="959"/>
        <v>0</v>
      </c>
      <c r="G1065" s="281">
        <v>0</v>
      </c>
      <c r="H1065" s="281">
        <v>0</v>
      </c>
      <c r="I1065" s="358" t="str">
        <f>IFERROR(F1065/#REF!,"-")</f>
        <v>-</v>
      </c>
      <c r="J1065" s="339">
        <f t="shared" si="960"/>
        <v>0</v>
      </c>
      <c r="K1065" s="281">
        <f t="shared" si="955"/>
        <v>0</v>
      </c>
      <c r="L1065" s="250">
        <f t="shared" si="956"/>
        <v>0</v>
      </c>
      <c r="M1065" s="265" t="str">
        <f t="shared" si="965"/>
        <v>-</v>
      </c>
      <c r="N1065" s="264" t="str">
        <f t="shared" si="966"/>
        <v>-</v>
      </c>
      <c r="O1065" s="519">
        <v>4.9344999999999999</v>
      </c>
      <c r="P1065" s="410">
        <f t="shared" si="957"/>
        <v>0</v>
      </c>
      <c r="Q1065" s="459">
        <f t="shared" si="958"/>
        <v>0</v>
      </c>
    </row>
    <row r="1066" spans="1:17" ht="24" thickBot="1" x14ac:dyDescent="0.45">
      <c r="A1066" s="248"/>
      <c r="B1066" s="981"/>
      <c r="C1066" s="556" t="s">
        <v>282</v>
      </c>
      <c r="D1066" s="279"/>
      <c r="E1066" s="442"/>
      <c r="F1066" s="339">
        <f t="shared" si="959"/>
        <v>0</v>
      </c>
      <c r="G1066" s="281">
        <v>0</v>
      </c>
      <c r="H1066" s="281">
        <v>0</v>
      </c>
      <c r="I1066" s="358" t="str">
        <f>IFERROR(F1066/#REF!,"-")</f>
        <v>-</v>
      </c>
      <c r="J1066" s="339">
        <f t="shared" si="960"/>
        <v>0</v>
      </c>
      <c r="K1066" s="281">
        <f t="shared" si="955"/>
        <v>0</v>
      </c>
      <c r="L1066" s="250">
        <f t="shared" si="956"/>
        <v>0</v>
      </c>
      <c r="M1066" s="265" t="str">
        <f t="shared" si="965"/>
        <v>-</v>
      </c>
      <c r="N1066" s="264" t="str">
        <f t="shared" si="966"/>
        <v>-</v>
      </c>
      <c r="O1066" s="519">
        <v>5.5069999999999997</v>
      </c>
      <c r="P1066" s="410">
        <f t="shared" si="957"/>
        <v>0</v>
      </c>
      <c r="Q1066" s="459">
        <f t="shared" si="958"/>
        <v>0</v>
      </c>
    </row>
    <row r="1067" spans="1:17" ht="23.4" x14ac:dyDescent="0.4">
      <c r="A1067" s="248"/>
      <c r="B1067" s="979" t="s">
        <v>288</v>
      </c>
      <c r="C1067" s="556" t="s">
        <v>284</v>
      </c>
      <c r="D1067" s="279"/>
      <c r="E1067" s="442"/>
      <c r="F1067" s="339">
        <f t="shared" si="959"/>
        <v>0</v>
      </c>
      <c r="G1067" s="281">
        <v>0</v>
      </c>
      <c r="H1067" s="281">
        <v>0</v>
      </c>
      <c r="I1067" s="358" t="str">
        <f>IFERROR(F1067/#REF!,"-")</f>
        <v>-</v>
      </c>
      <c r="J1067" s="339">
        <f t="shared" si="960"/>
        <v>0</v>
      </c>
      <c r="K1067" s="281">
        <f t="shared" si="955"/>
        <v>0</v>
      </c>
      <c r="L1067" s="250">
        <f t="shared" si="956"/>
        <v>0</v>
      </c>
      <c r="M1067" s="265" t="str">
        <f t="shared" si="965"/>
        <v>-</v>
      </c>
      <c r="N1067" s="264" t="str">
        <f t="shared" si="966"/>
        <v>-</v>
      </c>
      <c r="O1067" s="519">
        <v>5.6550000000000002</v>
      </c>
      <c r="P1067" s="410">
        <f t="shared" si="957"/>
        <v>0</v>
      </c>
      <c r="Q1067" s="459">
        <f t="shared" si="958"/>
        <v>0</v>
      </c>
    </row>
    <row r="1068" spans="1:17" ht="23.4" x14ac:dyDescent="0.4">
      <c r="A1068" s="248"/>
      <c r="B1068" s="980"/>
      <c r="C1068" s="556" t="s">
        <v>285</v>
      </c>
      <c r="D1068" s="279"/>
      <c r="E1068" s="442"/>
      <c r="F1068" s="339">
        <f t="shared" si="959"/>
        <v>0</v>
      </c>
      <c r="G1068" s="281">
        <v>0</v>
      </c>
      <c r="H1068" s="281">
        <v>0</v>
      </c>
      <c r="I1068" s="358" t="str">
        <f>IFERROR(F1068/#REF!,"-")</f>
        <v>-</v>
      </c>
      <c r="J1068" s="339">
        <f t="shared" si="960"/>
        <v>0</v>
      </c>
      <c r="K1068" s="281">
        <f t="shared" si="955"/>
        <v>0</v>
      </c>
      <c r="L1068" s="250">
        <f t="shared" si="956"/>
        <v>0</v>
      </c>
      <c r="M1068" s="265" t="str">
        <f t="shared" si="965"/>
        <v>-</v>
      </c>
      <c r="N1068" s="264" t="str">
        <f t="shared" si="966"/>
        <v>-</v>
      </c>
      <c r="O1068" s="519">
        <v>5.6550000000000002</v>
      </c>
      <c r="P1068" s="410">
        <f t="shared" si="957"/>
        <v>0</v>
      </c>
      <c r="Q1068" s="459">
        <f t="shared" si="958"/>
        <v>0</v>
      </c>
    </row>
    <row r="1069" spans="1:17" ht="23.4" x14ac:dyDescent="0.4">
      <c r="A1069" s="248"/>
      <c r="B1069" s="980"/>
      <c r="C1069" s="556" t="s">
        <v>374</v>
      </c>
      <c r="D1069" s="279"/>
      <c r="E1069" s="442"/>
      <c r="F1069" s="339">
        <f t="shared" si="959"/>
        <v>30148</v>
      </c>
      <c r="G1069" s="281">
        <v>29350</v>
      </c>
      <c r="H1069" s="281">
        <v>798</v>
      </c>
      <c r="I1069" s="358" t="str">
        <f>IFERROR(F1069/#REF!,"-")</f>
        <v>-</v>
      </c>
      <c r="J1069" s="339">
        <f t="shared" si="960"/>
        <v>426637</v>
      </c>
      <c r="K1069" s="281">
        <f t="shared" si="955"/>
        <v>416200</v>
      </c>
      <c r="L1069" s="250">
        <f t="shared" si="956"/>
        <v>10437</v>
      </c>
      <c r="M1069" s="265" t="str">
        <f t="shared" si="965"/>
        <v>-</v>
      </c>
      <c r="N1069" s="264">
        <f t="shared" si="966"/>
        <v>2.4463419722152557E-2</v>
      </c>
      <c r="O1069" s="519">
        <v>5.6550000000000002</v>
      </c>
      <c r="P1069" s="410">
        <f t="shared" si="957"/>
        <v>165974.25</v>
      </c>
      <c r="Q1069" s="459">
        <f t="shared" si="958"/>
        <v>2353611</v>
      </c>
    </row>
    <row r="1070" spans="1:17" ht="23.4" x14ac:dyDescent="0.4">
      <c r="A1070" s="248"/>
      <c r="B1070" s="980"/>
      <c r="C1070" s="556" t="s">
        <v>286</v>
      </c>
      <c r="D1070" s="279"/>
      <c r="E1070" s="442"/>
      <c r="F1070" s="339">
        <f t="shared" si="959"/>
        <v>0</v>
      </c>
      <c r="G1070" s="281">
        <v>0</v>
      </c>
      <c r="H1070" s="281">
        <v>0</v>
      </c>
      <c r="I1070" s="358" t="str">
        <f>IFERROR(F1070/#REF!,"-")</f>
        <v>-</v>
      </c>
      <c r="J1070" s="339">
        <f t="shared" si="960"/>
        <v>0</v>
      </c>
      <c r="K1070" s="281">
        <f t="shared" si="955"/>
        <v>0</v>
      </c>
      <c r="L1070" s="250">
        <f t="shared" si="956"/>
        <v>0</v>
      </c>
      <c r="M1070" s="265" t="str">
        <f t="shared" si="965"/>
        <v>-</v>
      </c>
      <c r="N1070" s="264" t="str">
        <f t="shared" si="966"/>
        <v>-</v>
      </c>
      <c r="O1070" s="519">
        <v>5.6550000000000002</v>
      </c>
      <c r="P1070" s="410">
        <f t="shared" si="957"/>
        <v>0</v>
      </c>
      <c r="Q1070" s="459">
        <f t="shared" si="958"/>
        <v>0</v>
      </c>
    </row>
    <row r="1071" spans="1:17" ht="23.4" x14ac:dyDescent="0.4">
      <c r="A1071" s="248" t="s">
        <v>109</v>
      </c>
      <c r="B1071" s="980"/>
      <c r="C1071" s="556" t="s">
        <v>287</v>
      </c>
      <c r="D1071" s="279"/>
      <c r="E1071" s="442"/>
      <c r="F1071" s="339">
        <f t="shared" si="959"/>
        <v>0</v>
      </c>
      <c r="G1071" s="281">
        <v>0</v>
      </c>
      <c r="H1071" s="281">
        <v>0</v>
      </c>
      <c r="I1071" s="358" t="str">
        <f>IFERROR(F1071/#REF!,"-")</f>
        <v>-</v>
      </c>
      <c r="J1071" s="339">
        <f t="shared" si="960"/>
        <v>0</v>
      </c>
      <c r="K1071" s="281">
        <f t="shared" si="955"/>
        <v>0</v>
      </c>
      <c r="L1071" s="250">
        <f t="shared" si="956"/>
        <v>0</v>
      </c>
      <c r="M1071" s="265" t="str">
        <f t="shared" si="965"/>
        <v>-</v>
      </c>
      <c r="N1071" s="264" t="str">
        <f t="shared" si="966"/>
        <v>-</v>
      </c>
      <c r="O1071" s="519">
        <v>3.2963</v>
      </c>
      <c r="P1071" s="410">
        <f t="shared" si="957"/>
        <v>0</v>
      </c>
      <c r="Q1071" s="459">
        <f t="shared" si="958"/>
        <v>0</v>
      </c>
    </row>
    <row r="1072" spans="1:17" ht="24" thickBot="1" x14ac:dyDescent="0.45">
      <c r="A1072" s="248" t="s">
        <v>109</v>
      </c>
      <c r="B1072" s="981"/>
      <c r="C1072" s="556" t="s">
        <v>282</v>
      </c>
      <c r="D1072" s="279"/>
      <c r="E1072" s="442"/>
      <c r="F1072" s="339">
        <f t="shared" si="959"/>
        <v>0</v>
      </c>
      <c r="G1072" s="281">
        <v>0</v>
      </c>
      <c r="H1072" s="281">
        <v>0</v>
      </c>
      <c r="I1072" s="358" t="str">
        <f>IFERROR(F1072/#REF!,"-")</f>
        <v>-</v>
      </c>
      <c r="J1072" s="339">
        <f t="shared" si="960"/>
        <v>0</v>
      </c>
      <c r="K1072" s="281">
        <f t="shared" si="955"/>
        <v>0</v>
      </c>
      <c r="L1072" s="250">
        <f t="shared" si="956"/>
        <v>0</v>
      </c>
      <c r="M1072" s="265" t="str">
        <f t="shared" si="965"/>
        <v>-</v>
      </c>
      <c r="N1072" s="264" t="str">
        <f t="shared" si="966"/>
        <v>-</v>
      </c>
      <c r="O1072" s="519">
        <v>3.2963</v>
      </c>
      <c r="P1072" s="410">
        <f t="shared" si="957"/>
        <v>0</v>
      </c>
      <c r="Q1072" s="459">
        <f t="shared" si="958"/>
        <v>0</v>
      </c>
    </row>
    <row r="1073" spans="1:17" ht="23.4" x14ac:dyDescent="0.4">
      <c r="A1073" s="248" t="s">
        <v>109</v>
      </c>
      <c r="B1073" s="560"/>
      <c r="C1073" s="557" t="s">
        <v>92</v>
      </c>
      <c r="D1073" s="523"/>
      <c r="E1073" s="442"/>
      <c r="F1073" s="339">
        <f t="shared" si="959"/>
        <v>0</v>
      </c>
      <c r="G1073" s="281">
        <v>0</v>
      </c>
      <c r="H1073" s="281">
        <v>0</v>
      </c>
      <c r="I1073" s="358" t="str">
        <f>IFERROR(F1073/#REF!,"-")</f>
        <v>-</v>
      </c>
      <c r="J1073" s="339">
        <f t="shared" si="960"/>
        <v>65530</v>
      </c>
      <c r="K1073" s="281">
        <f t="shared" si="955"/>
        <v>65500</v>
      </c>
      <c r="L1073" s="250">
        <f t="shared" si="956"/>
        <v>30</v>
      </c>
      <c r="M1073" s="265" t="str">
        <f t="shared" si="965"/>
        <v>-</v>
      </c>
      <c r="N1073" s="264">
        <f t="shared" si="966"/>
        <v>4.5780558522813981E-4</v>
      </c>
      <c r="O1073" s="519">
        <v>2.3201000000000001</v>
      </c>
      <c r="P1073" s="410">
        <f t="shared" si="957"/>
        <v>0</v>
      </c>
      <c r="Q1073" s="459">
        <f t="shared" si="958"/>
        <v>151966.55000000002</v>
      </c>
    </row>
    <row r="1074" spans="1:17" ht="24" thickBot="1" x14ac:dyDescent="0.35">
      <c r="A1074" s="248" t="s">
        <v>109</v>
      </c>
      <c r="B1074" s="537"/>
      <c r="C1074" s="554"/>
      <c r="D1074" s="543"/>
      <c r="E1074" s="473"/>
      <c r="F1074" s="471">
        <f t="shared" si="959"/>
        <v>0</v>
      </c>
      <c r="G1074" s="472"/>
      <c r="H1074" s="472"/>
      <c r="I1074" s="545" t="str">
        <f>IFERROR(F1074/#REF!,"-")</f>
        <v>-</v>
      </c>
      <c r="J1074" s="471">
        <f t="shared" si="960"/>
        <v>0</v>
      </c>
      <c r="K1074" s="472">
        <f t="shared" si="955"/>
        <v>0</v>
      </c>
      <c r="L1074" s="257">
        <f t="shared" si="956"/>
        <v>0</v>
      </c>
      <c r="M1074" s="267" t="str">
        <f t="shared" si="965"/>
        <v>-</v>
      </c>
      <c r="N1074" s="266" t="str">
        <f t="shared" si="966"/>
        <v>-</v>
      </c>
      <c r="O1074" s="552"/>
      <c r="P1074" s="549">
        <f t="shared" si="957"/>
        <v>0</v>
      </c>
      <c r="Q1074" s="550">
        <f t="shared" si="958"/>
        <v>0</v>
      </c>
    </row>
    <row r="1075" spans="1:17" ht="24" thickBot="1" x14ac:dyDescent="0.35">
      <c r="A1075" s="277" t="s">
        <v>109</v>
      </c>
      <c r="B1075" s="982" t="s">
        <v>25</v>
      </c>
      <c r="C1075" s="983"/>
      <c r="D1075" s="525">
        <f t="shared" ref="D1075" si="967">SUM(D1050:D1074)</f>
        <v>0</v>
      </c>
      <c r="E1075" s="539">
        <v>100000</v>
      </c>
      <c r="F1075" s="525">
        <f>SUM(F1050:F1074)</f>
        <v>99678</v>
      </c>
      <c r="G1075" s="531">
        <f t="shared" ref="G1075:H1075" si="968">SUM(G1050:G1074)</f>
        <v>98182</v>
      </c>
      <c r="H1075" s="531">
        <f t="shared" si="968"/>
        <v>1496</v>
      </c>
      <c r="I1075" s="532" t="str">
        <f>IFERROR(F1075/#REF!,"-")</f>
        <v>-</v>
      </c>
      <c r="J1075" s="525">
        <f t="shared" ref="J1075" si="969">SUM(J1050:J1074)</f>
        <v>1366443</v>
      </c>
      <c r="K1075" s="531">
        <f>SUM(K1045:K1074)</f>
        <v>1424489</v>
      </c>
      <c r="L1075" s="533">
        <f t="shared" ref="L1075" si="970">SUM(L1050:L1074)</f>
        <v>25989</v>
      </c>
      <c r="M1075" s="534" t="str">
        <f t="shared" si="965"/>
        <v>-</v>
      </c>
      <c r="N1075" s="532">
        <f t="shared" si="966"/>
        <v>1.9019454159449022E-2</v>
      </c>
      <c r="O1075" s="535"/>
      <c r="P1075" s="536">
        <f>SUM(P1045:P1074)</f>
        <v>808580.99369999999</v>
      </c>
      <c r="Q1075" s="536">
        <f>SUM(Q1045:Q1074)</f>
        <v>11692998.014500003</v>
      </c>
    </row>
    <row r="1076" spans="1:17" ht="24" thickBot="1" x14ac:dyDescent="0.35">
      <c r="A1076" s="324" t="s">
        <v>109</v>
      </c>
      <c r="B1076" s="984" t="s">
        <v>276</v>
      </c>
      <c r="C1076" s="927"/>
      <c r="D1076" s="332">
        <f>+D1049+D1075</f>
        <v>0</v>
      </c>
      <c r="E1076" s="333">
        <f>+E1049+E1075</f>
        <v>100000</v>
      </c>
      <c r="F1076" s="332">
        <f>+F1049+F1075</f>
        <v>99678</v>
      </c>
      <c r="G1076" s="330">
        <f>+G1049+G1075</f>
        <v>98182</v>
      </c>
      <c r="H1076" s="330">
        <f>+H1049+H1075</f>
        <v>1496</v>
      </c>
      <c r="I1076" s="355" t="str">
        <f>IFERROR(F1076/#REF!,"-")</f>
        <v>-</v>
      </c>
      <c r="J1076" s="332">
        <f>+J1049+J1075</f>
        <v>1371793</v>
      </c>
      <c r="K1076" s="330">
        <f>K1075</f>
        <v>1424489</v>
      </c>
      <c r="L1076" s="331">
        <f>+L1049+L1075</f>
        <v>27189</v>
      </c>
      <c r="M1076" s="347" t="str">
        <f t="shared" si="965"/>
        <v>-</v>
      </c>
      <c r="N1076" s="355">
        <f t="shared" si="966"/>
        <v>1.9820045735763341E-2</v>
      </c>
      <c r="O1076" s="400"/>
      <c r="P1076" s="416">
        <f>+P1049+P1075</f>
        <v>808580.99369999999</v>
      </c>
      <c r="Q1076" s="434">
        <f>Q1075</f>
        <v>11692998.014500003</v>
      </c>
    </row>
    <row r="1077" spans="1:17" ht="24.6" thickBot="1" x14ac:dyDescent="0.35">
      <c r="A1077" s="325"/>
      <c r="B1077" s="915" t="s">
        <v>183</v>
      </c>
      <c r="C1077" s="916"/>
      <c r="D1077" s="380">
        <f>+D1076+D1044+D1035</f>
        <v>0</v>
      </c>
      <c r="E1077" s="380">
        <f>+E1076+E1044+E1035</f>
        <v>230000</v>
      </c>
      <c r="F1077" s="380">
        <f>+F1076+F1044+F1035</f>
        <v>330098</v>
      </c>
      <c r="G1077" s="380">
        <f>+G1076+G1044+G1035</f>
        <v>323562</v>
      </c>
      <c r="H1077" s="380">
        <f>+H1076+H1044+H1035</f>
        <v>6536</v>
      </c>
      <c r="I1077" s="381" t="str">
        <f>IFERROR(F1077/#REF!,"-")</f>
        <v>-</v>
      </c>
      <c r="J1077" s="380">
        <f>+J1076+J1044+J1035</f>
        <v>5203379</v>
      </c>
      <c r="K1077" s="380">
        <f>+K1076+K1044+K1035</f>
        <v>5121543</v>
      </c>
      <c r="L1077" s="380">
        <f>+L1076+L1044+L1035</f>
        <v>145441</v>
      </c>
      <c r="M1077" s="381" t="str">
        <f t="shared" si="965"/>
        <v>-</v>
      </c>
      <c r="N1077" s="381">
        <f>IFERROR(L1077/J1077,"-")</f>
        <v>2.7951260133078908E-2</v>
      </c>
      <c r="O1077" s="407"/>
      <c r="P1077" s="424">
        <f>+P1076+P1044+P1035</f>
        <v>1730899.3317</v>
      </c>
      <c r="Q1077" s="424">
        <f>+Q1076+Q1044+Q1035</f>
        <v>32134625.014900006</v>
      </c>
    </row>
    <row r="1078" spans="1:17" ht="23.4" x14ac:dyDescent="0.3">
      <c r="A1078" s="935" t="s">
        <v>1</v>
      </c>
      <c r="B1078" s="938" t="s">
        <v>2</v>
      </c>
      <c r="C1078" s="941" t="s">
        <v>3</v>
      </c>
      <c r="D1078" s="944" t="s">
        <v>4</v>
      </c>
      <c r="E1078" s="945"/>
      <c r="F1078" s="945"/>
      <c r="G1078" s="945"/>
      <c r="H1078" s="945"/>
      <c r="I1078" s="945"/>
      <c r="J1078" s="945"/>
      <c r="K1078" s="945"/>
      <c r="L1078" s="945"/>
      <c r="M1078" s="945"/>
      <c r="N1078" s="946"/>
      <c r="O1078" s="965" t="s">
        <v>176</v>
      </c>
      <c r="P1078" s="966"/>
      <c r="Q1078" s="990"/>
    </row>
    <row r="1079" spans="1:17" ht="23.4" x14ac:dyDescent="0.3">
      <c r="A1079" s="936"/>
      <c r="B1079" s="939"/>
      <c r="C1079" s="942"/>
      <c r="D1079" s="947" t="s">
        <v>7</v>
      </c>
      <c r="E1079" s="949" t="s">
        <v>116</v>
      </c>
      <c r="F1079" s="991" t="s">
        <v>483</v>
      </c>
      <c r="G1079" s="952"/>
      <c r="H1079" s="952"/>
      <c r="I1079" s="953"/>
      <c r="J1079" s="954" t="s">
        <v>8</v>
      </c>
      <c r="K1079" s="955"/>
      <c r="L1079" s="956"/>
      <c r="M1079" s="957" t="s">
        <v>174</v>
      </c>
      <c r="N1079" s="959" t="s">
        <v>173</v>
      </c>
      <c r="O1079" s="967" t="s">
        <v>178</v>
      </c>
      <c r="P1079" s="968"/>
      <c r="Q1079" s="969"/>
    </row>
    <row r="1080" spans="1:17" ht="47.4" thickBot="1" x14ac:dyDescent="0.35">
      <c r="A1080" s="937"/>
      <c r="B1080" s="940"/>
      <c r="C1080" s="943"/>
      <c r="D1080" s="948"/>
      <c r="E1080" s="950"/>
      <c r="F1080" s="462" t="s">
        <v>13</v>
      </c>
      <c r="G1080" s="463" t="s">
        <v>14</v>
      </c>
      <c r="H1080" s="463" t="s">
        <v>15</v>
      </c>
      <c r="I1080" s="464" t="s">
        <v>175</v>
      </c>
      <c r="J1080" s="462" t="s">
        <v>13</v>
      </c>
      <c r="K1080" s="463" t="s">
        <v>14</v>
      </c>
      <c r="L1080" s="465" t="s">
        <v>15</v>
      </c>
      <c r="M1080" s="958"/>
      <c r="N1080" s="960"/>
      <c r="O1080" s="453" t="s">
        <v>179</v>
      </c>
      <c r="P1080" s="454" t="s">
        <v>11</v>
      </c>
      <c r="Q1080" s="455" t="s">
        <v>12</v>
      </c>
    </row>
    <row r="1081" spans="1:17" ht="23.4" x14ac:dyDescent="0.3">
      <c r="A1081" s="271" t="s">
        <v>111</v>
      </c>
      <c r="B1081" s="445"/>
      <c r="C1081" s="272" t="s">
        <v>272</v>
      </c>
      <c r="D1081" s="273"/>
      <c r="E1081" s="274"/>
      <c r="F1081" s="338">
        <f>+G1081+H1081</f>
        <v>77861</v>
      </c>
      <c r="G1081" s="275">
        <f>73640</f>
        <v>73640</v>
      </c>
      <c r="H1081" s="275">
        <f>4221</f>
        <v>4221</v>
      </c>
      <c r="I1081" s="357" t="str">
        <f>IFERROR(F1081/#REF!,"-")</f>
        <v>-</v>
      </c>
      <c r="J1081" s="468">
        <f>+K1081+L1081</f>
        <v>1213457</v>
      </c>
      <c r="K1081" s="469">
        <f>+G1081+K1021</f>
        <v>1143520</v>
      </c>
      <c r="L1081" s="469">
        <f>+H1081+L1021</f>
        <v>69937</v>
      </c>
      <c r="M1081" s="342" t="str">
        <f>IFERROR(J1081/D1081,"-")</f>
        <v>-</v>
      </c>
      <c r="N1081" s="349">
        <f t="shared" ref="N1081:N1082" si="971">IFERROR(L1081/J1081,"-")</f>
        <v>5.7634510328754954E-2</v>
      </c>
      <c r="O1081" s="518">
        <v>1.5669</v>
      </c>
      <c r="P1081" s="408">
        <f>+O1081*G1081</f>
        <v>115386.516</v>
      </c>
      <c r="Q1081" s="457">
        <f>+O1081*K1081</f>
        <v>1791781.4879999999</v>
      </c>
    </row>
    <row r="1082" spans="1:17" ht="23.4" x14ac:dyDescent="0.3">
      <c r="A1082" s="277" t="s">
        <v>111</v>
      </c>
      <c r="B1082" s="444"/>
      <c r="C1082" s="278" t="s">
        <v>271</v>
      </c>
      <c r="D1082" s="279"/>
      <c r="E1082" s="280"/>
      <c r="F1082" s="339">
        <f t="shared" ref="F1082:F1085" si="972">+G1082+H1082</f>
        <v>0</v>
      </c>
      <c r="G1082" s="281">
        <v>0</v>
      </c>
      <c r="H1082" s="281">
        <v>0</v>
      </c>
      <c r="I1082" s="358" t="str">
        <f>IFERROR(F1082/#REF!,"-")</f>
        <v>-</v>
      </c>
      <c r="J1082" s="339">
        <f t="shared" ref="J1082:J1085" si="973">+K1082+L1082</f>
        <v>26548</v>
      </c>
      <c r="K1082" s="281">
        <f t="shared" ref="K1082:K1085" si="974">+G1082+K1022</f>
        <v>26500</v>
      </c>
      <c r="L1082" s="442">
        <f t="shared" ref="L1082:L1085" si="975">+H1082+L1022</f>
        <v>48</v>
      </c>
      <c r="M1082" s="343" t="str">
        <f t="shared" ref="M1082:M1085" si="976">IFERROR(J1082/D1082,"-")</f>
        <v>-</v>
      </c>
      <c r="N1082" s="268">
        <f t="shared" si="971"/>
        <v>1.8080458038270302E-3</v>
      </c>
      <c r="O1082" s="519">
        <v>2.3978999999999999</v>
      </c>
      <c r="P1082" s="410">
        <f t="shared" ref="P1082:P1085" si="977">+O1082*G1082</f>
        <v>0</v>
      </c>
      <c r="Q1082" s="459">
        <f t="shared" ref="Q1082:Q1085" si="978">+O1082*K1082</f>
        <v>63544.35</v>
      </c>
    </row>
    <row r="1083" spans="1:17" ht="23.4" x14ac:dyDescent="0.3">
      <c r="A1083" s="277" t="s">
        <v>111</v>
      </c>
      <c r="B1083" s="444"/>
      <c r="C1083" s="278" t="s">
        <v>488</v>
      </c>
      <c r="D1083" s="279"/>
      <c r="E1083" s="280"/>
      <c r="F1083" s="339">
        <f t="shared" si="972"/>
        <v>0</v>
      </c>
      <c r="G1083" s="281">
        <v>0</v>
      </c>
      <c r="H1083" s="281">
        <v>0</v>
      </c>
      <c r="I1083" s="358" t="str">
        <f>IFERROR(F1083/#REF!,"-")</f>
        <v>-</v>
      </c>
      <c r="J1083" s="339">
        <f t="shared" si="973"/>
        <v>0</v>
      </c>
      <c r="K1083" s="281">
        <f t="shared" si="974"/>
        <v>0</v>
      </c>
      <c r="L1083" s="251">
        <f t="shared" si="975"/>
        <v>0</v>
      </c>
      <c r="M1083" s="343" t="str">
        <f t="shared" si="976"/>
        <v>-</v>
      </c>
      <c r="N1083" s="268" t="str">
        <f>IFERROR(L1083/J1083,"-")</f>
        <v>-</v>
      </c>
      <c r="O1083" s="520">
        <v>4.6797000000000004</v>
      </c>
      <c r="P1083" s="410">
        <f t="shared" si="977"/>
        <v>0</v>
      </c>
      <c r="Q1083" s="459">
        <f t="shared" si="978"/>
        <v>0</v>
      </c>
    </row>
    <row r="1084" spans="1:17" ht="23.4" x14ac:dyDescent="0.3">
      <c r="A1084" s="277"/>
      <c r="B1084" s="461"/>
      <c r="C1084" s="278" t="s">
        <v>372</v>
      </c>
      <c r="D1084" s="283"/>
      <c r="E1084" s="284"/>
      <c r="F1084" s="339">
        <f t="shared" si="972"/>
        <v>24283</v>
      </c>
      <c r="G1084" s="285">
        <v>23600</v>
      </c>
      <c r="H1084" s="285">
        <v>683</v>
      </c>
      <c r="I1084" s="358" t="str">
        <f>IFERROR(F1084/#REF!,"-")</f>
        <v>-</v>
      </c>
      <c r="J1084" s="339">
        <f t="shared" si="973"/>
        <v>770390</v>
      </c>
      <c r="K1084" s="281">
        <f t="shared" si="974"/>
        <v>747400</v>
      </c>
      <c r="L1084" s="286">
        <f t="shared" si="975"/>
        <v>22990</v>
      </c>
      <c r="M1084" s="343" t="str">
        <f t="shared" si="976"/>
        <v>-</v>
      </c>
      <c r="N1084" s="268">
        <f>IFERROR(L1084/J1084,"-")</f>
        <v>2.9842028063707993E-2</v>
      </c>
      <c r="O1084" s="520">
        <v>12.284700000000001</v>
      </c>
      <c r="P1084" s="410">
        <f t="shared" si="977"/>
        <v>289918.92000000004</v>
      </c>
      <c r="Q1084" s="459">
        <f t="shared" si="978"/>
        <v>9181584.7800000012</v>
      </c>
    </row>
    <row r="1085" spans="1:17" ht="24" thickBot="1" x14ac:dyDescent="0.35">
      <c r="A1085" s="277" t="s">
        <v>111</v>
      </c>
      <c r="B1085" s="461"/>
      <c r="C1085" s="278" t="s">
        <v>487</v>
      </c>
      <c r="D1085" s="283"/>
      <c r="E1085" s="284"/>
      <c r="F1085" s="340">
        <f t="shared" si="972"/>
        <v>15360</v>
      </c>
      <c r="G1085" s="285">
        <v>15000</v>
      </c>
      <c r="H1085" s="285">
        <v>360</v>
      </c>
      <c r="I1085" s="359" t="str">
        <f>IFERROR(F1085/#REF!,"-")</f>
        <v>-</v>
      </c>
      <c r="J1085" s="471">
        <f t="shared" si="973"/>
        <v>187228</v>
      </c>
      <c r="K1085" s="472">
        <f t="shared" si="974"/>
        <v>183750</v>
      </c>
      <c r="L1085" s="258">
        <f t="shared" si="975"/>
        <v>3478</v>
      </c>
      <c r="M1085" s="344" t="str">
        <f t="shared" si="976"/>
        <v>-</v>
      </c>
      <c r="N1085" s="350">
        <f t="shared" ref="N1085:N1097" si="979">IFERROR(L1085/J1085,"-")</f>
        <v>1.8576281325442777E-2</v>
      </c>
      <c r="O1085" s="520">
        <v>4.6797000000000004</v>
      </c>
      <c r="P1085" s="411">
        <f t="shared" si="977"/>
        <v>70195.5</v>
      </c>
      <c r="Q1085" s="460">
        <f t="shared" si="978"/>
        <v>859894.87500000012</v>
      </c>
    </row>
    <row r="1086" spans="1:17" ht="24" thickBot="1" x14ac:dyDescent="0.35">
      <c r="A1086" s="277" t="s">
        <v>111</v>
      </c>
      <c r="B1086" s="906" t="s">
        <v>21</v>
      </c>
      <c r="C1086" s="907"/>
      <c r="D1086" s="326">
        <f>SUM(D1081:D1085)</f>
        <v>0</v>
      </c>
      <c r="E1086" s="289">
        <v>15000</v>
      </c>
      <c r="F1086" s="326">
        <f>SUM(F1081:F1085)</f>
        <v>117504</v>
      </c>
      <c r="G1086" s="327">
        <f>SUM(G1081:G1085)</f>
        <v>112240</v>
      </c>
      <c r="H1086" s="327">
        <f>SUM(H1081:H1085)</f>
        <v>5264</v>
      </c>
      <c r="I1086" s="351" t="str">
        <f>IFERROR(F1086/#REF!,"-")</f>
        <v>-</v>
      </c>
      <c r="J1086" s="326">
        <f>SUM(J1081:J1085)</f>
        <v>2197623</v>
      </c>
      <c r="K1086" s="327">
        <f>SUM(K1081:K1085)</f>
        <v>2101170</v>
      </c>
      <c r="L1086" s="328">
        <f>SUM(L1081:L1085)</f>
        <v>96453</v>
      </c>
      <c r="M1086" s="345" t="str">
        <f>IFERROR(J1086/D1086,"-")</f>
        <v>-</v>
      </c>
      <c r="N1086" s="351">
        <f t="shared" si="979"/>
        <v>4.3889693546163289E-2</v>
      </c>
      <c r="O1086" s="397"/>
      <c r="P1086" s="412">
        <f>SUM(P1081:P1085)</f>
        <v>475500.93600000005</v>
      </c>
      <c r="Q1086" s="431">
        <f>SUM(Q1081:Q1085)</f>
        <v>11896805.493000001</v>
      </c>
    </row>
    <row r="1087" spans="1:17" ht="23.4" x14ac:dyDescent="0.3">
      <c r="A1087" s="277" t="s">
        <v>111</v>
      </c>
      <c r="B1087" s="445"/>
      <c r="C1087" s="272" t="s">
        <v>270</v>
      </c>
      <c r="D1087" s="273"/>
      <c r="E1087" s="274"/>
      <c r="F1087" s="338">
        <f t="shared" ref="F1087:F1093" si="980">+G1087+H1087</f>
        <v>0</v>
      </c>
      <c r="G1087" s="275">
        <v>0</v>
      </c>
      <c r="H1087" s="275">
        <v>0</v>
      </c>
      <c r="I1087" s="357" t="str">
        <f>IFERROR(F1087/#REF!,"-")</f>
        <v>-</v>
      </c>
      <c r="J1087" s="338">
        <f t="shared" ref="J1087:J1093" si="981">+K1087+L1087</f>
        <v>81080</v>
      </c>
      <c r="K1087" s="275">
        <f t="shared" ref="K1087:K1093" si="982">+G1087+K1027</f>
        <v>74874</v>
      </c>
      <c r="L1087" s="276">
        <f t="shared" ref="L1087:L1093" si="983">+H1087+L1027</f>
        <v>6206</v>
      </c>
      <c r="M1087" s="342" t="str">
        <f t="shared" ref="M1087:M1095" si="984">IFERROR(J1087/D1087,"-")</f>
        <v>-</v>
      </c>
      <c r="N1087" s="352">
        <f t="shared" si="979"/>
        <v>7.6541687222496296E-2</v>
      </c>
      <c r="O1087" s="518">
        <v>18.2316</v>
      </c>
      <c r="P1087" s="408">
        <f t="shared" ref="P1087:P1093" si="985">+O1087*G1087</f>
        <v>0</v>
      </c>
      <c r="Q1087" s="457">
        <f t="shared" ref="Q1087:Q1093" si="986">+O1087*K1087</f>
        <v>1365072.8184</v>
      </c>
    </row>
    <row r="1088" spans="1:17" ht="23.4" x14ac:dyDescent="0.3">
      <c r="A1088" s="277" t="s">
        <v>111</v>
      </c>
      <c r="B1088" s="444"/>
      <c r="C1088" s="278" t="s">
        <v>92</v>
      </c>
      <c r="D1088" s="279"/>
      <c r="E1088" s="280"/>
      <c r="F1088" s="339">
        <f t="shared" si="980"/>
        <v>60000</v>
      </c>
      <c r="G1088" s="281">
        <v>60000</v>
      </c>
      <c r="H1088" s="281">
        <v>0</v>
      </c>
      <c r="I1088" s="358" t="str">
        <f>IFERROR(F1088/#REF!,"-")</f>
        <v>-</v>
      </c>
      <c r="J1088" s="339">
        <f t="shared" si="981"/>
        <v>420000</v>
      </c>
      <c r="K1088" s="281">
        <f t="shared" si="982"/>
        <v>420000</v>
      </c>
      <c r="L1088" s="251">
        <f t="shared" si="983"/>
        <v>0</v>
      </c>
      <c r="M1088" s="343" t="str">
        <f t="shared" si="984"/>
        <v>-</v>
      </c>
      <c r="N1088" s="264">
        <f t="shared" si="979"/>
        <v>0</v>
      </c>
      <c r="O1088" s="519">
        <v>1.2824</v>
      </c>
      <c r="P1088" s="410">
        <f t="shared" si="985"/>
        <v>76944</v>
      </c>
      <c r="Q1088" s="459">
        <f t="shared" si="986"/>
        <v>538608</v>
      </c>
    </row>
    <row r="1089" spans="1:17" ht="23.4" x14ac:dyDescent="0.3">
      <c r="A1089" s="277" t="s">
        <v>111</v>
      </c>
      <c r="B1089" s="444"/>
      <c r="C1089" s="278" t="s">
        <v>340</v>
      </c>
      <c r="D1089" s="279"/>
      <c r="E1089" s="280"/>
      <c r="F1089" s="339">
        <f t="shared" si="980"/>
        <v>0</v>
      </c>
      <c r="G1089" s="281">
        <v>0</v>
      </c>
      <c r="H1089" s="281">
        <v>0</v>
      </c>
      <c r="I1089" s="358" t="str">
        <f>IFERROR(F1089/#REF!,"-")</f>
        <v>-</v>
      </c>
      <c r="J1089" s="339">
        <f t="shared" si="981"/>
        <v>0</v>
      </c>
      <c r="K1089" s="281">
        <f t="shared" si="982"/>
        <v>0</v>
      </c>
      <c r="L1089" s="251">
        <f t="shared" si="983"/>
        <v>0</v>
      </c>
      <c r="M1089" s="343" t="str">
        <f t="shared" si="984"/>
        <v>-</v>
      </c>
      <c r="N1089" s="264" t="str">
        <f t="shared" si="979"/>
        <v>-</v>
      </c>
      <c r="O1089" s="519">
        <v>5.7342000000000004</v>
      </c>
      <c r="P1089" s="410">
        <f t="shared" si="985"/>
        <v>0</v>
      </c>
      <c r="Q1089" s="459">
        <f t="shared" si="986"/>
        <v>0</v>
      </c>
    </row>
    <row r="1090" spans="1:17" ht="23.4" x14ac:dyDescent="0.3">
      <c r="A1090" s="277" t="s">
        <v>111</v>
      </c>
      <c r="B1090" s="444"/>
      <c r="C1090" s="278" t="s">
        <v>363</v>
      </c>
      <c r="D1090" s="279"/>
      <c r="E1090" s="280"/>
      <c r="F1090" s="339">
        <f t="shared" si="980"/>
        <v>0</v>
      </c>
      <c r="G1090" s="281">
        <v>0</v>
      </c>
      <c r="H1090" s="281">
        <v>0</v>
      </c>
      <c r="I1090" s="358" t="str">
        <f>IFERROR(F1090/#REF!,"-")</f>
        <v>-</v>
      </c>
      <c r="J1090" s="339">
        <f t="shared" si="981"/>
        <v>0</v>
      </c>
      <c r="K1090" s="281">
        <f t="shared" si="982"/>
        <v>0</v>
      </c>
      <c r="L1090" s="251">
        <f t="shared" si="983"/>
        <v>0</v>
      </c>
      <c r="M1090" s="343" t="str">
        <f t="shared" si="984"/>
        <v>-</v>
      </c>
      <c r="N1090" s="264" t="str">
        <f t="shared" si="979"/>
        <v>-</v>
      </c>
      <c r="O1090" s="519"/>
      <c r="P1090" s="410">
        <f t="shared" si="985"/>
        <v>0</v>
      </c>
      <c r="Q1090" s="459">
        <f t="shared" si="986"/>
        <v>0</v>
      </c>
    </row>
    <row r="1091" spans="1:17" ht="23.4" x14ac:dyDescent="0.3">
      <c r="A1091" s="277" t="s">
        <v>111</v>
      </c>
      <c r="B1091" s="444"/>
      <c r="C1091" s="278" t="s">
        <v>373</v>
      </c>
      <c r="D1091" s="279"/>
      <c r="E1091" s="280"/>
      <c r="F1091" s="339">
        <f t="shared" si="980"/>
        <v>9087</v>
      </c>
      <c r="G1091" s="281">
        <v>9000</v>
      </c>
      <c r="H1091" s="281">
        <v>87</v>
      </c>
      <c r="I1091" s="358" t="str">
        <f>IFERROR(F1091/#REF!,"-")</f>
        <v>-</v>
      </c>
      <c r="J1091" s="339">
        <f t="shared" si="981"/>
        <v>398682</v>
      </c>
      <c r="K1091" s="281">
        <f t="shared" si="982"/>
        <v>397000</v>
      </c>
      <c r="L1091" s="251">
        <f t="shared" si="983"/>
        <v>1682</v>
      </c>
      <c r="M1091" s="343" t="str">
        <f t="shared" si="984"/>
        <v>-</v>
      </c>
      <c r="N1091" s="264">
        <f t="shared" si="979"/>
        <v>4.2189012797166662E-3</v>
      </c>
      <c r="O1091" s="519">
        <v>12.029500000000001</v>
      </c>
      <c r="P1091" s="410">
        <f t="shared" si="985"/>
        <v>108265.5</v>
      </c>
      <c r="Q1091" s="459">
        <f t="shared" si="986"/>
        <v>4775711.5</v>
      </c>
    </row>
    <row r="1092" spans="1:17" ht="23.4" x14ac:dyDescent="0.3">
      <c r="A1092" s="277" t="s">
        <v>111</v>
      </c>
      <c r="B1092" s="444"/>
      <c r="C1092" s="278"/>
      <c r="D1092" s="279"/>
      <c r="E1092" s="280"/>
      <c r="F1092" s="339">
        <f t="shared" si="980"/>
        <v>0</v>
      </c>
      <c r="G1092" s="281">
        <v>0</v>
      </c>
      <c r="H1092" s="281">
        <v>0</v>
      </c>
      <c r="I1092" s="358" t="str">
        <f>IFERROR(F1092/#REF!,"-")</f>
        <v>-</v>
      </c>
      <c r="J1092" s="339">
        <f t="shared" si="981"/>
        <v>0</v>
      </c>
      <c r="K1092" s="281">
        <f t="shared" si="982"/>
        <v>0</v>
      </c>
      <c r="L1092" s="251">
        <f t="shared" si="983"/>
        <v>0</v>
      </c>
      <c r="M1092" s="343" t="str">
        <f t="shared" si="984"/>
        <v>-</v>
      </c>
      <c r="N1092" s="264" t="str">
        <f t="shared" si="979"/>
        <v>-</v>
      </c>
      <c r="O1092" s="519"/>
      <c r="P1092" s="410">
        <f t="shared" si="985"/>
        <v>0</v>
      </c>
      <c r="Q1092" s="459">
        <f t="shared" si="986"/>
        <v>0</v>
      </c>
    </row>
    <row r="1093" spans="1:17" ht="24" thickBot="1" x14ac:dyDescent="0.35">
      <c r="A1093" s="277" t="s">
        <v>111</v>
      </c>
      <c r="B1093" s="461"/>
      <c r="C1093" s="282"/>
      <c r="D1093" s="283">
        <v>0</v>
      </c>
      <c r="E1093" s="284"/>
      <c r="F1093" s="340">
        <f t="shared" si="980"/>
        <v>0</v>
      </c>
      <c r="G1093" s="285">
        <v>0</v>
      </c>
      <c r="H1093" s="285">
        <v>0</v>
      </c>
      <c r="I1093" s="359" t="str">
        <f>IFERROR(F1093/#REF!,"-")</f>
        <v>-</v>
      </c>
      <c r="J1093" s="340">
        <f t="shared" si="981"/>
        <v>0</v>
      </c>
      <c r="K1093" s="285">
        <f t="shared" si="982"/>
        <v>0</v>
      </c>
      <c r="L1093" s="286">
        <f t="shared" si="983"/>
        <v>0</v>
      </c>
      <c r="M1093" s="344" t="str">
        <f t="shared" si="984"/>
        <v>-</v>
      </c>
      <c r="N1093" s="353" t="str">
        <f t="shared" si="979"/>
        <v>-</v>
      </c>
      <c r="O1093" s="520"/>
      <c r="P1093" s="411">
        <f t="shared" si="985"/>
        <v>0</v>
      </c>
      <c r="Q1093" s="460">
        <f t="shared" si="986"/>
        <v>0</v>
      </c>
    </row>
    <row r="1094" spans="1:17" ht="24" thickBot="1" x14ac:dyDescent="0.35">
      <c r="A1094" s="277" t="s">
        <v>111</v>
      </c>
      <c r="B1094" s="906" t="s">
        <v>25</v>
      </c>
      <c r="C1094" s="907"/>
      <c r="D1094" s="326">
        <f t="shared" ref="D1094" si="987">SUM(D1087:D1093)</f>
        <v>0</v>
      </c>
      <c r="E1094" s="289">
        <v>100000</v>
      </c>
      <c r="F1094" s="326">
        <f>SUM(F1087:F1093)</f>
        <v>69087</v>
      </c>
      <c r="G1094" s="327">
        <f t="shared" ref="G1094:H1094" si="988">SUM(G1087:G1093)</f>
        <v>69000</v>
      </c>
      <c r="H1094" s="327">
        <f t="shared" si="988"/>
        <v>87</v>
      </c>
      <c r="I1094" s="351" t="str">
        <f>IFERROR(F1094/#REF!,"-")</f>
        <v>-</v>
      </c>
      <c r="J1094" s="326">
        <f t="shared" ref="J1094:L1094" si="989">SUM(J1087:J1093)</f>
        <v>899762</v>
      </c>
      <c r="K1094" s="327">
        <f t="shared" si="989"/>
        <v>891874</v>
      </c>
      <c r="L1094" s="328">
        <f t="shared" si="989"/>
        <v>7888</v>
      </c>
      <c r="M1094" s="345" t="str">
        <f t="shared" si="984"/>
        <v>-</v>
      </c>
      <c r="N1094" s="351">
        <f t="shared" si="979"/>
        <v>8.766762766153716E-3</v>
      </c>
      <c r="O1094" s="397"/>
      <c r="P1094" s="412">
        <f t="shared" ref="P1094:Q1094" si="990">SUM(P1087:P1093)</f>
        <v>185209.5</v>
      </c>
      <c r="Q1094" s="431">
        <f t="shared" si="990"/>
        <v>6679392.3184000002</v>
      </c>
    </row>
    <row r="1095" spans="1:17" ht="24" thickBot="1" x14ac:dyDescent="0.35">
      <c r="A1095" s="277" t="s">
        <v>111</v>
      </c>
      <c r="B1095" s="985" t="s">
        <v>181</v>
      </c>
      <c r="C1095" s="986"/>
      <c r="D1095" s="332">
        <f>+D1086+D1094</f>
        <v>0</v>
      </c>
      <c r="E1095" s="333">
        <f t="shared" ref="E1095:H1095" si="991">+E1086+E1094</f>
        <v>115000</v>
      </c>
      <c r="F1095" s="332">
        <f t="shared" si="991"/>
        <v>186591</v>
      </c>
      <c r="G1095" s="330">
        <f t="shared" si="991"/>
        <v>181240</v>
      </c>
      <c r="H1095" s="330">
        <f t="shared" si="991"/>
        <v>5351</v>
      </c>
      <c r="I1095" s="355" t="str">
        <f>IFERROR(F1095/#REF!,"-")</f>
        <v>-</v>
      </c>
      <c r="J1095" s="332">
        <f t="shared" ref="J1095:L1095" si="992">+J1086+J1094</f>
        <v>3097385</v>
      </c>
      <c r="K1095" s="330">
        <f t="shared" si="992"/>
        <v>2993044</v>
      </c>
      <c r="L1095" s="331">
        <f t="shared" si="992"/>
        <v>104341</v>
      </c>
      <c r="M1095" s="347" t="str">
        <f t="shared" si="984"/>
        <v>-</v>
      </c>
      <c r="N1095" s="355">
        <f t="shared" si="979"/>
        <v>3.3686803545571506E-2</v>
      </c>
      <c r="O1095" s="400"/>
      <c r="P1095" s="416">
        <f t="shared" ref="P1095:Q1095" si="993">+P1086+P1094</f>
        <v>660710.43599999999</v>
      </c>
      <c r="Q1095" s="434">
        <f t="shared" si="993"/>
        <v>18576197.8114</v>
      </c>
    </row>
    <row r="1096" spans="1:17" ht="23.4" x14ac:dyDescent="0.3">
      <c r="A1096" s="244" t="s">
        <v>109</v>
      </c>
      <c r="B1096" s="599"/>
      <c r="C1096" s="600" t="s">
        <v>314</v>
      </c>
      <c r="D1096" s="540"/>
      <c r="E1096" s="470"/>
      <c r="F1096" s="468">
        <f>+G1096+H1096</f>
        <v>0</v>
      </c>
      <c r="G1096" s="469">
        <v>0</v>
      </c>
      <c r="H1096" s="469">
        <v>0</v>
      </c>
      <c r="I1096" s="544" t="str">
        <f>IFERROR(F1096/#REF!,"-")</f>
        <v>-</v>
      </c>
      <c r="J1096" s="468">
        <f>+K1096+L1096</f>
        <v>0</v>
      </c>
      <c r="K1096" s="469">
        <f t="shared" ref="K1096:K1102" si="994">+G1096+K1036</f>
        <v>0</v>
      </c>
      <c r="L1096" s="247">
        <f t="shared" ref="L1096:L1102" si="995">+H1096+L1036</f>
        <v>0</v>
      </c>
      <c r="M1096" s="604" t="str">
        <f>IFERROR(J1096/D1096,"-")</f>
        <v>-</v>
      </c>
      <c r="N1096" s="546" t="str">
        <f t="shared" si="979"/>
        <v>-</v>
      </c>
      <c r="O1096" s="648">
        <v>4.8285999999999998</v>
      </c>
      <c r="P1096" s="547">
        <f t="shared" ref="P1096:P1102" si="996">+O1096*G1096</f>
        <v>0</v>
      </c>
      <c r="Q1096" s="548">
        <f>+O1096*K1096</f>
        <v>0</v>
      </c>
    </row>
    <row r="1097" spans="1:17" ht="23.4" x14ac:dyDescent="0.3">
      <c r="A1097" s="248" t="s">
        <v>109</v>
      </c>
      <c r="B1097" s="601"/>
      <c r="C1097" s="278" t="s">
        <v>315</v>
      </c>
      <c r="D1097" s="279"/>
      <c r="E1097" s="442"/>
      <c r="F1097" s="339">
        <f t="shared" ref="F1097:F1102" si="997">+G1097+H1097</f>
        <v>0</v>
      </c>
      <c r="G1097" s="281">
        <v>0</v>
      </c>
      <c r="H1097" s="281">
        <v>0</v>
      </c>
      <c r="I1097" s="358" t="str">
        <f>IFERROR(F1097/#REF!,"-")</f>
        <v>-</v>
      </c>
      <c r="J1097" s="339">
        <f t="shared" ref="J1097:J1102" si="998">+K1097+L1097</f>
        <v>0</v>
      </c>
      <c r="K1097" s="281">
        <f t="shared" si="994"/>
        <v>0</v>
      </c>
      <c r="L1097" s="251">
        <f t="shared" si="995"/>
        <v>0</v>
      </c>
      <c r="M1097" s="343" t="str">
        <f t="shared" ref="M1097:M1099" si="999">IFERROR(J1097/D1097,"-")</f>
        <v>-</v>
      </c>
      <c r="N1097" s="268" t="str">
        <f t="shared" si="979"/>
        <v>-</v>
      </c>
      <c r="O1097" s="649">
        <v>1.4086000000000001</v>
      </c>
      <c r="P1097" s="410">
        <f t="shared" si="996"/>
        <v>0</v>
      </c>
      <c r="Q1097" s="459">
        <f t="shared" ref="Q1097:Q1102" si="1000">+O1097*K1097</f>
        <v>0</v>
      </c>
    </row>
    <row r="1098" spans="1:17" ht="23.4" x14ac:dyDescent="0.3">
      <c r="A1098" s="248" t="s">
        <v>109</v>
      </c>
      <c r="B1098" s="601"/>
      <c r="C1098" s="278" t="s">
        <v>367</v>
      </c>
      <c r="D1098" s="279"/>
      <c r="E1098" s="442"/>
      <c r="F1098" s="339">
        <f t="shared" si="997"/>
        <v>0</v>
      </c>
      <c r="G1098" s="281">
        <v>0</v>
      </c>
      <c r="H1098" s="281">
        <v>0</v>
      </c>
      <c r="I1098" s="358" t="str">
        <f>IFERROR(F1098/#REF!,"-")</f>
        <v>-</v>
      </c>
      <c r="J1098" s="339">
        <f t="shared" si="998"/>
        <v>573613</v>
      </c>
      <c r="K1098" s="281">
        <f t="shared" si="994"/>
        <v>566000</v>
      </c>
      <c r="L1098" s="251">
        <f t="shared" si="995"/>
        <v>7613</v>
      </c>
      <c r="M1098" s="343" t="str">
        <f t="shared" si="999"/>
        <v>-</v>
      </c>
      <c r="N1098" s="268">
        <f>IFERROR(L1098/J1098,"-")</f>
        <v>1.3272014406925924E-2</v>
      </c>
      <c r="O1098" s="649">
        <v>2.2141000000000002</v>
      </c>
      <c r="P1098" s="410">
        <f t="shared" si="996"/>
        <v>0</v>
      </c>
      <c r="Q1098" s="459">
        <f t="shared" si="1000"/>
        <v>1253180.6000000001</v>
      </c>
    </row>
    <row r="1099" spans="1:17" ht="23.4" x14ac:dyDescent="0.3">
      <c r="A1099" s="248" t="s">
        <v>109</v>
      </c>
      <c r="B1099" s="602"/>
      <c r="C1099" s="278" t="s">
        <v>436</v>
      </c>
      <c r="D1099" s="283"/>
      <c r="E1099" s="541"/>
      <c r="F1099" s="340">
        <f t="shared" si="997"/>
        <v>0</v>
      </c>
      <c r="G1099" s="285">
        <v>0</v>
      </c>
      <c r="H1099" s="285">
        <v>0</v>
      </c>
      <c r="I1099" s="359" t="str">
        <f>IFERROR(F1099/#REF!,"-")</f>
        <v>-</v>
      </c>
      <c r="J1099" s="339">
        <f t="shared" si="998"/>
        <v>40882</v>
      </c>
      <c r="K1099" s="285">
        <f t="shared" si="994"/>
        <v>40000</v>
      </c>
      <c r="L1099" s="286">
        <f t="shared" si="995"/>
        <v>882</v>
      </c>
      <c r="M1099" s="344" t="str">
        <f t="shared" si="999"/>
        <v>-</v>
      </c>
      <c r="N1099" s="350">
        <f t="shared" ref="N1099:N1106" si="1001">IFERROR(L1099/J1099,"-")</f>
        <v>2.157428697226163E-2</v>
      </c>
      <c r="O1099" s="650">
        <v>2.4565999999999999</v>
      </c>
      <c r="P1099" s="411">
        <f t="shared" si="996"/>
        <v>0</v>
      </c>
      <c r="Q1099" s="460">
        <f t="shared" si="1000"/>
        <v>98264</v>
      </c>
    </row>
    <row r="1100" spans="1:17" ht="23.4" x14ac:dyDescent="0.3">
      <c r="A1100" s="248" t="s">
        <v>109</v>
      </c>
      <c r="B1100" s="446"/>
      <c r="C1100" s="647" t="s">
        <v>444</v>
      </c>
      <c r="D1100" s="521"/>
      <c r="E1100" s="542"/>
      <c r="F1100" s="339">
        <f t="shared" si="997"/>
        <v>0</v>
      </c>
      <c r="G1100" s="561">
        <v>0</v>
      </c>
      <c r="H1100" s="561">
        <v>0</v>
      </c>
      <c r="I1100" s="358" t="str">
        <f>IFERROR(F1100/#REF!,"-")</f>
        <v>-</v>
      </c>
      <c r="J1100" s="339">
        <f t="shared" si="998"/>
        <v>16280</v>
      </c>
      <c r="K1100" s="285">
        <f t="shared" si="994"/>
        <v>15000</v>
      </c>
      <c r="L1100" s="286">
        <f t="shared" si="995"/>
        <v>1280</v>
      </c>
      <c r="M1100" s="522"/>
      <c r="N1100" s="268">
        <f t="shared" si="1001"/>
        <v>7.8624078624078622E-2</v>
      </c>
      <c r="O1100" s="553">
        <v>4.8285999999999998</v>
      </c>
      <c r="P1100" s="410">
        <f t="shared" si="996"/>
        <v>0</v>
      </c>
      <c r="Q1100" s="459">
        <f t="shared" si="1000"/>
        <v>72429</v>
      </c>
    </row>
    <row r="1101" spans="1:17" ht="23.4" x14ac:dyDescent="0.3">
      <c r="A1101" s="248" t="s">
        <v>109</v>
      </c>
      <c r="B1101" s="603"/>
      <c r="C1101" s="647" t="s">
        <v>439</v>
      </c>
      <c r="D1101" s="273"/>
      <c r="E1101" s="441"/>
      <c r="F1101" s="338">
        <f t="shared" si="997"/>
        <v>0</v>
      </c>
      <c r="G1101" s="275">
        <v>0</v>
      </c>
      <c r="H1101" s="275">
        <v>0</v>
      </c>
      <c r="I1101" s="357" t="str">
        <f>IFERROR(F1101/#REF!,"-")</f>
        <v>-</v>
      </c>
      <c r="J1101" s="339">
        <f t="shared" si="998"/>
        <v>273737</v>
      </c>
      <c r="K1101" s="285">
        <f t="shared" si="994"/>
        <v>264250</v>
      </c>
      <c r="L1101" s="286">
        <f t="shared" si="995"/>
        <v>9487</v>
      </c>
      <c r="M1101" s="342" t="str">
        <f t="shared" ref="M1101:M1102" si="1002">IFERROR(J1101/D1101,"-")</f>
        <v>-</v>
      </c>
      <c r="N1101" s="352">
        <f t="shared" si="1001"/>
        <v>3.4657353591220769E-2</v>
      </c>
      <c r="O1101" s="518">
        <v>4.1712999999999996</v>
      </c>
      <c r="P1101" s="408">
        <f t="shared" si="996"/>
        <v>0</v>
      </c>
      <c r="Q1101" s="457">
        <f t="shared" si="1000"/>
        <v>1102266.0249999999</v>
      </c>
    </row>
    <row r="1102" spans="1:17" ht="24" thickBot="1" x14ac:dyDescent="0.35">
      <c r="A1102" s="248" t="s">
        <v>109</v>
      </c>
      <c r="B1102" s="601"/>
      <c r="C1102" s="278"/>
      <c r="D1102" s="279"/>
      <c r="E1102" s="442"/>
      <c r="F1102" s="339">
        <f t="shared" si="997"/>
        <v>0</v>
      </c>
      <c r="G1102" s="281"/>
      <c r="H1102" s="281"/>
      <c r="I1102" s="358" t="str">
        <f>IFERROR(F1102/#REF!,"-")</f>
        <v>-</v>
      </c>
      <c r="J1102" s="339">
        <f t="shared" si="998"/>
        <v>0</v>
      </c>
      <c r="K1102" s="281">
        <f t="shared" si="994"/>
        <v>0</v>
      </c>
      <c r="L1102" s="251">
        <f t="shared" si="995"/>
        <v>0</v>
      </c>
      <c r="M1102" s="343" t="str">
        <f t="shared" si="1002"/>
        <v>-</v>
      </c>
      <c r="N1102" s="264" t="str">
        <f t="shared" si="1001"/>
        <v>-</v>
      </c>
      <c r="O1102" s="458"/>
      <c r="P1102" s="410">
        <f t="shared" si="996"/>
        <v>0</v>
      </c>
      <c r="Q1102" s="459">
        <f t="shared" si="1000"/>
        <v>0</v>
      </c>
    </row>
    <row r="1103" spans="1:17" ht="24" thickBot="1" x14ac:dyDescent="0.35">
      <c r="A1103" s="277" t="s">
        <v>109</v>
      </c>
      <c r="B1103" s="987" t="s">
        <v>21</v>
      </c>
      <c r="C1103" s="925"/>
      <c r="D1103" s="326">
        <v>0</v>
      </c>
      <c r="E1103" s="289">
        <v>15000</v>
      </c>
      <c r="F1103" s="326">
        <f>SUM(F1096:F1102)</f>
        <v>0</v>
      </c>
      <c r="G1103" s="327">
        <f t="shared" ref="G1103:H1103" si="1003">SUM(G1096:G1102)</f>
        <v>0</v>
      </c>
      <c r="H1103" s="327">
        <f t="shared" si="1003"/>
        <v>0</v>
      </c>
      <c r="I1103" s="351" t="str">
        <f>IFERROR(F1103/#REF!,"-")</f>
        <v>-</v>
      </c>
      <c r="J1103" s="326">
        <f t="shared" ref="J1103" si="1004">SUM(J1096:J1102)</f>
        <v>904512</v>
      </c>
      <c r="K1103" s="327">
        <f>SUM(K1096:K1102)</f>
        <v>885250</v>
      </c>
      <c r="L1103" s="327">
        <f>SUM(L1096:L1102)</f>
        <v>19262</v>
      </c>
      <c r="M1103" s="345" t="str">
        <f>IFERROR(J1103/D1103,"-")</f>
        <v>-</v>
      </c>
      <c r="N1103" s="351">
        <f t="shared" si="1001"/>
        <v>2.1295460977853252E-2</v>
      </c>
      <c r="O1103" s="397"/>
      <c r="P1103" s="412">
        <f>SUM(P1096:P1102)</f>
        <v>0</v>
      </c>
      <c r="Q1103" s="431">
        <f>SUM(Q1096:Q1102)</f>
        <v>2526139.625</v>
      </c>
    </row>
    <row r="1104" spans="1:17" ht="24" thickBot="1" x14ac:dyDescent="0.35">
      <c r="A1104" s="277" t="s">
        <v>109</v>
      </c>
      <c r="B1104" s="988" t="s">
        <v>275</v>
      </c>
      <c r="C1104" s="989"/>
      <c r="D1104" s="524">
        <f>+D1100+D1103</f>
        <v>0</v>
      </c>
      <c r="E1104" s="538">
        <f>+E1100+E1103</f>
        <v>15000</v>
      </c>
      <c r="F1104" s="524">
        <f>+F1100+F1103</f>
        <v>0</v>
      </c>
      <c r="G1104" s="526">
        <f>+G1100+G1103</f>
        <v>0</v>
      </c>
      <c r="H1104" s="526">
        <f>+H1100+H1103</f>
        <v>0</v>
      </c>
      <c r="I1104" s="527" t="str">
        <f>IFERROR(F1104/#REF!,"-")</f>
        <v>-</v>
      </c>
      <c r="J1104" s="524">
        <f>+J1100+J1103</f>
        <v>920792</v>
      </c>
      <c r="K1104" s="526">
        <f>+K1103</f>
        <v>885250</v>
      </c>
      <c r="L1104" s="526">
        <f>+L1103</f>
        <v>19262</v>
      </c>
      <c r="M1104" s="528" t="str">
        <f t="shared" ref="M1104" si="1005">IFERROR(J1104/D1104,"-")</f>
        <v>-</v>
      </c>
      <c r="N1104" s="527">
        <f t="shared" si="1001"/>
        <v>2.091894803603854E-2</v>
      </c>
      <c r="O1104" s="529"/>
      <c r="P1104" s="530">
        <f>+P1103</f>
        <v>0</v>
      </c>
      <c r="Q1104" s="530">
        <f>+Q1103</f>
        <v>2526139.625</v>
      </c>
    </row>
    <row r="1105" spans="1:17" ht="23.4" x14ac:dyDescent="0.4">
      <c r="A1105" s="244" t="s">
        <v>109</v>
      </c>
      <c r="B1105" s="979" t="s">
        <v>277</v>
      </c>
      <c r="C1105" s="555" t="s">
        <v>74</v>
      </c>
      <c r="D1105" s="540"/>
      <c r="E1105" s="470"/>
      <c r="F1105" s="468">
        <f>+G1105+H1105</f>
        <v>0</v>
      </c>
      <c r="G1105" s="469">
        <v>0</v>
      </c>
      <c r="H1105" s="469">
        <v>0</v>
      </c>
      <c r="I1105" s="544" t="str">
        <f>IFERROR(F1105/#REF!,"-")</f>
        <v>-</v>
      </c>
      <c r="J1105" s="468">
        <f>+K1105+L1105</f>
        <v>61721</v>
      </c>
      <c r="K1105" s="469">
        <f t="shared" ref="K1105:K1134" si="1006">+G1105+K1045</f>
        <v>61660</v>
      </c>
      <c r="L1105" s="246">
        <f t="shared" ref="L1105:L1134" si="1007">+H1105+L1045</f>
        <v>61</v>
      </c>
      <c r="M1105" s="263" t="str">
        <f>IFERROR(J1105/D1105,"-")</f>
        <v>-</v>
      </c>
      <c r="N1105" s="546">
        <f t="shared" si="1001"/>
        <v>9.8831840054438517E-4</v>
      </c>
      <c r="O1105" s="551">
        <v>32.946300000000001</v>
      </c>
      <c r="P1105" s="547">
        <f t="shared" ref="P1105:P1134" si="1008">+O1105*G1105</f>
        <v>0</v>
      </c>
      <c r="Q1105" s="548">
        <f t="shared" ref="Q1105:Q1134" si="1009">+O1105*K1105</f>
        <v>2031468.858</v>
      </c>
    </row>
    <row r="1106" spans="1:17" ht="23.4" x14ac:dyDescent="0.4">
      <c r="A1106" s="248" t="s">
        <v>109</v>
      </c>
      <c r="B1106" s="980"/>
      <c r="C1106" s="556" t="s">
        <v>75</v>
      </c>
      <c r="D1106" s="523"/>
      <c r="E1106" s="442"/>
      <c r="F1106" s="339">
        <f t="shared" ref="F1106:F1134" si="1010">+G1106+H1106</f>
        <v>0</v>
      </c>
      <c r="G1106" s="281">
        <v>0</v>
      </c>
      <c r="H1106" s="281">
        <v>0</v>
      </c>
      <c r="I1106" s="358" t="str">
        <f>IFERROR(F1106/#REF!,"-")</f>
        <v>-</v>
      </c>
      <c r="J1106" s="339">
        <f t="shared" ref="J1106:J1134" si="1011">+K1106+L1106</f>
        <v>0</v>
      </c>
      <c r="K1106" s="281">
        <f t="shared" si="1006"/>
        <v>0</v>
      </c>
      <c r="L1106" s="250">
        <f t="shared" si="1007"/>
        <v>0</v>
      </c>
      <c r="M1106" s="265" t="str">
        <f t="shared" ref="M1106:M1108" si="1012">IFERROR(J1106/D1106,"-")</f>
        <v>-</v>
      </c>
      <c r="N1106" s="268" t="str">
        <f t="shared" si="1001"/>
        <v>-</v>
      </c>
      <c r="O1106" s="519">
        <v>35.398400000000002</v>
      </c>
      <c r="P1106" s="410">
        <f t="shared" si="1008"/>
        <v>0</v>
      </c>
      <c r="Q1106" s="459">
        <f t="shared" si="1009"/>
        <v>0</v>
      </c>
    </row>
    <row r="1107" spans="1:17" ht="24" thickBot="1" x14ac:dyDescent="0.45">
      <c r="A1107" s="248" t="s">
        <v>109</v>
      </c>
      <c r="B1107" s="980"/>
      <c r="C1107" s="556" t="s">
        <v>76</v>
      </c>
      <c r="D1107" s="279"/>
      <c r="E1107" s="442"/>
      <c r="F1107" s="339">
        <f t="shared" si="1010"/>
        <v>0</v>
      </c>
      <c r="G1107" s="281">
        <v>0</v>
      </c>
      <c r="H1107" s="281">
        <v>0</v>
      </c>
      <c r="I1107" s="358" t="str">
        <f>IFERROR(F1107/#REF!,"-")</f>
        <v>-</v>
      </c>
      <c r="J1107" s="339">
        <f t="shared" si="1011"/>
        <v>10000</v>
      </c>
      <c r="K1107" s="281">
        <f t="shared" si="1006"/>
        <v>10000</v>
      </c>
      <c r="L1107" s="250">
        <f t="shared" si="1007"/>
        <v>0</v>
      </c>
      <c r="M1107" s="265" t="str">
        <f t="shared" si="1012"/>
        <v>-</v>
      </c>
      <c r="N1107" s="268">
        <f>IFERROR(L1107/J1107,"-")</f>
        <v>0</v>
      </c>
      <c r="O1107" s="519">
        <v>32.946300000000001</v>
      </c>
      <c r="P1107" s="410">
        <f t="shared" si="1008"/>
        <v>0</v>
      </c>
      <c r="Q1107" s="459">
        <f t="shared" si="1009"/>
        <v>329463</v>
      </c>
    </row>
    <row r="1108" spans="1:17" ht="23.4" x14ac:dyDescent="0.4">
      <c r="A1108" s="248" t="s">
        <v>109</v>
      </c>
      <c r="B1108" s="979" t="s">
        <v>278</v>
      </c>
      <c r="C1108" s="558" t="s">
        <v>78</v>
      </c>
      <c r="D1108" s="279"/>
      <c r="E1108" s="541"/>
      <c r="F1108" s="340">
        <f t="shared" si="1010"/>
        <v>0</v>
      </c>
      <c r="G1108" s="281">
        <v>0</v>
      </c>
      <c r="H1108" s="281">
        <v>0</v>
      </c>
      <c r="I1108" s="358" t="str">
        <f>IFERROR(F1108/#REF!,"-")</f>
        <v>-</v>
      </c>
      <c r="J1108" s="339">
        <f t="shared" si="1011"/>
        <v>9803</v>
      </c>
      <c r="K1108" s="281">
        <f t="shared" si="1006"/>
        <v>8225</v>
      </c>
      <c r="L1108" s="250">
        <f t="shared" si="1007"/>
        <v>1578</v>
      </c>
      <c r="M1108" s="265" t="str">
        <f t="shared" si="1012"/>
        <v>-</v>
      </c>
      <c r="N1108" s="268">
        <f t="shared" ref="N1108" si="1013">IFERROR(L1108/J1108,"-")</f>
        <v>0.16097113128634091</v>
      </c>
      <c r="O1108" s="519">
        <v>55.4758</v>
      </c>
      <c r="P1108" s="410">
        <f t="shared" si="1008"/>
        <v>0</v>
      </c>
      <c r="Q1108" s="459">
        <f t="shared" si="1009"/>
        <v>456288.45500000002</v>
      </c>
    </row>
    <row r="1109" spans="1:17" ht="23.4" x14ac:dyDescent="0.4">
      <c r="A1109" s="248" t="s">
        <v>109</v>
      </c>
      <c r="B1109" s="980"/>
      <c r="C1109" s="558" t="s">
        <v>75</v>
      </c>
      <c r="D1109" s="279"/>
      <c r="E1109" s="542"/>
      <c r="F1109" s="340">
        <f t="shared" si="1010"/>
        <v>0</v>
      </c>
      <c r="G1109" s="281">
        <v>0</v>
      </c>
      <c r="H1109" s="281">
        <v>0</v>
      </c>
      <c r="I1109" s="358" t="str">
        <f>IFERROR(F1109/#REF!,"-")</f>
        <v>-</v>
      </c>
      <c r="J1109" s="339">
        <f t="shared" si="1011"/>
        <v>5350</v>
      </c>
      <c r="K1109" s="281">
        <f t="shared" si="1006"/>
        <v>4150</v>
      </c>
      <c r="L1109" s="250">
        <f t="shared" si="1007"/>
        <v>1200</v>
      </c>
      <c r="M1109" s="522"/>
      <c r="N1109" s="378"/>
      <c r="O1109" s="553">
        <v>58.836300000000001</v>
      </c>
      <c r="P1109" s="410">
        <f t="shared" si="1008"/>
        <v>0</v>
      </c>
      <c r="Q1109" s="459">
        <f t="shared" si="1009"/>
        <v>244170.64500000002</v>
      </c>
    </row>
    <row r="1110" spans="1:17" ht="23.4" x14ac:dyDescent="0.4">
      <c r="A1110" s="248" t="s">
        <v>109</v>
      </c>
      <c r="B1110" s="980"/>
      <c r="C1110" s="558" t="s">
        <v>435</v>
      </c>
      <c r="D1110" s="279"/>
      <c r="E1110" s="441"/>
      <c r="F1110" s="340">
        <f t="shared" si="1010"/>
        <v>0</v>
      </c>
      <c r="G1110" s="281">
        <v>0</v>
      </c>
      <c r="H1110" s="281">
        <v>0</v>
      </c>
      <c r="I1110" s="358" t="str">
        <f>IFERROR(F1110/#REF!,"-")</f>
        <v>-</v>
      </c>
      <c r="J1110" s="339">
        <f t="shared" si="1011"/>
        <v>17944</v>
      </c>
      <c r="K1110" s="281">
        <f t="shared" si="1006"/>
        <v>15500</v>
      </c>
      <c r="L1110" s="250">
        <f t="shared" si="1007"/>
        <v>2444</v>
      </c>
      <c r="M1110" s="265" t="str">
        <f t="shared" ref="M1110" si="1014">IFERROR(J1110/D1110,"-")</f>
        <v>-</v>
      </c>
      <c r="N1110" s="264">
        <f t="shared" ref="N1110" si="1015">IFERROR(L1110/J1110,"-")</f>
        <v>0.13620151582701739</v>
      </c>
      <c r="O1110" s="519">
        <v>55.4758</v>
      </c>
      <c r="P1110" s="410">
        <f t="shared" si="1008"/>
        <v>0</v>
      </c>
      <c r="Q1110" s="459">
        <f t="shared" si="1009"/>
        <v>859874.9</v>
      </c>
    </row>
    <row r="1111" spans="1:17" ht="24" thickBot="1" x14ac:dyDescent="0.45">
      <c r="A1111" s="248"/>
      <c r="B1111" s="981"/>
      <c r="C1111" s="558" t="s">
        <v>471</v>
      </c>
      <c r="D1111" s="279"/>
      <c r="E1111" s="441"/>
      <c r="F1111" s="340">
        <f t="shared" si="1010"/>
        <v>2445</v>
      </c>
      <c r="G1111" s="281">
        <v>2400</v>
      </c>
      <c r="H1111" s="281">
        <v>45</v>
      </c>
      <c r="I1111" s="358"/>
      <c r="J1111" s="339">
        <f t="shared" si="1011"/>
        <v>14205</v>
      </c>
      <c r="K1111" s="281">
        <f t="shared" si="1006"/>
        <v>13340</v>
      </c>
      <c r="L1111" s="250">
        <f t="shared" si="1007"/>
        <v>865</v>
      </c>
      <c r="M1111" s="265"/>
      <c r="N1111" s="264">
        <f>IFERROR(L1111/J1111,"-")</f>
        <v>6.0894051390355509E-2</v>
      </c>
      <c r="O1111" s="519">
        <v>55.4758</v>
      </c>
      <c r="P1111" s="410">
        <f t="shared" si="1008"/>
        <v>133141.92000000001</v>
      </c>
      <c r="Q1111" s="459">
        <f t="shared" si="1009"/>
        <v>740047.17200000002</v>
      </c>
    </row>
    <row r="1112" spans="1:17" ht="23.4" x14ac:dyDescent="0.4">
      <c r="A1112" s="248" t="s">
        <v>109</v>
      </c>
      <c r="B1112" s="979" t="s">
        <v>79</v>
      </c>
      <c r="C1112" s="556" t="s">
        <v>80</v>
      </c>
      <c r="D1112" s="279"/>
      <c r="E1112" s="442"/>
      <c r="F1112" s="339">
        <f t="shared" si="1010"/>
        <v>6460</v>
      </c>
      <c r="G1112" s="281">
        <f>4000+2400</f>
        <v>6400</v>
      </c>
      <c r="H1112" s="281">
        <f>35+25</f>
        <v>60</v>
      </c>
      <c r="I1112" s="358" t="str">
        <f>IFERROR(F1112/#REF!,"-")</f>
        <v>-</v>
      </c>
      <c r="J1112" s="339">
        <f t="shared" si="1011"/>
        <v>13056</v>
      </c>
      <c r="K1112" s="281">
        <f t="shared" si="1006"/>
        <v>12941</v>
      </c>
      <c r="L1112" s="250">
        <f t="shared" si="1007"/>
        <v>115</v>
      </c>
      <c r="M1112" s="265" t="str">
        <f t="shared" ref="M1112:M1137" si="1016">IFERROR(J1112/D1112,"-")</f>
        <v>-</v>
      </c>
      <c r="N1112" s="264">
        <f t="shared" ref="N1112:N1136" si="1017">IFERROR(L1112/J1112,"-")</f>
        <v>8.8082107843137254E-3</v>
      </c>
      <c r="O1112" s="519">
        <v>25.687200000000001</v>
      </c>
      <c r="P1112" s="410">
        <f t="shared" si="1008"/>
        <v>164398.08000000002</v>
      </c>
      <c r="Q1112" s="459">
        <f t="shared" si="1009"/>
        <v>332418.0552</v>
      </c>
    </row>
    <row r="1113" spans="1:17" ht="24" thickBot="1" x14ac:dyDescent="0.45">
      <c r="A1113" s="248" t="s">
        <v>109</v>
      </c>
      <c r="B1113" s="981"/>
      <c r="C1113" s="556" t="s">
        <v>125</v>
      </c>
      <c r="D1113" s="279"/>
      <c r="E1113" s="442"/>
      <c r="F1113" s="339">
        <f t="shared" si="1010"/>
        <v>0</v>
      </c>
      <c r="G1113" s="281">
        <v>0</v>
      </c>
      <c r="H1113" s="281">
        <v>0</v>
      </c>
      <c r="I1113" s="358" t="str">
        <f>IFERROR(F1113/#REF!,"-")</f>
        <v>-</v>
      </c>
      <c r="J1113" s="339">
        <f t="shared" si="1011"/>
        <v>0</v>
      </c>
      <c r="K1113" s="281">
        <f t="shared" si="1006"/>
        <v>0</v>
      </c>
      <c r="L1113" s="250">
        <f t="shared" si="1007"/>
        <v>0</v>
      </c>
      <c r="M1113" s="265" t="str">
        <f t="shared" si="1016"/>
        <v>-</v>
      </c>
      <c r="N1113" s="264" t="str">
        <f t="shared" si="1017"/>
        <v>-</v>
      </c>
      <c r="O1113" s="519">
        <v>25.033899999999999</v>
      </c>
      <c r="P1113" s="410">
        <f t="shared" si="1008"/>
        <v>0</v>
      </c>
      <c r="Q1113" s="459">
        <f t="shared" si="1009"/>
        <v>0</v>
      </c>
    </row>
    <row r="1114" spans="1:17" ht="23.4" x14ac:dyDescent="0.4">
      <c r="A1114" s="248"/>
      <c r="B1114" s="979" t="s">
        <v>81</v>
      </c>
      <c r="C1114" s="556" t="s">
        <v>82</v>
      </c>
      <c r="D1114" s="279"/>
      <c r="E1114" s="442"/>
      <c r="F1114" s="339">
        <f t="shared" si="1010"/>
        <v>0</v>
      </c>
      <c r="G1114" s="281">
        <v>0</v>
      </c>
      <c r="H1114" s="281">
        <v>0</v>
      </c>
      <c r="I1114" s="358" t="str">
        <f>IFERROR(F1114/#REF!,"-")</f>
        <v>-</v>
      </c>
      <c r="J1114" s="339">
        <f t="shared" si="1011"/>
        <v>13702</v>
      </c>
      <c r="K1114" s="281">
        <f t="shared" si="1006"/>
        <v>13640</v>
      </c>
      <c r="L1114" s="250">
        <f t="shared" si="1007"/>
        <v>62</v>
      </c>
      <c r="M1114" s="265" t="str">
        <f t="shared" si="1016"/>
        <v>-</v>
      </c>
      <c r="N1114" s="264">
        <f t="shared" si="1017"/>
        <v>4.5248868778280547E-3</v>
      </c>
      <c r="O1114" s="519">
        <v>41.992699999999999</v>
      </c>
      <c r="P1114" s="410">
        <f t="shared" si="1008"/>
        <v>0</v>
      </c>
      <c r="Q1114" s="459">
        <f t="shared" si="1009"/>
        <v>572780.42799999996</v>
      </c>
    </row>
    <row r="1115" spans="1:17" ht="24" thickBot="1" x14ac:dyDescent="0.45">
      <c r="A1115" s="248"/>
      <c r="B1115" s="980"/>
      <c r="C1115" s="556" t="s">
        <v>364</v>
      </c>
      <c r="D1115" s="279"/>
      <c r="E1115" s="442"/>
      <c r="F1115" s="339">
        <f t="shared" si="1010"/>
        <v>0</v>
      </c>
      <c r="G1115" s="281">
        <v>0</v>
      </c>
      <c r="H1115" s="281">
        <v>0</v>
      </c>
      <c r="I1115" s="358" t="str">
        <f>IFERROR(F1115/#REF!,"-")</f>
        <v>-</v>
      </c>
      <c r="J1115" s="339">
        <f t="shared" si="1011"/>
        <v>0</v>
      </c>
      <c r="K1115" s="281">
        <f t="shared" si="1006"/>
        <v>0</v>
      </c>
      <c r="L1115" s="250">
        <f t="shared" si="1007"/>
        <v>0</v>
      </c>
      <c r="M1115" s="265" t="str">
        <f t="shared" si="1016"/>
        <v>-</v>
      </c>
      <c r="N1115" s="264" t="str">
        <f t="shared" si="1017"/>
        <v>-</v>
      </c>
      <c r="O1115" s="519">
        <v>41.992699999999999</v>
      </c>
      <c r="P1115" s="410">
        <f t="shared" si="1008"/>
        <v>0</v>
      </c>
      <c r="Q1115" s="459">
        <f t="shared" si="1009"/>
        <v>0</v>
      </c>
    </row>
    <row r="1116" spans="1:17" ht="24" thickBot="1" x14ac:dyDescent="0.45">
      <c r="A1116" s="248"/>
      <c r="B1116" s="559" t="s">
        <v>83</v>
      </c>
      <c r="C1116" s="556" t="s">
        <v>84</v>
      </c>
      <c r="D1116" s="279"/>
      <c r="E1116" s="442"/>
      <c r="F1116" s="339">
        <f t="shared" si="1010"/>
        <v>6691</v>
      </c>
      <c r="G1116" s="281">
        <f>4000+2400</f>
        <v>6400</v>
      </c>
      <c r="H1116" s="281">
        <f>121+170</f>
        <v>291</v>
      </c>
      <c r="I1116" s="358" t="str">
        <f>IFERROR(F1116/#REF!,"-")</f>
        <v>-</v>
      </c>
      <c r="J1116" s="339">
        <f t="shared" si="1011"/>
        <v>13959</v>
      </c>
      <c r="K1116" s="281">
        <f t="shared" si="1006"/>
        <v>13341</v>
      </c>
      <c r="L1116" s="250">
        <f t="shared" si="1007"/>
        <v>618</v>
      </c>
      <c r="M1116" s="265" t="str">
        <f t="shared" si="1016"/>
        <v>-</v>
      </c>
      <c r="N1116" s="264">
        <f t="shared" si="1017"/>
        <v>4.427251235761874E-2</v>
      </c>
      <c r="O1116" s="519">
        <v>4.3535000000000004</v>
      </c>
      <c r="P1116" s="410">
        <f t="shared" si="1008"/>
        <v>27862.400000000001</v>
      </c>
      <c r="Q1116" s="459">
        <f t="shared" si="1009"/>
        <v>58080.043500000007</v>
      </c>
    </row>
    <row r="1117" spans="1:17" ht="23.4" x14ac:dyDescent="0.4">
      <c r="A1117" s="248"/>
      <c r="B1117" s="979" t="s">
        <v>280</v>
      </c>
      <c r="C1117" s="556" t="s">
        <v>80</v>
      </c>
      <c r="D1117" s="279"/>
      <c r="E1117" s="442"/>
      <c r="F1117" s="339">
        <f t="shared" si="1010"/>
        <v>0</v>
      </c>
      <c r="G1117" s="281">
        <v>0</v>
      </c>
      <c r="H1117" s="281">
        <v>0</v>
      </c>
      <c r="I1117" s="358" t="str">
        <f>IFERROR(F1117/#REF!,"-")</f>
        <v>-</v>
      </c>
      <c r="J1117" s="339">
        <f t="shared" si="1011"/>
        <v>0</v>
      </c>
      <c r="K1117" s="281">
        <f t="shared" si="1006"/>
        <v>0</v>
      </c>
      <c r="L1117" s="250">
        <f t="shared" si="1007"/>
        <v>0</v>
      </c>
      <c r="M1117" s="265" t="str">
        <f t="shared" si="1016"/>
        <v>-</v>
      </c>
      <c r="N1117" s="264" t="str">
        <f t="shared" si="1017"/>
        <v>-</v>
      </c>
      <c r="O1117" s="519">
        <v>4.6184000000000003</v>
      </c>
      <c r="P1117" s="410">
        <f t="shared" si="1008"/>
        <v>0</v>
      </c>
      <c r="Q1117" s="459">
        <f t="shared" si="1009"/>
        <v>0</v>
      </c>
    </row>
    <row r="1118" spans="1:17" ht="23.4" x14ac:dyDescent="0.4">
      <c r="A1118" s="248"/>
      <c r="B1118" s="980"/>
      <c r="C1118" s="556" t="s">
        <v>407</v>
      </c>
      <c r="D1118" s="279"/>
      <c r="E1118" s="442"/>
      <c r="F1118" s="339">
        <f t="shared" si="1010"/>
        <v>0</v>
      </c>
      <c r="G1118" s="281">
        <v>0</v>
      </c>
      <c r="H1118" s="281">
        <v>0</v>
      </c>
      <c r="I1118" s="358" t="str">
        <f>IFERROR(F1118/#REF!,"-")</f>
        <v>-</v>
      </c>
      <c r="J1118" s="339">
        <f t="shared" si="1011"/>
        <v>146140</v>
      </c>
      <c r="K1118" s="281">
        <f t="shared" si="1006"/>
        <v>144842</v>
      </c>
      <c r="L1118" s="250">
        <f t="shared" si="1007"/>
        <v>1298</v>
      </c>
      <c r="M1118" s="265" t="str">
        <f t="shared" si="1016"/>
        <v>-</v>
      </c>
      <c r="N1118" s="264">
        <f t="shared" si="1017"/>
        <v>8.8818940741754483E-3</v>
      </c>
      <c r="O1118" s="519">
        <v>4.6184000000000003</v>
      </c>
      <c r="P1118" s="410">
        <f t="shared" si="1008"/>
        <v>0</v>
      </c>
      <c r="Q1118" s="459">
        <f t="shared" si="1009"/>
        <v>668938.29280000005</v>
      </c>
    </row>
    <row r="1119" spans="1:17" ht="23.4" x14ac:dyDescent="0.4">
      <c r="A1119" s="248"/>
      <c r="B1119" s="980"/>
      <c r="C1119" s="556" t="s">
        <v>279</v>
      </c>
      <c r="D1119" s="279"/>
      <c r="E1119" s="442"/>
      <c r="F1119" s="339">
        <f t="shared" si="1010"/>
        <v>0</v>
      </c>
      <c r="G1119" s="281">
        <v>0</v>
      </c>
      <c r="H1119" s="281">
        <v>0</v>
      </c>
      <c r="I1119" s="358" t="str">
        <f>IFERROR(F1119/#REF!,"-")</f>
        <v>-</v>
      </c>
      <c r="J1119" s="339">
        <f t="shared" si="1011"/>
        <v>0</v>
      </c>
      <c r="K1119" s="281">
        <f t="shared" si="1006"/>
        <v>0</v>
      </c>
      <c r="L1119" s="250">
        <f t="shared" si="1007"/>
        <v>0</v>
      </c>
      <c r="M1119" s="265" t="str">
        <f t="shared" si="1016"/>
        <v>-</v>
      </c>
      <c r="N1119" s="264" t="str">
        <f t="shared" si="1017"/>
        <v>-</v>
      </c>
      <c r="O1119" s="519">
        <v>4.6184000000000003</v>
      </c>
      <c r="P1119" s="410">
        <f t="shared" si="1008"/>
        <v>0</v>
      </c>
      <c r="Q1119" s="459">
        <f t="shared" si="1009"/>
        <v>0</v>
      </c>
    </row>
    <row r="1120" spans="1:17" ht="23.4" x14ac:dyDescent="0.4">
      <c r="A1120" s="248"/>
      <c r="B1120" s="980"/>
      <c r="C1120" s="556" t="s">
        <v>440</v>
      </c>
      <c r="D1120" s="279"/>
      <c r="E1120" s="442"/>
      <c r="F1120" s="339">
        <f t="shared" si="1010"/>
        <v>42567</v>
      </c>
      <c r="G1120" s="281">
        <f>20900+20900</f>
        <v>41800</v>
      </c>
      <c r="H1120" s="281">
        <f>639+128</f>
        <v>767</v>
      </c>
      <c r="I1120" s="358" t="str">
        <f>IFERROR(F1120/#REF!,"-")</f>
        <v>-</v>
      </c>
      <c r="J1120" s="339">
        <f t="shared" si="1011"/>
        <v>269738</v>
      </c>
      <c r="K1120" s="281">
        <f t="shared" si="1006"/>
        <v>266900</v>
      </c>
      <c r="L1120" s="250">
        <f t="shared" si="1007"/>
        <v>2838</v>
      </c>
      <c r="M1120" s="265" t="str">
        <f t="shared" si="1016"/>
        <v>-</v>
      </c>
      <c r="N1120" s="264">
        <f t="shared" si="1017"/>
        <v>1.0521320688964848E-2</v>
      </c>
      <c r="O1120" s="519">
        <v>4.7636000000000003</v>
      </c>
      <c r="P1120" s="410">
        <f t="shared" si="1008"/>
        <v>199118.48</v>
      </c>
      <c r="Q1120" s="459">
        <f t="shared" si="1009"/>
        <v>1271404.8400000001</v>
      </c>
    </row>
    <row r="1121" spans="1:17" ht="24" thickBot="1" x14ac:dyDescent="0.45">
      <c r="A1121" s="248"/>
      <c r="B1121" s="981"/>
      <c r="C1121" s="556" t="s">
        <v>429</v>
      </c>
      <c r="D1121" s="279"/>
      <c r="E1121" s="442"/>
      <c r="F1121" s="339">
        <f t="shared" si="1010"/>
        <v>0</v>
      </c>
      <c r="G1121" s="281">
        <v>0</v>
      </c>
      <c r="H1121" s="281">
        <v>0</v>
      </c>
      <c r="I1121" s="358" t="str">
        <f>IFERROR(F1121/#REF!,"-")</f>
        <v>-</v>
      </c>
      <c r="J1121" s="339">
        <f t="shared" si="1011"/>
        <v>12296</v>
      </c>
      <c r="K1121" s="281">
        <f t="shared" si="1006"/>
        <v>12100</v>
      </c>
      <c r="L1121" s="250">
        <f t="shared" si="1007"/>
        <v>196</v>
      </c>
      <c r="M1121" s="265" t="str">
        <f t="shared" si="1016"/>
        <v>-</v>
      </c>
      <c r="N1121" s="264">
        <f t="shared" si="1017"/>
        <v>1.594014313597918E-2</v>
      </c>
      <c r="O1121" s="519">
        <v>4.8738000000000001</v>
      </c>
      <c r="P1121" s="410">
        <f t="shared" si="1008"/>
        <v>0</v>
      </c>
      <c r="Q1121" s="459">
        <f t="shared" si="1009"/>
        <v>58972.98</v>
      </c>
    </row>
    <row r="1122" spans="1:17" ht="24" thickBot="1" x14ac:dyDescent="0.45">
      <c r="A1122" s="248"/>
      <c r="B1122" s="559" t="s">
        <v>281</v>
      </c>
      <c r="C1122" s="556" t="s">
        <v>132</v>
      </c>
      <c r="D1122" s="279"/>
      <c r="E1122" s="442"/>
      <c r="F1122" s="339">
        <f t="shared" si="1010"/>
        <v>0</v>
      </c>
      <c r="G1122" s="281">
        <v>0</v>
      </c>
      <c r="H1122" s="281">
        <v>0</v>
      </c>
      <c r="I1122" s="358" t="str">
        <f>IFERROR(F1122/#REF!,"-")</f>
        <v>-</v>
      </c>
      <c r="J1122" s="339">
        <f t="shared" si="1011"/>
        <v>0</v>
      </c>
      <c r="K1122" s="281">
        <f t="shared" si="1006"/>
        <v>0</v>
      </c>
      <c r="L1122" s="250">
        <f t="shared" si="1007"/>
        <v>0</v>
      </c>
      <c r="M1122" s="265" t="str">
        <f t="shared" si="1016"/>
        <v>-</v>
      </c>
      <c r="N1122" s="264" t="str">
        <f t="shared" si="1017"/>
        <v>-</v>
      </c>
      <c r="O1122" s="519">
        <v>4.8738000000000001</v>
      </c>
      <c r="P1122" s="410">
        <f t="shared" si="1008"/>
        <v>0</v>
      </c>
      <c r="Q1122" s="459">
        <f t="shared" si="1009"/>
        <v>0</v>
      </c>
    </row>
    <row r="1123" spans="1:17" ht="23.4" x14ac:dyDescent="0.4">
      <c r="A1123" s="248"/>
      <c r="B1123" s="979" t="s">
        <v>283</v>
      </c>
      <c r="C1123" s="556" t="s">
        <v>80</v>
      </c>
      <c r="D1123" s="279"/>
      <c r="E1123" s="442"/>
      <c r="F1123" s="339">
        <f t="shared" si="1010"/>
        <v>30038</v>
      </c>
      <c r="G1123" s="281">
        <f>17600+11950</f>
        <v>29550</v>
      </c>
      <c r="H1123" s="281">
        <f>379+109</f>
        <v>488</v>
      </c>
      <c r="I1123" s="358" t="str">
        <f>IFERROR(F1123/#REF!,"-")</f>
        <v>-</v>
      </c>
      <c r="J1123" s="339">
        <f t="shared" si="1011"/>
        <v>461437</v>
      </c>
      <c r="K1123" s="281">
        <f t="shared" si="1006"/>
        <v>452700</v>
      </c>
      <c r="L1123" s="281">
        <f t="shared" si="1007"/>
        <v>8737</v>
      </c>
      <c r="M1123" s="265" t="str">
        <f t="shared" si="1016"/>
        <v>-</v>
      </c>
      <c r="N1123" s="264">
        <f t="shared" si="1017"/>
        <v>1.8934329063339091E-2</v>
      </c>
      <c r="O1123" s="519">
        <v>4.9344999999999999</v>
      </c>
      <c r="P1123" s="410">
        <f t="shared" si="1008"/>
        <v>145814.47500000001</v>
      </c>
      <c r="Q1123" s="459">
        <f t="shared" si="1009"/>
        <v>2233848.15</v>
      </c>
    </row>
    <row r="1124" spans="1:17" ht="23.4" x14ac:dyDescent="0.4">
      <c r="A1124" s="248"/>
      <c r="B1124" s="980"/>
      <c r="C1124" s="556" t="s">
        <v>143</v>
      </c>
      <c r="D1124" s="279"/>
      <c r="E1124" s="442"/>
      <c r="F1124" s="339">
        <f t="shared" si="1010"/>
        <v>0</v>
      </c>
      <c r="G1124" s="281">
        <v>0</v>
      </c>
      <c r="H1124" s="281">
        <v>0</v>
      </c>
      <c r="I1124" s="358" t="str">
        <f>IFERROR(F1124/#REF!,"-")</f>
        <v>-</v>
      </c>
      <c r="J1124" s="339">
        <f t="shared" si="1011"/>
        <v>0</v>
      </c>
      <c r="K1124" s="281">
        <f t="shared" si="1006"/>
        <v>0</v>
      </c>
      <c r="L1124" s="250">
        <f t="shared" si="1007"/>
        <v>0</v>
      </c>
      <c r="M1124" s="265" t="str">
        <f t="shared" si="1016"/>
        <v>-</v>
      </c>
      <c r="N1124" s="264" t="str">
        <f t="shared" si="1017"/>
        <v>-</v>
      </c>
      <c r="O1124" s="519">
        <v>4.9344999999999999</v>
      </c>
      <c r="P1124" s="410">
        <f t="shared" si="1008"/>
        <v>0</v>
      </c>
      <c r="Q1124" s="459">
        <f t="shared" si="1009"/>
        <v>0</v>
      </c>
    </row>
    <row r="1125" spans="1:17" ht="23.4" x14ac:dyDescent="0.4">
      <c r="A1125" s="248"/>
      <c r="B1125" s="980"/>
      <c r="C1125" s="556" t="s">
        <v>137</v>
      </c>
      <c r="D1125" s="279"/>
      <c r="E1125" s="442"/>
      <c r="F1125" s="339">
        <f t="shared" si="1010"/>
        <v>0</v>
      </c>
      <c r="G1125" s="281">
        <v>0</v>
      </c>
      <c r="H1125" s="281">
        <v>0</v>
      </c>
      <c r="I1125" s="358" t="str">
        <f>IFERROR(F1125/#REF!,"-")</f>
        <v>-</v>
      </c>
      <c r="J1125" s="339">
        <f t="shared" si="1011"/>
        <v>0</v>
      </c>
      <c r="K1125" s="281">
        <f t="shared" si="1006"/>
        <v>0</v>
      </c>
      <c r="L1125" s="250">
        <f t="shared" si="1007"/>
        <v>0</v>
      </c>
      <c r="M1125" s="265" t="str">
        <f t="shared" si="1016"/>
        <v>-</v>
      </c>
      <c r="N1125" s="264" t="str">
        <f t="shared" si="1017"/>
        <v>-</v>
      </c>
      <c r="O1125" s="519">
        <v>4.9344999999999999</v>
      </c>
      <c r="P1125" s="410">
        <f t="shared" si="1008"/>
        <v>0</v>
      </c>
      <c r="Q1125" s="459">
        <f t="shared" si="1009"/>
        <v>0</v>
      </c>
    </row>
    <row r="1126" spans="1:17" ht="24" thickBot="1" x14ac:dyDescent="0.45">
      <c r="A1126" s="248"/>
      <c r="B1126" s="981"/>
      <c r="C1126" s="556" t="s">
        <v>282</v>
      </c>
      <c r="D1126" s="279"/>
      <c r="E1126" s="442"/>
      <c r="F1126" s="339">
        <f t="shared" si="1010"/>
        <v>0</v>
      </c>
      <c r="G1126" s="281">
        <v>0</v>
      </c>
      <c r="H1126" s="281">
        <v>0</v>
      </c>
      <c r="I1126" s="358" t="str">
        <f>IFERROR(F1126/#REF!,"-")</f>
        <v>-</v>
      </c>
      <c r="J1126" s="339">
        <f t="shared" si="1011"/>
        <v>0</v>
      </c>
      <c r="K1126" s="281">
        <f t="shared" si="1006"/>
        <v>0</v>
      </c>
      <c r="L1126" s="250">
        <f t="shared" si="1007"/>
        <v>0</v>
      </c>
      <c r="M1126" s="265" t="str">
        <f t="shared" si="1016"/>
        <v>-</v>
      </c>
      <c r="N1126" s="264" t="str">
        <f t="shared" si="1017"/>
        <v>-</v>
      </c>
      <c r="O1126" s="519">
        <v>5.5069999999999997</v>
      </c>
      <c r="P1126" s="410">
        <f t="shared" si="1008"/>
        <v>0</v>
      </c>
      <c r="Q1126" s="459">
        <f t="shared" si="1009"/>
        <v>0</v>
      </c>
    </row>
    <row r="1127" spans="1:17" ht="23.4" x14ac:dyDescent="0.4">
      <c r="A1127" s="248"/>
      <c r="B1127" s="979" t="s">
        <v>288</v>
      </c>
      <c r="C1127" s="556" t="s">
        <v>284</v>
      </c>
      <c r="D1127" s="279"/>
      <c r="E1127" s="442"/>
      <c r="F1127" s="339">
        <f t="shared" si="1010"/>
        <v>0</v>
      </c>
      <c r="G1127" s="281">
        <v>0</v>
      </c>
      <c r="H1127" s="281">
        <v>0</v>
      </c>
      <c r="I1127" s="358" t="str">
        <f>IFERROR(F1127/#REF!,"-")</f>
        <v>-</v>
      </c>
      <c r="J1127" s="339">
        <f t="shared" si="1011"/>
        <v>0</v>
      </c>
      <c r="K1127" s="281">
        <f t="shared" si="1006"/>
        <v>0</v>
      </c>
      <c r="L1127" s="250">
        <f t="shared" si="1007"/>
        <v>0</v>
      </c>
      <c r="M1127" s="265" t="str">
        <f t="shared" si="1016"/>
        <v>-</v>
      </c>
      <c r="N1127" s="264" t="str">
        <f t="shared" si="1017"/>
        <v>-</v>
      </c>
      <c r="O1127" s="519">
        <v>5.6550000000000002</v>
      </c>
      <c r="P1127" s="410">
        <f t="shared" si="1008"/>
        <v>0</v>
      </c>
      <c r="Q1127" s="459">
        <f t="shared" si="1009"/>
        <v>0</v>
      </c>
    </row>
    <row r="1128" spans="1:17" ht="23.4" x14ac:dyDescent="0.4">
      <c r="A1128" s="248"/>
      <c r="B1128" s="980"/>
      <c r="C1128" s="556" t="s">
        <v>285</v>
      </c>
      <c r="D1128" s="279"/>
      <c r="E1128" s="442"/>
      <c r="F1128" s="339">
        <f t="shared" si="1010"/>
        <v>0</v>
      </c>
      <c r="G1128" s="281">
        <v>0</v>
      </c>
      <c r="H1128" s="281">
        <v>0</v>
      </c>
      <c r="I1128" s="358" t="str">
        <f>IFERROR(F1128/#REF!,"-")</f>
        <v>-</v>
      </c>
      <c r="J1128" s="339">
        <f t="shared" si="1011"/>
        <v>0</v>
      </c>
      <c r="K1128" s="281">
        <f t="shared" si="1006"/>
        <v>0</v>
      </c>
      <c r="L1128" s="250">
        <f t="shared" si="1007"/>
        <v>0</v>
      </c>
      <c r="M1128" s="265" t="str">
        <f t="shared" si="1016"/>
        <v>-</v>
      </c>
      <c r="N1128" s="264" t="str">
        <f t="shared" si="1017"/>
        <v>-</v>
      </c>
      <c r="O1128" s="519">
        <v>5.6550000000000002</v>
      </c>
      <c r="P1128" s="410">
        <f t="shared" si="1008"/>
        <v>0</v>
      </c>
      <c r="Q1128" s="459">
        <f t="shared" si="1009"/>
        <v>0</v>
      </c>
    </row>
    <row r="1129" spans="1:17" ht="23.4" x14ac:dyDescent="0.4">
      <c r="A1129" s="248"/>
      <c r="B1129" s="980"/>
      <c r="C1129" s="556" t="s">
        <v>374</v>
      </c>
      <c r="D1129" s="279"/>
      <c r="E1129" s="442"/>
      <c r="F1129" s="339">
        <f t="shared" si="1010"/>
        <v>53929</v>
      </c>
      <c r="G1129" s="281">
        <f>28350+24400</f>
        <v>52750</v>
      </c>
      <c r="H1129" s="281">
        <f>691+488</f>
        <v>1179</v>
      </c>
      <c r="I1129" s="358" t="str">
        <f>IFERROR(F1129/#REF!,"-")</f>
        <v>-</v>
      </c>
      <c r="J1129" s="339">
        <f t="shared" si="1011"/>
        <v>480566</v>
      </c>
      <c r="K1129" s="281">
        <f t="shared" si="1006"/>
        <v>468950</v>
      </c>
      <c r="L1129" s="250">
        <f t="shared" si="1007"/>
        <v>11616</v>
      </c>
      <c r="M1129" s="265" t="str">
        <f t="shared" si="1016"/>
        <v>-</v>
      </c>
      <c r="N1129" s="264">
        <f t="shared" si="1017"/>
        <v>2.4171497775539678E-2</v>
      </c>
      <c r="O1129" s="519">
        <v>5.6550000000000002</v>
      </c>
      <c r="P1129" s="410">
        <f t="shared" si="1008"/>
        <v>298301.25</v>
      </c>
      <c r="Q1129" s="459">
        <f t="shared" si="1009"/>
        <v>2651912.25</v>
      </c>
    </row>
    <row r="1130" spans="1:17" ht="23.4" x14ac:dyDescent="0.4">
      <c r="A1130" s="248"/>
      <c r="B1130" s="980"/>
      <c r="C1130" s="556" t="s">
        <v>286</v>
      </c>
      <c r="D1130" s="279"/>
      <c r="E1130" s="442"/>
      <c r="F1130" s="339">
        <f t="shared" si="1010"/>
        <v>0</v>
      </c>
      <c r="G1130" s="281">
        <v>0</v>
      </c>
      <c r="H1130" s="281">
        <v>0</v>
      </c>
      <c r="I1130" s="358" t="str">
        <f>IFERROR(F1130/#REF!,"-")</f>
        <v>-</v>
      </c>
      <c r="J1130" s="339">
        <f t="shared" si="1011"/>
        <v>0</v>
      </c>
      <c r="K1130" s="281">
        <f t="shared" si="1006"/>
        <v>0</v>
      </c>
      <c r="L1130" s="250">
        <f t="shared" si="1007"/>
        <v>0</v>
      </c>
      <c r="M1130" s="265" t="str">
        <f t="shared" si="1016"/>
        <v>-</v>
      </c>
      <c r="N1130" s="264" t="str">
        <f t="shared" si="1017"/>
        <v>-</v>
      </c>
      <c r="O1130" s="519">
        <v>5.6550000000000002</v>
      </c>
      <c r="P1130" s="410">
        <f t="shared" si="1008"/>
        <v>0</v>
      </c>
      <c r="Q1130" s="459">
        <f t="shared" si="1009"/>
        <v>0</v>
      </c>
    </row>
    <row r="1131" spans="1:17" ht="23.4" x14ac:dyDescent="0.4">
      <c r="A1131" s="248" t="s">
        <v>109</v>
      </c>
      <c r="B1131" s="980"/>
      <c r="C1131" s="556" t="s">
        <v>287</v>
      </c>
      <c r="D1131" s="279"/>
      <c r="E1131" s="442"/>
      <c r="F1131" s="339">
        <f t="shared" si="1010"/>
        <v>0</v>
      </c>
      <c r="G1131" s="281">
        <v>0</v>
      </c>
      <c r="H1131" s="281">
        <v>0</v>
      </c>
      <c r="I1131" s="358" t="str">
        <f>IFERROR(F1131/#REF!,"-")</f>
        <v>-</v>
      </c>
      <c r="J1131" s="339">
        <f t="shared" si="1011"/>
        <v>0</v>
      </c>
      <c r="K1131" s="281">
        <f t="shared" si="1006"/>
        <v>0</v>
      </c>
      <c r="L1131" s="250">
        <f t="shared" si="1007"/>
        <v>0</v>
      </c>
      <c r="M1131" s="265" t="str">
        <f t="shared" si="1016"/>
        <v>-</v>
      </c>
      <c r="N1131" s="264" t="str">
        <f t="shared" si="1017"/>
        <v>-</v>
      </c>
      <c r="O1131" s="519">
        <v>3.2963</v>
      </c>
      <c r="P1131" s="410">
        <f t="shared" si="1008"/>
        <v>0</v>
      </c>
      <c r="Q1131" s="459">
        <f t="shared" si="1009"/>
        <v>0</v>
      </c>
    </row>
    <row r="1132" spans="1:17" ht="24" thickBot="1" x14ac:dyDescent="0.45">
      <c r="A1132" s="248" t="s">
        <v>109</v>
      </c>
      <c r="B1132" s="981"/>
      <c r="C1132" s="556" t="s">
        <v>282</v>
      </c>
      <c r="D1132" s="279"/>
      <c r="E1132" s="442"/>
      <c r="F1132" s="339">
        <f t="shared" si="1010"/>
        <v>0</v>
      </c>
      <c r="G1132" s="281">
        <v>0</v>
      </c>
      <c r="H1132" s="281">
        <v>0</v>
      </c>
      <c r="I1132" s="358" t="str">
        <f>IFERROR(F1132/#REF!,"-")</f>
        <v>-</v>
      </c>
      <c r="J1132" s="339">
        <f t="shared" si="1011"/>
        <v>0</v>
      </c>
      <c r="K1132" s="281">
        <f t="shared" si="1006"/>
        <v>0</v>
      </c>
      <c r="L1132" s="250">
        <f t="shared" si="1007"/>
        <v>0</v>
      </c>
      <c r="M1132" s="265" t="str">
        <f t="shared" si="1016"/>
        <v>-</v>
      </c>
      <c r="N1132" s="264" t="str">
        <f t="shared" si="1017"/>
        <v>-</v>
      </c>
      <c r="O1132" s="519">
        <v>3.2963</v>
      </c>
      <c r="P1132" s="410">
        <f t="shared" si="1008"/>
        <v>0</v>
      </c>
      <c r="Q1132" s="459">
        <f t="shared" si="1009"/>
        <v>0</v>
      </c>
    </row>
    <row r="1133" spans="1:17" ht="23.4" x14ac:dyDescent="0.4">
      <c r="A1133" s="248" t="s">
        <v>109</v>
      </c>
      <c r="B1133" s="560"/>
      <c r="C1133" s="557" t="s">
        <v>92</v>
      </c>
      <c r="D1133" s="523"/>
      <c r="E1133" s="442"/>
      <c r="F1133" s="339">
        <f t="shared" si="1010"/>
        <v>0</v>
      </c>
      <c r="G1133" s="281">
        <v>0</v>
      </c>
      <c r="H1133" s="281">
        <v>0</v>
      </c>
      <c r="I1133" s="358" t="str">
        <f>IFERROR(F1133/#REF!,"-")</f>
        <v>-</v>
      </c>
      <c r="J1133" s="339">
        <f t="shared" si="1011"/>
        <v>65530</v>
      </c>
      <c r="K1133" s="281">
        <f t="shared" si="1006"/>
        <v>65500</v>
      </c>
      <c r="L1133" s="250">
        <f t="shared" si="1007"/>
        <v>30</v>
      </c>
      <c r="M1133" s="265" t="str">
        <f t="shared" si="1016"/>
        <v>-</v>
      </c>
      <c r="N1133" s="264">
        <f t="shared" si="1017"/>
        <v>4.5780558522813981E-4</v>
      </c>
      <c r="O1133" s="519">
        <v>2.3201000000000001</v>
      </c>
      <c r="P1133" s="410">
        <f t="shared" si="1008"/>
        <v>0</v>
      </c>
      <c r="Q1133" s="459">
        <f t="shared" si="1009"/>
        <v>151966.55000000002</v>
      </c>
    </row>
    <row r="1134" spans="1:17" ht="24" thickBot="1" x14ac:dyDescent="0.35">
      <c r="A1134" s="248" t="s">
        <v>109</v>
      </c>
      <c r="B1134" s="537"/>
      <c r="C1134" s="554"/>
      <c r="D1134" s="543"/>
      <c r="E1134" s="473"/>
      <c r="F1134" s="471">
        <f t="shared" si="1010"/>
        <v>0</v>
      </c>
      <c r="G1134" s="472"/>
      <c r="H1134" s="472"/>
      <c r="I1134" s="545" t="str">
        <f>IFERROR(F1134/#REF!,"-")</f>
        <v>-</v>
      </c>
      <c r="J1134" s="471">
        <f t="shared" si="1011"/>
        <v>0</v>
      </c>
      <c r="K1134" s="472">
        <f t="shared" si="1006"/>
        <v>0</v>
      </c>
      <c r="L1134" s="257">
        <f t="shared" si="1007"/>
        <v>0</v>
      </c>
      <c r="M1134" s="267" t="str">
        <f t="shared" si="1016"/>
        <v>-</v>
      </c>
      <c r="N1134" s="266" t="str">
        <f t="shared" si="1017"/>
        <v>-</v>
      </c>
      <c r="O1134" s="552"/>
      <c r="P1134" s="549">
        <f t="shared" si="1008"/>
        <v>0</v>
      </c>
      <c r="Q1134" s="550">
        <f t="shared" si="1009"/>
        <v>0</v>
      </c>
    </row>
    <row r="1135" spans="1:17" ht="24" thickBot="1" x14ac:dyDescent="0.35">
      <c r="A1135" s="277" t="s">
        <v>109</v>
      </c>
      <c r="B1135" s="982" t="s">
        <v>25</v>
      </c>
      <c r="C1135" s="983"/>
      <c r="D1135" s="525">
        <f t="shared" ref="D1135" si="1018">SUM(D1110:D1134)</f>
        <v>0</v>
      </c>
      <c r="E1135" s="539">
        <v>100000</v>
      </c>
      <c r="F1135" s="525">
        <f>SUM(F1110:F1134)</f>
        <v>142130</v>
      </c>
      <c r="G1135" s="531">
        <f t="shared" ref="G1135:H1135" si="1019">SUM(G1110:G1134)</f>
        <v>139300</v>
      </c>
      <c r="H1135" s="531">
        <f t="shared" si="1019"/>
        <v>2830</v>
      </c>
      <c r="I1135" s="532" t="str">
        <f>IFERROR(F1135/#REF!,"-")</f>
        <v>-</v>
      </c>
      <c r="J1135" s="525">
        <f t="shared" ref="J1135" si="1020">SUM(J1110:J1134)</f>
        <v>1508573</v>
      </c>
      <c r="K1135" s="531">
        <f>SUM(K1105:K1134)</f>
        <v>1563789</v>
      </c>
      <c r="L1135" s="533">
        <f t="shared" ref="L1135" si="1021">SUM(L1110:L1134)</f>
        <v>28819</v>
      </c>
      <c r="M1135" s="534" t="str">
        <f t="shared" si="1016"/>
        <v>-</v>
      </c>
      <c r="N1135" s="532">
        <f t="shared" si="1017"/>
        <v>1.9103483888416404E-2</v>
      </c>
      <c r="O1135" s="535"/>
      <c r="P1135" s="536">
        <f>SUM(P1105:P1134)</f>
        <v>968636.60499999998</v>
      </c>
      <c r="Q1135" s="536">
        <f>SUM(Q1105:Q1134)</f>
        <v>12661634.619500002</v>
      </c>
    </row>
    <row r="1136" spans="1:17" ht="24" thickBot="1" x14ac:dyDescent="0.35">
      <c r="A1136" s="324" t="s">
        <v>109</v>
      </c>
      <c r="B1136" s="984" t="s">
        <v>276</v>
      </c>
      <c r="C1136" s="927"/>
      <c r="D1136" s="332">
        <f>+D1109+D1135</f>
        <v>0</v>
      </c>
      <c r="E1136" s="333">
        <f>+E1109+E1135</f>
        <v>100000</v>
      </c>
      <c r="F1136" s="332">
        <f>+F1109+F1135</f>
        <v>142130</v>
      </c>
      <c r="G1136" s="330">
        <f>+G1109+G1135</f>
        <v>139300</v>
      </c>
      <c r="H1136" s="330">
        <f>+H1109+H1135</f>
        <v>2830</v>
      </c>
      <c r="I1136" s="355" t="str">
        <f>IFERROR(F1136/#REF!,"-")</f>
        <v>-</v>
      </c>
      <c r="J1136" s="332">
        <f>+J1109+J1135</f>
        <v>1513923</v>
      </c>
      <c r="K1136" s="330">
        <f>K1135</f>
        <v>1563789</v>
      </c>
      <c r="L1136" s="331">
        <f>+L1109+L1135</f>
        <v>30019</v>
      </c>
      <c r="M1136" s="347" t="str">
        <f t="shared" si="1016"/>
        <v>-</v>
      </c>
      <c r="N1136" s="355">
        <f t="shared" si="1017"/>
        <v>1.9828617439592369E-2</v>
      </c>
      <c r="O1136" s="400"/>
      <c r="P1136" s="416">
        <f>+P1109+P1135</f>
        <v>968636.60499999998</v>
      </c>
      <c r="Q1136" s="434">
        <f>Q1135</f>
        <v>12661634.619500002</v>
      </c>
    </row>
    <row r="1137" spans="1:17" ht="24.6" thickBot="1" x14ac:dyDescent="0.35">
      <c r="A1137" s="325"/>
      <c r="B1137" s="915" t="s">
        <v>183</v>
      </c>
      <c r="C1137" s="916"/>
      <c r="D1137" s="380">
        <f>+D1136+D1104+D1095</f>
        <v>0</v>
      </c>
      <c r="E1137" s="380">
        <f>+E1136+E1104+E1095</f>
        <v>230000</v>
      </c>
      <c r="F1137" s="380">
        <f>+F1136+F1104+F1095</f>
        <v>328721</v>
      </c>
      <c r="G1137" s="380">
        <f>+G1136+G1104+G1095</f>
        <v>320540</v>
      </c>
      <c r="H1137" s="380">
        <f>+H1136+H1104+H1095</f>
        <v>8181</v>
      </c>
      <c r="I1137" s="381" t="str">
        <f>IFERROR(F1137/#REF!,"-")</f>
        <v>-</v>
      </c>
      <c r="J1137" s="380">
        <f>+J1136+J1104+J1095</f>
        <v>5532100</v>
      </c>
      <c r="K1137" s="380">
        <f>+K1136+K1104+K1095</f>
        <v>5442083</v>
      </c>
      <c r="L1137" s="380">
        <f>+L1136+L1104+L1095</f>
        <v>153622</v>
      </c>
      <c r="M1137" s="381" t="str">
        <f t="shared" si="1016"/>
        <v>-</v>
      </c>
      <c r="N1137" s="381">
        <f>IFERROR(L1137/J1137,"-")</f>
        <v>2.7769201569024422E-2</v>
      </c>
      <c r="O1137" s="407"/>
      <c r="P1137" s="424">
        <f>+P1136+P1104+P1095</f>
        <v>1629347.041</v>
      </c>
      <c r="Q1137" s="424">
        <f>+Q1136+Q1104+Q1095</f>
        <v>33763972.0559</v>
      </c>
    </row>
    <row r="1138" spans="1:17" ht="23.4" x14ac:dyDescent="0.3">
      <c r="A1138" s="935" t="s">
        <v>1</v>
      </c>
      <c r="B1138" s="938" t="s">
        <v>2</v>
      </c>
      <c r="C1138" s="941" t="s">
        <v>3</v>
      </c>
      <c r="D1138" s="944" t="s">
        <v>4</v>
      </c>
      <c r="E1138" s="945"/>
      <c r="F1138" s="945"/>
      <c r="G1138" s="945"/>
      <c r="H1138" s="945"/>
      <c r="I1138" s="945"/>
      <c r="J1138" s="945"/>
      <c r="K1138" s="945"/>
      <c r="L1138" s="945"/>
      <c r="M1138" s="945"/>
      <c r="N1138" s="946"/>
      <c r="O1138" s="965" t="s">
        <v>176</v>
      </c>
      <c r="P1138" s="966"/>
      <c r="Q1138" s="990"/>
    </row>
    <row r="1139" spans="1:17" ht="23.4" x14ac:dyDescent="0.3">
      <c r="A1139" s="936"/>
      <c r="B1139" s="939"/>
      <c r="C1139" s="942"/>
      <c r="D1139" s="947" t="s">
        <v>7</v>
      </c>
      <c r="E1139" s="949" t="s">
        <v>116</v>
      </c>
      <c r="F1139" s="991" t="s">
        <v>495</v>
      </c>
      <c r="G1139" s="952"/>
      <c r="H1139" s="952"/>
      <c r="I1139" s="953"/>
      <c r="J1139" s="954" t="s">
        <v>8</v>
      </c>
      <c r="K1139" s="955"/>
      <c r="L1139" s="956"/>
      <c r="M1139" s="957" t="s">
        <v>174</v>
      </c>
      <c r="N1139" s="959" t="s">
        <v>173</v>
      </c>
      <c r="O1139" s="967" t="s">
        <v>178</v>
      </c>
      <c r="P1139" s="968"/>
      <c r="Q1139" s="969"/>
    </row>
    <row r="1140" spans="1:17" ht="47.4" thickBot="1" x14ac:dyDescent="0.35">
      <c r="A1140" s="937"/>
      <c r="B1140" s="940"/>
      <c r="C1140" s="943"/>
      <c r="D1140" s="948"/>
      <c r="E1140" s="950"/>
      <c r="F1140" s="462" t="s">
        <v>13</v>
      </c>
      <c r="G1140" s="463" t="s">
        <v>14</v>
      </c>
      <c r="H1140" s="463" t="s">
        <v>15</v>
      </c>
      <c r="I1140" s="464" t="s">
        <v>175</v>
      </c>
      <c r="J1140" s="462" t="s">
        <v>13</v>
      </c>
      <c r="K1140" s="463" t="s">
        <v>14</v>
      </c>
      <c r="L1140" s="465" t="s">
        <v>15</v>
      </c>
      <c r="M1140" s="958"/>
      <c r="N1140" s="960"/>
      <c r="O1140" s="453" t="s">
        <v>179</v>
      </c>
      <c r="P1140" s="454" t="s">
        <v>11</v>
      </c>
      <c r="Q1140" s="455" t="s">
        <v>12</v>
      </c>
    </row>
    <row r="1141" spans="1:17" ht="23.4" x14ac:dyDescent="0.3">
      <c r="A1141" s="271" t="s">
        <v>111</v>
      </c>
      <c r="B1141" s="445"/>
      <c r="C1141" s="272" t="s">
        <v>272</v>
      </c>
      <c r="D1141" s="273"/>
      <c r="E1141" s="274"/>
      <c r="F1141" s="338">
        <f>+G1141+H1141</f>
        <v>26993</v>
      </c>
      <c r="G1141" s="275">
        <v>21840</v>
      </c>
      <c r="H1141" s="275">
        <v>5153</v>
      </c>
      <c r="I1141" s="357" t="str">
        <f>IFERROR(F1141/#REF!,"-")</f>
        <v>-</v>
      </c>
      <c r="J1141" s="468">
        <f>+K1141+L1141</f>
        <v>1240450</v>
      </c>
      <c r="K1141" s="469">
        <f>+G1141+K1081</f>
        <v>1165360</v>
      </c>
      <c r="L1141" s="469">
        <f>+H1141+L1081</f>
        <v>75090</v>
      </c>
      <c r="M1141" s="342" t="str">
        <f>IFERROR(J1141/D1141,"-")</f>
        <v>-</v>
      </c>
      <c r="N1141" s="349">
        <f t="shared" ref="N1141:N1142" si="1022">IFERROR(L1141/J1141,"-")</f>
        <v>6.0534483453585392E-2</v>
      </c>
      <c r="O1141" s="518">
        <v>1.5669</v>
      </c>
      <c r="P1141" s="408">
        <f>+O1141*G1141</f>
        <v>34221.095999999998</v>
      </c>
      <c r="Q1141" s="457">
        <f>+O1141*K1141</f>
        <v>1826002.584</v>
      </c>
    </row>
    <row r="1142" spans="1:17" ht="23.4" x14ac:dyDescent="0.3">
      <c r="A1142" s="277" t="s">
        <v>111</v>
      </c>
      <c r="B1142" s="444"/>
      <c r="C1142" s="278" t="s">
        <v>271</v>
      </c>
      <c r="D1142" s="279"/>
      <c r="E1142" s="280"/>
      <c r="F1142" s="339">
        <f t="shared" ref="F1142:F1145" si="1023">+G1142+H1142</f>
        <v>0</v>
      </c>
      <c r="G1142" s="281">
        <v>0</v>
      </c>
      <c r="H1142" s="281">
        <v>0</v>
      </c>
      <c r="I1142" s="358" t="str">
        <f>IFERROR(F1142/#REF!,"-")</f>
        <v>-</v>
      </c>
      <c r="J1142" s="339">
        <f t="shared" ref="J1142:J1145" si="1024">+K1142+L1142</f>
        <v>26548</v>
      </c>
      <c r="K1142" s="281">
        <f t="shared" ref="K1142:K1145" si="1025">+G1142+K1082</f>
        <v>26500</v>
      </c>
      <c r="L1142" s="442">
        <f t="shared" ref="L1142:L1145" si="1026">+H1142+L1082</f>
        <v>48</v>
      </c>
      <c r="M1142" s="343" t="str">
        <f t="shared" ref="M1142:M1145" si="1027">IFERROR(J1142/D1142,"-")</f>
        <v>-</v>
      </c>
      <c r="N1142" s="268">
        <f t="shared" si="1022"/>
        <v>1.8080458038270302E-3</v>
      </c>
      <c r="O1142" s="519">
        <v>2.3978999999999999</v>
      </c>
      <c r="P1142" s="410">
        <f t="shared" ref="P1142:P1145" si="1028">+O1142*G1142</f>
        <v>0</v>
      </c>
      <c r="Q1142" s="459">
        <f t="shared" ref="Q1142:Q1145" si="1029">+O1142*K1142</f>
        <v>63544.35</v>
      </c>
    </row>
    <row r="1143" spans="1:17" ht="23.4" x14ac:dyDescent="0.3">
      <c r="A1143" s="277" t="s">
        <v>111</v>
      </c>
      <c r="B1143" s="444"/>
      <c r="C1143" s="278" t="s">
        <v>488</v>
      </c>
      <c r="D1143" s="279"/>
      <c r="E1143" s="280"/>
      <c r="F1143" s="339">
        <f t="shared" si="1023"/>
        <v>0</v>
      </c>
      <c r="G1143" s="281">
        <v>0</v>
      </c>
      <c r="H1143" s="281">
        <v>0</v>
      </c>
      <c r="I1143" s="358" t="str">
        <f>IFERROR(F1143/#REF!,"-")</f>
        <v>-</v>
      </c>
      <c r="J1143" s="339">
        <f t="shared" si="1024"/>
        <v>0</v>
      </c>
      <c r="K1143" s="281">
        <f t="shared" si="1025"/>
        <v>0</v>
      </c>
      <c r="L1143" s="251">
        <f t="shared" si="1026"/>
        <v>0</v>
      </c>
      <c r="M1143" s="343" t="str">
        <f t="shared" si="1027"/>
        <v>-</v>
      </c>
      <c r="N1143" s="268" t="str">
        <f>IFERROR(L1143/J1143,"-")</f>
        <v>-</v>
      </c>
      <c r="O1143" s="520">
        <v>4.6797000000000004</v>
      </c>
      <c r="P1143" s="410">
        <f t="shared" si="1028"/>
        <v>0</v>
      </c>
      <c r="Q1143" s="459">
        <f t="shared" si="1029"/>
        <v>0</v>
      </c>
    </row>
    <row r="1144" spans="1:17" ht="23.4" x14ac:dyDescent="0.3">
      <c r="A1144" s="277"/>
      <c r="B1144" s="461"/>
      <c r="C1144" s="278" t="s">
        <v>372</v>
      </c>
      <c r="D1144" s="283"/>
      <c r="E1144" s="284"/>
      <c r="F1144" s="339">
        <f t="shared" si="1023"/>
        <v>42480</v>
      </c>
      <c r="G1144" s="285">
        <v>41800</v>
      </c>
      <c r="H1144" s="285">
        <v>680</v>
      </c>
      <c r="I1144" s="358" t="str">
        <f>IFERROR(F1144/#REF!,"-")</f>
        <v>-</v>
      </c>
      <c r="J1144" s="339">
        <f t="shared" si="1024"/>
        <v>812870</v>
      </c>
      <c r="K1144" s="281">
        <f t="shared" si="1025"/>
        <v>789200</v>
      </c>
      <c r="L1144" s="286">
        <f t="shared" si="1026"/>
        <v>23670</v>
      </c>
      <c r="M1144" s="343" t="str">
        <f t="shared" si="1027"/>
        <v>-</v>
      </c>
      <c r="N1144" s="268">
        <f>IFERROR(L1144/J1144,"-")</f>
        <v>2.911904732614071E-2</v>
      </c>
      <c r="O1144" s="520">
        <v>12.284700000000001</v>
      </c>
      <c r="P1144" s="410">
        <f t="shared" si="1028"/>
        <v>513500.46</v>
      </c>
      <c r="Q1144" s="459">
        <f t="shared" si="1029"/>
        <v>9695085.2400000002</v>
      </c>
    </row>
    <row r="1145" spans="1:17" ht="24" thickBot="1" x14ac:dyDescent="0.35">
      <c r="A1145" s="277" t="s">
        <v>111</v>
      </c>
      <c r="B1145" s="461"/>
      <c r="C1145" s="278" t="s">
        <v>487</v>
      </c>
      <c r="D1145" s="283"/>
      <c r="E1145" s="284"/>
      <c r="F1145" s="340">
        <f t="shared" si="1023"/>
        <v>30311</v>
      </c>
      <c r="G1145" s="285">
        <v>30000</v>
      </c>
      <c r="H1145" s="285">
        <v>311</v>
      </c>
      <c r="I1145" s="359" t="str">
        <f>IFERROR(F1145/#REF!,"-")</f>
        <v>-</v>
      </c>
      <c r="J1145" s="471">
        <f t="shared" si="1024"/>
        <v>217539</v>
      </c>
      <c r="K1145" s="472">
        <f t="shared" si="1025"/>
        <v>213750</v>
      </c>
      <c r="L1145" s="258">
        <f t="shared" si="1026"/>
        <v>3789</v>
      </c>
      <c r="M1145" s="344" t="str">
        <f t="shared" si="1027"/>
        <v>-</v>
      </c>
      <c r="N1145" s="350">
        <f t="shared" ref="N1145:N1157" si="1030">IFERROR(L1145/J1145,"-")</f>
        <v>1.7417566505316288E-2</v>
      </c>
      <c r="O1145" s="520">
        <v>4.6797000000000004</v>
      </c>
      <c r="P1145" s="411">
        <f t="shared" si="1028"/>
        <v>140391</v>
      </c>
      <c r="Q1145" s="460">
        <f t="shared" si="1029"/>
        <v>1000285.8750000001</v>
      </c>
    </row>
    <row r="1146" spans="1:17" ht="24" thickBot="1" x14ac:dyDescent="0.35">
      <c r="A1146" s="277" t="s">
        <v>111</v>
      </c>
      <c r="B1146" s="906" t="s">
        <v>21</v>
      </c>
      <c r="C1146" s="907"/>
      <c r="D1146" s="326">
        <f>SUM(D1141:D1145)</f>
        <v>0</v>
      </c>
      <c r="E1146" s="289">
        <v>15000</v>
      </c>
      <c r="F1146" s="326">
        <f>SUM(F1141:F1145)</f>
        <v>99784</v>
      </c>
      <c r="G1146" s="327">
        <f>SUM(G1141:G1145)</f>
        <v>93640</v>
      </c>
      <c r="H1146" s="327">
        <f>SUM(H1141:H1145)</f>
        <v>6144</v>
      </c>
      <c r="I1146" s="351" t="str">
        <f>IFERROR(F1146/#REF!,"-")</f>
        <v>-</v>
      </c>
      <c r="J1146" s="326">
        <f>SUM(J1141:J1145)</f>
        <v>2297407</v>
      </c>
      <c r="K1146" s="327">
        <f>SUM(K1141:K1145)</f>
        <v>2194810</v>
      </c>
      <c r="L1146" s="328">
        <f>SUM(L1141:L1145)</f>
        <v>102597</v>
      </c>
      <c r="M1146" s="345" t="str">
        <f>IFERROR(J1146/D1146,"-")</f>
        <v>-</v>
      </c>
      <c r="N1146" s="351">
        <f t="shared" si="1030"/>
        <v>4.4657738049897124E-2</v>
      </c>
      <c r="O1146" s="397"/>
      <c r="P1146" s="412">
        <f>SUM(P1141:P1145)</f>
        <v>688112.55599999998</v>
      </c>
      <c r="Q1146" s="431">
        <f>SUM(Q1141:Q1145)</f>
        <v>12584918.049000001</v>
      </c>
    </row>
    <row r="1147" spans="1:17" ht="23.4" x14ac:dyDescent="0.3">
      <c r="A1147" s="277" t="s">
        <v>111</v>
      </c>
      <c r="B1147" s="445"/>
      <c r="C1147" s="272" t="s">
        <v>270</v>
      </c>
      <c r="D1147" s="273"/>
      <c r="E1147" s="274"/>
      <c r="F1147" s="338">
        <f t="shared" ref="F1147:F1153" si="1031">+G1147+H1147</f>
        <v>0</v>
      </c>
      <c r="G1147" s="275">
        <v>0</v>
      </c>
      <c r="H1147" s="275">
        <v>0</v>
      </c>
      <c r="I1147" s="357" t="str">
        <f>IFERROR(F1147/#REF!,"-")</f>
        <v>-</v>
      </c>
      <c r="J1147" s="338">
        <f t="shared" ref="J1147:J1153" si="1032">+K1147+L1147</f>
        <v>81080</v>
      </c>
      <c r="K1147" s="275">
        <f t="shared" ref="K1147:K1153" si="1033">+G1147+K1087</f>
        <v>74874</v>
      </c>
      <c r="L1147" s="276">
        <f t="shared" ref="L1147:L1153" si="1034">+H1147+L1087</f>
        <v>6206</v>
      </c>
      <c r="M1147" s="342" t="str">
        <f t="shared" ref="M1147:M1155" si="1035">IFERROR(J1147/D1147,"-")</f>
        <v>-</v>
      </c>
      <c r="N1147" s="352">
        <f t="shared" si="1030"/>
        <v>7.6541687222496296E-2</v>
      </c>
      <c r="O1147" s="518">
        <v>18.2316</v>
      </c>
      <c r="P1147" s="408">
        <f t="shared" ref="P1147:P1153" si="1036">+O1147*G1147</f>
        <v>0</v>
      </c>
      <c r="Q1147" s="457">
        <f t="shared" ref="Q1147:Q1153" si="1037">+O1147*K1147</f>
        <v>1365072.8184</v>
      </c>
    </row>
    <row r="1148" spans="1:17" ht="23.4" x14ac:dyDescent="0.3">
      <c r="A1148" s="277" t="s">
        <v>111</v>
      </c>
      <c r="B1148" s="444"/>
      <c r="C1148" s="278" t="s">
        <v>92</v>
      </c>
      <c r="D1148" s="279"/>
      <c r="E1148" s="280"/>
      <c r="F1148" s="339">
        <f t="shared" si="1031"/>
        <v>0</v>
      </c>
      <c r="G1148" s="281">
        <v>0</v>
      </c>
      <c r="H1148" s="281">
        <v>0</v>
      </c>
      <c r="I1148" s="358" t="str">
        <f>IFERROR(F1148/#REF!,"-")</f>
        <v>-</v>
      </c>
      <c r="J1148" s="339">
        <f t="shared" si="1032"/>
        <v>420000</v>
      </c>
      <c r="K1148" s="281">
        <f t="shared" si="1033"/>
        <v>420000</v>
      </c>
      <c r="L1148" s="251">
        <f t="shared" si="1034"/>
        <v>0</v>
      </c>
      <c r="M1148" s="343" t="str">
        <f t="shared" si="1035"/>
        <v>-</v>
      </c>
      <c r="N1148" s="264">
        <f t="shared" si="1030"/>
        <v>0</v>
      </c>
      <c r="O1148" s="519">
        <v>1.2824</v>
      </c>
      <c r="P1148" s="410">
        <f t="shared" si="1036"/>
        <v>0</v>
      </c>
      <c r="Q1148" s="459">
        <f t="shared" si="1037"/>
        <v>538608</v>
      </c>
    </row>
    <row r="1149" spans="1:17" ht="23.4" x14ac:dyDescent="0.3">
      <c r="A1149" s="277" t="s">
        <v>111</v>
      </c>
      <c r="B1149" s="444"/>
      <c r="C1149" s="278" t="s">
        <v>340</v>
      </c>
      <c r="D1149" s="279"/>
      <c r="E1149" s="280"/>
      <c r="F1149" s="339">
        <f t="shared" si="1031"/>
        <v>0</v>
      </c>
      <c r="G1149" s="281">
        <v>0</v>
      </c>
      <c r="H1149" s="281">
        <v>0</v>
      </c>
      <c r="I1149" s="358" t="str">
        <f>IFERROR(F1149/#REF!,"-")</f>
        <v>-</v>
      </c>
      <c r="J1149" s="339">
        <f t="shared" si="1032"/>
        <v>0</v>
      </c>
      <c r="K1149" s="281">
        <f t="shared" si="1033"/>
        <v>0</v>
      </c>
      <c r="L1149" s="251">
        <f t="shared" si="1034"/>
        <v>0</v>
      </c>
      <c r="M1149" s="343" t="str">
        <f t="shared" si="1035"/>
        <v>-</v>
      </c>
      <c r="N1149" s="264" t="str">
        <f t="shared" si="1030"/>
        <v>-</v>
      </c>
      <c r="O1149" s="519">
        <v>5.7342000000000004</v>
      </c>
      <c r="P1149" s="410">
        <f t="shared" si="1036"/>
        <v>0</v>
      </c>
      <c r="Q1149" s="459">
        <f t="shared" si="1037"/>
        <v>0</v>
      </c>
    </row>
    <row r="1150" spans="1:17" ht="23.4" x14ac:dyDescent="0.3">
      <c r="A1150" s="277" t="s">
        <v>111</v>
      </c>
      <c r="B1150" s="444"/>
      <c r="C1150" s="278" t="s">
        <v>363</v>
      </c>
      <c r="D1150" s="279"/>
      <c r="E1150" s="280"/>
      <c r="F1150" s="339">
        <f t="shared" si="1031"/>
        <v>0</v>
      </c>
      <c r="G1150" s="281">
        <v>0</v>
      </c>
      <c r="H1150" s="281">
        <v>0</v>
      </c>
      <c r="I1150" s="358" t="str">
        <f>IFERROR(F1150/#REF!,"-")</f>
        <v>-</v>
      </c>
      <c r="J1150" s="339">
        <f t="shared" si="1032"/>
        <v>0</v>
      </c>
      <c r="K1150" s="281">
        <f t="shared" si="1033"/>
        <v>0</v>
      </c>
      <c r="L1150" s="251">
        <f t="shared" si="1034"/>
        <v>0</v>
      </c>
      <c r="M1150" s="343" t="str">
        <f t="shared" si="1035"/>
        <v>-</v>
      </c>
      <c r="N1150" s="264" t="str">
        <f t="shared" si="1030"/>
        <v>-</v>
      </c>
      <c r="O1150" s="519"/>
      <c r="P1150" s="410">
        <f t="shared" si="1036"/>
        <v>0</v>
      </c>
      <c r="Q1150" s="459">
        <f t="shared" si="1037"/>
        <v>0</v>
      </c>
    </row>
    <row r="1151" spans="1:17" ht="23.4" x14ac:dyDescent="0.3">
      <c r="A1151" s="277" t="s">
        <v>111</v>
      </c>
      <c r="B1151" s="444"/>
      <c r="C1151" s="278" t="s">
        <v>373</v>
      </c>
      <c r="D1151" s="279"/>
      <c r="E1151" s="280"/>
      <c r="F1151" s="339">
        <f t="shared" si="1031"/>
        <v>18090</v>
      </c>
      <c r="G1151" s="281">
        <v>18000</v>
      </c>
      <c r="H1151" s="281">
        <v>90</v>
      </c>
      <c r="I1151" s="358" t="str">
        <f>IFERROR(F1151/#REF!,"-")</f>
        <v>-</v>
      </c>
      <c r="J1151" s="339">
        <f t="shared" si="1032"/>
        <v>416772</v>
      </c>
      <c r="K1151" s="281">
        <f t="shared" si="1033"/>
        <v>415000</v>
      </c>
      <c r="L1151" s="251">
        <f t="shared" si="1034"/>
        <v>1772</v>
      </c>
      <c r="M1151" s="343" t="str">
        <f t="shared" si="1035"/>
        <v>-</v>
      </c>
      <c r="N1151" s="264">
        <f t="shared" si="1030"/>
        <v>4.2517251638785718E-3</v>
      </c>
      <c r="O1151" s="519">
        <v>12.029500000000001</v>
      </c>
      <c r="P1151" s="410">
        <f t="shared" si="1036"/>
        <v>216531</v>
      </c>
      <c r="Q1151" s="459">
        <f t="shared" si="1037"/>
        <v>4992242.5</v>
      </c>
    </row>
    <row r="1152" spans="1:17" ht="23.4" x14ac:dyDescent="0.3">
      <c r="A1152" s="277" t="s">
        <v>111</v>
      </c>
      <c r="B1152" s="444"/>
      <c r="C1152" s="278"/>
      <c r="D1152" s="279"/>
      <c r="E1152" s="280"/>
      <c r="F1152" s="339">
        <f t="shared" si="1031"/>
        <v>0</v>
      </c>
      <c r="G1152" s="281">
        <v>0</v>
      </c>
      <c r="H1152" s="281">
        <v>0</v>
      </c>
      <c r="I1152" s="358" t="str">
        <f>IFERROR(F1152/#REF!,"-")</f>
        <v>-</v>
      </c>
      <c r="J1152" s="339">
        <f t="shared" si="1032"/>
        <v>0</v>
      </c>
      <c r="K1152" s="281">
        <f t="shared" si="1033"/>
        <v>0</v>
      </c>
      <c r="L1152" s="251">
        <f t="shared" si="1034"/>
        <v>0</v>
      </c>
      <c r="M1152" s="343" t="str">
        <f t="shared" si="1035"/>
        <v>-</v>
      </c>
      <c r="N1152" s="264" t="str">
        <f t="shared" si="1030"/>
        <v>-</v>
      </c>
      <c r="O1152" s="519"/>
      <c r="P1152" s="410">
        <f t="shared" si="1036"/>
        <v>0</v>
      </c>
      <c r="Q1152" s="459">
        <f t="shared" si="1037"/>
        <v>0</v>
      </c>
    </row>
    <row r="1153" spans="1:17" ht="24" thickBot="1" x14ac:dyDescent="0.35">
      <c r="A1153" s="277" t="s">
        <v>111</v>
      </c>
      <c r="B1153" s="461"/>
      <c r="C1153" s="282"/>
      <c r="D1153" s="283">
        <v>0</v>
      </c>
      <c r="E1153" s="284"/>
      <c r="F1153" s="340">
        <f t="shared" si="1031"/>
        <v>0</v>
      </c>
      <c r="G1153" s="285">
        <v>0</v>
      </c>
      <c r="H1153" s="285">
        <v>0</v>
      </c>
      <c r="I1153" s="359" t="str">
        <f>IFERROR(F1153/#REF!,"-")</f>
        <v>-</v>
      </c>
      <c r="J1153" s="340">
        <f t="shared" si="1032"/>
        <v>0</v>
      </c>
      <c r="K1153" s="285">
        <f t="shared" si="1033"/>
        <v>0</v>
      </c>
      <c r="L1153" s="286">
        <f t="shared" si="1034"/>
        <v>0</v>
      </c>
      <c r="M1153" s="344" t="str">
        <f t="shared" si="1035"/>
        <v>-</v>
      </c>
      <c r="N1153" s="353" t="str">
        <f t="shared" si="1030"/>
        <v>-</v>
      </c>
      <c r="O1153" s="520"/>
      <c r="P1153" s="411">
        <f t="shared" si="1036"/>
        <v>0</v>
      </c>
      <c r="Q1153" s="460">
        <f t="shared" si="1037"/>
        <v>0</v>
      </c>
    </row>
    <row r="1154" spans="1:17" ht="24" thickBot="1" x14ac:dyDescent="0.35">
      <c r="A1154" s="277" t="s">
        <v>111</v>
      </c>
      <c r="B1154" s="906" t="s">
        <v>25</v>
      </c>
      <c r="C1154" s="907"/>
      <c r="D1154" s="326">
        <f t="shared" ref="D1154" si="1038">SUM(D1147:D1153)</f>
        <v>0</v>
      </c>
      <c r="E1154" s="289">
        <v>100000</v>
      </c>
      <c r="F1154" s="326">
        <f>SUM(F1147:F1153)</f>
        <v>18090</v>
      </c>
      <c r="G1154" s="327">
        <f t="shared" ref="G1154:H1154" si="1039">SUM(G1147:G1153)</f>
        <v>18000</v>
      </c>
      <c r="H1154" s="327">
        <f t="shared" si="1039"/>
        <v>90</v>
      </c>
      <c r="I1154" s="351" t="str">
        <f>IFERROR(F1154/#REF!,"-")</f>
        <v>-</v>
      </c>
      <c r="J1154" s="326">
        <f t="shared" ref="J1154:L1154" si="1040">SUM(J1147:J1153)</f>
        <v>917852</v>
      </c>
      <c r="K1154" s="327">
        <f t="shared" si="1040"/>
        <v>909874</v>
      </c>
      <c r="L1154" s="328">
        <f t="shared" si="1040"/>
        <v>7978</v>
      </c>
      <c r="M1154" s="345" t="str">
        <f t="shared" si="1035"/>
        <v>-</v>
      </c>
      <c r="N1154" s="351">
        <f t="shared" si="1030"/>
        <v>8.692033138240152E-3</v>
      </c>
      <c r="O1154" s="397"/>
      <c r="P1154" s="412">
        <f t="shared" ref="P1154:Q1154" si="1041">SUM(P1147:P1153)</f>
        <v>216531</v>
      </c>
      <c r="Q1154" s="431">
        <f t="shared" si="1041"/>
        <v>6895923.3184000002</v>
      </c>
    </row>
    <row r="1155" spans="1:17" ht="24" thickBot="1" x14ac:dyDescent="0.35">
      <c r="A1155" s="277" t="s">
        <v>111</v>
      </c>
      <c r="B1155" s="985" t="s">
        <v>181</v>
      </c>
      <c r="C1155" s="986"/>
      <c r="D1155" s="332">
        <f>+D1146+D1154</f>
        <v>0</v>
      </c>
      <c r="E1155" s="333">
        <f t="shared" ref="E1155:H1155" si="1042">+E1146+E1154</f>
        <v>115000</v>
      </c>
      <c r="F1155" s="332">
        <f t="shared" si="1042"/>
        <v>117874</v>
      </c>
      <c r="G1155" s="330">
        <f t="shared" si="1042"/>
        <v>111640</v>
      </c>
      <c r="H1155" s="330">
        <f t="shared" si="1042"/>
        <v>6234</v>
      </c>
      <c r="I1155" s="355" t="str">
        <f>IFERROR(F1155/#REF!,"-")</f>
        <v>-</v>
      </c>
      <c r="J1155" s="332">
        <f t="shared" ref="J1155:L1155" si="1043">+J1146+J1154</f>
        <v>3215259</v>
      </c>
      <c r="K1155" s="330">
        <f t="shared" si="1043"/>
        <v>3104684</v>
      </c>
      <c r="L1155" s="331">
        <f t="shared" si="1043"/>
        <v>110575</v>
      </c>
      <c r="M1155" s="347" t="str">
        <f t="shared" si="1035"/>
        <v>-</v>
      </c>
      <c r="N1155" s="355">
        <f t="shared" si="1030"/>
        <v>3.4390697607875449E-2</v>
      </c>
      <c r="O1155" s="400"/>
      <c r="P1155" s="416">
        <f t="shared" ref="P1155:Q1155" si="1044">+P1146+P1154</f>
        <v>904643.55599999998</v>
      </c>
      <c r="Q1155" s="434">
        <f t="shared" si="1044"/>
        <v>19480841.367400002</v>
      </c>
    </row>
    <row r="1156" spans="1:17" ht="23.4" x14ac:dyDescent="0.3">
      <c r="A1156" s="244" t="s">
        <v>109</v>
      </c>
      <c r="B1156" s="599"/>
      <c r="C1156" s="600" t="s">
        <v>314</v>
      </c>
      <c r="D1156" s="540"/>
      <c r="E1156" s="470"/>
      <c r="F1156" s="468">
        <f>+G1156+H1156</f>
        <v>0</v>
      </c>
      <c r="G1156" s="469">
        <v>0</v>
      </c>
      <c r="H1156" s="469">
        <v>0</v>
      </c>
      <c r="I1156" s="544" t="str">
        <f>IFERROR(F1156/#REF!,"-")</f>
        <v>-</v>
      </c>
      <c r="J1156" s="468">
        <f>+K1156+L1156</f>
        <v>0</v>
      </c>
      <c r="K1156" s="469">
        <f t="shared" ref="K1156:K1162" si="1045">+G1156+K1096</f>
        <v>0</v>
      </c>
      <c r="L1156" s="247">
        <f t="shared" ref="L1156:L1162" si="1046">+H1156+L1096</f>
        <v>0</v>
      </c>
      <c r="M1156" s="604" t="str">
        <f>IFERROR(J1156/D1156,"-")</f>
        <v>-</v>
      </c>
      <c r="N1156" s="546" t="str">
        <f t="shared" si="1030"/>
        <v>-</v>
      </c>
      <c r="O1156" s="648">
        <v>4.8285999999999998</v>
      </c>
      <c r="P1156" s="547">
        <f t="shared" ref="P1156:P1162" si="1047">+O1156*G1156</f>
        <v>0</v>
      </c>
      <c r="Q1156" s="548">
        <f>+O1156*K1156</f>
        <v>0</v>
      </c>
    </row>
    <row r="1157" spans="1:17" ht="23.4" x14ac:dyDescent="0.3">
      <c r="A1157" s="248" t="s">
        <v>109</v>
      </c>
      <c r="B1157" s="601"/>
      <c r="C1157" s="278" t="s">
        <v>315</v>
      </c>
      <c r="D1157" s="279"/>
      <c r="E1157" s="442"/>
      <c r="F1157" s="339">
        <f t="shared" ref="F1157:F1162" si="1048">+G1157+H1157</f>
        <v>0</v>
      </c>
      <c r="G1157" s="281">
        <v>0</v>
      </c>
      <c r="H1157" s="281">
        <v>0</v>
      </c>
      <c r="I1157" s="358" t="str">
        <f>IFERROR(F1157/#REF!,"-")</f>
        <v>-</v>
      </c>
      <c r="J1157" s="339">
        <f t="shared" ref="J1157:J1162" si="1049">+K1157+L1157</f>
        <v>0</v>
      </c>
      <c r="K1157" s="281">
        <f t="shared" si="1045"/>
        <v>0</v>
      </c>
      <c r="L1157" s="251">
        <f t="shared" si="1046"/>
        <v>0</v>
      </c>
      <c r="M1157" s="343" t="str">
        <f t="shared" ref="M1157:M1159" si="1050">IFERROR(J1157/D1157,"-")</f>
        <v>-</v>
      </c>
      <c r="N1157" s="268" t="str">
        <f t="shared" si="1030"/>
        <v>-</v>
      </c>
      <c r="O1157" s="649">
        <v>1.4086000000000001</v>
      </c>
      <c r="P1157" s="410">
        <f t="shared" si="1047"/>
        <v>0</v>
      </c>
      <c r="Q1157" s="459">
        <f t="shared" ref="Q1157:Q1162" si="1051">+O1157*K1157</f>
        <v>0</v>
      </c>
    </row>
    <row r="1158" spans="1:17" ht="23.4" x14ac:dyDescent="0.3">
      <c r="A1158" s="248" t="s">
        <v>109</v>
      </c>
      <c r="B1158" s="601"/>
      <c r="C1158" s="278" t="s">
        <v>367</v>
      </c>
      <c r="D1158" s="279"/>
      <c r="E1158" s="442"/>
      <c r="F1158" s="339">
        <f t="shared" si="1048"/>
        <v>0</v>
      </c>
      <c r="G1158" s="281">
        <v>0</v>
      </c>
      <c r="H1158" s="281">
        <v>0</v>
      </c>
      <c r="I1158" s="358" t="str">
        <f>IFERROR(F1158/#REF!,"-")</f>
        <v>-</v>
      </c>
      <c r="J1158" s="339">
        <f t="shared" si="1049"/>
        <v>573613</v>
      </c>
      <c r="K1158" s="281">
        <f t="shared" si="1045"/>
        <v>566000</v>
      </c>
      <c r="L1158" s="251">
        <f t="shared" si="1046"/>
        <v>7613</v>
      </c>
      <c r="M1158" s="343" t="str">
        <f t="shared" si="1050"/>
        <v>-</v>
      </c>
      <c r="N1158" s="268">
        <f>IFERROR(L1158/J1158,"-")</f>
        <v>1.3272014406925924E-2</v>
      </c>
      <c r="O1158" s="649">
        <v>2.2141000000000002</v>
      </c>
      <c r="P1158" s="410">
        <f t="shared" si="1047"/>
        <v>0</v>
      </c>
      <c r="Q1158" s="459">
        <f t="shared" si="1051"/>
        <v>1253180.6000000001</v>
      </c>
    </row>
    <row r="1159" spans="1:17" ht="23.4" x14ac:dyDescent="0.3">
      <c r="A1159" s="248" t="s">
        <v>109</v>
      </c>
      <c r="B1159" s="602"/>
      <c r="C1159" s="278" t="s">
        <v>436</v>
      </c>
      <c r="D1159" s="283"/>
      <c r="E1159" s="541"/>
      <c r="F1159" s="340">
        <f t="shared" si="1048"/>
        <v>0</v>
      </c>
      <c r="G1159" s="285">
        <v>0</v>
      </c>
      <c r="H1159" s="285">
        <v>0</v>
      </c>
      <c r="I1159" s="359" t="str">
        <f>IFERROR(F1159/#REF!,"-")</f>
        <v>-</v>
      </c>
      <c r="J1159" s="339">
        <f t="shared" si="1049"/>
        <v>40882</v>
      </c>
      <c r="K1159" s="285">
        <f t="shared" si="1045"/>
        <v>40000</v>
      </c>
      <c r="L1159" s="286">
        <f t="shared" si="1046"/>
        <v>882</v>
      </c>
      <c r="M1159" s="344" t="str">
        <f t="shared" si="1050"/>
        <v>-</v>
      </c>
      <c r="N1159" s="350">
        <f t="shared" ref="N1159:N1166" si="1052">IFERROR(L1159/J1159,"-")</f>
        <v>2.157428697226163E-2</v>
      </c>
      <c r="O1159" s="650">
        <v>2.4565999999999999</v>
      </c>
      <c r="P1159" s="411">
        <f t="shared" si="1047"/>
        <v>0</v>
      </c>
      <c r="Q1159" s="460">
        <f t="shared" si="1051"/>
        <v>98264</v>
      </c>
    </row>
    <row r="1160" spans="1:17" ht="23.4" x14ac:dyDescent="0.3">
      <c r="A1160" s="248" t="s">
        <v>109</v>
      </c>
      <c r="B1160" s="446"/>
      <c r="C1160" s="647" t="s">
        <v>444</v>
      </c>
      <c r="D1160" s="521"/>
      <c r="E1160" s="542"/>
      <c r="F1160" s="339">
        <f t="shared" si="1048"/>
        <v>0</v>
      </c>
      <c r="G1160" s="561">
        <v>0</v>
      </c>
      <c r="H1160" s="561">
        <v>0</v>
      </c>
      <c r="I1160" s="358" t="str">
        <f>IFERROR(F1160/#REF!,"-")</f>
        <v>-</v>
      </c>
      <c r="J1160" s="339">
        <f t="shared" si="1049"/>
        <v>16280</v>
      </c>
      <c r="K1160" s="285">
        <f t="shared" si="1045"/>
        <v>15000</v>
      </c>
      <c r="L1160" s="286">
        <f t="shared" si="1046"/>
        <v>1280</v>
      </c>
      <c r="M1160" s="522"/>
      <c r="N1160" s="268">
        <f t="shared" si="1052"/>
        <v>7.8624078624078622E-2</v>
      </c>
      <c r="O1160" s="553">
        <v>4.8285999999999998</v>
      </c>
      <c r="P1160" s="410">
        <f t="shared" si="1047"/>
        <v>0</v>
      </c>
      <c r="Q1160" s="459">
        <f t="shared" si="1051"/>
        <v>72429</v>
      </c>
    </row>
    <row r="1161" spans="1:17" ht="23.4" x14ac:dyDescent="0.3">
      <c r="A1161" s="248" t="s">
        <v>109</v>
      </c>
      <c r="B1161" s="603"/>
      <c r="C1161" s="647" t="s">
        <v>439</v>
      </c>
      <c r="D1161" s="273"/>
      <c r="E1161" s="441"/>
      <c r="F1161" s="338">
        <f t="shared" si="1048"/>
        <v>0</v>
      </c>
      <c r="G1161" s="275">
        <v>0</v>
      </c>
      <c r="H1161" s="275">
        <v>0</v>
      </c>
      <c r="I1161" s="357" t="str">
        <f>IFERROR(F1161/#REF!,"-")</f>
        <v>-</v>
      </c>
      <c r="J1161" s="339">
        <f t="shared" si="1049"/>
        <v>273737</v>
      </c>
      <c r="K1161" s="285">
        <f t="shared" si="1045"/>
        <v>264250</v>
      </c>
      <c r="L1161" s="286">
        <f t="shared" si="1046"/>
        <v>9487</v>
      </c>
      <c r="M1161" s="342" t="str">
        <f t="shared" ref="M1161:M1162" si="1053">IFERROR(J1161/D1161,"-")</f>
        <v>-</v>
      </c>
      <c r="N1161" s="352">
        <f t="shared" si="1052"/>
        <v>3.4657353591220769E-2</v>
      </c>
      <c r="O1161" s="518">
        <v>4.1712999999999996</v>
      </c>
      <c r="P1161" s="408">
        <f t="shared" si="1047"/>
        <v>0</v>
      </c>
      <c r="Q1161" s="457">
        <f t="shared" si="1051"/>
        <v>1102266.0249999999</v>
      </c>
    </row>
    <row r="1162" spans="1:17" ht="24" thickBot="1" x14ac:dyDescent="0.35">
      <c r="A1162" s="248" t="s">
        <v>109</v>
      </c>
      <c r="B1162" s="601"/>
      <c r="C1162" s="278"/>
      <c r="D1162" s="279"/>
      <c r="E1162" s="442"/>
      <c r="F1162" s="339">
        <f t="shared" si="1048"/>
        <v>0</v>
      </c>
      <c r="G1162" s="281"/>
      <c r="H1162" s="281"/>
      <c r="I1162" s="358" t="str">
        <f>IFERROR(F1162/#REF!,"-")</f>
        <v>-</v>
      </c>
      <c r="J1162" s="339">
        <f t="shared" si="1049"/>
        <v>0</v>
      </c>
      <c r="K1162" s="281">
        <f t="shared" si="1045"/>
        <v>0</v>
      </c>
      <c r="L1162" s="251">
        <f t="shared" si="1046"/>
        <v>0</v>
      </c>
      <c r="M1162" s="343" t="str">
        <f t="shared" si="1053"/>
        <v>-</v>
      </c>
      <c r="N1162" s="264" t="str">
        <f t="shared" si="1052"/>
        <v>-</v>
      </c>
      <c r="O1162" s="458"/>
      <c r="P1162" s="410">
        <f t="shared" si="1047"/>
        <v>0</v>
      </c>
      <c r="Q1162" s="459">
        <f t="shared" si="1051"/>
        <v>0</v>
      </c>
    </row>
    <row r="1163" spans="1:17" ht="24" thickBot="1" x14ac:dyDescent="0.35">
      <c r="A1163" s="277" t="s">
        <v>109</v>
      </c>
      <c r="B1163" s="987" t="s">
        <v>21</v>
      </c>
      <c r="C1163" s="925"/>
      <c r="D1163" s="326">
        <v>0</v>
      </c>
      <c r="E1163" s="289">
        <v>15000</v>
      </c>
      <c r="F1163" s="326">
        <f>SUM(F1156:F1162)</f>
        <v>0</v>
      </c>
      <c r="G1163" s="327">
        <f t="shared" ref="G1163:H1163" si="1054">SUM(G1156:G1162)</f>
        <v>0</v>
      </c>
      <c r="H1163" s="327">
        <f t="shared" si="1054"/>
        <v>0</v>
      </c>
      <c r="I1163" s="351" t="str">
        <f>IFERROR(F1163/#REF!,"-")</f>
        <v>-</v>
      </c>
      <c r="J1163" s="326">
        <f t="shared" ref="J1163" si="1055">SUM(J1156:J1162)</f>
        <v>904512</v>
      </c>
      <c r="K1163" s="327">
        <f>SUM(K1156:K1162)</f>
        <v>885250</v>
      </c>
      <c r="L1163" s="327">
        <f>SUM(L1156:L1162)</f>
        <v>19262</v>
      </c>
      <c r="M1163" s="345" t="str">
        <f>IFERROR(J1163/D1163,"-")</f>
        <v>-</v>
      </c>
      <c r="N1163" s="351">
        <f t="shared" si="1052"/>
        <v>2.1295460977853252E-2</v>
      </c>
      <c r="O1163" s="397"/>
      <c r="P1163" s="412">
        <f>SUM(P1156:P1162)</f>
        <v>0</v>
      </c>
      <c r="Q1163" s="431">
        <f>SUM(Q1156:Q1162)</f>
        <v>2526139.625</v>
      </c>
    </row>
    <row r="1164" spans="1:17" ht="24" thickBot="1" x14ac:dyDescent="0.35">
      <c r="A1164" s="277" t="s">
        <v>109</v>
      </c>
      <c r="B1164" s="988" t="s">
        <v>275</v>
      </c>
      <c r="C1164" s="989"/>
      <c r="D1164" s="524">
        <f>+D1160+D1163</f>
        <v>0</v>
      </c>
      <c r="E1164" s="538">
        <f>+E1160+E1163</f>
        <v>15000</v>
      </c>
      <c r="F1164" s="524">
        <f>+F1160+F1163</f>
        <v>0</v>
      </c>
      <c r="G1164" s="526">
        <f>+G1160+G1163</f>
        <v>0</v>
      </c>
      <c r="H1164" s="526">
        <f>+H1160+H1163</f>
        <v>0</v>
      </c>
      <c r="I1164" s="527" t="str">
        <f>IFERROR(F1164/#REF!,"-")</f>
        <v>-</v>
      </c>
      <c r="J1164" s="524">
        <f>+J1160+J1163</f>
        <v>920792</v>
      </c>
      <c r="K1164" s="526">
        <f>+K1163</f>
        <v>885250</v>
      </c>
      <c r="L1164" s="526">
        <f>+L1163</f>
        <v>19262</v>
      </c>
      <c r="M1164" s="528" t="str">
        <f t="shared" ref="M1164" si="1056">IFERROR(J1164/D1164,"-")</f>
        <v>-</v>
      </c>
      <c r="N1164" s="527">
        <f t="shared" si="1052"/>
        <v>2.091894803603854E-2</v>
      </c>
      <c r="O1164" s="529"/>
      <c r="P1164" s="530">
        <f>+P1163</f>
        <v>0</v>
      </c>
      <c r="Q1164" s="530">
        <f>+Q1163</f>
        <v>2526139.625</v>
      </c>
    </row>
    <row r="1165" spans="1:17" ht="23.4" x14ac:dyDescent="0.4">
      <c r="A1165" s="244" t="s">
        <v>109</v>
      </c>
      <c r="B1165" s="979" t="s">
        <v>277</v>
      </c>
      <c r="C1165" s="555" t="s">
        <v>74</v>
      </c>
      <c r="D1165" s="540"/>
      <c r="E1165" s="470"/>
      <c r="F1165" s="468">
        <f>+G1165+H1165</f>
        <v>0</v>
      </c>
      <c r="G1165" s="469">
        <v>0</v>
      </c>
      <c r="H1165" s="469">
        <v>0</v>
      </c>
      <c r="I1165" s="544" t="str">
        <f>IFERROR(F1165/#REF!,"-")</f>
        <v>-</v>
      </c>
      <c r="J1165" s="468">
        <f>+K1165+L1165</f>
        <v>61721</v>
      </c>
      <c r="K1165" s="469">
        <f t="shared" ref="K1165:K1194" si="1057">+G1165+K1105</f>
        <v>61660</v>
      </c>
      <c r="L1165" s="246">
        <f t="shared" ref="L1165:L1194" si="1058">+H1165+L1105</f>
        <v>61</v>
      </c>
      <c r="M1165" s="263" t="str">
        <f>IFERROR(J1165/D1165,"-")</f>
        <v>-</v>
      </c>
      <c r="N1165" s="546">
        <f t="shared" si="1052"/>
        <v>9.8831840054438517E-4</v>
      </c>
      <c r="O1165" s="551">
        <v>32.946300000000001</v>
      </c>
      <c r="P1165" s="547">
        <f t="shared" ref="P1165:P1194" si="1059">+O1165*G1165</f>
        <v>0</v>
      </c>
      <c r="Q1165" s="548">
        <f t="shared" ref="Q1165:Q1194" si="1060">+O1165*K1165</f>
        <v>2031468.858</v>
      </c>
    </row>
    <row r="1166" spans="1:17" ht="23.4" x14ac:dyDescent="0.4">
      <c r="A1166" s="248" t="s">
        <v>109</v>
      </c>
      <c r="B1166" s="980"/>
      <c r="C1166" s="556" t="s">
        <v>75</v>
      </c>
      <c r="D1166" s="523"/>
      <c r="E1166" s="442"/>
      <c r="F1166" s="339">
        <f t="shared" ref="F1166:F1194" si="1061">+G1166+H1166</f>
        <v>0</v>
      </c>
      <c r="G1166" s="281">
        <v>0</v>
      </c>
      <c r="H1166" s="281">
        <v>0</v>
      </c>
      <c r="I1166" s="358" t="str">
        <f>IFERROR(F1166/#REF!,"-")</f>
        <v>-</v>
      </c>
      <c r="J1166" s="339">
        <f t="shared" ref="J1166:J1194" si="1062">+K1166+L1166</f>
        <v>0</v>
      </c>
      <c r="K1166" s="281">
        <f t="shared" si="1057"/>
        <v>0</v>
      </c>
      <c r="L1166" s="250">
        <f t="shared" si="1058"/>
        <v>0</v>
      </c>
      <c r="M1166" s="265" t="str">
        <f t="shared" ref="M1166:M1168" si="1063">IFERROR(J1166/D1166,"-")</f>
        <v>-</v>
      </c>
      <c r="N1166" s="268" t="str">
        <f t="shared" si="1052"/>
        <v>-</v>
      </c>
      <c r="O1166" s="519">
        <v>35.398400000000002</v>
      </c>
      <c r="P1166" s="410">
        <f t="shared" si="1059"/>
        <v>0</v>
      </c>
      <c r="Q1166" s="459">
        <f t="shared" si="1060"/>
        <v>0</v>
      </c>
    </row>
    <row r="1167" spans="1:17" ht="24" thickBot="1" x14ac:dyDescent="0.45">
      <c r="A1167" s="248" t="s">
        <v>109</v>
      </c>
      <c r="B1167" s="980"/>
      <c r="C1167" s="556" t="s">
        <v>76</v>
      </c>
      <c r="D1167" s="279"/>
      <c r="E1167" s="442"/>
      <c r="F1167" s="339">
        <f t="shared" si="1061"/>
        <v>0</v>
      </c>
      <c r="G1167" s="281">
        <v>0</v>
      </c>
      <c r="H1167" s="281">
        <v>0</v>
      </c>
      <c r="I1167" s="358" t="str">
        <f>IFERROR(F1167/#REF!,"-")</f>
        <v>-</v>
      </c>
      <c r="J1167" s="339">
        <f t="shared" si="1062"/>
        <v>10000</v>
      </c>
      <c r="K1167" s="281">
        <f t="shared" si="1057"/>
        <v>10000</v>
      </c>
      <c r="L1167" s="250">
        <f t="shared" si="1058"/>
        <v>0</v>
      </c>
      <c r="M1167" s="265" t="str">
        <f t="shared" si="1063"/>
        <v>-</v>
      </c>
      <c r="N1167" s="268">
        <f>IFERROR(L1167/J1167,"-")</f>
        <v>0</v>
      </c>
      <c r="O1167" s="519">
        <v>32.946300000000001</v>
      </c>
      <c r="P1167" s="410">
        <f t="shared" si="1059"/>
        <v>0</v>
      </c>
      <c r="Q1167" s="459">
        <f t="shared" si="1060"/>
        <v>329463</v>
      </c>
    </row>
    <row r="1168" spans="1:17" ht="23.4" x14ac:dyDescent="0.4">
      <c r="A1168" s="248" t="s">
        <v>109</v>
      </c>
      <c r="B1168" s="979" t="s">
        <v>278</v>
      </c>
      <c r="C1168" s="558" t="s">
        <v>78</v>
      </c>
      <c r="D1168" s="279"/>
      <c r="E1168" s="541"/>
      <c r="F1168" s="340">
        <f t="shared" si="1061"/>
        <v>0</v>
      </c>
      <c r="G1168" s="281">
        <v>0</v>
      </c>
      <c r="H1168" s="281">
        <v>0</v>
      </c>
      <c r="I1168" s="358" t="str">
        <f>IFERROR(F1168/#REF!,"-")</f>
        <v>-</v>
      </c>
      <c r="J1168" s="339">
        <f t="shared" si="1062"/>
        <v>9803</v>
      </c>
      <c r="K1168" s="281">
        <f t="shared" si="1057"/>
        <v>8225</v>
      </c>
      <c r="L1168" s="250">
        <f t="shared" si="1058"/>
        <v>1578</v>
      </c>
      <c r="M1168" s="265" t="str">
        <f t="shared" si="1063"/>
        <v>-</v>
      </c>
      <c r="N1168" s="268">
        <f t="shared" ref="N1168" si="1064">IFERROR(L1168/J1168,"-")</f>
        <v>0.16097113128634091</v>
      </c>
      <c r="O1168" s="519">
        <v>55.4758</v>
      </c>
      <c r="P1168" s="410">
        <f t="shared" si="1059"/>
        <v>0</v>
      </c>
      <c r="Q1168" s="459">
        <f t="shared" si="1060"/>
        <v>456288.45500000002</v>
      </c>
    </row>
    <row r="1169" spans="1:17" ht="23.4" x14ac:dyDescent="0.4">
      <c r="A1169" s="248" t="s">
        <v>109</v>
      </c>
      <c r="B1169" s="980"/>
      <c r="C1169" s="558" t="s">
        <v>75</v>
      </c>
      <c r="D1169" s="279"/>
      <c r="E1169" s="542"/>
      <c r="F1169" s="340">
        <f t="shared" si="1061"/>
        <v>0</v>
      </c>
      <c r="G1169" s="281">
        <v>0</v>
      </c>
      <c r="H1169" s="281">
        <v>0</v>
      </c>
      <c r="I1169" s="358" t="str">
        <f>IFERROR(F1169/#REF!,"-")</f>
        <v>-</v>
      </c>
      <c r="J1169" s="339">
        <f t="shared" si="1062"/>
        <v>5350</v>
      </c>
      <c r="K1169" s="281">
        <f t="shared" si="1057"/>
        <v>4150</v>
      </c>
      <c r="L1169" s="250">
        <f t="shared" si="1058"/>
        <v>1200</v>
      </c>
      <c r="M1169" s="522"/>
      <c r="N1169" s="378"/>
      <c r="O1169" s="553">
        <v>58.836300000000001</v>
      </c>
      <c r="P1169" s="410">
        <f t="shared" si="1059"/>
        <v>0</v>
      </c>
      <c r="Q1169" s="459">
        <f t="shared" si="1060"/>
        <v>244170.64500000002</v>
      </c>
    </row>
    <row r="1170" spans="1:17" ht="23.4" x14ac:dyDescent="0.4">
      <c r="A1170" s="248" t="s">
        <v>109</v>
      </c>
      <c r="B1170" s="980"/>
      <c r="C1170" s="558" t="s">
        <v>435</v>
      </c>
      <c r="D1170" s="279"/>
      <c r="E1170" s="441"/>
      <c r="F1170" s="340">
        <f t="shared" si="1061"/>
        <v>0</v>
      </c>
      <c r="G1170" s="281">
        <v>0</v>
      </c>
      <c r="H1170" s="281">
        <v>0</v>
      </c>
      <c r="I1170" s="358" t="str">
        <f>IFERROR(F1170/#REF!,"-")</f>
        <v>-</v>
      </c>
      <c r="J1170" s="339">
        <f t="shared" si="1062"/>
        <v>17944</v>
      </c>
      <c r="K1170" s="281">
        <f t="shared" si="1057"/>
        <v>15500</v>
      </c>
      <c r="L1170" s="250">
        <f t="shared" si="1058"/>
        <v>2444</v>
      </c>
      <c r="M1170" s="265" t="str">
        <f t="shared" ref="M1170" si="1065">IFERROR(J1170/D1170,"-")</f>
        <v>-</v>
      </c>
      <c r="N1170" s="264">
        <f t="shared" ref="N1170" si="1066">IFERROR(L1170/J1170,"-")</f>
        <v>0.13620151582701739</v>
      </c>
      <c r="O1170" s="519">
        <v>55.4758</v>
      </c>
      <c r="P1170" s="410">
        <f t="shared" si="1059"/>
        <v>0</v>
      </c>
      <c r="Q1170" s="459">
        <f t="shared" si="1060"/>
        <v>859874.9</v>
      </c>
    </row>
    <row r="1171" spans="1:17" ht="24" thickBot="1" x14ac:dyDescent="0.45">
      <c r="A1171" s="248"/>
      <c r="B1171" s="981"/>
      <c r="C1171" s="558" t="s">
        <v>471</v>
      </c>
      <c r="D1171" s="279"/>
      <c r="E1171" s="441"/>
      <c r="F1171" s="340">
        <f t="shared" si="1061"/>
        <v>4923</v>
      </c>
      <c r="G1171" s="281">
        <v>4800</v>
      </c>
      <c r="H1171" s="281">
        <v>123</v>
      </c>
      <c r="I1171" s="358"/>
      <c r="J1171" s="339">
        <f t="shared" si="1062"/>
        <v>19128</v>
      </c>
      <c r="K1171" s="281">
        <f t="shared" si="1057"/>
        <v>18140</v>
      </c>
      <c r="L1171" s="250">
        <f t="shared" si="1058"/>
        <v>988</v>
      </c>
      <c r="M1171" s="265"/>
      <c r="N1171" s="264">
        <f>IFERROR(L1171/J1171,"-")</f>
        <v>5.1652028439983268E-2</v>
      </c>
      <c r="O1171" s="519">
        <v>55.4758</v>
      </c>
      <c r="P1171" s="410">
        <f t="shared" si="1059"/>
        <v>266283.84000000003</v>
      </c>
      <c r="Q1171" s="459">
        <f t="shared" si="1060"/>
        <v>1006331.012</v>
      </c>
    </row>
    <row r="1172" spans="1:17" ht="23.4" x14ac:dyDescent="0.4">
      <c r="A1172" s="248" t="s">
        <v>109</v>
      </c>
      <c r="B1172" s="979" t="s">
        <v>79</v>
      </c>
      <c r="C1172" s="556" t="s">
        <v>80</v>
      </c>
      <c r="D1172" s="279"/>
      <c r="E1172" s="442"/>
      <c r="F1172" s="339">
        <f t="shared" si="1061"/>
        <v>4545</v>
      </c>
      <c r="G1172" s="281">
        <v>4500</v>
      </c>
      <c r="H1172" s="281">
        <v>45</v>
      </c>
      <c r="I1172" s="358" t="str">
        <f>IFERROR(F1172/#REF!,"-")</f>
        <v>-</v>
      </c>
      <c r="J1172" s="339">
        <f t="shared" si="1062"/>
        <v>17601</v>
      </c>
      <c r="K1172" s="281">
        <f t="shared" si="1057"/>
        <v>17441</v>
      </c>
      <c r="L1172" s="250">
        <f t="shared" si="1058"/>
        <v>160</v>
      </c>
      <c r="M1172" s="265" t="str">
        <f t="shared" ref="M1172:M1197" si="1067">IFERROR(J1172/D1172,"-")</f>
        <v>-</v>
      </c>
      <c r="N1172" s="264">
        <f t="shared" ref="N1172:N1196" si="1068">IFERROR(L1172/J1172,"-")</f>
        <v>9.090392591330038E-3</v>
      </c>
      <c r="O1172" s="519">
        <v>25.687200000000001</v>
      </c>
      <c r="P1172" s="410">
        <f t="shared" si="1059"/>
        <v>115592.40000000001</v>
      </c>
      <c r="Q1172" s="459">
        <f t="shared" si="1060"/>
        <v>448010.45520000003</v>
      </c>
    </row>
    <row r="1173" spans="1:17" ht="24" thickBot="1" x14ac:dyDescent="0.45">
      <c r="A1173" s="248" t="s">
        <v>109</v>
      </c>
      <c r="B1173" s="981"/>
      <c r="C1173" s="556" t="s">
        <v>125</v>
      </c>
      <c r="D1173" s="279"/>
      <c r="E1173" s="442"/>
      <c r="F1173" s="339">
        <f t="shared" si="1061"/>
        <v>0</v>
      </c>
      <c r="G1173" s="281">
        <v>0</v>
      </c>
      <c r="H1173" s="281">
        <v>0</v>
      </c>
      <c r="I1173" s="358" t="str">
        <f>IFERROR(F1173/#REF!,"-")</f>
        <v>-</v>
      </c>
      <c r="J1173" s="339">
        <f t="shared" si="1062"/>
        <v>0</v>
      </c>
      <c r="K1173" s="281">
        <f t="shared" si="1057"/>
        <v>0</v>
      </c>
      <c r="L1173" s="250">
        <f t="shared" si="1058"/>
        <v>0</v>
      </c>
      <c r="M1173" s="265" t="str">
        <f t="shared" si="1067"/>
        <v>-</v>
      </c>
      <c r="N1173" s="264" t="str">
        <f t="shared" si="1068"/>
        <v>-</v>
      </c>
      <c r="O1173" s="519">
        <v>25.033899999999999</v>
      </c>
      <c r="P1173" s="410">
        <f t="shared" si="1059"/>
        <v>0</v>
      </c>
      <c r="Q1173" s="459">
        <f t="shared" si="1060"/>
        <v>0</v>
      </c>
    </row>
    <row r="1174" spans="1:17" ht="23.4" x14ac:dyDescent="0.4">
      <c r="A1174" s="248"/>
      <c r="B1174" s="979" t="s">
        <v>81</v>
      </c>
      <c r="C1174" s="556" t="s">
        <v>82</v>
      </c>
      <c r="D1174" s="279"/>
      <c r="E1174" s="442"/>
      <c r="F1174" s="339">
        <f t="shared" si="1061"/>
        <v>0</v>
      </c>
      <c r="G1174" s="281">
        <v>0</v>
      </c>
      <c r="H1174" s="281">
        <v>0</v>
      </c>
      <c r="I1174" s="358" t="str">
        <f>IFERROR(F1174/#REF!,"-")</f>
        <v>-</v>
      </c>
      <c r="J1174" s="339">
        <f t="shared" si="1062"/>
        <v>13702</v>
      </c>
      <c r="K1174" s="281">
        <f t="shared" si="1057"/>
        <v>13640</v>
      </c>
      <c r="L1174" s="250">
        <f t="shared" si="1058"/>
        <v>62</v>
      </c>
      <c r="M1174" s="265" t="str">
        <f t="shared" si="1067"/>
        <v>-</v>
      </c>
      <c r="N1174" s="264">
        <f t="shared" si="1068"/>
        <v>4.5248868778280547E-3</v>
      </c>
      <c r="O1174" s="519">
        <v>41.992699999999999</v>
      </c>
      <c r="P1174" s="410">
        <f t="shared" si="1059"/>
        <v>0</v>
      </c>
      <c r="Q1174" s="459">
        <f t="shared" si="1060"/>
        <v>572780.42799999996</v>
      </c>
    </row>
    <row r="1175" spans="1:17" ht="24" thickBot="1" x14ac:dyDescent="0.45">
      <c r="A1175" s="248"/>
      <c r="B1175" s="980"/>
      <c r="C1175" s="556" t="s">
        <v>364</v>
      </c>
      <c r="D1175" s="279"/>
      <c r="E1175" s="442"/>
      <c r="F1175" s="339">
        <f t="shared" si="1061"/>
        <v>0</v>
      </c>
      <c r="G1175" s="281">
        <v>0</v>
      </c>
      <c r="H1175" s="281">
        <v>0</v>
      </c>
      <c r="I1175" s="358" t="str">
        <f>IFERROR(F1175/#REF!,"-")</f>
        <v>-</v>
      </c>
      <c r="J1175" s="339">
        <f t="shared" si="1062"/>
        <v>0</v>
      </c>
      <c r="K1175" s="281">
        <f t="shared" si="1057"/>
        <v>0</v>
      </c>
      <c r="L1175" s="250">
        <f t="shared" si="1058"/>
        <v>0</v>
      </c>
      <c r="M1175" s="265" t="str">
        <f t="shared" si="1067"/>
        <v>-</v>
      </c>
      <c r="N1175" s="264" t="str">
        <f t="shared" si="1068"/>
        <v>-</v>
      </c>
      <c r="O1175" s="519">
        <v>41.992699999999999</v>
      </c>
      <c r="P1175" s="410">
        <f t="shared" si="1059"/>
        <v>0</v>
      </c>
      <c r="Q1175" s="459">
        <f t="shared" si="1060"/>
        <v>0</v>
      </c>
    </row>
    <row r="1176" spans="1:17" ht="24" thickBot="1" x14ac:dyDescent="0.45">
      <c r="A1176" s="248"/>
      <c r="B1176" s="559" t="s">
        <v>83</v>
      </c>
      <c r="C1176" s="556" t="s">
        <v>84</v>
      </c>
      <c r="D1176" s="279"/>
      <c r="E1176" s="442"/>
      <c r="F1176" s="339">
        <f t="shared" si="1061"/>
        <v>3370</v>
      </c>
      <c r="G1176" s="281">
        <v>3200</v>
      </c>
      <c r="H1176" s="281">
        <v>170</v>
      </c>
      <c r="I1176" s="358" t="str">
        <f>IFERROR(F1176/#REF!,"-")</f>
        <v>-</v>
      </c>
      <c r="J1176" s="339">
        <f t="shared" si="1062"/>
        <v>17329</v>
      </c>
      <c r="K1176" s="281">
        <f t="shared" si="1057"/>
        <v>16541</v>
      </c>
      <c r="L1176" s="250">
        <f t="shared" si="1058"/>
        <v>788</v>
      </c>
      <c r="M1176" s="265" t="str">
        <f t="shared" si="1067"/>
        <v>-</v>
      </c>
      <c r="N1176" s="264">
        <f t="shared" si="1068"/>
        <v>4.5472906688210517E-2</v>
      </c>
      <c r="O1176" s="519">
        <v>4.3535000000000004</v>
      </c>
      <c r="P1176" s="410">
        <f t="shared" si="1059"/>
        <v>13931.2</v>
      </c>
      <c r="Q1176" s="459">
        <f t="shared" si="1060"/>
        <v>72011.243500000011</v>
      </c>
    </row>
    <row r="1177" spans="1:17" ht="23.4" x14ac:dyDescent="0.4">
      <c r="A1177" s="248"/>
      <c r="B1177" s="979" t="s">
        <v>280</v>
      </c>
      <c r="C1177" s="556" t="s">
        <v>80</v>
      </c>
      <c r="D1177" s="279"/>
      <c r="E1177" s="442"/>
      <c r="F1177" s="339">
        <f t="shared" si="1061"/>
        <v>0</v>
      </c>
      <c r="G1177" s="281">
        <v>0</v>
      </c>
      <c r="H1177" s="281">
        <v>0</v>
      </c>
      <c r="I1177" s="358" t="str">
        <f>IFERROR(F1177/#REF!,"-")</f>
        <v>-</v>
      </c>
      <c r="J1177" s="339">
        <f t="shared" si="1062"/>
        <v>0</v>
      </c>
      <c r="K1177" s="281">
        <f t="shared" si="1057"/>
        <v>0</v>
      </c>
      <c r="L1177" s="250">
        <f t="shared" si="1058"/>
        <v>0</v>
      </c>
      <c r="M1177" s="265" t="str">
        <f t="shared" si="1067"/>
        <v>-</v>
      </c>
      <c r="N1177" s="264" t="str">
        <f t="shared" si="1068"/>
        <v>-</v>
      </c>
      <c r="O1177" s="519">
        <v>4.6184000000000003</v>
      </c>
      <c r="P1177" s="410">
        <f t="shared" si="1059"/>
        <v>0</v>
      </c>
      <c r="Q1177" s="459">
        <f t="shared" si="1060"/>
        <v>0</v>
      </c>
    </row>
    <row r="1178" spans="1:17" ht="23.4" x14ac:dyDescent="0.4">
      <c r="A1178" s="248"/>
      <c r="B1178" s="980"/>
      <c r="C1178" s="556" t="s">
        <v>407</v>
      </c>
      <c r="D1178" s="279"/>
      <c r="E1178" s="442"/>
      <c r="F1178" s="339">
        <f t="shared" si="1061"/>
        <v>0</v>
      </c>
      <c r="G1178" s="281">
        <v>0</v>
      </c>
      <c r="H1178" s="281">
        <v>0</v>
      </c>
      <c r="I1178" s="358" t="str">
        <f>IFERROR(F1178/#REF!,"-")</f>
        <v>-</v>
      </c>
      <c r="J1178" s="339">
        <f t="shared" si="1062"/>
        <v>146140</v>
      </c>
      <c r="K1178" s="281">
        <f t="shared" si="1057"/>
        <v>144842</v>
      </c>
      <c r="L1178" s="250">
        <f t="shared" si="1058"/>
        <v>1298</v>
      </c>
      <c r="M1178" s="265" t="str">
        <f t="shared" si="1067"/>
        <v>-</v>
      </c>
      <c r="N1178" s="264">
        <f t="shared" si="1068"/>
        <v>8.8818940741754483E-3</v>
      </c>
      <c r="O1178" s="519">
        <v>4.6184000000000003</v>
      </c>
      <c r="P1178" s="410">
        <f t="shared" si="1059"/>
        <v>0</v>
      </c>
      <c r="Q1178" s="459">
        <f t="shared" si="1060"/>
        <v>668938.29280000005</v>
      </c>
    </row>
    <row r="1179" spans="1:17" ht="23.4" x14ac:dyDescent="0.4">
      <c r="A1179" s="248"/>
      <c r="B1179" s="980"/>
      <c r="C1179" s="556" t="s">
        <v>279</v>
      </c>
      <c r="D1179" s="279"/>
      <c r="E1179" s="442"/>
      <c r="F1179" s="339">
        <f t="shared" si="1061"/>
        <v>0</v>
      </c>
      <c r="G1179" s="281">
        <v>0</v>
      </c>
      <c r="H1179" s="281">
        <v>0</v>
      </c>
      <c r="I1179" s="358" t="str">
        <f>IFERROR(F1179/#REF!,"-")</f>
        <v>-</v>
      </c>
      <c r="J1179" s="339">
        <f t="shared" si="1062"/>
        <v>0</v>
      </c>
      <c r="K1179" s="281">
        <f t="shared" si="1057"/>
        <v>0</v>
      </c>
      <c r="L1179" s="250">
        <f t="shared" si="1058"/>
        <v>0</v>
      </c>
      <c r="M1179" s="265" t="str">
        <f t="shared" si="1067"/>
        <v>-</v>
      </c>
      <c r="N1179" s="264" t="str">
        <f t="shared" si="1068"/>
        <v>-</v>
      </c>
      <c r="O1179" s="519">
        <v>4.6184000000000003</v>
      </c>
      <c r="P1179" s="410">
        <f t="shared" si="1059"/>
        <v>0</v>
      </c>
      <c r="Q1179" s="459">
        <f t="shared" si="1060"/>
        <v>0</v>
      </c>
    </row>
    <row r="1180" spans="1:17" ht="23.4" x14ac:dyDescent="0.4">
      <c r="A1180" s="248"/>
      <c r="B1180" s="980"/>
      <c r="C1180" s="556" t="s">
        <v>440</v>
      </c>
      <c r="D1180" s="279"/>
      <c r="E1180" s="442"/>
      <c r="F1180" s="339">
        <f t="shared" si="1061"/>
        <v>33181</v>
      </c>
      <c r="G1180" s="281">
        <v>33000</v>
      </c>
      <c r="H1180" s="281">
        <v>181</v>
      </c>
      <c r="I1180" s="358" t="str">
        <f>IFERROR(F1180/#REF!,"-")</f>
        <v>-</v>
      </c>
      <c r="J1180" s="339">
        <f t="shared" si="1062"/>
        <v>302919</v>
      </c>
      <c r="K1180" s="281">
        <f t="shared" si="1057"/>
        <v>299900</v>
      </c>
      <c r="L1180" s="250">
        <f t="shared" si="1058"/>
        <v>3019</v>
      </c>
      <c r="M1180" s="265" t="str">
        <f t="shared" si="1067"/>
        <v>-</v>
      </c>
      <c r="N1180" s="264">
        <f t="shared" si="1068"/>
        <v>9.9663606442646387E-3</v>
      </c>
      <c r="O1180" s="519">
        <v>4.7636000000000003</v>
      </c>
      <c r="P1180" s="410">
        <f t="shared" si="1059"/>
        <v>157198.80000000002</v>
      </c>
      <c r="Q1180" s="459">
        <f t="shared" si="1060"/>
        <v>1428603.6400000001</v>
      </c>
    </row>
    <row r="1181" spans="1:17" ht="24" thickBot="1" x14ac:dyDescent="0.45">
      <c r="A1181" s="248"/>
      <c r="B1181" s="981"/>
      <c r="C1181" s="556" t="s">
        <v>429</v>
      </c>
      <c r="D1181" s="279"/>
      <c r="E1181" s="442"/>
      <c r="F1181" s="339">
        <f t="shared" si="1061"/>
        <v>0</v>
      </c>
      <c r="G1181" s="281">
        <v>0</v>
      </c>
      <c r="H1181" s="281">
        <v>0</v>
      </c>
      <c r="I1181" s="358" t="str">
        <f>IFERROR(F1181/#REF!,"-")</f>
        <v>-</v>
      </c>
      <c r="J1181" s="339">
        <f t="shared" si="1062"/>
        <v>12296</v>
      </c>
      <c r="K1181" s="281">
        <f t="shared" si="1057"/>
        <v>12100</v>
      </c>
      <c r="L1181" s="250">
        <f t="shared" si="1058"/>
        <v>196</v>
      </c>
      <c r="M1181" s="265" t="str">
        <f t="shared" si="1067"/>
        <v>-</v>
      </c>
      <c r="N1181" s="264">
        <f t="shared" si="1068"/>
        <v>1.594014313597918E-2</v>
      </c>
      <c r="O1181" s="519">
        <v>4.8738000000000001</v>
      </c>
      <c r="P1181" s="410">
        <f t="shared" si="1059"/>
        <v>0</v>
      </c>
      <c r="Q1181" s="459">
        <f t="shared" si="1060"/>
        <v>58972.98</v>
      </c>
    </row>
    <row r="1182" spans="1:17" ht="24" thickBot="1" x14ac:dyDescent="0.45">
      <c r="A1182" s="248"/>
      <c r="B1182" s="559" t="s">
        <v>281</v>
      </c>
      <c r="C1182" s="556" t="s">
        <v>132</v>
      </c>
      <c r="D1182" s="279"/>
      <c r="E1182" s="442"/>
      <c r="F1182" s="339">
        <f t="shared" si="1061"/>
        <v>0</v>
      </c>
      <c r="G1182" s="281">
        <v>0</v>
      </c>
      <c r="H1182" s="281">
        <v>0</v>
      </c>
      <c r="I1182" s="358" t="str">
        <f>IFERROR(F1182/#REF!,"-")</f>
        <v>-</v>
      </c>
      <c r="J1182" s="339">
        <f t="shared" si="1062"/>
        <v>0</v>
      </c>
      <c r="K1182" s="281">
        <f t="shared" si="1057"/>
        <v>0</v>
      </c>
      <c r="L1182" s="250">
        <f t="shared" si="1058"/>
        <v>0</v>
      </c>
      <c r="M1182" s="265" t="str">
        <f t="shared" si="1067"/>
        <v>-</v>
      </c>
      <c r="N1182" s="264" t="str">
        <f t="shared" si="1068"/>
        <v>-</v>
      </c>
      <c r="O1182" s="519">
        <v>4.8738000000000001</v>
      </c>
      <c r="P1182" s="410">
        <f t="shared" si="1059"/>
        <v>0</v>
      </c>
      <c r="Q1182" s="459">
        <f t="shared" si="1060"/>
        <v>0</v>
      </c>
    </row>
    <row r="1183" spans="1:17" ht="23.4" x14ac:dyDescent="0.4">
      <c r="A1183" s="248"/>
      <c r="B1183" s="979" t="s">
        <v>283</v>
      </c>
      <c r="C1183" s="556" t="s">
        <v>80</v>
      </c>
      <c r="D1183" s="279"/>
      <c r="E1183" s="442"/>
      <c r="F1183" s="339">
        <f t="shared" si="1061"/>
        <v>21597</v>
      </c>
      <c r="G1183" s="281">
        <v>21300</v>
      </c>
      <c r="H1183" s="281">
        <v>297</v>
      </c>
      <c r="I1183" s="358" t="str">
        <f>IFERROR(F1183/#REF!,"-")</f>
        <v>-</v>
      </c>
      <c r="J1183" s="339">
        <f t="shared" si="1062"/>
        <v>483034</v>
      </c>
      <c r="K1183" s="281">
        <f t="shared" si="1057"/>
        <v>474000</v>
      </c>
      <c r="L1183" s="281">
        <f t="shared" si="1058"/>
        <v>9034</v>
      </c>
      <c r="M1183" s="265" t="str">
        <f t="shared" si="1067"/>
        <v>-</v>
      </c>
      <c r="N1183" s="264">
        <f t="shared" si="1068"/>
        <v>1.870261720707031E-2</v>
      </c>
      <c r="O1183" s="519">
        <v>4.9344999999999999</v>
      </c>
      <c r="P1183" s="410">
        <f t="shared" si="1059"/>
        <v>105104.84999999999</v>
      </c>
      <c r="Q1183" s="459">
        <f t="shared" si="1060"/>
        <v>2338953</v>
      </c>
    </row>
    <row r="1184" spans="1:17" ht="23.4" x14ac:dyDescent="0.4">
      <c r="A1184" s="248"/>
      <c r="B1184" s="980"/>
      <c r="C1184" s="556" t="s">
        <v>143</v>
      </c>
      <c r="D1184" s="279"/>
      <c r="E1184" s="442"/>
      <c r="F1184" s="339">
        <f t="shared" si="1061"/>
        <v>0</v>
      </c>
      <c r="G1184" s="281">
        <v>0</v>
      </c>
      <c r="H1184" s="281">
        <v>0</v>
      </c>
      <c r="I1184" s="358" t="str">
        <f>IFERROR(F1184/#REF!,"-")</f>
        <v>-</v>
      </c>
      <c r="J1184" s="339">
        <f t="shared" si="1062"/>
        <v>0</v>
      </c>
      <c r="K1184" s="281">
        <f t="shared" si="1057"/>
        <v>0</v>
      </c>
      <c r="L1184" s="250">
        <f t="shared" si="1058"/>
        <v>0</v>
      </c>
      <c r="M1184" s="265" t="str">
        <f t="shared" si="1067"/>
        <v>-</v>
      </c>
      <c r="N1184" s="264" t="str">
        <f t="shared" si="1068"/>
        <v>-</v>
      </c>
      <c r="O1184" s="519">
        <v>4.9344999999999999</v>
      </c>
      <c r="P1184" s="410">
        <f t="shared" si="1059"/>
        <v>0</v>
      </c>
      <c r="Q1184" s="459">
        <f t="shared" si="1060"/>
        <v>0</v>
      </c>
    </row>
    <row r="1185" spans="1:17" ht="23.4" x14ac:dyDescent="0.4">
      <c r="A1185" s="248"/>
      <c r="B1185" s="980"/>
      <c r="C1185" s="556" t="s">
        <v>137</v>
      </c>
      <c r="D1185" s="279"/>
      <c r="E1185" s="442"/>
      <c r="F1185" s="339">
        <f t="shared" si="1061"/>
        <v>0</v>
      </c>
      <c r="G1185" s="281">
        <v>0</v>
      </c>
      <c r="H1185" s="281">
        <v>0</v>
      </c>
      <c r="I1185" s="358" t="str">
        <f>IFERROR(F1185/#REF!,"-")</f>
        <v>-</v>
      </c>
      <c r="J1185" s="339">
        <f t="shared" si="1062"/>
        <v>0</v>
      </c>
      <c r="K1185" s="281">
        <f t="shared" si="1057"/>
        <v>0</v>
      </c>
      <c r="L1185" s="250">
        <f t="shared" si="1058"/>
        <v>0</v>
      </c>
      <c r="M1185" s="265" t="str">
        <f t="shared" si="1067"/>
        <v>-</v>
      </c>
      <c r="N1185" s="264" t="str">
        <f t="shared" si="1068"/>
        <v>-</v>
      </c>
      <c r="O1185" s="519">
        <v>4.9344999999999999</v>
      </c>
      <c r="P1185" s="410">
        <f t="shared" si="1059"/>
        <v>0</v>
      </c>
      <c r="Q1185" s="459">
        <f t="shared" si="1060"/>
        <v>0</v>
      </c>
    </row>
    <row r="1186" spans="1:17" ht="24" thickBot="1" x14ac:dyDescent="0.45">
      <c r="A1186" s="248"/>
      <c r="B1186" s="981"/>
      <c r="C1186" s="556" t="s">
        <v>282</v>
      </c>
      <c r="D1186" s="279"/>
      <c r="E1186" s="442"/>
      <c r="F1186" s="339">
        <f t="shared" si="1061"/>
        <v>0</v>
      </c>
      <c r="G1186" s="281">
        <v>0</v>
      </c>
      <c r="H1186" s="281">
        <v>0</v>
      </c>
      <c r="I1186" s="358" t="str">
        <f>IFERROR(F1186/#REF!,"-")</f>
        <v>-</v>
      </c>
      <c r="J1186" s="339">
        <f t="shared" si="1062"/>
        <v>0</v>
      </c>
      <c r="K1186" s="281">
        <f t="shared" si="1057"/>
        <v>0</v>
      </c>
      <c r="L1186" s="250">
        <f t="shared" si="1058"/>
        <v>0</v>
      </c>
      <c r="M1186" s="265" t="str">
        <f t="shared" si="1067"/>
        <v>-</v>
      </c>
      <c r="N1186" s="264" t="str">
        <f t="shared" si="1068"/>
        <v>-</v>
      </c>
      <c r="O1186" s="519">
        <v>5.5069999999999997</v>
      </c>
      <c r="P1186" s="410">
        <f t="shared" si="1059"/>
        <v>0</v>
      </c>
      <c r="Q1186" s="459">
        <f t="shared" si="1060"/>
        <v>0</v>
      </c>
    </row>
    <row r="1187" spans="1:17" ht="23.4" x14ac:dyDescent="0.4">
      <c r="A1187" s="248"/>
      <c r="B1187" s="979" t="s">
        <v>288</v>
      </c>
      <c r="C1187" s="556" t="s">
        <v>284</v>
      </c>
      <c r="D1187" s="279"/>
      <c r="E1187" s="442"/>
      <c r="F1187" s="339">
        <f t="shared" si="1061"/>
        <v>0</v>
      </c>
      <c r="G1187" s="281">
        <v>0</v>
      </c>
      <c r="H1187" s="281">
        <v>0</v>
      </c>
      <c r="I1187" s="358" t="str">
        <f>IFERROR(F1187/#REF!,"-")</f>
        <v>-</v>
      </c>
      <c r="J1187" s="339">
        <f t="shared" si="1062"/>
        <v>0</v>
      </c>
      <c r="K1187" s="281">
        <f t="shared" si="1057"/>
        <v>0</v>
      </c>
      <c r="L1187" s="250">
        <f t="shared" si="1058"/>
        <v>0</v>
      </c>
      <c r="M1187" s="265" t="str">
        <f t="shared" si="1067"/>
        <v>-</v>
      </c>
      <c r="N1187" s="264" t="str">
        <f t="shared" si="1068"/>
        <v>-</v>
      </c>
      <c r="O1187" s="519">
        <v>5.6550000000000002</v>
      </c>
      <c r="P1187" s="410">
        <f t="shared" si="1059"/>
        <v>0</v>
      </c>
      <c r="Q1187" s="459">
        <f t="shared" si="1060"/>
        <v>0</v>
      </c>
    </row>
    <row r="1188" spans="1:17" ht="23.4" x14ac:dyDescent="0.4">
      <c r="A1188" s="248"/>
      <c r="B1188" s="980"/>
      <c r="C1188" s="556" t="s">
        <v>285</v>
      </c>
      <c r="D1188" s="279"/>
      <c r="E1188" s="442"/>
      <c r="F1188" s="339">
        <f t="shared" si="1061"/>
        <v>0</v>
      </c>
      <c r="G1188" s="281">
        <v>0</v>
      </c>
      <c r="H1188" s="281">
        <v>0</v>
      </c>
      <c r="I1188" s="358" t="str">
        <f>IFERROR(F1188/#REF!,"-")</f>
        <v>-</v>
      </c>
      <c r="J1188" s="339">
        <f t="shared" si="1062"/>
        <v>0</v>
      </c>
      <c r="K1188" s="281">
        <f t="shared" si="1057"/>
        <v>0</v>
      </c>
      <c r="L1188" s="250">
        <f t="shared" si="1058"/>
        <v>0</v>
      </c>
      <c r="M1188" s="265" t="str">
        <f t="shared" si="1067"/>
        <v>-</v>
      </c>
      <c r="N1188" s="264" t="str">
        <f t="shared" si="1068"/>
        <v>-</v>
      </c>
      <c r="O1188" s="519">
        <v>5.6550000000000002</v>
      </c>
      <c r="P1188" s="410">
        <f t="shared" si="1059"/>
        <v>0</v>
      </c>
      <c r="Q1188" s="459">
        <f t="shared" si="1060"/>
        <v>0</v>
      </c>
    </row>
    <row r="1189" spans="1:17" ht="23.4" x14ac:dyDescent="0.4">
      <c r="A1189" s="248"/>
      <c r="B1189" s="980"/>
      <c r="C1189" s="556" t="s">
        <v>374</v>
      </c>
      <c r="D1189" s="279"/>
      <c r="E1189" s="442"/>
      <c r="F1189" s="339">
        <f t="shared" si="1061"/>
        <v>37772</v>
      </c>
      <c r="G1189" s="281">
        <v>36900</v>
      </c>
      <c r="H1189" s="281">
        <v>872</v>
      </c>
      <c r="I1189" s="358" t="str">
        <f>IFERROR(F1189/#REF!,"-")</f>
        <v>-</v>
      </c>
      <c r="J1189" s="339">
        <f t="shared" si="1062"/>
        <v>518338</v>
      </c>
      <c r="K1189" s="281">
        <f t="shared" si="1057"/>
        <v>505850</v>
      </c>
      <c r="L1189" s="250">
        <f t="shared" si="1058"/>
        <v>12488</v>
      </c>
      <c r="M1189" s="265" t="str">
        <f t="shared" si="1067"/>
        <v>-</v>
      </c>
      <c r="N1189" s="264">
        <f t="shared" si="1068"/>
        <v>2.40923875926519E-2</v>
      </c>
      <c r="O1189" s="519">
        <v>5.6550000000000002</v>
      </c>
      <c r="P1189" s="410">
        <f t="shared" si="1059"/>
        <v>208669.5</v>
      </c>
      <c r="Q1189" s="459">
        <f t="shared" si="1060"/>
        <v>2860581.75</v>
      </c>
    </row>
    <row r="1190" spans="1:17" ht="23.4" x14ac:dyDescent="0.4">
      <c r="A1190" s="248"/>
      <c r="B1190" s="980"/>
      <c r="C1190" s="556" t="s">
        <v>286</v>
      </c>
      <c r="D1190" s="279"/>
      <c r="E1190" s="442"/>
      <c r="F1190" s="339">
        <f t="shared" si="1061"/>
        <v>0</v>
      </c>
      <c r="G1190" s="281">
        <v>0</v>
      </c>
      <c r="H1190" s="281">
        <v>0</v>
      </c>
      <c r="I1190" s="358" t="str">
        <f>IFERROR(F1190/#REF!,"-")</f>
        <v>-</v>
      </c>
      <c r="J1190" s="339">
        <f t="shared" si="1062"/>
        <v>0</v>
      </c>
      <c r="K1190" s="281">
        <f t="shared" si="1057"/>
        <v>0</v>
      </c>
      <c r="L1190" s="250">
        <f t="shared" si="1058"/>
        <v>0</v>
      </c>
      <c r="M1190" s="265" t="str">
        <f t="shared" si="1067"/>
        <v>-</v>
      </c>
      <c r="N1190" s="264" t="str">
        <f t="shared" si="1068"/>
        <v>-</v>
      </c>
      <c r="O1190" s="519">
        <v>5.6550000000000002</v>
      </c>
      <c r="P1190" s="410">
        <f t="shared" si="1059"/>
        <v>0</v>
      </c>
      <c r="Q1190" s="459">
        <f t="shared" si="1060"/>
        <v>0</v>
      </c>
    </row>
    <row r="1191" spans="1:17" ht="23.4" x14ac:dyDescent="0.4">
      <c r="A1191" s="248" t="s">
        <v>109</v>
      </c>
      <c r="B1191" s="980"/>
      <c r="C1191" s="556" t="s">
        <v>287</v>
      </c>
      <c r="D1191" s="279"/>
      <c r="E1191" s="442"/>
      <c r="F1191" s="339">
        <f t="shared" si="1061"/>
        <v>0</v>
      </c>
      <c r="G1191" s="281">
        <v>0</v>
      </c>
      <c r="H1191" s="281">
        <v>0</v>
      </c>
      <c r="I1191" s="358" t="str">
        <f>IFERROR(F1191/#REF!,"-")</f>
        <v>-</v>
      </c>
      <c r="J1191" s="339">
        <f t="shared" si="1062"/>
        <v>0</v>
      </c>
      <c r="K1191" s="281">
        <f t="shared" si="1057"/>
        <v>0</v>
      </c>
      <c r="L1191" s="250">
        <f t="shared" si="1058"/>
        <v>0</v>
      </c>
      <c r="M1191" s="265" t="str">
        <f t="shared" si="1067"/>
        <v>-</v>
      </c>
      <c r="N1191" s="264" t="str">
        <f t="shared" si="1068"/>
        <v>-</v>
      </c>
      <c r="O1191" s="519">
        <v>3.2963</v>
      </c>
      <c r="P1191" s="410">
        <f t="shared" si="1059"/>
        <v>0</v>
      </c>
      <c r="Q1191" s="459">
        <f t="shared" si="1060"/>
        <v>0</v>
      </c>
    </row>
    <row r="1192" spans="1:17" ht="24" thickBot="1" x14ac:dyDescent="0.45">
      <c r="A1192" s="248" t="s">
        <v>109</v>
      </c>
      <c r="B1192" s="981"/>
      <c r="C1192" s="556" t="s">
        <v>282</v>
      </c>
      <c r="D1192" s="279"/>
      <c r="E1192" s="442"/>
      <c r="F1192" s="339">
        <f t="shared" si="1061"/>
        <v>0</v>
      </c>
      <c r="G1192" s="281">
        <v>0</v>
      </c>
      <c r="H1192" s="281">
        <v>0</v>
      </c>
      <c r="I1192" s="358" t="str">
        <f>IFERROR(F1192/#REF!,"-")</f>
        <v>-</v>
      </c>
      <c r="J1192" s="339">
        <f t="shared" si="1062"/>
        <v>0</v>
      </c>
      <c r="K1192" s="281">
        <f t="shared" si="1057"/>
        <v>0</v>
      </c>
      <c r="L1192" s="250">
        <f t="shared" si="1058"/>
        <v>0</v>
      </c>
      <c r="M1192" s="265" t="str">
        <f t="shared" si="1067"/>
        <v>-</v>
      </c>
      <c r="N1192" s="264" t="str">
        <f t="shared" si="1068"/>
        <v>-</v>
      </c>
      <c r="O1192" s="519">
        <v>3.2963</v>
      </c>
      <c r="P1192" s="410">
        <f t="shared" si="1059"/>
        <v>0</v>
      </c>
      <c r="Q1192" s="459">
        <f t="shared" si="1060"/>
        <v>0</v>
      </c>
    </row>
    <row r="1193" spans="1:17" ht="23.4" x14ac:dyDescent="0.4">
      <c r="A1193" s="248" t="s">
        <v>109</v>
      </c>
      <c r="B1193" s="560"/>
      <c r="C1193" s="557" t="s">
        <v>92</v>
      </c>
      <c r="D1193" s="523"/>
      <c r="E1193" s="442"/>
      <c r="F1193" s="339">
        <f t="shared" si="1061"/>
        <v>76671</v>
      </c>
      <c r="G1193" s="281">
        <v>76661</v>
      </c>
      <c r="H1193" s="281">
        <v>10</v>
      </c>
      <c r="I1193" s="358" t="str">
        <f>IFERROR(F1193/#REF!,"-")</f>
        <v>-</v>
      </c>
      <c r="J1193" s="339">
        <f t="shared" si="1062"/>
        <v>142201</v>
      </c>
      <c r="K1193" s="281">
        <f t="shared" si="1057"/>
        <v>142161</v>
      </c>
      <c r="L1193" s="250">
        <f t="shared" si="1058"/>
        <v>40</v>
      </c>
      <c r="M1193" s="265" t="str">
        <f t="shared" si="1067"/>
        <v>-</v>
      </c>
      <c r="N1193" s="264">
        <f t="shared" si="1068"/>
        <v>2.8129197403675081E-4</v>
      </c>
      <c r="O1193" s="519">
        <v>2.3201000000000001</v>
      </c>
      <c r="P1193" s="410">
        <f t="shared" si="1059"/>
        <v>177861.18609999999</v>
      </c>
      <c r="Q1193" s="459">
        <f t="shared" si="1060"/>
        <v>329827.73609999998</v>
      </c>
    </row>
    <row r="1194" spans="1:17" ht="24" thickBot="1" x14ac:dyDescent="0.35">
      <c r="A1194" s="248" t="s">
        <v>109</v>
      </c>
      <c r="B1194" s="537"/>
      <c r="C1194" s="554"/>
      <c r="D1194" s="543"/>
      <c r="E1194" s="473"/>
      <c r="F1194" s="471">
        <f t="shared" si="1061"/>
        <v>0</v>
      </c>
      <c r="G1194" s="472"/>
      <c r="H1194" s="472"/>
      <c r="I1194" s="545" t="str">
        <f>IFERROR(F1194/#REF!,"-")</f>
        <v>-</v>
      </c>
      <c r="J1194" s="471">
        <f t="shared" si="1062"/>
        <v>0</v>
      </c>
      <c r="K1194" s="472">
        <f t="shared" si="1057"/>
        <v>0</v>
      </c>
      <c r="L1194" s="257">
        <f t="shared" si="1058"/>
        <v>0</v>
      </c>
      <c r="M1194" s="267" t="str">
        <f t="shared" si="1067"/>
        <v>-</v>
      </c>
      <c r="N1194" s="266" t="str">
        <f t="shared" si="1068"/>
        <v>-</v>
      </c>
      <c r="O1194" s="552"/>
      <c r="P1194" s="549">
        <f t="shared" si="1059"/>
        <v>0</v>
      </c>
      <c r="Q1194" s="550">
        <f t="shared" si="1060"/>
        <v>0</v>
      </c>
    </row>
    <row r="1195" spans="1:17" ht="24" thickBot="1" x14ac:dyDescent="0.35">
      <c r="A1195" s="277" t="s">
        <v>109</v>
      </c>
      <c r="B1195" s="982" t="s">
        <v>25</v>
      </c>
      <c r="C1195" s="983"/>
      <c r="D1195" s="525">
        <f t="shared" ref="D1195" si="1069">SUM(D1170:D1194)</f>
        <v>0</v>
      </c>
      <c r="E1195" s="539">
        <v>100000</v>
      </c>
      <c r="F1195" s="525">
        <f>SUM(F1170:F1194)</f>
        <v>182059</v>
      </c>
      <c r="G1195" s="531">
        <f t="shared" ref="G1195:H1195" si="1070">SUM(G1170:G1194)</f>
        <v>180361</v>
      </c>
      <c r="H1195" s="531">
        <f t="shared" si="1070"/>
        <v>1698</v>
      </c>
      <c r="I1195" s="532" t="str">
        <f>IFERROR(F1195/#REF!,"-")</f>
        <v>-</v>
      </c>
      <c r="J1195" s="525">
        <f t="shared" ref="J1195" si="1071">SUM(J1170:J1194)</f>
        <v>1690632</v>
      </c>
      <c r="K1195" s="531">
        <f>SUM(K1165:K1194)</f>
        <v>1744150</v>
      </c>
      <c r="L1195" s="533">
        <f t="shared" ref="L1195" si="1072">SUM(L1170:L1194)</f>
        <v>30517</v>
      </c>
      <c r="M1195" s="534" t="str">
        <f t="shared" si="1067"/>
        <v>-</v>
      </c>
      <c r="N1195" s="532">
        <f t="shared" si="1068"/>
        <v>1.8050646148895799E-2</v>
      </c>
      <c r="O1195" s="535"/>
      <c r="P1195" s="536">
        <f>SUM(P1165:P1194)</f>
        <v>1044641.7761000001</v>
      </c>
      <c r="Q1195" s="536">
        <f>SUM(Q1165:Q1194)</f>
        <v>13706276.3956</v>
      </c>
    </row>
    <row r="1196" spans="1:17" ht="24" thickBot="1" x14ac:dyDescent="0.35">
      <c r="A1196" s="324" t="s">
        <v>109</v>
      </c>
      <c r="B1196" s="984" t="s">
        <v>276</v>
      </c>
      <c r="C1196" s="927"/>
      <c r="D1196" s="332">
        <f>+D1169+D1195</f>
        <v>0</v>
      </c>
      <c r="E1196" s="333">
        <f>+E1169+E1195</f>
        <v>100000</v>
      </c>
      <c r="F1196" s="332">
        <f>+F1169+F1195</f>
        <v>182059</v>
      </c>
      <c r="G1196" s="330">
        <f>+G1169+G1195</f>
        <v>180361</v>
      </c>
      <c r="H1196" s="330">
        <f>+H1169+H1195</f>
        <v>1698</v>
      </c>
      <c r="I1196" s="355" t="str">
        <f>IFERROR(F1196/#REF!,"-")</f>
        <v>-</v>
      </c>
      <c r="J1196" s="332">
        <f>+J1169+J1195</f>
        <v>1695982</v>
      </c>
      <c r="K1196" s="330">
        <f>K1195</f>
        <v>1744150</v>
      </c>
      <c r="L1196" s="331">
        <f>+L1169+L1195</f>
        <v>31717</v>
      </c>
      <c r="M1196" s="347" t="str">
        <f t="shared" si="1067"/>
        <v>-</v>
      </c>
      <c r="N1196" s="355">
        <f t="shared" si="1068"/>
        <v>1.870125980110638E-2</v>
      </c>
      <c r="O1196" s="400"/>
      <c r="P1196" s="416">
        <f>+P1169+P1195</f>
        <v>1044641.7761000001</v>
      </c>
      <c r="Q1196" s="434">
        <f>Q1195</f>
        <v>13706276.3956</v>
      </c>
    </row>
    <row r="1197" spans="1:17" ht="24.6" thickBot="1" x14ac:dyDescent="0.35">
      <c r="A1197" s="325"/>
      <c r="B1197" s="915" t="s">
        <v>183</v>
      </c>
      <c r="C1197" s="916"/>
      <c r="D1197" s="380">
        <f>+D1196+D1164+D1155</f>
        <v>0</v>
      </c>
      <c r="E1197" s="380">
        <f>+E1196+E1164+E1155</f>
        <v>230000</v>
      </c>
      <c r="F1197" s="380">
        <f>+F1196+F1164+F1155</f>
        <v>299933</v>
      </c>
      <c r="G1197" s="380">
        <f>+G1196+G1164+G1155</f>
        <v>292001</v>
      </c>
      <c r="H1197" s="380">
        <f>+H1196+H1164+H1155</f>
        <v>7932</v>
      </c>
      <c r="I1197" s="381" t="str">
        <f>IFERROR(F1197/#REF!,"-")</f>
        <v>-</v>
      </c>
      <c r="J1197" s="380">
        <f>+J1196+J1164+J1155</f>
        <v>5832033</v>
      </c>
      <c r="K1197" s="380">
        <f>+K1196+K1164+K1155</f>
        <v>5734084</v>
      </c>
      <c r="L1197" s="380">
        <f>+L1196+L1164+L1155</f>
        <v>161554</v>
      </c>
      <c r="M1197" s="381" t="str">
        <f t="shared" si="1067"/>
        <v>-</v>
      </c>
      <c r="N1197" s="381">
        <f>IFERROR(L1197/J1197,"-")</f>
        <v>2.7701146409836844E-2</v>
      </c>
      <c r="O1197" s="407"/>
      <c r="P1197" s="424">
        <f>+P1196+P1164+P1155</f>
        <v>1949285.3321000002</v>
      </c>
      <c r="Q1197" s="424">
        <f>+Q1196+Q1164+Q1155</f>
        <v>35713257.388000004</v>
      </c>
    </row>
    <row r="1198" spans="1:17" ht="23.4" x14ac:dyDescent="0.3">
      <c r="A1198" s="935" t="s">
        <v>1</v>
      </c>
      <c r="B1198" s="938" t="s">
        <v>2</v>
      </c>
      <c r="C1198" s="941" t="s">
        <v>3</v>
      </c>
      <c r="D1198" s="944" t="s">
        <v>4</v>
      </c>
      <c r="E1198" s="945"/>
      <c r="F1198" s="945"/>
      <c r="G1198" s="945"/>
      <c r="H1198" s="945"/>
      <c r="I1198" s="945"/>
      <c r="J1198" s="945"/>
      <c r="K1198" s="945"/>
      <c r="L1198" s="945"/>
      <c r="M1198" s="945"/>
      <c r="N1198" s="946"/>
      <c r="O1198" s="965" t="s">
        <v>176</v>
      </c>
      <c r="P1198" s="966"/>
      <c r="Q1198" s="990"/>
    </row>
    <row r="1199" spans="1:17" ht="23.4" x14ac:dyDescent="0.3">
      <c r="A1199" s="936"/>
      <c r="B1199" s="939"/>
      <c r="C1199" s="942"/>
      <c r="D1199" s="947" t="s">
        <v>7</v>
      </c>
      <c r="E1199" s="949" t="s">
        <v>116</v>
      </c>
      <c r="F1199" s="991" t="s">
        <v>490</v>
      </c>
      <c r="G1199" s="952"/>
      <c r="H1199" s="952"/>
      <c r="I1199" s="953"/>
      <c r="J1199" s="954" t="s">
        <v>8</v>
      </c>
      <c r="K1199" s="955"/>
      <c r="L1199" s="956"/>
      <c r="M1199" s="957" t="s">
        <v>174</v>
      </c>
      <c r="N1199" s="959" t="s">
        <v>173</v>
      </c>
      <c r="O1199" s="967" t="s">
        <v>178</v>
      </c>
      <c r="P1199" s="968"/>
      <c r="Q1199" s="969"/>
    </row>
    <row r="1200" spans="1:17" ht="47.4" thickBot="1" x14ac:dyDescent="0.35">
      <c r="A1200" s="937"/>
      <c r="B1200" s="940"/>
      <c r="C1200" s="943"/>
      <c r="D1200" s="948"/>
      <c r="E1200" s="950"/>
      <c r="F1200" s="462" t="s">
        <v>13</v>
      </c>
      <c r="G1200" s="463" t="s">
        <v>14</v>
      </c>
      <c r="H1200" s="463" t="s">
        <v>15</v>
      </c>
      <c r="I1200" s="464" t="s">
        <v>175</v>
      </c>
      <c r="J1200" s="462" t="s">
        <v>13</v>
      </c>
      <c r="K1200" s="463" t="s">
        <v>14</v>
      </c>
      <c r="L1200" s="465" t="s">
        <v>15</v>
      </c>
      <c r="M1200" s="958"/>
      <c r="N1200" s="960"/>
      <c r="O1200" s="453" t="s">
        <v>179</v>
      </c>
      <c r="P1200" s="454" t="s">
        <v>11</v>
      </c>
      <c r="Q1200" s="455" t="s">
        <v>12</v>
      </c>
    </row>
    <row r="1201" spans="1:17" ht="23.4" x14ac:dyDescent="0.3">
      <c r="A1201" s="271" t="s">
        <v>111</v>
      </c>
      <c r="B1201" s="445"/>
      <c r="C1201" s="272" t="s">
        <v>272</v>
      </c>
      <c r="D1201" s="273"/>
      <c r="E1201" s="274"/>
      <c r="F1201" s="338">
        <f>+G1201+H1201</f>
        <v>0</v>
      </c>
      <c r="G1201" s="275">
        <v>0</v>
      </c>
      <c r="H1201" s="275">
        <v>0</v>
      </c>
      <c r="I1201" s="357" t="str">
        <f>IFERROR(F1201/#REF!,"-")</f>
        <v>-</v>
      </c>
      <c r="J1201" s="468">
        <f>+K1201+L1201</f>
        <v>1240450</v>
      </c>
      <c r="K1201" s="469">
        <f>+G1201+K1141</f>
        <v>1165360</v>
      </c>
      <c r="L1201" s="469">
        <f>+H1201+L1141</f>
        <v>75090</v>
      </c>
      <c r="M1201" s="342" t="str">
        <f>IFERROR(J1201/D1201,"-")</f>
        <v>-</v>
      </c>
      <c r="N1201" s="349">
        <f t="shared" ref="N1201:N1202" si="1073">IFERROR(L1201/J1201,"-")</f>
        <v>6.0534483453585392E-2</v>
      </c>
      <c r="O1201" s="518">
        <v>1.5669</v>
      </c>
      <c r="P1201" s="408">
        <f>+O1201*G1201</f>
        <v>0</v>
      </c>
      <c r="Q1201" s="457">
        <f>+O1201*K1201</f>
        <v>1826002.584</v>
      </c>
    </row>
    <row r="1202" spans="1:17" ht="23.4" x14ac:dyDescent="0.3">
      <c r="A1202" s="277" t="s">
        <v>111</v>
      </c>
      <c r="B1202" s="444"/>
      <c r="C1202" s="278" t="s">
        <v>271</v>
      </c>
      <c r="D1202" s="279"/>
      <c r="E1202" s="280"/>
      <c r="F1202" s="339">
        <f t="shared" ref="F1202:F1205" si="1074">+G1202+H1202</f>
        <v>33298</v>
      </c>
      <c r="G1202" s="281">
        <v>33250</v>
      </c>
      <c r="H1202" s="281">
        <v>48</v>
      </c>
      <c r="I1202" s="358" t="str">
        <f>IFERROR(F1202/#REF!,"-")</f>
        <v>-</v>
      </c>
      <c r="J1202" s="339">
        <f t="shared" ref="J1202:J1205" si="1075">+K1202+L1202</f>
        <v>59846</v>
      </c>
      <c r="K1202" s="281">
        <f t="shared" ref="K1202:K1205" si="1076">+G1202+K1142</f>
        <v>59750</v>
      </c>
      <c r="L1202" s="442">
        <f t="shared" ref="L1202:L1205" si="1077">+H1202+L1142</f>
        <v>96</v>
      </c>
      <c r="M1202" s="343" t="str">
        <f t="shared" ref="M1202:M1205" si="1078">IFERROR(J1202/D1202,"-")</f>
        <v>-</v>
      </c>
      <c r="N1202" s="268">
        <f t="shared" si="1073"/>
        <v>1.6041172342345354E-3</v>
      </c>
      <c r="O1202" s="895">
        <v>2.3978999999999999</v>
      </c>
      <c r="P1202" s="410">
        <f t="shared" ref="P1202:P1205" si="1079">+O1202*G1202</f>
        <v>79730.175000000003</v>
      </c>
      <c r="Q1202" s="459">
        <f t="shared" ref="Q1202:Q1205" si="1080">+O1202*K1202</f>
        <v>143274.52499999999</v>
      </c>
    </row>
    <row r="1203" spans="1:17" ht="23.4" x14ac:dyDescent="0.3">
      <c r="A1203" s="277" t="s">
        <v>111</v>
      </c>
      <c r="B1203" s="444"/>
      <c r="C1203" s="278" t="s">
        <v>488</v>
      </c>
      <c r="D1203" s="279"/>
      <c r="E1203" s="280"/>
      <c r="F1203" s="339">
        <f t="shared" si="1074"/>
        <v>0</v>
      </c>
      <c r="G1203" s="281">
        <v>0</v>
      </c>
      <c r="H1203" s="281">
        <v>0</v>
      </c>
      <c r="I1203" s="358" t="str">
        <f>IFERROR(F1203/#REF!,"-")</f>
        <v>-</v>
      </c>
      <c r="J1203" s="339">
        <f t="shared" si="1075"/>
        <v>0</v>
      </c>
      <c r="K1203" s="281">
        <f t="shared" si="1076"/>
        <v>0</v>
      </c>
      <c r="L1203" s="251">
        <f t="shared" si="1077"/>
        <v>0</v>
      </c>
      <c r="M1203" s="343" t="str">
        <f t="shared" si="1078"/>
        <v>-</v>
      </c>
      <c r="N1203" s="268" t="str">
        <f>IFERROR(L1203/J1203,"-")</f>
        <v>-</v>
      </c>
      <c r="O1203" s="520">
        <v>4.6797000000000004</v>
      </c>
      <c r="P1203" s="410">
        <f t="shared" si="1079"/>
        <v>0</v>
      </c>
      <c r="Q1203" s="459">
        <f t="shared" si="1080"/>
        <v>0</v>
      </c>
    </row>
    <row r="1204" spans="1:17" ht="23.4" x14ac:dyDescent="0.3">
      <c r="A1204" s="277"/>
      <c r="B1204" s="461"/>
      <c r="C1204" s="278" t="s">
        <v>372</v>
      </c>
      <c r="D1204" s="283"/>
      <c r="E1204" s="284"/>
      <c r="F1204" s="339">
        <f t="shared" si="1074"/>
        <v>17822</v>
      </c>
      <c r="G1204" s="285">
        <v>17400</v>
      </c>
      <c r="H1204" s="285">
        <v>422</v>
      </c>
      <c r="I1204" s="358" t="str">
        <f>IFERROR(F1204/#REF!,"-")</f>
        <v>-</v>
      </c>
      <c r="J1204" s="339">
        <f t="shared" si="1075"/>
        <v>830692</v>
      </c>
      <c r="K1204" s="281">
        <f t="shared" si="1076"/>
        <v>806600</v>
      </c>
      <c r="L1204" s="286">
        <f t="shared" si="1077"/>
        <v>24092</v>
      </c>
      <c r="M1204" s="343" t="str">
        <f t="shared" si="1078"/>
        <v>-</v>
      </c>
      <c r="N1204" s="268">
        <f>IFERROR(L1204/J1204,"-")</f>
        <v>2.9002325771766192E-2</v>
      </c>
      <c r="O1204" s="520">
        <v>12.284700000000001</v>
      </c>
      <c r="P1204" s="410">
        <f t="shared" si="1079"/>
        <v>213753.78000000003</v>
      </c>
      <c r="Q1204" s="459">
        <f t="shared" si="1080"/>
        <v>9908839.0200000014</v>
      </c>
    </row>
    <row r="1205" spans="1:17" ht="24" thickBot="1" x14ac:dyDescent="0.35">
      <c r="A1205" s="277" t="s">
        <v>111</v>
      </c>
      <c r="B1205" s="461"/>
      <c r="C1205" s="278" t="s">
        <v>487</v>
      </c>
      <c r="D1205" s="283"/>
      <c r="E1205" s="284"/>
      <c r="F1205" s="340">
        <f t="shared" si="1074"/>
        <v>30652</v>
      </c>
      <c r="G1205" s="285">
        <v>30000</v>
      </c>
      <c r="H1205" s="285">
        <v>652</v>
      </c>
      <c r="I1205" s="359" t="str">
        <f>IFERROR(F1205/#REF!,"-")</f>
        <v>-</v>
      </c>
      <c r="J1205" s="471">
        <f t="shared" si="1075"/>
        <v>248191</v>
      </c>
      <c r="K1205" s="472">
        <f t="shared" si="1076"/>
        <v>243750</v>
      </c>
      <c r="L1205" s="258">
        <f t="shared" si="1077"/>
        <v>4441</v>
      </c>
      <c r="M1205" s="344" t="str">
        <f t="shared" si="1078"/>
        <v>-</v>
      </c>
      <c r="N1205" s="350">
        <f t="shared" ref="N1205:N1217" si="1081">IFERROR(L1205/J1205,"-")</f>
        <v>1.7893477201026627E-2</v>
      </c>
      <c r="O1205" s="520">
        <v>4.6797000000000004</v>
      </c>
      <c r="P1205" s="411">
        <f t="shared" si="1079"/>
        <v>140391</v>
      </c>
      <c r="Q1205" s="460">
        <f t="shared" si="1080"/>
        <v>1140676.875</v>
      </c>
    </row>
    <row r="1206" spans="1:17" ht="24" thickBot="1" x14ac:dyDescent="0.35">
      <c r="A1206" s="277" t="s">
        <v>111</v>
      </c>
      <c r="B1206" s="906" t="s">
        <v>21</v>
      </c>
      <c r="C1206" s="907"/>
      <c r="D1206" s="326">
        <f>SUM(D1201:D1205)</f>
        <v>0</v>
      </c>
      <c r="E1206" s="289">
        <v>15000</v>
      </c>
      <c r="F1206" s="326">
        <f>SUM(F1201:F1205)</f>
        <v>81772</v>
      </c>
      <c r="G1206" s="327">
        <f>SUM(G1201:G1205)</f>
        <v>80650</v>
      </c>
      <c r="H1206" s="327">
        <f>SUM(H1201:H1205)</f>
        <v>1122</v>
      </c>
      <c r="I1206" s="351" t="str">
        <f>IFERROR(F1206/#REF!,"-")</f>
        <v>-</v>
      </c>
      <c r="J1206" s="326">
        <f>SUM(J1201:J1205)</f>
        <v>2379179</v>
      </c>
      <c r="K1206" s="327">
        <f>SUM(K1201:K1205)</f>
        <v>2275460</v>
      </c>
      <c r="L1206" s="328">
        <f>SUM(L1201:L1205)</f>
        <v>103719</v>
      </c>
      <c r="M1206" s="345" t="str">
        <f>IFERROR(J1206/D1206,"-")</f>
        <v>-</v>
      </c>
      <c r="N1206" s="351">
        <f t="shared" si="1081"/>
        <v>4.35944500182626E-2</v>
      </c>
      <c r="O1206" s="397"/>
      <c r="P1206" s="412">
        <f>SUM(P1201:P1205)</f>
        <v>433874.95500000002</v>
      </c>
      <c r="Q1206" s="431">
        <f>SUM(Q1201:Q1205)</f>
        <v>13018793.004000001</v>
      </c>
    </row>
    <row r="1207" spans="1:17" ht="23.4" x14ac:dyDescent="0.3">
      <c r="A1207" s="277" t="s">
        <v>111</v>
      </c>
      <c r="B1207" s="445"/>
      <c r="C1207" s="272" t="s">
        <v>270</v>
      </c>
      <c r="D1207" s="273"/>
      <c r="E1207" s="274"/>
      <c r="F1207" s="338">
        <f t="shared" ref="F1207:F1213" si="1082">+G1207+H1207</f>
        <v>0</v>
      </c>
      <c r="G1207" s="275">
        <v>0</v>
      </c>
      <c r="H1207" s="275">
        <v>0</v>
      </c>
      <c r="I1207" s="357" t="str">
        <f>IFERROR(F1207/#REF!,"-")</f>
        <v>-</v>
      </c>
      <c r="J1207" s="338">
        <f t="shared" ref="J1207:J1213" si="1083">+K1207+L1207</f>
        <v>81080</v>
      </c>
      <c r="K1207" s="275">
        <f t="shared" ref="K1207:K1213" si="1084">+G1207+K1147</f>
        <v>74874</v>
      </c>
      <c r="L1207" s="276">
        <f t="shared" ref="L1207:L1213" si="1085">+H1207+L1147</f>
        <v>6206</v>
      </c>
      <c r="M1207" s="342" t="str">
        <f t="shared" ref="M1207:M1215" si="1086">IFERROR(J1207/D1207,"-")</f>
        <v>-</v>
      </c>
      <c r="N1207" s="352">
        <f t="shared" si="1081"/>
        <v>7.6541687222496296E-2</v>
      </c>
      <c r="O1207" s="518">
        <v>18.2316</v>
      </c>
      <c r="P1207" s="408">
        <f t="shared" ref="P1207:P1213" si="1087">+O1207*G1207</f>
        <v>0</v>
      </c>
      <c r="Q1207" s="457">
        <f t="shared" ref="Q1207:Q1213" si="1088">+O1207*K1207</f>
        <v>1365072.8184</v>
      </c>
    </row>
    <row r="1208" spans="1:17" ht="23.4" x14ac:dyDescent="0.3">
      <c r="A1208" s="277" t="s">
        <v>111</v>
      </c>
      <c r="B1208" s="444"/>
      <c r="C1208" s="278" t="s">
        <v>92</v>
      </c>
      <c r="D1208" s="279"/>
      <c r="E1208" s="280"/>
      <c r="F1208" s="339">
        <f t="shared" si="1082"/>
        <v>60000</v>
      </c>
      <c r="G1208" s="281">
        <v>60000</v>
      </c>
      <c r="H1208" s="281">
        <v>0</v>
      </c>
      <c r="I1208" s="358" t="str">
        <f>IFERROR(F1208/#REF!,"-")</f>
        <v>-</v>
      </c>
      <c r="J1208" s="339">
        <f t="shared" si="1083"/>
        <v>480000</v>
      </c>
      <c r="K1208" s="281">
        <f t="shared" si="1084"/>
        <v>480000</v>
      </c>
      <c r="L1208" s="251">
        <f t="shared" si="1085"/>
        <v>0</v>
      </c>
      <c r="M1208" s="343" t="str">
        <f t="shared" si="1086"/>
        <v>-</v>
      </c>
      <c r="N1208" s="264">
        <f t="shared" si="1081"/>
        <v>0</v>
      </c>
      <c r="O1208" s="519">
        <v>1.2824</v>
      </c>
      <c r="P1208" s="410">
        <f t="shared" si="1087"/>
        <v>76944</v>
      </c>
      <c r="Q1208" s="459">
        <f t="shared" si="1088"/>
        <v>615552</v>
      </c>
    </row>
    <row r="1209" spans="1:17" ht="23.4" x14ac:dyDescent="0.3">
      <c r="A1209" s="277" t="s">
        <v>111</v>
      </c>
      <c r="B1209" s="444"/>
      <c r="C1209" s="278" t="s">
        <v>340</v>
      </c>
      <c r="D1209" s="279"/>
      <c r="E1209" s="280"/>
      <c r="F1209" s="339">
        <f t="shared" si="1082"/>
        <v>0</v>
      </c>
      <c r="G1209" s="281">
        <v>0</v>
      </c>
      <c r="H1209" s="281">
        <v>0</v>
      </c>
      <c r="I1209" s="358" t="str">
        <f>IFERROR(F1209/#REF!,"-")</f>
        <v>-</v>
      </c>
      <c r="J1209" s="339">
        <f t="shared" si="1083"/>
        <v>0</v>
      </c>
      <c r="K1209" s="281">
        <f t="shared" si="1084"/>
        <v>0</v>
      </c>
      <c r="L1209" s="251">
        <f t="shared" si="1085"/>
        <v>0</v>
      </c>
      <c r="M1209" s="343" t="str">
        <f t="shared" si="1086"/>
        <v>-</v>
      </c>
      <c r="N1209" s="264" t="str">
        <f t="shared" si="1081"/>
        <v>-</v>
      </c>
      <c r="O1209" s="519">
        <v>5.7342000000000004</v>
      </c>
      <c r="P1209" s="410">
        <f t="shared" si="1087"/>
        <v>0</v>
      </c>
      <c r="Q1209" s="459">
        <f t="shared" si="1088"/>
        <v>0</v>
      </c>
    </row>
    <row r="1210" spans="1:17" ht="23.4" x14ac:dyDescent="0.3">
      <c r="A1210" s="277" t="s">
        <v>111</v>
      </c>
      <c r="B1210" s="444"/>
      <c r="C1210" s="278" t="s">
        <v>363</v>
      </c>
      <c r="D1210" s="279"/>
      <c r="E1210" s="280"/>
      <c r="F1210" s="339">
        <f t="shared" si="1082"/>
        <v>0</v>
      </c>
      <c r="G1210" s="281">
        <v>0</v>
      </c>
      <c r="H1210" s="281">
        <v>0</v>
      </c>
      <c r="I1210" s="358" t="str">
        <f>IFERROR(F1210/#REF!,"-")</f>
        <v>-</v>
      </c>
      <c r="J1210" s="339">
        <f t="shared" si="1083"/>
        <v>0</v>
      </c>
      <c r="K1210" s="281">
        <f t="shared" si="1084"/>
        <v>0</v>
      </c>
      <c r="L1210" s="251">
        <f t="shared" si="1085"/>
        <v>0</v>
      </c>
      <c r="M1210" s="343" t="str">
        <f t="shared" si="1086"/>
        <v>-</v>
      </c>
      <c r="N1210" s="264" t="str">
        <f t="shared" si="1081"/>
        <v>-</v>
      </c>
      <c r="O1210" s="519"/>
      <c r="P1210" s="410">
        <f t="shared" si="1087"/>
        <v>0</v>
      </c>
      <c r="Q1210" s="459">
        <f t="shared" si="1088"/>
        <v>0</v>
      </c>
    </row>
    <row r="1211" spans="1:17" ht="23.4" x14ac:dyDescent="0.3">
      <c r="A1211" s="277" t="s">
        <v>111</v>
      </c>
      <c r="B1211" s="444"/>
      <c r="C1211" s="278" t="s">
        <v>373</v>
      </c>
      <c r="D1211" s="279"/>
      <c r="E1211" s="280"/>
      <c r="F1211" s="339">
        <f t="shared" si="1082"/>
        <v>9084</v>
      </c>
      <c r="G1211" s="281">
        <v>9000</v>
      </c>
      <c r="H1211" s="281">
        <v>84</v>
      </c>
      <c r="I1211" s="358" t="str">
        <f>IFERROR(F1211/#REF!,"-")</f>
        <v>-</v>
      </c>
      <c r="J1211" s="339">
        <f t="shared" si="1083"/>
        <v>425856</v>
      </c>
      <c r="K1211" s="281">
        <f t="shared" si="1084"/>
        <v>424000</v>
      </c>
      <c r="L1211" s="251">
        <f t="shared" si="1085"/>
        <v>1856</v>
      </c>
      <c r="M1211" s="343" t="str">
        <f t="shared" si="1086"/>
        <v>-</v>
      </c>
      <c r="N1211" s="264">
        <f t="shared" si="1081"/>
        <v>4.3582807333934475E-3</v>
      </c>
      <c r="O1211" s="519">
        <v>12.029500000000001</v>
      </c>
      <c r="P1211" s="410">
        <f t="shared" si="1087"/>
        <v>108265.5</v>
      </c>
      <c r="Q1211" s="459">
        <f t="shared" si="1088"/>
        <v>5100508</v>
      </c>
    </row>
    <row r="1212" spans="1:17" ht="23.4" x14ac:dyDescent="0.3">
      <c r="A1212" s="277" t="s">
        <v>111</v>
      </c>
      <c r="B1212" s="444"/>
      <c r="C1212" s="278"/>
      <c r="D1212" s="279"/>
      <c r="E1212" s="280"/>
      <c r="F1212" s="339">
        <f t="shared" si="1082"/>
        <v>0</v>
      </c>
      <c r="G1212" s="281">
        <v>0</v>
      </c>
      <c r="H1212" s="281">
        <v>0</v>
      </c>
      <c r="I1212" s="358" t="str">
        <f>IFERROR(F1212/#REF!,"-")</f>
        <v>-</v>
      </c>
      <c r="J1212" s="339">
        <f t="shared" si="1083"/>
        <v>0</v>
      </c>
      <c r="K1212" s="281">
        <f t="shared" si="1084"/>
        <v>0</v>
      </c>
      <c r="L1212" s="251">
        <f t="shared" si="1085"/>
        <v>0</v>
      </c>
      <c r="M1212" s="343" t="str">
        <f t="shared" si="1086"/>
        <v>-</v>
      </c>
      <c r="N1212" s="264" t="str">
        <f t="shared" si="1081"/>
        <v>-</v>
      </c>
      <c r="O1212" s="519"/>
      <c r="P1212" s="410">
        <f t="shared" si="1087"/>
        <v>0</v>
      </c>
      <c r="Q1212" s="459">
        <f t="shared" si="1088"/>
        <v>0</v>
      </c>
    </row>
    <row r="1213" spans="1:17" ht="24" thickBot="1" x14ac:dyDescent="0.35">
      <c r="A1213" s="277" t="s">
        <v>111</v>
      </c>
      <c r="B1213" s="461"/>
      <c r="C1213" s="282"/>
      <c r="D1213" s="283">
        <v>0</v>
      </c>
      <c r="E1213" s="284"/>
      <c r="F1213" s="340">
        <f t="shared" si="1082"/>
        <v>0</v>
      </c>
      <c r="G1213" s="285">
        <v>0</v>
      </c>
      <c r="H1213" s="285">
        <v>0</v>
      </c>
      <c r="I1213" s="359" t="str">
        <f>IFERROR(F1213/#REF!,"-")</f>
        <v>-</v>
      </c>
      <c r="J1213" s="340">
        <f t="shared" si="1083"/>
        <v>0</v>
      </c>
      <c r="K1213" s="285">
        <f t="shared" si="1084"/>
        <v>0</v>
      </c>
      <c r="L1213" s="286">
        <f t="shared" si="1085"/>
        <v>0</v>
      </c>
      <c r="M1213" s="344" t="str">
        <f t="shared" si="1086"/>
        <v>-</v>
      </c>
      <c r="N1213" s="353" t="str">
        <f t="shared" si="1081"/>
        <v>-</v>
      </c>
      <c r="O1213" s="520"/>
      <c r="P1213" s="411">
        <f t="shared" si="1087"/>
        <v>0</v>
      </c>
      <c r="Q1213" s="460">
        <f t="shared" si="1088"/>
        <v>0</v>
      </c>
    </row>
    <row r="1214" spans="1:17" ht="24" thickBot="1" x14ac:dyDescent="0.35">
      <c r="A1214" s="277" t="s">
        <v>111</v>
      </c>
      <c r="B1214" s="906" t="s">
        <v>25</v>
      </c>
      <c r="C1214" s="907"/>
      <c r="D1214" s="326">
        <f t="shared" ref="D1214" si="1089">SUM(D1207:D1213)</f>
        <v>0</v>
      </c>
      <c r="E1214" s="289">
        <v>100000</v>
      </c>
      <c r="F1214" s="326">
        <f>SUM(F1207:F1213)</f>
        <v>69084</v>
      </c>
      <c r="G1214" s="327">
        <f t="shared" ref="G1214:H1214" si="1090">SUM(G1207:G1213)</f>
        <v>69000</v>
      </c>
      <c r="H1214" s="327">
        <f t="shared" si="1090"/>
        <v>84</v>
      </c>
      <c r="I1214" s="351" t="str">
        <f>IFERROR(F1214/#REF!,"-")</f>
        <v>-</v>
      </c>
      <c r="J1214" s="326">
        <f t="shared" ref="J1214:L1214" si="1091">SUM(J1207:J1213)</f>
        <v>986936</v>
      </c>
      <c r="K1214" s="327">
        <f t="shared" si="1091"/>
        <v>978874</v>
      </c>
      <c r="L1214" s="328">
        <f t="shared" si="1091"/>
        <v>8062</v>
      </c>
      <c r="M1214" s="345" t="str">
        <f t="shared" si="1086"/>
        <v>-</v>
      </c>
      <c r="N1214" s="351">
        <f t="shared" si="1081"/>
        <v>8.1687161072247841E-3</v>
      </c>
      <c r="O1214" s="397"/>
      <c r="P1214" s="412">
        <f t="shared" ref="P1214:Q1214" si="1092">SUM(P1207:P1213)</f>
        <v>185209.5</v>
      </c>
      <c r="Q1214" s="431">
        <f t="shared" si="1092"/>
        <v>7081132.8184000002</v>
      </c>
    </row>
    <row r="1215" spans="1:17" ht="24" thickBot="1" x14ac:dyDescent="0.35">
      <c r="A1215" s="277" t="s">
        <v>111</v>
      </c>
      <c r="B1215" s="985" t="s">
        <v>181</v>
      </c>
      <c r="C1215" s="986"/>
      <c r="D1215" s="332">
        <f>+D1206+D1214</f>
        <v>0</v>
      </c>
      <c r="E1215" s="333">
        <f t="shared" ref="E1215:H1215" si="1093">+E1206+E1214</f>
        <v>115000</v>
      </c>
      <c r="F1215" s="332">
        <f t="shared" si="1093"/>
        <v>150856</v>
      </c>
      <c r="G1215" s="330">
        <f t="shared" si="1093"/>
        <v>149650</v>
      </c>
      <c r="H1215" s="330">
        <f t="shared" si="1093"/>
        <v>1206</v>
      </c>
      <c r="I1215" s="355" t="str">
        <f>IFERROR(F1215/#REF!,"-")</f>
        <v>-</v>
      </c>
      <c r="J1215" s="332">
        <f t="shared" ref="J1215:L1215" si="1094">+J1206+J1214</f>
        <v>3366115</v>
      </c>
      <c r="K1215" s="330">
        <f t="shared" si="1094"/>
        <v>3254334</v>
      </c>
      <c r="L1215" s="331">
        <f t="shared" si="1094"/>
        <v>111781</v>
      </c>
      <c r="M1215" s="347" t="str">
        <f t="shared" si="1086"/>
        <v>-</v>
      </c>
      <c r="N1215" s="355">
        <f t="shared" si="1081"/>
        <v>3.3207718690537902E-2</v>
      </c>
      <c r="O1215" s="400"/>
      <c r="P1215" s="416">
        <f t="shared" ref="P1215:Q1215" si="1095">+P1206+P1214</f>
        <v>619084.45500000007</v>
      </c>
      <c r="Q1215" s="434">
        <f t="shared" si="1095"/>
        <v>20099925.8224</v>
      </c>
    </row>
    <row r="1216" spans="1:17" ht="23.4" x14ac:dyDescent="0.3">
      <c r="A1216" s="244" t="s">
        <v>109</v>
      </c>
      <c r="B1216" s="599"/>
      <c r="C1216" s="600" t="s">
        <v>314</v>
      </c>
      <c r="D1216" s="540"/>
      <c r="E1216" s="470"/>
      <c r="F1216" s="468">
        <f>+G1216+H1216</f>
        <v>0</v>
      </c>
      <c r="G1216" s="469">
        <v>0</v>
      </c>
      <c r="H1216" s="469">
        <v>0</v>
      </c>
      <c r="I1216" s="544" t="str">
        <f>IFERROR(F1216/#REF!,"-")</f>
        <v>-</v>
      </c>
      <c r="J1216" s="468">
        <f>+K1216+L1216</f>
        <v>0</v>
      </c>
      <c r="K1216" s="469">
        <f t="shared" ref="K1216:K1222" si="1096">+G1216+K1156</f>
        <v>0</v>
      </c>
      <c r="L1216" s="247">
        <f t="shared" ref="L1216:L1222" si="1097">+H1216+L1156</f>
        <v>0</v>
      </c>
      <c r="M1216" s="604" t="str">
        <f>IFERROR(J1216/D1216,"-")</f>
        <v>-</v>
      </c>
      <c r="N1216" s="546" t="str">
        <f t="shared" si="1081"/>
        <v>-</v>
      </c>
      <c r="O1216" s="648">
        <v>4.8285999999999998</v>
      </c>
      <c r="P1216" s="547">
        <f t="shared" ref="P1216:P1222" si="1098">+O1216*G1216</f>
        <v>0</v>
      </c>
      <c r="Q1216" s="548">
        <f>+O1216*K1216</f>
        <v>0</v>
      </c>
    </row>
    <row r="1217" spans="1:17" ht="23.4" x14ac:dyDescent="0.3">
      <c r="A1217" s="248" t="s">
        <v>109</v>
      </c>
      <c r="B1217" s="601"/>
      <c r="C1217" s="278" t="s">
        <v>315</v>
      </c>
      <c r="D1217" s="279"/>
      <c r="E1217" s="442"/>
      <c r="F1217" s="339">
        <f t="shared" ref="F1217:F1222" si="1099">+G1217+H1217</f>
        <v>0</v>
      </c>
      <c r="G1217" s="281">
        <v>0</v>
      </c>
      <c r="H1217" s="281">
        <v>0</v>
      </c>
      <c r="I1217" s="358" t="str">
        <f>IFERROR(F1217/#REF!,"-")</f>
        <v>-</v>
      </c>
      <c r="J1217" s="339">
        <f t="shared" ref="J1217:J1222" si="1100">+K1217+L1217</f>
        <v>0</v>
      </c>
      <c r="K1217" s="281">
        <f t="shared" si="1096"/>
        <v>0</v>
      </c>
      <c r="L1217" s="251">
        <f t="shared" si="1097"/>
        <v>0</v>
      </c>
      <c r="M1217" s="343" t="str">
        <f t="shared" ref="M1217:M1219" si="1101">IFERROR(J1217/D1217,"-")</f>
        <v>-</v>
      </c>
      <c r="N1217" s="268" t="str">
        <f t="shared" si="1081"/>
        <v>-</v>
      </c>
      <c r="O1217" s="649">
        <v>1.4086000000000001</v>
      </c>
      <c r="P1217" s="410">
        <f t="shared" si="1098"/>
        <v>0</v>
      </c>
      <c r="Q1217" s="459">
        <f t="shared" ref="Q1217:Q1222" si="1102">+O1217*K1217</f>
        <v>0</v>
      </c>
    </row>
    <row r="1218" spans="1:17" ht="23.4" x14ac:dyDescent="0.3">
      <c r="A1218" s="248" t="s">
        <v>109</v>
      </c>
      <c r="B1218" s="601"/>
      <c r="C1218" s="278" t="s">
        <v>367</v>
      </c>
      <c r="D1218" s="279"/>
      <c r="E1218" s="442"/>
      <c r="F1218" s="339">
        <f t="shared" si="1099"/>
        <v>0</v>
      </c>
      <c r="G1218" s="281">
        <v>0</v>
      </c>
      <c r="H1218" s="281">
        <v>0</v>
      </c>
      <c r="I1218" s="358" t="str">
        <f>IFERROR(F1218/#REF!,"-")</f>
        <v>-</v>
      </c>
      <c r="J1218" s="339">
        <f t="shared" si="1100"/>
        <v>573613</v>
      </c>
      <c r="K1218" s="281">
        <f t="shared" si="1096"/>
        <v>566000</v>
      </c>
      <c r="L1218" s="251">
        <f t="shared" si="1097"/>
        <v>7613</v>
      </c>
      <c r="M1218" s="343" t="str">
        <f t="shared" si="1101"/>
        <v>-</v>
      </c>
      <c r="N1218" s="268">
        <f>IFERROR(L1218/J1218,"-")</f>
        <v>1.3272014406925924E-2</v>
      </c>
      <c r="O1218" s="649">
        <v>2.2141000000000002</v>
      </c>
      <c r="P1218" s="410">
        <f t="shared" si="1098"/>
        <v>0</v>
      </c>
      <c r="Q1218" s="459">
        <f t="shared" si="1102"/>
        <v>1253180.6000000001</v>
      </c>
    </row>
    <row r="1219" spans="1:17" ht="23.4" x14ac:dyDescent="0.3">
      <c r="A1219" s="248" t="s">
        <v>109</v>
      </c>
      <c r="B1219" s="602"/>
      <c r="C1219" s="278" t="s">
        <v>436</v>
      </c>
      <c r="D1219" s="283"/>
      <c r="E1219" s="541"/>
      <c r="F1219" s="340">
        <f t="shared" si="1099"/>
        <v>0</v>
      </c>
      <c r="G1219" s="285">
        <v>0</v>
      </c>
      <c r="H1219" s="285">
        <v>0</v>
      </c>
      <c r="I1219" s="359" t="str">
        <f>IFERROR(F1219/#REF!,"-")</f>
        <v>-</v>
      </c>
      <c r="J1219" s="339">
        <f t="shared" si="1100"/>
        <v>40882</v>
      </c>
      <c r="K1219" s="285">
        <f t="shared" si="1096"/>
        <v>40000</v>
      </c>
      <c r="L1219" s="286">
        <f t="shared" si="1097"/>
        <v>882</v>
      </c>
      <c r="M1219" s="344" t="str">
        <f t="shared" si="1101"/>
        <v>-</v>
      </c>
      <c r="N1219" s="350">
        <f t="shared" ref="N1219:N1226" si="1103">IFERROR(L1219/J1219,"-")</f>
        <v>2.157428697226163E-2</v>
      </c>
      <c r="O1219" s="650">
        <v>2.4565999999999999</v>
      </c>
      <c r="P1219" s="411">
        <f t="shared" si="1098"/>
        <v>0</v>
      </c>
      <c r="Q1219" s="460">
        <f t="shared" si="1102"/>
        <v>98264</v>
      </c>
    </row>
    <row r="1220" spans="1:17" ht="23.4" x14ac:dyDescent="0.3">
      <c r="A1220" s="248" t="s">
        <v>109</v>
      </c>
      <c r="B1220" s="446"/>
      <c r="C1220" s="647" t="s">
        <v>444</v>
      </c>
      <c r="D1220" s="521"/>
      <c r="E1220" s="542"/>
      <c r="F1220" s="339">
        <f t="shared" si="1099"/>
        <v>0</v>
      </c>
      <c r="G1220" s="561">
        <v>0</v>
      </c>
      <c r="H1220" s="561">
        <v>0</v>
      </c>
      <c r="I1220" s="358" t="str">
        <f>IFERROR(F1220/#REF!,"-")</f>
        <v>-</v>
      </c>
      <c r="J1220" s="339">
        <f t="shared" si="1100"/>
        <v>16280</v>
      </c>
      <c r="K1220" s="285">
        <f t="shared" si="1096"/>
        <v>15000</v>
      </c>
      <c r="L1220" s="286">
        <f t="shared" si="1097"/>
        <v>1280</v>
      </c>
      <c r="M1220" s="522"/>
      <c r="N1220" s="268">
        <f t="shared" si="1103"/>
        <v>7.8624078624078622E-2</v>
      </c>
      <c r="O1220" s="553">
        <v>4.8285999999999998</v>
      </c>
      <c r="P1220" s="410">
        <f t="shared" si="1098"/>
        <v>0</v>
      </c>
      <c r="Q1220" s="459">
        <f t="shared" si="1102"/>
        <v>72429</v>
      </c>
    </row>
    <row r="1221" spans="1:17" ht="23.4" x14ac:dyDescent="0.3">
      <c r="A1221" s="248" t="s">
        <v>109</v>
      </c>
      <c r="B1221" s="603"/>
      <c r="C1221" s="647" t="s">
        <v>439</v>
      </c>
      <c r="D1221" s="273"/>
      <c r="E1221" s="441"/>
      <c r="F1221" s="338">
        <f t="shared" si="1099"/>
        <v>0</v>
      </c>
      <c r="G1221" s="275">
        <v>0</v>
      </c>
      <c r="H1221" s="275">
        <v>0</v>
      </c>
      <c r="I1221" s="357" t="str">
        <f>IFERROR(F1221/#REF!,"-")</f>
        <v>-</v>
      </c>
      <c r="J1221" s="339">
        <f t="shared" si="1100"/>
        <v>273737</v>
      </c>
      <c r="K1221" s="285">
        <f t="shared" si="1096"/>
        <v>264250</v>
      </c>
      <c r="L1221" s="286">
        <f t="shared" si="1097"/>
        <v>9487</v>
      </c>
      <c r="M1221" s="342" t="str">
        <f t="shared" ref="M1221:M1222" si="1104">IFERROR(J1221/D1221,"-")</f>
        <v>-</v>
      </c>
      <c r="N1221" s="352">
        <f t="shared" si="1103"/>
        <v>3.4657353591220769E-2</v>
      </c>
      <c r="O1221" s="518">
        <v>4.1712999999999996</v>
      </c>
      <c r="P1221" s="408">
        <f t="shared" si="1098"/>
        <v>0</v>
      </c>
      <c r="Q1221" s="457">
        <f t="shared" si="1102"/>
        <v>1102266.0249999999</v>
      </c>
    </row>
    <row r="1222" spans="1:17" ht="24" thickBot="1" x14ac:dyDescent="0.35">
      <c r="A1222" s="248" t="s">
        <v>109</v>
      </c>
      <c r="B1222" s="601"/>
      <c r="C1222" s="278"/>
      <c r="D1222" s="279"/>
      <c r="E1222" s="442"/>
      <c r="F1222" s="339">
        <f t="shared" si="1099"/>
        <v>0</v>
      </c>
      <c r="G1222" s="281"/>
      <c r="H1222" s="281"/>
      <c r="I1222" s="358" t="str">
        <f>IFERROR(F1222/#REF!,"-")</f>
        <v>-</v>
      </c>
      <c r="J1222" s="339">
        <f t="shared" si="1100"/>
        <v>0</v>
      </c>
      <c r="K1222" s="281">
        <f t="shared" si="1096"/>
        <v>0</v>
      </c>
      <c r="L1222" s="251">
        <f t="shared" si="1097"/>
        <v>0</v>
      </c>
      <c r="M1222" s="343" t="str">
        <f t="shared" si="1104"/>
        <v>-</v>
      </c>
      <c r="N1222" s="264" t="str">
        <f t="shared" si="1103"/>
        <v>-</v>
      </c>
      <c r="O1222" s="458"/>
      <c r="P1222" s="410">
        <f t="shared" si="1098"/>
        <v>0</v>
      </c>
      <c r="Q1222" s="459">
        <f t="shared" si="1102"/>
        <v>0</v>
      </c>
    </row>
    <row r="1223" spans="1:17" ht="24" thickBot="1" x14ac:dyDescent="0.35">
      <c r="A1223" s="277" t="s">
        <v>109</v>
      </c>
      <c r="B1223" s="987" t="s">
        <v>21</v>
      </c>
      <c r="C1223" s="925"/>
      <c r="D1223" s="326">
        <v>0</v>
      </c>
      <c r="E1223" s="289">
        <v>15000</v>
      </c>
      <c r="F1223" s="326">
        <f>SUM(F1216:F1222)</f>
        <v>0</v>
      </c>
      <c r="G1223" s="327">
        <f t="shared" ref="G1223:H1223" si="1105">SUM(G1216:G1222)</f>
        <v>0</v>
      </c>
      <c r="H1223" s="327">
        <f t="shared" si="1105"/>
        <v>0</v>
      </c>
      <c r="I1223" s="351" t="str">
        <f>IFERROR(F1223/#REF!,"-")</f>
        <v>-</v>
      </c>
      <c r="J1223" s="326">
        <f t="shared" ref="J1223" si="1106">SUM(J1216:J1222)</f>
        <v>904512</v>
      </c>
      <c r="K1223" s="327">
        <f>SUM(K1216:K1222)</f>
        <v>885250</v>
      </c>
      <c r="L1223" s="327">
        <f>SUM(L1216:L1222)</f>
        <v>19262</v>
      </c>
      <c r="M1223" s="345" t="str">
        <f>IFERROR(J1223/D1223,"-")</f>
        <v>-</v>
      </c>
      <c r="N1223" s="351">
        <f t="shared" si="1103"/>
        <v>2.1295460977853252E-2</v>
      </c>
      <c r="O1223" s="397"/>
      <c r="P1223" s="412">
        <f>SUM(P1216:P1222)</f>
        <v>0</v>
      </c>
      <c r="Q1223" s="431">
        <f>SUM(Q1216:Q1222)</f>
        <v>2526139.625</v>
      </c>
    </row>
    <row r="1224" spans="1:17" ht="24" thickBot="1" x14ac:dyDescent="0.35">
      <c r="A1224" s="277" t="s">
        <v>109</v>
      </c>
      <c r="B1224" s="988" t="s">
        <v>275</v>
      </c>
      <c r="C1224" s="989"/>
      <c r="D1224" s="524">
        <f>+D1220+D1223</f>
        <v>0</v>
      </c>
      <c r="E1224" s="538">
        <f>+E1220+E1223</f>
        <v>15000</v>
      </c>
      <c r="F1224" s="524">
        <f>+F1220+F1223</f>
        <v>0</v>
      </c>
      <c r="G1224" s="526">
        <f>+G1220+G1223</f>
        <v>0</v>
      </c>
      <c r="H1224" s="526">
        <f>+H1220+H1223</f>
        <v>0</v>
      </c>
      <c r="I1224" s="527" t="str">
        <f>IFERROR(F1224/#REF!,"-")</f>
        <v>-</v>
      </c>
      <c r="J1224" s="524">
        <f>+J1220+J1223</f>
        <v>920792</v>
      </c>
      <c r="K1224" s="526">
        <f>+K1223</f>
        <v>885250</v>
      </c>
      <c r="L1224" s="526">
        <f>+L1223</f>
        <v>19262</v>
      </c>
      <c r="M1224" s="528" t="str">
        <f t="shared" ref="M1224" si="1107">IFERROR(J1224/D1224,"-")</f>
        <v>-</v>
      </c>
      <c r="N1224" s="527">
        <f t="shared" si="1103"/>
        <v>2.091894803603854E-2</v>
      </c>
      <c r="O1224" s="529"/>
      <c r="P1224" s="530">
        <f>+P1223</f>
        <v>0</v>
      </c>
      <c r="Q1224" s="530">
        <f>+Q1223</f>
        <v>2526139.625</v>
      </c>
    </row>
    <row r="1225" spans="1:17" ht="23.4" x14ac:dyDescent="0.4">
      <c r="A1225" s="244" t="s">
        <v>109</v>
      </c>
      <c r="B1225" s="979" t="s">
        <v>277</v>
      </c>
      <c r="C1225" s="555" t="s">
        <v>74</v>
      </c>
      <c r="D1225" s="540"/>
      <c r="E1225" s="470"/>
      <c r="F1225" s="468">
        <f>+G1225+H1225</f>
        <v>0</v>
      </c>
      <c r="G1225" s="469">
        <v>0</v>
      </c>
      <c r="H1225" s="469">
        <v>0</v>
      </c>
      <c r="I1225" s="544" t="str">
        <f>IFERROR(F1225/#REF!,"-")</f>
        <v>-</v>
      </c>
      <c r="J1225" s="468">
        <f>+K1225+L1225</f>
        <v>61721</v>
      </c>
      <c r="K1225" s="469">
        <f t="shared" ref="K1225:K1254" si="1108">+G1225+K1165</f>
        <v>61660</v>
      </c>
      <c r="L1225" s="246">
        <f t="shared" ref="L1225:L1254" si="1109">+H1225+L1165</f>
        <v>61</v>
      </c>
      <c r="M1225" s="263" t="str">
        <f>IFERROR(J1225/D1225,"-")</f>
        <v>-</v>
      </c>
      <c r="N1225" s="546">
        <f t="shared" si="1103"/>
        <v>9.8831840054438517E-4</v>
      </c>
      <c r="O1225" s="551">
        <v>32.946300000000001</v>
      </c>
      <c r="P1225" s="547">
        <f t="shared" ref="P1225:P1254" si="1110">+O1225*G1225</f>
        <v>0</v>
      </c>
      <c r="Q1225" s="548">
        <f t="shared" ref="Q1225:Q1254" si="1111">+O1225*K1225</f>
        <v>2031468.858</v>
      </c>
    </row>
    <row r="1226" spans="1:17" ht="23.4" x14ac:dyDescent="0.4">
      <c r="A1226" s="248" t="s">
        <v>109</v>
      </c>
      <c r="B1226" s="980"/>
      <c r="C1226" s="556" t="s">
        <v>75</v>
      </c>
      <c r="D1226" s="523"/>
      <c r="E1226" s="442"/>
      <c r="F1226" s="339">
        <f t="shared" ref="F1226:F1254" si="1112">+G1226+H1226</f>
        <v>0</v>
      </c>
      <c r="G1226" s="281">
        <v>0</v>
      </c>
      <c r="H1226" s="281">
        <v>0</v>
      </c>
      <c r="I1226" s="358" t="str">
        <f>IFERROR(F1226/#REF!,"-")</f>
        <v>-</v>
      </c>
      <c r="J1226" s="339">
        <f t="shared" ref="J1226:J1254" si="1113">+K1226+L1226</f>
        <v>0</v>
      </c>
      <c r="K1226" s="281">
        <f t="shared" si="1108"/>
        <v>0</v>
      </c>
      <c r="L1226" s="250">
        <f t="shared" si="1109"/>
        <v>0</v>
      </c>
      <c r="M1226" s="265" t="str">
        <f t="shared" ref="M1226:M1228" si="1114">IFERROR(J1226/D1226,"-")</f>
        <v>-</v>
      </c>
      <c r="N1226" s="268" t="str">
        <f t="shared" si="1103"/>
        <v>-</v>
      </c>
      <c r="O1226" s="519">
        <v>35.398400000000002</v>
      </c>
      <c r="P1226" s="410">
        <f t="shared" si="1110"/>
        <v>0</v>
      </c>
      <c r="Q1226" s="459">
        <f t="shared" si="1111"/>
        <v>0</v>
      </c>
    </row>
    <row r="1227" spans="1:17" ht="24" thickBot="1" x14ac:dyDescent="0.45">
      <c r="A1227" s="248" t="s">
        <v>109</v>
      </c>
      <c r="B1227" s="980"/>
      <c r="C1227" s="556" t="s">
        <v>76</v>
      </c>
      <c r="D1227" s="279"/>
      <c r="E1227" s="442"/>
      <c r="F1227" s="339">
        <f t="shared" si="1112"/>
        <v>0</v>
      </c>
      <c r="G1227" s="281">
        <v>0</v>
      </c>
      <c r="H1227" s="281">
        <v>0</v>
      </c>
      <c r="I1227" s="358" t="str">
        <f>IFERROR(F1227/#REF!,"-")</f>
        <v>-</v>
      </c>
      <c r="J1227" s="339">
        <f t="shared" si="1113"/>
        <v>10000</v>
      </c>
      <c r="K1227" s="281">
        <f t="shared" si="1108"/>
        <v>10000</v>
      </c>
      <c r="L1227" s="250">
        <f t="shared" si="1109"/>
        <v>0</v>
      </c>
      <c r="M1227" s="265" t="str">
        <f t="shared" si="1114"/>
        <v>-</v>
      </c>
      <c r="N1227" s="268">
        <f>IFERROR(L1227/J1227,"-")</f>
        <v>0</v>
      </c>
      <c r="O1227" s="519">
        <v>32.946300000000001</v>
      </c>
      <c r="P1227" s="410">
        <f t="shared" si="1110"/>
        <v>0</v>
      </c>
      <c r="Q1227" s="459">
        <f t="shared" si="1111"/>
        <v>329463</v>
      </c>
    </row>
    <row r="1228" spans="1:17" ht="23.4" x14ac:dyDescent="0.4">
      <c r="A1228" s="248" t="s">
        <v>109</v>
      </c>
      <c r="B1228" s="979" t="s">
        <v>278</v>
      </c>
      <c r="C1228" s="558" t="s">
        <v>78</v>
      </c>
      <c r="D1228" s="279"/>
      <c r="E1228" s="541"/>
      <c r="F1228" s="340">
        <f t="shared" si="1112"/>
        <v>0</v>
      </c>
      <c r="G1228" s="281">
        <v>0</v>
      </c>
      <c r="H1228" s="281">
        <v>0</v>
      </c>
      <c r="I1228" s="358" t="str">
        <f>IFERROR(F1228/#REF!,"-")</f>
        <v>-</v>
      </c>
      <c r="J1228" s="339">
        <f t="shared" si="1113"/>
        <v>9803</v>
      </c>
      <c r="K1228" s="281">
        <f t="shared" si="1108"/>
        <v>8225</v>
      </c>
      <c r="L1228" s="250">
        <f t="shared" si="1109"/>
        <v>1578</v>
      </c>
      <c r="M1228" s="265" t="str">
        <f t="shared" si="1114"/>
        <v>-</v>
      </c>
      <c r="N1228" s="268">
        <f t="shared" ref="N1228" si="1115">IFERROR(L1228/J1228,"-")</f>
        <v>0.16097113128634091</v>
      </c>
      <c r="O1228" s="519">
        <v>55.4758</v>
      </c>
      <c r="P1228" s="410">
        <f t="shared" si="1110"/>
        <v>0</v>
      </c>
      <c r="Q1228" s="459">
        <f t="shared" si="1111"/>
        <v>456288.45500000002</v>
      </c>
    </row>
    <row r="1229" spans="1:17" ht="23.4" x14ac:dyDescent="0.4">
      <c r="A1229" s="248" t="s">
        <v>109</v>
      </c>
      <c r="B1229" s="980"/>
      <c r="C1229" s="558" t="s">
        <v>75</v>
      </c>
      <c r="D1229" s="279"/>
      <c r="E1229" s="542"/>
      <c r="F1229" s="340">
        <f t="shared" si="1112"/>
        <v>0</v>
      </c>
      <c r="G1229" s="281">
        <v>0</v>
      </c>
      <c r="H1229" s="281">
        <v>0</v>
      </c>
      <c r="I1229" s="358" t="str">
        <f>IFERROR(F1229/#REF!,"-")</f>
        <v>-</v>
      </c>
      <c r="J1229" s="339">
        <f t="shared" si="1113"/>
        <v>5350</v>
      </c>
      <c r="K1229" s="281">
        <f t="shared" si="1108"/>
        <v>4150</v>
      </c>
      <c r="L1229" s="250">
        <f t="shared" si="1109"/>
        <v>1200</v>
      </c>
      <c r="M1229" s="522"/>
      <c r="N1229" s="378"/>
      <c r="O1229" s="553">
        <v>58.836300000000001</v>
      </c>
      <c r="P1229" s="410">
        <f t="shared" si="1110"/>
        <v>0</v>
      </c>
      <c r="Q1229" s="459">
        <f t="shared" si="1111"/>
        <v>244170.64500000002</v>
      </c>
    </row>
    <row r="1230" spans="1:17" ht="23.4" x14ac:dyDescent="0.4">
      <c r="A1230" s="248" t="s">
        <v>109</v>
      </c>
      <c r="B1230" s="980"/>
      <c r="C1230" s="558" t="s">
        <v>435</v>
      </c>
      <c r="D1230" s="279"/>
      <c r="E1230" s="441"/>
      <c r="F1230" s="340">
        <f t="shared" si="1112"/>
        <v>0</v>
      </c>
      <c r="G1230" s="281">
        <v>0</v>
      </c>
      <c r="H1230" s="281">
        <v>0</v>
      </c>
      <c r="I1230" s="358" t="str">
        <f>IFERROR(F1230/#REF!,"-")</f>
        <v>-</v>
      </c>
      <c r="J1230" s="339">
        <f t="shared" si="1113"/>
        <v>17944</v>
      </c>
      <c r="K1230" s="281">
        <f t="shared" si="1108"/>
        <v>15500</v>
      </c>
      <c r="L1230" s="250">
        <f t="shared" si="1109"/>
        <v>2444</v>
      </c>
      <c r="M1230" s="265" t="str">
        <f t="shared" ref="M1230" si="1116">IFERROR(J1230/D1230,"-")</f>
        <v>-</v>
      </c>
      <c r="N1230" s="264">
        <f t="shared" ref="N1230" si="1117">IFERROR(L1230/J1230,"-")</f>
        <v>0.13620151582701739</v>
      </c>
      <c r="O1230" s="519">
        <v>55.4758</v>
      </c>
      <c r="P1230" s="410">
        <f t="shared" si="1110"/>
        <v>0</v>
      </c>
      <c r="Q1230" s="459">
        <f t="shared" si="1111"/>
        <v>859874.9</v>
      </c>
    </row>
    <row r="1231" spans="1:17" ht="24" thickBot="1" x14ac:dyDescent="0.45">
      <c r="A1231" s="248"/>
      <c r="B1231" s="981"/>
      <c r="C1231" s="558" t="s">
        <v>471</v>
      </c>
      <c r="D1231" s="279"/>
      <c r="E1231" s="441"/>
      <c r="F1231" s="340">
        <f t="shared" si="1112"/>
        <v>2443</v>
      </c>
      <c r="G1231" s="281">
        <v>2400</v>
      </c>
      <c r="H1231" s="281">
        <v>43</v>
      </c>
      <c r="I1231" s="358"/>
      <c r="J1231" s="339">
        <f t="shared" si="1113"/>
        <v>21571</v>
      </c>
      <c r="K1231" s="281">
        <f t="shared" si="1108"/>
        <v>20540</v>
      </c>
      <c r="L1231" s="250">
        <f t="shared" si="1109"/>
        <v>1031</v>
      </c>
      <c r="M1231" s="265"/>
      <c r="N1231" s="264">
        <f>IFERROR(L1231/J1231,"-")</f>
        <v>4.7795651569236472E-2</v>
      </c>
      <c r="O1231" s="519">
        <v>55.4758</v>
      </c>
      <c r="P1231" s="410">
        <f t="shared" si="1110"/>
        <v>133141.92000000001</v>
      </c>
      <c r="Q1231" s="459">
        <f t="shared" si="1111"/>
        <v>1139472.932</v>
      </c>
    </row>
    <row r="1232" spans="1:17" ht="23.4" x14ac:dyDescent="0.4">
      <c r="A1232" s="248" t="s">
        <v>109</v>
      </c>
      <c r="B1232" s="979" t="s">
        <v>79</v>
      </c>
      <c r="C1232" s="556" t="s">
        <v>80</v>
      </c>
      <c r="D1232" s="279"/>
      <c r="E1232" s="442"/>
      <c r="F1232" s="339">
        <f t="shared" si="1112"/>
        <v>5019</v>
      </c>
      <c r="G1232" s="281">
        <v>5000</v>
      </c>
      <c r="H1232" s="281">
        <v>19</v>
      </c>
      <c r="I1232" s="358" t="str">
        <f>IFERROR(F1232/#REF!,"-")</f>
        <v>-</v>
      </c>
      <c r="J1232" s="339">
        <f t="shared" si="1113"/>
        <v>22620</v>
      </c>
      <c r="K1232" s="281">
        <f t="shared" si="1108"/>
        <v>22441</v>
      </c>
      <c r="L1232" s="250">
        <f t="shared" si="1109"/>
        <v>179</v>
      </c>
      <c r="M1232" s="265" t="str">
        <f t="shared" ref="M1232:M1257" si="1118">IFERROR(J1232/D1232,"-")</f>
        <v>-</v>
      </c>
      <c r="N1232" s="264">
        <f t="shared" ref="N1232:N1256" si="1119">IFERROR(L1232/J1232,"-")</f>
        <v>7.9133510167992919E-3</v>
      </c>
      <c r="O1232" s="519">
        <v>25.687200000000001</v>
      </c>
      <c r="P1232" s="410">
        <f t="shared" si="1110"/>
        <v>128436</v>
      </c>
      <c r="Q1232" s="459">
        <f t="shared" si="1111"/>
        <v>576446.45519999997</v>
      </c>
    </row>
    <row r="1233" spans="1:17" ht="24" thickBot="1" x14ac:dyDescent="0.45">
      <c r="A1233" s="248" t="s">
        <v>109</v>
      </c>
      <c r="B1233" s="981"/>
      <c r="C1233" s="556" t="s">
        <v>125</v>
      </c>
      <c r="D1233" s="279"/>
      <c r="E1233" s="442"/>
      <c r="F1233" s="339">
        <f t="shared" si="1112"/>
        <v>0</v>
      </c>
      <c r="G1233" s="281">
        <v>0</v>
      </c>
      <c r="H1233" s="281">
        <v>0</v>
      </c>
      <c r="I1233" s="358" t="str">
        <f>IFERROR(F1233/#REF!,"-")</f>
        <v>-</v>
      </c>
      <c r="J1233" s="339">
        <f t="shared" si="1113"/>
        <v>0</v>
      </c>
      <c r="K1233" s="281">
        <f t="shared" si="1108"/>
        <v>0</v>
      </c>
      <c r="L1233" s="250">
        <f t="shared" si="1109"/>
        <v>0</v>
      </c>
      <c r="M1233" s="265" t="str">
        <f t="shared" si="1118"/>
        <v>-</v>
      </c>
      <c r="N1233" s="264" t="str">
        <f t="shared" si="1119"/>
        <v>-</v>
      </c>
      <c r="O1233" s="519">
        <v>25.033899999999999</v>
      </c>
      <c r="P1233" s="410">
        <f t="shared" si="1110"/>
        <v>0</v>
      </c>
      <c r="Q1233" s="459">
        <f t="shared" si="1111"/>
        <v>0</v>
      </c>
    </row>
    <row r="1234" spans="1:17" ht="23.4" x14ac:dyDescent="0.4">
      <c r="A1234" s="248"/>
      <c r="B1234" s="979" t="s">
        <v>81</v>
      </c>
      <c r="C1234" s="556" t="s">
        <v>82</v>
      </c>
      <c r="D1234" s="279"/>
      <c r="E1234" s="442"/>
      <c r="F1234" s="339">
        <f t="shared" si="1112"/>
        <v>0</v>
      </c>
      <c r="G1234" s="281">
        <v>0</v>
      </c>
      <c r="H1234" s="281">
        <v>0</v>
      </c>
      <c r="I1234" s="358" t="str">
        <f>IFERROR(F1234/#REF!,"-")</f>
        <v>-</v>
      </c>
      <c r="J1234" s="339">
        <f t="shared" si="1113"/>
        <v>13702</v>
      </c>
      <c r="K1234" s="281">
        <f t="shared" si="1108"/>
        <v>13640</v>
      </c>
      <c r="L1234" s="250">
        <f t="shared" si="1109"/>
        <v>62</v>
      </c>
      <c r="M1234" s="265" t="str">
        <f t="shared" si="1118"/>
        <v>-</v>
      </c>
      <c r="N1234" s="264">
        <f t="shared" si="1119"/>
        <v>4.5248868778280547E-3</v>
      </c>
      <c r="O1234" s="519">
        <v>41.992699999999999</v>
      </c>
      <c r="P1234" s="410">
        <f t="shared" si="1110"/>
        <v>0</v>
      </c>
      <c r="Q1234" s="459">
        <f t="shared" si="1111"/>
        <v>572780.42799999996</v>
      </c>
    </row>
    <row r="1235" spans="1:17" ht="24" thickBot="1" x14ac:dyDescent="0.45">
      <c r="A1235" s="248"/>
      <c r="B1235" s="980"/>
      <c r="C1235" s="556" t="s">
        <v>364</v>
      </c>
      <c r="D1235" s="279"/>
      <c r="E1235" s="442"/>
      <c r="F1235" s="339">
        <f t="shared" si="1112"/>
        <v>0</v>
      </c>
      <c r="G1235" s="281">
        <v>0</v>
      </c>
      <c r="H1235" s="281">
        <v>0</v>
      </c>
      <c r="I1235" s="358" t="str">
        <f>IFERROR(F1235/#REF!,"-")</f>
        <v>-</v>
      </c>
      <c r="J1235" s="339">
        <f t="shared" si="1113"/>
        <v>0</v>
      </c>
      <c r="K1235" s="281">
        <f t="shared" si="1108"/>
        <v>0</v>
      </c>
      <c r="L1235" s="250">
        <f t="shared" si="1109"/>
        <v>0</v>
      </c>
      <c r="M1235" s="265" t="str">
        <f t="shared" si="1118"/>
        <v>-</v>
      </c>
      <c r="N1235" s="264" t="str">
        <f t="shared" si="1119"/>
        <v>-</v>
      </c>
      <c r="O1235" s="519">
        <v>41.992699999999999</v>
      </c>
      <c r="P1235" s="410">
        <f t="shared" si="1110"/>
        <v>0</v>
      </c>
      <c r="Q1235" s="459">
        <f t="shared" si="1111"/>
        <v>0</v>
      </c>
    </row>
    <row r="1236" spans="1:17" ht="24" thickBot="1" x14ac:dyDescent="0.45">
      <c r="A1236" s="248"/>
      <c r="B1236" s="559" t="s">
        <v>83</v>
      </c>
      <c r="C1236" s="556" t="s">
        <v>84</v>
      </c>
      <c r="D1236" s="279"/>
      <c r="E1236" s="442"/>
      <c r="F1236" s="339">
        <f t="shared" si="1112"/>
        <v>4157</v>
      </c>
      <c r="G1236" s="281">
        <v>4000</v>
      </c>
      <c r="H1236" s="281">
        <v>157</v>
      </c>
      <c r="I1236" s="358" t="str">
        <f>IFERROR(F1236/#REF!,"-")</f>
        <v>-</v>
      </c>
      <c r="J1236" s="339">
        <f t="shared" si="1113"/>
        <v>21486</v>
      </c>
      <c r="K1236" s="281">
        <f t="shared" si="1108"/>
        <v>20541</v>
      </c>
      <c r="L1236" s="250">
        <f t="shared" si="1109"/>
        <v>945</v>
      </c>
      <c r="M1236" s="265" t="str">
        <f t="shared" si="1118"/>
        <v>-</v>
      </c>
      <c r="N1236" s="264">
        <f t="shared" si="1119"/>
        <v>4.3982127897235407E-2</v>
      </c>
      <c r="O1236" s="519">
        <v>4.3535000000000004</v>
      </c>
      <c r="P1236" s="410">
        <f t="shared" si="1110"/>
        <v>17414</v>
      </c>
      <c r="Q1236" s="459">
        <f t="shared" si="1111"/>
        <v>89425.243500000011</v>
      </c>
    </row>
    <row r="1237" spans="1:17" ht="23.4" x14ac:dyDescent="0.4">
      <c r="A1237" s="248"/>
      <c r="B1237" s="979" t="s">
        <v>280</v>
      </c>
      <c r="C1237" s="556" t="s">
        <v>80</v>
      </c>
      <c r="D1237" s="279"/>
      <c r="E1237" s="442"/>
      <c r="F1237" s="339">
        <f t="shared" si="1112"/>
        <v>0</v>
      </c>
      <c r="G1237" s="281">
        <v>0</v>
      </c>
      <c r="H1237" s="281">
        <v>0</v>
      </c>
      <c r="I1237" s="358" t="str">
        <f>IFERROR(F1237/#REF!,"-")</f>
        <v>-</v>
      </c>
      <c r="J1237" s="339">
        <f t="shared" si="1113"/>
        <v>0</v>
      </c>
      <c r="K1237" s="281">
        <f t="shared" si="1108"/>
        <v>0</v>
      </c>
      <c r="L1237" s="250">
        <f t="shared" si="1109"/>
        <v>0</v>
      </c>
      <c r="M1237" s="265" t="str">
        <f t="shared" si="1118"/>
        <v>-</v>
      </c>
      <c r="N1237" s="264" t="str">
        <f t="shared" si="1119"/>
        <v>-</v>
      </c>
      <c r="O1237" s="519">
        <v>4.6184000000000003</v>
      </c>
      <c r="P1237" s="410">
        <f t="shared" si="1110"/>
        <v>0</v>
      </c>
      <c r="Q1237" s="459">
        <f t="shared" si="1111"/>
        <v>0</v>
      </c>
    </row>
    <row r="1238" spans="1:17" ht="23.4" x14ac:dyDescent="0.4">
      <c r="A1238" s="248"/>
      <c r="B1238" s="980"/>
      <c r="C1238" s="556" t="s">
        <v>407</v>
      </c>
      <c r="D1238" s="279"/>
      <c r="E1238" s="442"/>
      <c r="F1238" s="339">
        <f t="shared" si="1112"/>
        <v>0</v>
      </c>
      <c r="G1238" s="281">
        <v>0</v>
      </c>
      <c r="H1238" s="281">
        <v>0</v>
      </c>
      <c r="I1238" s="358" t="str">
        <f>IFERROR(F1238/#REF!,"-")</f>
        <v>-</v>
      </c>
      <c r="J1238" s="339">
        <f t="shared" si="1113"/>
        <v>146140</v>
      </c>
      <c r="K1238" s="281">
        <f t="shared" si="1108"/>
        <v>144842</v>
      </c>
      <c r="L1238" s="250">
        <f t="shared" si="1109"/>
        <v>1298</v>
      </c>
      <c r="M1238" s="265" t="str">
        <f t="shared" si="1118"/>
        <v>-</v>
      </c>
      <c r="N1238" s="264">
        <f t="shared" si="1119"/>
        <v>8.8818940741754483E-3</v>
      </c>
      <c r="O1238" s="519">
        <v>4.6184000000000003</v>
      </c>
      <c r="P1238" s="410">
        <f t="shared" si="1110"/>
        <v>0</v>
      </c>
      <c r="Q1238" s="459">
        <f t="shared" si="1111"/>
        <v>668938.29280000005</v>
      </c>
    </row>
    <row r="1239" spans="1:17" ht="23.4" x14ac:dyDescent="0.4">
      <c r="A1239" s="248"/>
      <c r="B1239" s="980"/>
      <c r="C1239" s="556" t="s">
        <v>279</v>
      </c>
      <c r="D1239" s="279"/>
      <c r="E1239" s="442"/>
      <c r="F1239" s="339">
        <f t="shared" si="1112"/>
        <v>0</v>
      </c>
      <c r="G1239" s="281">
        <v>0</v>
      </c>
      <c r="H1239" s="281">
        <v>0</v>
      </c>
      <c r="I1239" s="358" t="str">
        <f>IFERROR(F1239/#REF!,"-")</f>
        <v>-</v>
      </c>
      <c r="J1239" s="339">
        <f t="shared" si="1113"/>
        <v>0</v>
      </c>
      <c r="K1239" s="281">
        <f t="shared" si="1108"/>
        <v>0</v>
      </c>
      <c r="L1239" s="250">
        <f t="shared" si="1109"/>
        <v>0</v>
      </c>
      <c r="M1239" s="265" t="str">
        <f t="shared" si="1118"/>
        <v>-</v>
      </c>
      <c r="N1239" s="264" t="str">
        <f t="shared" si="1119"/>
        <v>-</v>
      </c>
      <c r="O1239" s="519">
        <v>4.6184000000000003</v>
      </c>
      <c r="P1239" s="410">
        <f t="shared" si="1110"/>
        <v>0</v>
      </c>
      <c r="Q1239" s="459">
        <f t="shared" si="1111"/>
        <v>0</v>
      </c>
    </row>
    <row r="1240" spans="1:17" ht="23.4" x14ac:dyDescent="0.4">
      <c r="A1240" s="248"/>
      <c r="B1240" s="980"/>
      <c r="C1240" s="556" t="s">
        <v>440</v>
      </c>
      <c r="D1240" s="279"/>
      <c r="E1240" s="442"/>
      <c r="F1240" s="339">
        <f t="shared" si="1112"/>
        <v>25585</v>
      </c>
      <c r="G1240" s="281">
        <v>25300</v>
      </c>
      <c r="H1240" s="281">
        <v>285</v>
      </c>
      <c r="I1240" s="358" t="str">
        <f>IFERROR(F1240/#REF!,"-")</f>
        <v>-</v>
      </c>
      <c r="J1240" s="339">
        <f t="shared" si="1113"/>
        <v>328504</v>
      </c>
      <c r="K1240" s="281">
        <f t="shared" si="1108"/>
        <v>325200</v>
      </c>
      <c r="L1240" s="250">
        <f t="shared" si="1109"/>
        <v>3304</v>
      </c>
      <c r="M1240" s="265" t="str">
        <f t="shared" si="1118"/>
        <v>-</v>
      </c>
      <c r="N1240" s="264">
        <f t="shared" si="1119"/>
        <v>1.0057716192192485E-2</v>
      </c>
      <c r="O1240" s="519">
        <v>4.7636000000000003</v>
      </c>
      <c r="P1240" s="410">
        <f t="shared" si="1110"/>
        <v>120519.08</v>
      </c>
      <c r="Q1240" s="459">
        <f t="shared" si="1111"/>
        <v>1549122.7200000002</v>
      </c>
    </row>
    <row r="1241" spans="1:17" ht="24" thickBot="1" x14ac:dyDescent="0.45">
      <c r="A1241" s="248"/>
      <c r="B1241" s="981"/>
      <c r="C1241" s="556" t="s">
        <v>429</v>
      </c>
      <c r="D1241" s="279"/>
      <c r="E1241" s="442"/>
      <c r="F1241" s="339">
        <f t="shared" si="1112"/>
        <v>0</v>
      </c>
      <c r="G1241" s="281">
        <v>0</v>
      </c>
      <c r="H1241" s="281">
        <v>0</v>
      </c>
      <c r="I1241" s="358" t="str">
        <f>IFERROR(F1241/#REF!,"-")</f>
        <v>-</v>
      </c>
      <c r="J1241" s="339">
        <f t="shared" si="1113"/>
        <v>12296</v>
      </c>
      <c r="K1241" s="281">
        <f t="shared" si="1108"/>
        <v>12100</v>
      </c>
      <c r="L1241" s="250">
        <f t="shared" si="1109"/>
        <v>196</v>
      </c>
      <c r="M1241" s="265" t="str">
        <f t="shared" si="1118"/>
        <v>-</v>
      </c>
      <c r="N1241" s="264">
        <f t="shared" si="1119"/>
        <v>1.594014313597918E-2</v>
      </c>
      <c r="O1241" s="519">
        <v>4.8738000000000001</v>
      </c>
      <c r="P1241" s="410">
        <f t="shared" si="1110"/>
        <v>0</v>
      </c>
      <c r="Q1241" s="459">
        <f t="shared" si="1111"/>
        <v>58972.98</v>
      </c>
    </row>
    <row r="1242" spans="1:17" ht="24" thickBot="1" x14ac:dyDescent="0.45">
      <c r="A1242" s="248"/>
      <c r="B1242" s="559" t="s">
        <v>281</v>
      </c>
      <c r="C1242" s="556" t="s">
        <v>132</v>
      </c>
      <c r="D1242" s="279"/>
      <c r="E1242" s="442"/>
      <c r="F1242" s="339">
        <f t="shared" si="1112"/>
        <v>0</v>
      </c>
      <c r="G1242" s="281">
        <v>0</v>
      </c>
      <c r="H1242" s="281">
        <v>0</v>
      </c>
      <c r="I1242" s="358" t="str">
        <f>IFERROR(F1242/#REF!,"-")</f>
        <v>-</v>
      </c>
      <c r="J1242" s="339">
        <f t="shared" si="1113"/>
        <v>0</v>
      </c>
      <c r="K1242" s="281">
        <f t="shared" si="1108"/>
        <v>0</v>
      </c>
      <c r="L1242" s="250">
        <f t="shared" si="1109"/>
        <v>0</v>
      </c>
      <c r="M1242" s="265" t="str">
        <f t="shared" si="1118"/>
        <v>-</v>
      </c>
      <c r="N1242" s="264" t="str">
        <f t="shared" si="1119"/>
        <v>-</v>
      </c>
      <c r="O1242" s="519">
        <v>4.8738000000000001</v>
      </c>
      <c r="P1242" s="410">
        <f t="shared" si="1110"/>
        <v>0</v>
      </c>
      <c r="Q1242" s="459">
        <f t="shared" si="1111"/>
        <v>0</v>
      </c>
    </row>
    <row r="1243" spans="1:17" ht="23.4" x14ac:dyDescent="0.4">
      <c r="A1243" s="248"/>
      <c r="B1243" s="979" t="s">
        <v>283</v>
      </c>
      <c r="C1243" s="556" t="s">
        <v>80</v>
      </c>
      <c r="D1243" s="279"/>
      <c r="E1243" s="442"/>
      <c r="F1243" s="339">
        <f t="shared" si="1112"/>
        <v>21573</v>
      </c>
      <c r="G1243" s="281">
        <v>21300</v>
      </c>
      <c r="H1243" s="281">
        <v>273</v>
      </c>
      <c r="I1243" s="358" t="str">
        <f>IFERROR(F1243/#REF!,"-")</f>
        <v>-</v>
      </c>
      <c r="J1243" s="339">
        <f t="shared" si="1113"/>
        <v>504607</v>
      </c>
      <c r="K1243" s="281">
        <f t="shared" si="1108"/>
        <v>495300</v>
      </c>
      <c r="L1243" s="281">
        <f t="shared" si="1109"/>
        <v>9307</v>
      </c>
      <c r="M1243" s="265" t="str">
        <f t="shared" si="1118"/>
        <v>-</v>
      </c>
      <c r="N1243" s="264">
        <f t="shared" si="1119"/>
        <v>1.8444056463743072E-2</v>
      </c>
      <c r="O1243" s="519">
        <v>4.9344999999999999</v>
      </c>
      <c r="P1243" s="410">
        <f t="shared" si="1110"/>
        <v>105104.84999999999</v>
      </c>
      <c r="Q1243" s="459">
        <f t="shared" si="1111"/>
        <v>2444057.85</v>
      </c>
    </row>
    <row r="1244" spans="1:17" ht="23.4" x14ac:dyDescent="0.4">
      <c r="A1244" s="248"/>
      <c r="B1244" s="980"/>
      <c r="C1244" s="556" t="s">
        <v>143</v>
      </c>
      <c r="D1244" s="279"/>
      <c r="E1244" s="442"/>
      <c r="F1244" s="339">
        <f t="shared" si="1112"/>
        <v>0</v>
      </c>
      <c r="G1244" s="281">
        <v>0</v>
      </c>
      <c r="H1244" s="281">
        <v>0</v>
      </c>
      <c r="I1244" s="358" t="str">
        <f>IFERROR(F1244/#REF!,"-")</f>
        <v>-</v>
      </c>
      <c r="J1244" s="339">
        <f t="shared" si="1113"/>
        <v>0</v>
      </c>
      <c r="K1244" s="281">
        <f t="shared" si="1108"/>
        <v>0</v>
      </c>
      <c r="L1244" s="250">
        <f t="shared" si="1109"/>
        <v>0</v>
      </c>
      <c r="M1244" s="265" t="str">
        <f t="shared" si="1118"/>
        <v>-</v>
      </c>
      <c r="N1244" s="264" t="str">
        <f t="shared" si="1119"/>
        <v>-</v>
      </c>
      <c r="O1244" s="519">
        <v>4.9344999999999999</v>
      </c>
      <c r="P1244" s="410">
        <f t="shared" si="1110"/>
        <v>0</v>
      </c>
      <c r="Q1244" s="459">
        <f t="shared" si="1111"/>
        <v>0</v>
      </c>
    </row>
    <row r="1245" spans="1:17" ht="23.4" x14ac:dyDescent="0.4">
      <c r="A1245" s="248"/>
      <c r="B1245" s="980"/>
      <c r="C1245" s="556" t="s">
        <v>137</v>
      </c>
      <c r="D1245" s="279"/>
      <c r="E1245" s="442"/>
      <c r="F1245" s="339">
        <f t="shared" si="1112"/>
        <v>0</v>
      </c>
      <c r="G1245" s="281">
        <v>0</v>
      </c>
      <c r="H1245" s="281">
        <v>0</v>
      </c>
      <c r="I1245" s="358" t="str">
        <f>IFERROR(F1245/#REF!,"-")</f>
        <v>-</v>
      </c>
      <c r="J1245" s="339">
        <f t="shared" si="1113"/>
        <v>0</v>
      </c>
      <c r="K1245" s="281">
        <f t="shared" si="1108"/>
        <v>0</v>
      </c>
      <c r="L1245" s="250">
        <f t="shared" si="1109"/>
        <v>0</v>
      </c>
      <c r="M1245" s="265" t="str">
        <f t="shared" si="1118"/>
        <v>-</v>
      </c>
      <c r="N1245" s="264" t="str">
        <f t="shared" si="1119"/>
        <v>-</v>
      </c>
      <c r="O1245" s="519">
        <v>4.9344999999999999</v>
      </c>
      <c r="P1245" s="410">
        <f t="shared" si="1110"/>
        <v>0</v>
      </c>
      <c r="Q1245" s="459">
        <f t="shared" si="1111"/>
        <v>0</v>
      </c>
    </row>
    <row r="1246" spans="1:17" ht="24" thickBot="1" x14ac:dyDescent="0.45">
      <c r="A1246" s="248"/>
      <c r="B1246" s="981"/>
      <c r="C1246" s="556" t="s">
        <v>282</v>
      </c>
      <c r="D1246" s="279"/>
      <c r="E1246" s="442"/>
      <c r="F1246" s="339">
        <f t="shared" si="1112"/>
        <v>0</v>
      </c>
      <c r="G1246" s="281">
        <v>0</v>
      </c>
      <c r="H1246" s="281">
        <v>0</v>
      </c>
      <c r="I1246" s="358" t="str">
        <f>IFERROR(F1246/#REF!,"-")</f>
        <v>-</v>
      </c>
      <c r="J1246" s="339">
        <f t="shared" si="1113"/>
        <v>0</v>
      </c>
      <c r="K1246" s="281">
        <f t="shared" si="1108"/>
        <v>0</v>
      </c>
      <c r="L1246" s="250">
        <f t="shared" si="1109"/>
        <v>0</v>
      </c>
      <c r="M1246" s="265" t="str">
        <f t="shared" si="1118"/>
        <v>-</v>
      </c>
      <c r="N1246" s="264" t="str">
        <f t="shared" si="1119"/>
        <v>-</v>
      </c>
      <c r="O1246" s="519">
        <v>5.5069999999999997</v>
      </c>
      <c r="P1246" s="410">
        <f t="shared" si="1110"/>
        <v>0</v>
      </c>
      <c r="Q1246" s="459">
        <f t="shared" si="1111"/>
        <v>0</v>
      </c>
    </row>
    <row r="1247" spans="1:17" ht="23.4" x14ac:dyDescent="0.4">
      <c r="A1247" s="248"/>
      <c r="B1247" s="979" t="s">
        <v>288</v>
      </c>
      <c r="C1247" s="556" t="s">
        <v>284</v>
      </c>
      <c r="D1247" s="279"/>
      <c r="E1247" s="442"/>
      <c r="F1247" s="339">
        <f t="shared" si="1112"/>
        <v>0</v>
      </c>
      <c r="G1247" s="281">
        <v>0</v>
      </c>
      <c r="H1247" s="281">
        <v>0</v>
      </c>
      <c r="I1247" s="358" t="str">
        <f>IFERROR(F1247/#REF!,"-")</f>
        <v>-</v>
      </c>
      <c r="J1247" s="339">
        <f t="shared" si="1113"/>
        <v>0</v>
      </c>
      <c r="K1247" s="281">
        <f t="shared" si="1108"/>
        <v>0</v>
      </c>
      <c r="L1247" s="250">
        <f t="shared" si="1109"/>
        <v>0</v>
      </c>
      <c r="M1247" s="265" t="str">
        <f t="shared" si="1118"/>
        <v>-</v>
      </c>
      <c r="N1247" s="264" t="str">
        <f t="shared" si="1119"/>
        <v>-</v>
      </c>
      <c r="O1247" s="519">
        <v>5.6550000000000002</v>
      </c>
      <c r="P1247" s="410">
        <f t="shared" si="1110"/>
        <v>0</v>
      </c>
      <c r="Q1247" s="459">
        <f t="shared" si="1111"/>
        <v>0</v>
      </c>
    </row>
    <row r="1248" spans="1:17" ht="23.4" x14ac:dyDescent="0.4">
      <c r="A1248" s="248"/>
      <c r="B1248" s="980"/>
      <c r="C1248" s="556" t="s">
        <v>285</v>
      </c>
      <c r="D1248" s="279"/>
      <c r="E1248" s="442"/>
      <c r="F1248" s="339">
        <f t="shared" si="1112"/>
        <v>0</v>
      </c>
      <c r="G1248" s="281">
        <v>0</v>
      </c>
      <c r="H1248" s="281">
        <v>0</v>
      </c>
      <c r="I1248" s="358" t="str">
        <f>IFERROR(F1248/#REF!,"-")</f>
        <v>-</v>
      </c>
      <c r="J1248" s="339">
        <f t="shared" si="1113"/>
        <v>0</v>
      </c>
      <c r="K1248" s="281">
        <f t="shared" si="1108"/>
        <v>0</v>
      </c>
      <c r="L1248" s="250">
        <f t="shared" si="1109"/>
        <v>0</v>
      </c>
      <c r="M1248" s="265" t="str">
        <f t="shared" si="1118"/>
        <v>-</v>
      </c>
      <c r="N1248" s="264" t="str">
        <f t="shared" si="1119"/>
        <v>-</v>
      </c>
      <c r="O1248" s="519">
        <v>5.6550000000000002</v>
      </c>
      <c r="P1248" s="410">
        <f t="shared" si="1110"/>
        <v>0</v>
      </c>
      <c r="Q1248" s="459">
        <f t="shared" si="1111"/>
        <v>0</v>
      </c>
    </row>
    <row r="1249" spans="1:17" ht="23.4" x14ac:dyDescent="0.4">
      <c r="A1249" s="248"/>
      <c r="B1249" s="980"/>
      <c r="C1249" s="556" t="s">
        <v>374</v>
      </c>
      <c r="D1249" s="279"/>
      <c r="E1249" s="442"/>
      <c r="F1249" s="339">
        <f t="shared" si="1112"/>
        <v>23248</v>
      </c>
      <c r="G1249" s="281">
        <v>22450</v>
      </c>
      <c r="H1249" s="281">
        <v>798</v>
      </c>
      <c r="I1249" s="358" t="str">
        <f>IFERROR(F1249/#REF!,"-")</f>
        <v>-</v>
      </c>
      <c r="J1249" s="339">
        <f t="shared" si="1113"/>
        <v>541586</v>
      </c>
      <c r="K1249" s="281">
        <f t="shared" si="1108"/>
        <v>528300</v>
      </c>
      <c r="L1249" s="250">
        <f t="shared" si="1109"/>
        <v>13286</v>
      </c>
      <c r="M1249" s="265" t="str">
        <f t="shared" si="1118"/>
        <v>-</v>
      </c>
      <c r="N1249" s="264">
        <f t="shared" si="1119"/>
        <v>2.453165332929581E-2</v>
      </c>
      <c r="O1249" s="519">
        <v>5.6550000000000002</v>
      </c>
      <c r="P1249" s="410">
        <f t="shared" si="1110"/>
        <v>126954.75</v>
      </c>
      <c r="Q1249" s="459">
        <f t="shared" si="1111"/>
        <v>2987536.5</v>
      </c>
    </row>
    <row r="1250" spans="1:17" ht="23.4" x14ac:dyDescent="0.4">
      <c r="A1250" s="248"/>
      <c r="B1250" s="980"/>
      <c r="C1250" s="556" t="s">
        <v>286</v>
      </c>
      <c r="D1250" s="279"/>
      <c r="E1250" s="442"/>
      <c r="F1250" s="339">
        <f t="shared" si="1112"/>
        <v>0</v>
      </c>
      <c r="G1250" s="281">
        <v>0</v>
      </c>
      <c r="H1250" s="281">
        <v>0</v>
      </c>
      <c r="I1250" s="358" t="str">
        <f>IFERROR(F1250/#REF!,"-")</f>
        <v>-</v>
      </c>
      <c r="J1250" s="339">
        <f t="shared" si="1113"/>
        <v>0</v>
      </c>
      <c r="K1250" s="281">
        <f t="shared" si="1108"/>
        <v>0</v>
      </c>
      <c r="L1250" s="250">
        <f t="shared" si="1109"/>
        <v>0</v>
      </c>
      <c r="M1250" s="265" t="str">
        <f t="shared" si="1118"/>
        <v>-</v>
      </c>
      <c r="N1250" s="264" t="str">
        <f t="shared" si="1119"/>
        <v>-</v>
      </c>
      <c r="O1250" s="519">
        <v>5.6550000000000002</v>
      </c>
      <c r="P1250" s="410">
        <f t="shared" si="1110"/>
        <v>0</v>
      </c>
      <c r="Q1250" s="459">
        <f t="shared" si="1111"/>
        <v>0</v>
      </c>
    </row>
    <row r="1251" spans="1:17" ht="23.4" x14ac:dyDescent="0.4">
      <c r="A1251" s="248" t="s">
        <v>109</v>
      </c>
      <c r="B1251" s="980"/>
      <c r="C1251" s="556" t="s">
        <v>287</v>
      </c>
      <c r="D1251" s="279"/>
      <c r="E1251" s="442"/>
      <c r="F1251" s="339">
        <f t="shared" si="1112"/>
        <v>0</v>
      </c>
      <c r="G1251" s="281">
        <v>0</v>
      </c>
      <c r="H1251" s="281">
        <v>0</v>
      </c>
      <c r="I1251" s="358" t="str">
        <f>IFERROR(F1251/#REF!,"-")</f>
        <v>-</v>
      </c>
      <c r="J1251" s="339">
        <f t="shared" si="1113"/>
        <v>0</v>
      </c>
      <c r="K1251" s="281">
        <f t="shared" si="1108"/>
        <v>0</v>
      </c>
      <c r="L1251" s="250">
        <f t="shared" si="1109"/>
        <v>0</v>
      </c>
      <c r="M1251" s="265" t="str">
        <f t="shared" si="1118"/>
        <v>-</v>
      </c>
      <c r="N1251" s="264" t="str">
        <f t="shared" si="1119"/>
        <v>-</v>
      </c>
      <c r="O1251" s="519">
        <v>3.2963</v>
      </c>
      <c r="P1251" s="410">
        <f t="shared" si="1110"/>
        <v>0</v>
      </c>
      <c r="Q1251" s="459">
        <f t="shared" si="1111"/>
        <v>0</v>
      </c>
    </row>
    <row r="1252" spans="1:17" ht="24" thickBot="1" x14ac:dyDescent="0.45">
      <c r="A1252" s="248" t="s">
        <v>109</v>
      </c>
      <c r="B1252" s="981"/>
      <c r="C1252" s="556" t="s">
        <v>282</v>
      </c>
      <c r="D1252" s="279"/>
      <c r="E1252" s="442"/>
      <c r="F1252" s="339">
        <f t="shared" si="1112"/>
        <v>0</v>
      </c>
      <c r="G1252" s="281">
        <v>0</v>
      </c>
      <c r="H1252" s="281">
        <v>0</v>
      </c>
      <c r="I1252" s="358" t="str">
        <f>IFERROR(F1252/#REF!,"-")</f>
        <v>-</v>
      </c>
      <c r="J1252" s="339">
        <f t="shared" si="1113"/>
        <v>0</v>
      </c>
      <c r="K1252" s="281">
        <f t="shared" si="1108"/>
        <v>0</v>
      </c>
      <c r="L1252" s="250">
        <f t="shared" si="1109"/>
        <v>0</v>
      </c>
      <c r="M1252" s="265" t="str">
        <f t="shared" si="1118"/>
        <v>-</v>
      </c>
      <c r="N1252" s="264" t="str">
        <f t="shared" si="1119"/>
        <v>-</v>
      </c>
      <c r="O1252" s="519">
        <v>3.2963</v>
      </c>
      <c r="P1252" s="410">
        <f t="shared" si="1110"/>
        <v>0</v>
      </c>
      <c r="Q1252" s="459">
        <f t="shared" si="1111"/>
        <v>0</v>
      </c>
    </row>
    <row r="1253" spans="1:17" ht="23.4" x14ac:dyDescent="0.4">
      <c r="A1253" s="248" t="s">
        <v>109</v>
      </c>
      <c r="B1253" s="560"/>
      <c r="C1253" s="557" t="s">
        <v>92</v>
      </c>
      <c r="D1253" s="523"/>
      <c r="E1253" s="442"/>
      <c r="F1253" s="339">
        <f t="shared" si="1112"/>
        <v>0</v>
      </c>
      <c r="G1253" s="281">
        <v>0</v>
      </c>
      <c r="H1253" s="281">
        <v>0</v>
      </c>
      <c r="I1253" s="358" t="str">
        <f>IFERROR(F1253/#REF!,"-")</f>
        <v>-</v>
      </c>
      <c r="J1253" s="339">
        <f t="shared" si="1113"/>
        <v>142201</v>
      </c>
      <c r="K1253" s="281">
        <f t="shared" si="1108"/>
        <v>142161</v>
      </c>
      <c r="L1253" s="250">
        <f t="shared" si="1109"/>
        <v>40</v>
      </c>
      <c r="M1253" s="265" t="str">
        <f t="shared" si="1118"/>
        <v>-</v>
      </c>
      <c r="N1253" s="264">
        <f t="shared" si="1119"/>
        <v>2.8129197403675081E-4</v>
      </c>
      <c r="O1253" s="519">
        <v>2.3201000000000001</v>
      </c>
      <c r="P1253" s="410">
        <f t="shared" si="1110"/>
        <v>0</v>
      </c>
      <c r="Q1253" s="459">
        <f t="shared" si="1111"/>
        <v>329827.73609999998</v>
      </c>
    </row>
    <row r="1254" spans="1:17" ht="24" thickBot="1" x14ac:dyDescent="0.35">
      <c r="A1254" s="248" t="s">
        <v>109</v>
      </c>
      <c r="B1254" s="537"/>
      <c r="C1254" s="554"/>
      <c r="D1254" s="543"/>
      <c r="E1254" s="473"/>
      <c r="F1254" s="471">
        <f t="shared" si="1112"/>
        <v>0</v>
      </c>
      <c r="G1254" s="472"/>
      <c r="H1254" s="472"/>
      <c r="I1254" s="545" t="str">
        <f>IFERROR(F1254/#REF!,"-")</f>
        <v>-</v>
      </c>
      <c r="J1254" s="471">
        <f t="shared" si="1113"/>
        <v>0</v>
      </c>
      <c r="K1254" s="472">
        <f t="shared" si="1108"/>
        <v>0</v>
      </c>
      <c r="L1254" s="257">
        <f t="shared" si="1109"/>
        <v>0</v>
      </c>
      <c r="M1254" s="267" t="str">
        <f t="shared" si="1118"/>
        <v>-</v>
      </c>
      <c r="N1254" s="266" t="str">
        <f t="shared" si="1119"/>
        <v>-</v>
      </c>
      <c r="O1254" s="552"/>
      <c r="P1254" s="549">
        <f t="shared" si="1110"/>
        <v>0</v>
      </c>
      <c r="Q1254" s="550">
        <f t="shared" si="1111"/>
        <v>0</v>
      </c>
    </row>
    <row r="1255" spans="1:17" ht="24" thickBot="1" x14ac:dyDescent="0.35">
      <c r="A1255" s="277" t="s">
        <v>109</v>
      </c>
      <c r="B1255" s="982" t="s">
        <v>25</v>
      </c>
      <c r="C1255" s="983"/>
      <c r="D1255" s="525">
        <f t="shared" ref="D1255" si="1120">SUM(D1230:D1254)</f>
        <v>0</v>
      </c>
      <c r="E1255" s="539">
        <v>100000</v>
      </c>
      <c r="F1255" s="525">
        <f>SUM(F1230:F1254)</f>
        <v>82025</v>
      </c>
      <c r="G1255" s="531">
        <f t="shared" ref="G1255:H1255" si="1121">SUM(G1230:G1254)</f>
        <v>80450</v>
      </c>
      <c r="H1255" s="531">
        <f t="shared" si="1121"/>
        <v>1575</v>
      </c>
      <c r="I1255" s="532" t="str">
        <f>IFERROR(F1255/#REF!,"-")</f>
        <v>-</v>
      </c>
      <c r="J1255" s="525">
        <f t="shared" ref="J1255" si="1122">SUM(J1230:J1254)</f>
        <v>1772657</v>
      </c>
      <c r="K1255" s="531">
        <f>SUM(K1225:K1254)</f>
        <v>1824600</v>
      </c>
      <c r="L1255" s="533">
        <f t="shared" ref="L1255" si="1123">SUM(L1230:L1254)</f>
        <v>32092</v>
      </c>
      <c r="M1255" s="534" t="str">
        <f t="shared" si="1118"/>
        <v>-</v>
      </c>
      <c r="N1255" s="532">
        <f t="shared" si="1119"/>
        <v>1.8103897144230385E-2</v>
      </c>
      <c r="O1255" s="535"/>
      <c r="P1255" s="536">
        <f>SUM(P1225:P1254)</f>
        <v>631570.60000000009</v>
      </c>
      <c r="Q1255" s="536">
        <f>SUM(Q1225:Q1254)</f>
        <v>14337846.9956</v>
      </c>
    </row>
    <row r="1256" spans="1:17" ht="24" thickBot="1" x14ac:dyDescent="0.35">
      <c r="A1256" s="324" t="s">
        <v>109</v>
      </c>
      <c r="B1256" s="984" t="s">
        <v>276</v>
      </c>
      <c r="C1256" s="927"/>
      <c r="D1256" s="332">
        <f>+D1229+D1255</f>
        <v>0</v>
      </c>
      <c r="E1256" s="333">
        <f>+E1229+E1255</f>
        <v>100000</v>
      </c>
      <c r="F1256" s="332">
        <f>+F1229+F1255</f>
        <v>82025</v>
      </c>
      <c r="G1256" s="330">
        <f>+G1229+G1255</f>
        <v>80450</v>
      </c>
      <c r="H1256" s="330">
        <f>+H1229+H1255</f>
        <v>1575</v>
      </c>
      <c r="I1256" s="355" t="str">
        <f>IFERROR(F1256/#REF!,"-")</f>
        <v>-</v>
      </c>
      <c r="J1256" s="332">
        <f>+J1229+J1255</f>
        <v>1778007</v>
      </c>
      <c r="K1256" s="330">
        <f>K1255</f>
        <v>1824600</v>
      </c>
      <c r="L1256" s="331">
        <f>+L1229+L1255</f>
        <v>33292</v>
      </c>
      <c r="M1256" s="347" t="str">
        <f t="shared" si="1118"/>
        <v>-</v>
      </c>
      <c r="N1256" s="355">
        <f t="shared" si="1119"/>
        <v>1.8724335730961689E-2</v>
      </c>
      <c r="O1256" s="400"/>
      <c r="P1256" s="416">
        <f>+P1229+P1255</f>
        <v>631570.60000000009</v>
      </c>
      <c r="Q1256" s="434">
        <f>Q1255</f>
        <v>14337846.9956</v>
      </c>
    </row>
    <row r="1257" spans="1:17" ht="24.6" thickBot="1" x14ac:dyDescent="0.35">
      <c r="A1257" s="325"/>
      <c r="B1257" s="915" t="s">
        <v>183</v>
      </c>
      <c r="C1257" s="916"/>
      <c r="D1257" s="380">
        <f>+D1256+D1224+D1215</f>
        <v>0</v>
      </c>
      <c r="E1257" s="380">
        <f>+E1256+E1224+E1215</f>
        <v>230000</v>
      </c>
      <c r="F1257" s="380">
        <f>+F1256+F1224+F1215</f>
        <v>232881</v>
      </c>
      <c r="G1257" s="380">
        <f>+G1256+G1224+G1215</f>
        <v>230100</v>
      </c>
      <c r="H1257" s="380">
        <f>+H1256+H1224+H1215</f>
        <v>2781</v>
      </c>
      <c r="I1257" s="381" t="str">
        <f>IFERROR(F1257/#REF!,"-")</f>
        <v>-</v>
      </c>
      <c r="J1257" s="380">
        <f>+J1256+J1224+J1215</f>
        <v>6064914</v>
      </c>
      <c r="K1257" s="380">
        <f>+K1256+K1224+K1215</f>
        <v>5964184</v>
      </c>
      <c r="L1257" s="380">
        <f>+L1256+L1224+L1215</f>
        <v>164335</v>
      </c>
      <c r="M1257" s="381" t="str">
        <f t="shared" si="1118"/>
        <v>-</v>
      </c>
      <c r="N1257" s="381">
        <f>IFERROR(L1257/J1257,"-")</f>
        <v>2.7096014881661967E-2</v>
      </c>
      <c r="O1257" s="407"/>
      <c r="P1257" s="424">
        <f>+P1256+P1224+P1215</f>
        <v>1250655.0550000002</v>
      </c>
      <c r="Q1257" s="424">
        <f>+Q1256+Q1224+Q1215</f>
        <v>36963912.443000004</v>
      </c>
    </row>
    <row r="1258" spans="1:17" ht="23.4" x14ac:dyDescent="0.3">
      <c r="A1258" s="935" t="s">
        <v>1</v>
      </c>
      <c r="B1258" s="938" t="s">
        <v>2</v>
      </c>
      <c r="C1258" s="941" t="s">
        <v>3</v>
      </c>
      <c r="D1258" s="944" t="s">
        <v>4</v>
      </c>
      <c r="E1258" s="945"/>
      <c r="F1258" s="945"/>
      <c r="G1258" s="945"/>
      <c r="H1258" s="945"/>
      <c r="I1258" s="945"/>
      <c r="J1258" s="945"/>
      <c r="K1258" s="945"/>
      <c r="L1258" s="945"/>
      <c r="M1258" s="945"/>
      <c r="N1258" s="946"/>
      <c r="O1258" s="965" t="s">
        <v>176</v>
      </c>
      <c r="P1258" s="966"/>
      <c r="Q1258" s="990"/>
    </row>
    <row r="1259" spans="1:17" ht="23.4" x14ac:dyDescent="0.3">
      <c r="A1259" s="936"/>
      <c r="B1259" s="939"/>
      <c r="C1259" s="942"/>
      <c r="D1259" s="947" t="s">
        <v>7</v>
      </c>
      <c r="E1259" s="949" t="s">
        <v>116</v>
      </c>
      <c r="F1259" s="991" t="s">
        <v>499</v>
      </c>
      <c r="G1259" s="952"/>
      <c r="H1259" s="952"/>
      <c r="I1259" s="953"/>
      <c r="J1259" s="954" t="s">
        <v>8</v>
      </c>
      <c r="K1259" s="955"/>
      <c r="L1259" s="956"/>
      <c r="M1259" s="957" t="s">
        <v>174</v>
      </c>
      <c r="N1259" s="959" t="s">
        <v>173</v>
      </c>
      <c r="O1259" s="967" t="s">
        <v>178</v>
      </c>
      <c r="P1259" s="968"/>
      <c r="Q1259" s="969"/>
    </row>
    <row r="1260" spans="1:17" ht="47.4" thickBot="1" x14ac:dyDescent="0.35">
      <c r="A1260" s="937"/>
      <c r="B1260" s="940"/>
      <c r="C1260" s="943"/>
      <c r="D1260" s="948"/>
      <c r="E1260" s="950"/>
      <c r="F1260" s="462" t="s">
        <v>13</v>
      </c>
      <c r="G1260" s="463" t="s">
        <v>14</v>
      </c>
      <c r="H1260" s="463" t="s">
        <v>15</v>
      </c>
      <c r="I1260" s="464" t="s">
        <v>175</v>
      </c>
      <c r="J1260" s="462" t="s">
        <v>13</v>
      </c>
      <c r="K1260" s="463" t="s">
        <v>14</v>
      </c>
      <c r="L1260" s="465" t="s">
        <v>15</v>
      </c>
      <c r="M1260" s="958"/>
      <c r="N1260" s="960"/>
      <c r="O1260" s="453" t="s">
        <v>179</v>
      </c>
      <c r="P1260" s="454" t="s">
        <v>11</v>
      </c>
      <c r="Q1260" s="455" t="s">
        <v>12</v>
      </c>
    </row>
    <row r="1261" spans="1:17" ht="23.4" x14ac:dyDescent="0.3">
      <c r="A1261" s="271" t="s">
        <v>111</v>
      </c>
      <c r="B1261" s="445"/>
      <c r="C1261" s="272" t="s">
        <v>272</v>
      </c>
      <c r="D1261" s="273"/>
      <c r="E1261" s="274"/>
      <c r="F1261" s="338">
        <f>+G1261+H1261</f>
        <v>0</v>
      </c>
      <c r="G1261" s="275">
        <v>0</v>
      </c>
      <c r="H1261" s="275">
        <v>0</v>
      </c>
      <c r="I1261" s="357" t="str">
        <f>IFERROR(F1261/#REF!,"-")</f>
        <v>-</v>
      </c>
      <c r="J1261" s="468">
        <f>+K1261+L1261</f>
        <v>1240450</v>
      </c>
      <c r="K1261" s="469">
        <f>+G1261+K1201</f>
        <v>1165360</v>
      </c>
      <c r="L1261" s="469">
        <f>+H1261+L1201</f>
        <v>75090</v>
      </c>
      <c r="M1261" s="342" t="str">
        <f>IFERROR(J1261/D1261,"-")</f>
        <v>-</v>
      </c>
      <c r="N1261" s="349">
        <f t="shared" ref="N1261:N1262" si="1124">IFERROR(L1261/J1261,"-")</f>
        <v>6.0534483453585392E-2</v>
      </c>
      <c r="O1261" s="518">
        <v>1.5669</v>
      </c>
      <c r="P1261" s="408">
        <f>+O1261*G1261</f>
        <v>0</v>
      </c>
      <c r="Q1261" s="457">
        <f>+O1261*K1261</f>
        <v>1826002.584</v>
      </c>
    </row>
    <row r="1262" spans="1:17" ht="23.4" x14ac:dyDescent="0.3">
      <c r="A1262" s="277" t="s">
        <v>111</v>
      </c>
      <c r="B1262" s="444"/>
      <c r="C1262" s="278" t="s">
        <v>271</v>
      </c>
      <c r="D1262" s="279"/>
      <c r="E1262" s="280"/>
      <c r="F1262" s="339">
        <f t="shared" ref="F1262:F1265" si="1125">+G1262+H1262</f>
        <v>73034</v>
      </c>
      <c r="G1262" s="281">
        <v>72250</v>
      </c>
      <c r="H1262" s="281">
        <v>784</v>
      </c>
      <c r="I1262" s="358" t="str">
        <f>IFERROR(F1262/#REF!,"-")</f>
        <v>-</v>
      </c>
      <c r="J1262" s="339">
        <f t="shared" ref="J1262:J1265" si="1126">+K1262+L1262</f>
        <v>132880</v>
      </c>
      <c r="K1262" s="281">
        <f t="shared" ref="K1262:K1265" si="1127">+G1262+K1202</f>
        <v>132000</v>
      </c>
      <c r="L1262" s="442">
        <f t="shared" ref="L1262:L1265" si="1128">+H1262+L1202</f>
        <v>880</v>
      </c>
      <c r="M1262" s="343" t="str">
        <f t="shared" ref="M1262:M1265" si="1129">IFERROR(J1262/D1262,"-")</f>
        <v>-</v>
      </c>
      <c r="N1262" s="268">
        <f t="shared" si="1124"/>
        <v>6.6225165562913907E-3</v>
      </c>
      <c r="O1262" s="895">
        <v>2.3978999999999999</v>
      </c>
      <c r="P1262" s="410">
        <f t="shared" ref="P1262:P1265" si="1130">+O1262*G1262</f>
        <v>173248.27499999999</v>
      </c>
      <c r="Q1262" s="459">
        <f t="shared" ref="Q1262:Q1265" si="1131">+O1262*K1262</f>
        <v>316522.8</v>
      </c>
    </row>
    <row r="1263" spans="1:17" ht="23.4" x14ac:dyDescent="0.3">
      <c r="A1263" s="277" t="s">
        <v>111</v>
      </c>
      <c r="B1263" s="444"/>
      <c r="C1263" s="278" t="s">
        <v>488</v>
      </c>
      <c r="D1263" s="279"/>
      <c r="E1263" s="280"/>
      <c r="F1263" s="339">
        <f t="shared" si="1125"/>
        <v>0</v>
      </c>
      <c r="G1263" s="281">
        <v>0</v>
      </c>
      <c r="H1263" s="281">
        <v>0</v>
      </c>
      <c r="I1263" s="358" t="str">
        <f>IFERROR(F1263/#REF!,"-")</f>
        <v>-</v>
      </c>
      <c r="J1263" s="339">
        <f t="shared" si="1126"/>
        <v>0</v>
      </c>
      <c r="K1263" s="281">
        <f t="shared" si="1127"/>
        <v>0</v>
      </c>
      <c r="L1263" s="251">
        <f t="shared" si="1128"/>
        <v>0</v>
      </c>
      <c r="M1263" s="343" t="str">
        <f t="shared" si="1129"/>
        <v>-</v>
      </c>
      <c r="N1263" s="268" t="str">
        <f>IFERROR(L1263/J1263,"-")</f>
        <v>-</v>
      </c>
      <c r="O1263" s="520">
        <v>4.6797000000000004</v>
      </c>
      <c r="P1263" s="410">
        <f t="shared" si="1130"/>
        <v>0</v>
      </c>
      <c r="Q1263" s="459">
        <f t="shared" si="1131"/>
        <v>0</v>
      </c>
    </row>
    <row r="1264" spans="1:17" ht="23.4" x14ac:dyDescent="0.3">
      <c r="A1264" s="277"/>
      <c r="B1264" s="461"/>
      <c r="C1264" s="278" t="s">
        <v>372</v>
      </c>
      <c r="D1264" s="283"/>
      <c r="E1264" s="284"/>
      <c r="F1264" s="339">
        <f t="shared" si="1125"/>
        <v>40988</v>
      </c>
      <c r="G1264" s="285">
        <f>17800+22400</f>
        <v>40200</v>
      </c>
      <c r="H1264" s="285">
        <f>364+424</f>
        <v>788</v>
      </c>
      <c r="I1264" s="358" t="str">
        <f>IFERROR(F1264/#REF!,"-")</f>
        <v>-</v>
      </c>
      <c r="J1264" s="339">
        <f t="shared" si="1126"/>
        <v>871680</v>
      </c>
      <c r="K1264" s="281">
        <f t="shared" si="1127"/>
        <v>846800</v>
      </c>
      <c r="L1264" s="286">
        <f t="shared" si="1128"/>
        <v>24880</v>
      </c>
      <c r="M1264" s="343" t="str">
        <f t="shared" si="1129"/>
        <v>-</v>
      </c>
      <c r="N1264" s="268">
        <f>IFERROR(L1264/J1264,"-")</f>
        <v>2.8542584434654919E-2</v>
      </c>
      <c r="O1264" s="520">
        <v>12.284700000000001</v>
      </c>
      <c r="P1264" s="410">
        <f t="shared" si="1130"/>
        <v>493844.94000000006</v>
      </c>
      <c r="Q1264" s="459">
        <f t="shared" si="1131"/>
        <v>10402683.960000001</v>
      </c>
    </row>
    <row r="1265" spans="1:17" ht="24" thickBot="1" x14ac:dyDescent="0.35">
      <c r="A1265" s="277" t="s">
        <v>111</v>
      </c>
      <c r="B1265" s="461"/>
      <c r="C1265" s="278" t="s">
        <v>487</v>
      </c>
      <c r="D1265" s="283"/>
      <c r="E1265" s="284"/>
      <c r="F1265" s="340">
        <f t="shared" si="1125"/>
        <v>0</v>
      </c>
      <c r="G1265" s="285">
        <v>0</v>
      </c>
      <c r="H1265" s="285">
        <v>0</v>
      </c>
      <c r="I1265" s="359" t="str">
        <f>IFERROR(F1265/#REF!,"-")</f>
        <v>-</v>
      </c>
      <c r="J1265" s="471">
        <f t="shared" si="1126"/>
        <v>248191</v>
      </c>
      <c r="K1265" s="472">
        <f t="shared" si="1127"/>
        <v>243750</v>
      </c>
      <c r="L1265" s="258">
        <f t="shared" si="1128"/>
        <v>4441</v>
      </c>
      <c r="M1265" s="344" t="str">
        <f t="shared" si="1129"/>
        <v>-</v>
      </c>
      <c r="N1265" s="350">
        <f t="shared" ref="N1265:N1277" si="1132">IFERROR(L1265/J1265,"-")</f>
        <v>1.7893477201026627E-2</v>
      </c>
      <c r="O1265" s="520">
        <v>4.6797000000000004</v>
      </c>
      <c r="P1265" s="411">
        <f t="shared" si="1130"/>
        <v>0</v>
      </c>
      <c r="Q1265" s="460">
        <f t="shared" si="1131"/>
        <v>1140676.875</v>
      </c>
    </row>
    <row r="1266" spans="1:17" ht="24" thickBot="1" x14ac:dyDescent="0.35">
      <c r="A1266" s="277" t="s">
        <v>111</v>
      </c>
      <c r="B1266" s="906" t="s">
        <v>21</v>
      </c>
      <c r="C1266" s="907"/>
      <c r="D1266" s="326">
        <f>SUM(D1261:D1265)</f>
        <v>0</v>
      </c>
      <c r="E1266" s="289">
        <v>15000</v>
      </c>
      <c r="F1266" s="326">
        <f>SUM(F1261:F1265)</f>
        <v>114022</v>
      </c>
      <c r="G1266" s="327">
        <f>SUM(G1261:G1265)</f>
        <v>112450</v>
      </c>
      <c r="H1266" s="327">
        <f>SUM(H1261:H1265)</f>
        <v>1572</v>
      </c>
      <c r="I1266" s="351" t="str">
        <f>IFERROR(F1266/#REF!,"-")</f>
        <v>-</v>
      </c>
      <c r="J1266" s="326">
        <f>SUM(J1261:J1265)</f>
        <v>2493201</v>
      </c>
      <c r="K1266" s="327">
        <f>SUM(K1261:K1265)</f>
        <v>2387910</v>
      </c>
      <c r="L1266" s="328">
        <f>SUM(L1261:L1265)</f>
        <v>105291</v>
      </c>
      <c r="M1266" s="345" t="str">
        <f>IFERROR(J1266/D1266,"-")</f>
        <v>-</v>
      </c>
      <c r="N1266" s="351">
        <f t="shared" si="1132"/>
        <v>4.2231252113247186E-2</v>
      </c>
      <c r="O1266" s="397"/>
      <c r="P1266" s="412">
        <f>SUM(P1261:P1265)</f>
        <v>667093.21500000008</v>
      </c>
      <c r="Q1266" s="431">
        <f>SUM(Q1261:Q1265)</f>
        <v>13685886.219000001</v>
      </c>
    </row>
    <row r="1267" spans="1:17" ht="23.4" x14ac:dyDescent="0.3">
      <c r="A1267" s="277" t="s">
        <v>111</v>
      </c>
      <c r="B1267" s="445"/>
      <c r="C1267" s="272" t="s">
        <v>270</v>
      </c>
      <c r="D1267" s="273"/>
      <c r="E1267" s="274"/>
      <c r="F1267" s="338">
        <f t="shared" ref="F1267:F1273" si="1133">+G1267+H1267</f>
        <v>0</v>
      </c>
      <c r="G1267" s="275">
        <v>0</v>
      </c>
      <c r="H1267" s="275">
        <v>0</v>
      </c>
      <c r="I1267" s="357" t="str">
        <f>IFERROR(F1267/#REF!,"-")</f>
        <v>-</v>
      </c>
      <c r="J1267" s="338">
        <f t="shared" ref="J1267:J1273" si="1134">+K1267+L1267</f>
        <v>81080</v>
      </c>
      <c r="K1267" s="275">
        <f t="shared" ref="K1267:K1273" si="1135">+G1267+K1207</f>
        <v>74874</v>
      </c>
      <c r="L1267" s="276">
        <f t="shared" ref="L1267:L1273" si="1136">+H1267+L1207</f>
        <v>6206</v>
      </c>
      <c r="M1267" s="342" t="str">
        <f t="shared" ref="M1267:M1275" si="1137">IFERROR(J1267/D1267,"-")</f>
        <v>-</v>
      </c>
      <c r="N1267" s="352">
        <f t="shared" si="1132"/>
        <v>7.6541687222496296E-2</v>
      </c>
      <c r="O1267" s="518">
        <v>18.2316</v>
      </c>
      <c r="P1267" s="408">
        <f t="shared" ref="P1267:P1273" si="1138">+O1267*G1267</f>
        <v>0</v>
      </c>
      <c r="Q1267" s="457">
        <f t="shared" ref="Q1267:Q1273" si="1139">+O1267*K1267</f>
        <v>1365072.8184</v>
      </c>
    </row>
    <row r="1268" spans="1:17" ht="23.4" x14ac:dyDescent="0.3">
      <c r="A1268" s="277" t="s">
        <v>111</v>
      </c>
      <c r="B1268" s="444"/>
      <c r="C1268" s="278" t="s">
        <v>92</v>
      </c>
      <c r="D1268" s="279"/>
      <c r="E1268" s="280"/>
      <c r="F1268" s="339">
        <f t="shared" si="1133"/>
        <v>0</v>
      </c>
      <c r="G1268" s="281">
        <v>0</v>
      </c>
      <c r="H1268" s="281">
        <v>0</v>
      </c>
      <c r="I1268" s="358" t="str">
        <f>IFERROR(F1268/#REF!,"-")</f>
        <v>-</v>
      </c>
      <c r="J1268" s="339">
        <f t="shared" si="1134"/>
        <v>480000</v>
      </c>
      <c r="K1268" s="281">
        <f t="shared" si="1135"/>
        <v>480000</v>
      </c>
      <c r="L1268" s="251">
        <f t="shared" si="1136"/>
        <v>0</v>
      </c>
      <c r="M1268" s="343" t="str">
        <f t="shared" si="1137"/>
        <v>-</v>
      </c>
      <c r="N1268" s="264">
        <f t="shared" si="1132"/>
        <v>0</v>
      </c>
      <c r="O1268" s="519">
        <v>1.2824</v>
      </c>
      <c r="P1268" s="410">
        <f t="shared" si="1138"/>
        <v>0</v>
      </c>
      <c r="Q1268" s="459">
        <f t="shared" si="1139"/>
        <v>615552</v>
      </c>
    </row>
    <row r="1269" spans="1:17" ht="23.4" x14ac:dyDescent="0.3">
      <c r="A1269" s="277" t="s">
        <v>111</v>
      </c>
      <c r="B1269" s="444"/>
      <c r="C1269" s="278" t="s">
        <v>340</v>
      </c>
      <c r="D1269" s="279"/>
      <c r="E1269" s="280"/>
      <c r="F1269" s="339">
        <f t="shared" si="1133"/>
        <v>0</v>
      </c>
      <c r="G1269" s="281">
        <v>0</v>
      </c>
      <c r="H1269" s="281">
        <v>0</v>
      </c>
      <c r="I1269" s="358" t="str">
        <f>IFERROR(F1269/#REF!,"-")</f>
        <v>-</v>
      </c>
      <c r="J1269" s="339">
        <f t="shared" si="1134"/>
        <v>0</v>
      </c>
      <c r="K1269" s="281">
        <f t="shared" si="1135"/>
        <v>0</v>
      </c>
      <c r="L1269" s="251">
        <f t="shared" si="1136"/>
        <v>0</v>
      </c>
      <c r="M1269" s="343" t="str">
        <f t="shared" si="1137"/>
        <v>-</v>
      </c>
      <c r="N1269" s="264" t="str">
        <f t="shared" si="1132"/>
        <v>-</v>
      </c>
      <c r="O1269" s="519">
        <v>5.7342000000000004</v>
      </c>
      <c r="P1269" s="410">
        <f t="shared" si="1138"/>
        <v>0</v>
      </c>
      <c r="Q1269" s="459">
        <f t="shared" si="1139"/>
        <v>0</v>
      </c>
    </row>
    <row r="1270" spans="1:17" ht="23.4" x14ac:dyDescent="0.3">
      <c r="A1270" s="277" t="s">
        <v>111</v>
      </c>
      <c r="B1270" s="444"/>
      <c r="C1270" s="278" t="s">
        <v>363</v>
      </c>
      <c r="D1270" s="279"/>
      <c r="E1270" s="280"/>
      <c r="F1270" s="339">
        <f t="shared" si="1133"/>
        <v>0</v>
      </c>
      <c r="G1270" s="281">
        <v>0</v>
      </c>
      <c r="H1270" s="281">
        <v>0</v>
      </c>
      <c r="I1270" s="358" t="str">
        <f>IFERROR(F1270/#REF!,"-")</f>
        <v>-</v>
      </c>
      <c r="J1270" s="339">
        <f t="shared" si="1134"/>
        <v>0</v>
      </c>
      <c r="K1270" s="281">
        <f t="shared" si="1135"/>
        <v>0</v>
      </c>
      <c r="L1270" s="251">
        <f t="shared" si="1136"/>
        <v>0</v>
      </c>
      <c r="M1270" s="343" t="str">
        <f t="shared" si="1137"/>
        <v>-</v>
      </c>
      <c r="N1270" s="264" t="str">
        <f t="shared" si="1132"/>
        <v>-</v>
      </c>
      <c r="O1270" s="519"/>
      <c r="P1270" s="410">
        <f t="shared" si="1138"/>
        <v>0</v>
      </c>
      <c r="Q1270" s="459">
        <f t="shared" si="1139"/>
        <v>0</v>
      </c>
    </row>
    <row r="1271" spans="1:17" ht="23.4" x14ac:dyDescent="0.3">
      <c r="A1271" s="277" t="s">
        <v>111</v>
      </c>
      <c r="B1271" s="444"/>
      <c r="C1271" s="278" t="s">
        <v>373</v>
      </c>
      <c r="D1271" s="279"/>
      <c r="E1271" s="280"/>
      <c r="F1271" s="339">
        <f t="shared" si="1133"/>
        <v>18072</v>
      </c>
      <c r="G1271" s="281">
        <v>18000</v>
      </c>
      <c r="H1271" s="281">
        <v>72</v>
      </c>
      <c r="I1271" s="358" t="str">
        <f>IFERROR(F1271/#REF!,"-")</f>
        <v>-</v>
      </c>
      <c r="J1271" s="339">
        <f t="shared" si="1134"/>
        <v>443928</v>
      </c>
      <c r="K1271" s="281">
        <f t="shared" si="1135"/>
        <v>442000</v>
      </c>
      <c r="L1271" s="251">
        <f t="shared" si="1136"/>
        <v>1928</v>
      </c>
      <c r="M1271" s="343" t="str">
        <f t="shared" si="1137"/>
        <v>-</v>
      </c>
      <c r="N1271" s="264">
        <f t="shared" si="1132"/>
        <v>4.3430466201726404E-3</v>
      </c>
      <c r="O1271" s="519">
        <v>12.029500000000001</v>
      </c>
      <c r="P1271" s="410">
        <f t="shared" si="1138"/>
        <v>216531</v>
      </c>
      <c r="Q1271" s="459">
        <f t="shared" si="1139"/>
        <v>5317039</v>
      </c>
    </row>
    <row r="1272" spans="1:17" ht="23.4" x14ac:dyDescent="0.3">
      <c r="A1272" s="277" t="s">
        <v>111</v>
      </c>
      <c r="B1272" s="444"/>
      <c r="C1272" s="278"/>
      <c r="D1272" s="279"/>
      <c r="E1272" s="280"/>
      <c r="F1272" s="339">
        <f t="shared" si="1133"/>
        <v>0</v>
      </c>
      <c r="G1272" s="281">
        <v>0</v>
      </c>
      <c r="H1272" s="281">
        <v>0</v>
      </c>
      <c r="I1272" s="358" t="str">
        <f>IFERROR(F1272/#REF!,"-")</f>
        <v>-</v>
      </c>
      <c r="J1272" s="339">
        <f t="shared" si="1134"/>
        <v>0</v>
      </c>
      <c r="K1272" s="281">
        <f t="shared" si="1135"/>
        <v>0</v>
      </c>
      <c r="L1272" s="251">
        <f t="shared" si="1136"/>
        <v>0</v>
      </c>
      <c r="M1272" s="343" t="str">
        <f t="shared" si="1137"/>
        <v>-</v>
      </c>
      <c r="N1272" s="264" t="str">
        <f t="shared" si="1132"/>
        <v>-</v>
      </c>
      <c r="O1272" s="519"/>
      <c r="P1272" s="410">
        <f t="shared" si="1138"/>
        <v>0</v>
      </c>
      <c r="Q1272" s="459">
        <f t="shared" si="1139"/>
        <v>0</v>
      </c>
    </row>
    <row r="1273" spans="1:17" ht="24" thickBot="1" x14ac:dyDescent="0.35">
      <c r="A1273" s="277" t="s">
        <v>111</v>
      </c>
      <c r="B1273" s="461"/>
      <c r="C1273" s="282"/>
      <c r="D1273" s="283">
        <v>0</v>
      </c>
      <c r="E1273" s="284"/>
      <c r="F1273" s="340">
        <f t="shared" si="1133"/>
        <v>0</v>
      </c>
      <c r="G1273" s="285">
        <v>0</v>
      </c>
      <c r="H1273" s="285">
        <v>0</v>
      </c>
      <c r="I1273" s="359" t="str">
        <f>IFERROR(F1273/#REF!,"-")</f>
        <v>-</v>
      </c>
      <c r="J1273" s="340">
        <f t="shared" si="1134"/>
        <v>0</v>
      </c>
      <c r="K1273" s="285">
        <f t="shared" si="1135"/>
        <v>0</v>
      </c>
      <c r="L1273" s="286">
        <f t="shared" si="1136"/>
        <v>0</v>
      </c>
      <c r="M1273" s="344" t="str">
        <f t="shared" si="1137"/>
        <v>-</v>
      </c>
      <c r="N1273" s="353" t="str">
        <f t="shared" si="1132"/>
        <v>-</v>
      </c>
      <c r="O1273" s="520"/>
      <c r="P1273" s="411">
        <f t="shared" si="1138"/>
        <v>0</v>
      </c>
      <c r="Q1273" s="460">
        <f t="shared" si="1139"/>
        <v>0</v>
      </c>
    </row>
    <row r="1274" spans="1:17" ht="24" thickBot="1" x14ac:dyDescent="0.35">
      <c r="A1274" s="277" t="s">
        <v>111</v>
      </c>
      <c r="B1274" s="906" t="s">
        <v>25</v>
      </c>
      <c r="C1274" s="907"/>
      <c r="D1274" s="326">
        <f t="shared" ref="D1274" si="1140">SUM(D1267:D1273)</f>
        <v>0</v>
      </c>
      <c r="E1274" s="289">
        <v>100000</v>
      </c>
      <c r="F1274" s="326">
        <f>SUM(F1267:F1273)</f>
        <v>18072</v>
      </c>
      <c r="G1274" s="327">
        <f t="shared" ref="G1274:H1274" si="1141">SUM(G1267:G1273)</f>
        <v>18000</v>
      </c>
      <c r="H1274" s="327">
        <f t="shared" si="1141"/>
        <v>72</v>
      </c>
      <c r="I1274" s="351" t="str">
        <f>IFERROR(F1274/#REF!,"-")</f>
        <v>-</v>
      </c>
      <c r="J1274" s="326">
        <f t="shared" ref="J1274:L1274" si="1142">SUM(J1267:J1273)</f>
        <v>1005008</v>
      </c>
      <c r="K1274" s="327">
        <f t="shared" si="1142"/>
        <v>996874</v>
      </c>
      <c r="L1274" s="328">
        <f t="shared" si="1142"/>
        <v>8134</v>
      </c>
      <c r="M1274" s="345" t="str">
        <f t="shared" si="1137"/>
        <v>-</v>
      </c>
      <c r="N1274" s="351">
        <f t="shared" si="1132"/>
        <v>8.0934679126932318E-3</v>
      </c>
      <c r="O1274" s="397"/>
      <c r="P1274" s="412">
        <f t="shared" ref="P1274:Q1274" si="1143">SUM(P1267:P1273)</f>
        <v>216531</v>
      </c>
      <c r="Q1274" s="431">
        <f t="shared" si="1143"/>
        <v>7297663.8184000002</v>
      </c>
    </row>
    <row r="1275" spans="1:17" ht="24" thickBot="1" x14ac:dyDescent="0.35">
      <c r="A1275" s="277" t="s">
        <v>111</v>
      </c>
      <c r="B1275" s="985" t="s">
        <v>181</v>
      </c>
      <c r="C1275" s="986"/>
      <c r="D1275" s="332">
        <f>+D1266+D1274</f>
        <v>0</v>
      </c>
      <c r="E1275" s="333">
        <f t="shared" ref="E1275:H1275" si="1144">+E1266+E1274</f>
        <v>115000</v>
      </c>
      <c r="F1275" s="332">
        <f t="shared" si="1144"/>
        <v>132094</v>
      </c>
      <c r="G1275" s="330">
        <f t="shared" si="1144"/>
        <v>130450</v>
      </c>
      <c r="H1275" s="330">
        <f t="shared" si="1144"/>
        <v>1644</v>
      </c>
      <c r="I1275" s="355" t="str">
        <f>IFERROR(F1275/#REF!,"-")</f>
        <v>-</v>
      </c>
      <c r="J1275" s="332">
        <f t="shared" ref="J1275:L1275" si="1145">+J1266+J1274</f>
        <v>3498209</v>
      </c>
      <c r="K1275" s="330">
        <f t="shared" si="1145"/>
        <v>3384784</v>
      </c>
      <c r="L1275" s="331">
        <f t="shared" si="1145"/>
        <v>113425</v>
      </c>
      <c r="M1275" s="347" t="str">
        <f t="shared" si="1137"/>
        <v>-</v>
      </c>
      <c r="N1275" s="355">
        <f t="shared" si="1132"/>
        <v>3.24237345453059E-2</v>
      </c>
      <c r="O1275" s="400"/>
      <c r="P1275" s="416">
        <f t="shared" ref="P1275:Q1275" si="1146">+P1266+P1274</f>
        <v>883624.21500000008</v>
      </c>
      <c r="Q1275" s="434">
        <f t="shared" si="1146"/>
        <v>20983550.0374</v>
      </c>
    </row>
    <row r="1276" spans="1:17" ht="23.4" x14ac:dyDescent="0.3">
      <c r="A1276" s="244" t="s">
        <v>109</v>
      </c>
      <c r="B1276" s="599"/>
      <c r="C1276" s="600" t="s">
        <v>314</v>
      </c>
      <c r="D1276" s="540"/>
      <c r="E1276" s="470"/>
      <c r="F1276" s="468">
        <f>+G1276+H1276</f>
        <v>0</v>
      </c>
      <c r="G1276" s="469">
        <v>0</v>
      </c>
      <c r="H1276" s="469">
        <v>0</v>
      </c>
      <c r="I1276" s="544" t="str">
        <f>IFERROR(F1276/#REF!,"-")</f>
        <v>-</v>
      </c>
      <c r="J1276" s="468">
        <f>+K1276+L1276</f>
        <v>0</v>
      </c>
      <c r="K1276" s="469">
        <f t="shared" ref="K1276:K1282" si="1147">+G1276+K1216</f>
        <v>0</v>
      </c>
      <c r="L1276" s="247">
        <f t="shared" ref="L1276:L1282" si="1148">+H1276+L1216</f>
        <v>0</v>
      </c>
      <c r="M1276" s="604" t="str">
        <f>IFERROR(J1276/D1276,"-")</f>
        <v>-</v>
      </c>
      <c r="N1276" s="546" t="str">
        <f t="shared" si="1132"/>
        <v>-</v>
      </c>
      <c r="O1276" s="648">
        <v>4.8285999999999998</v>
      </c>
      <c r="P1276" s="547">
        <f t="shared" ref="P1276:P1282" si="1149">+O1276*G1276</f>
        <v>0</v>
      </c>
      <c r="Q1276" s="548">
        <f>+O1276*K1276</f>
        <v>0</v>
      </c>
    </row>
    <row r="1277" spans="1:17" ht="23.4" x14ac:dyDescent="0.3">
      <c r="A1277" s="248" t="s">
        <v>109</v>
      </c>
      <c r="B1277" s="601"/>
      <c r="C1277" s="278" t="s">
        <v>315</v>
      </c>
      <c r="D1277" s="279"/>
      <c r="E1277" s="442"/>
      <c r="F1277" s="339">
        <f t="shared" ref="F1277:F1282" si="1150">+G1277+H1277</f>
        <v>0</v>
      </c>
      <c r="G1277" s="281">
        <v>0</v>
      </c>
      <c r="H1277" s="281">
        <v>0</v>
      </c>
      <c r="I1277" s="358" t="str">
        <f>IFERROR(F1277/#REF!,"-")</f>
        <v>-</v>
      </c>
      <c r="J1277" s="339">
        <f t="shared" ref="J1277:J1282" si="1151">+K1277+L1277</f>
        <v>0</v>
      </c>
      <c r="K1277" s="281">
        <f t="shared" si="1147"/>
        <v>0</v>
      </c>
      <c r="L1277" s="251">
        <f t="shared" si="1148"/>
        <v>0</v>
      </c>
      <c r="M1277" s="343" t="str">
        <f t="shared" ref="M1277:M1279" si="1152">IFERROR(J1277/D1277,"-")</f>
        <v>-</v>
      </c>
      <c r="N1277" s="268" t="str">
        <f t="shared" si="1132"/>
        <v>-</v>
      </c>
      <c r="O1277" s="649">
        <v>1.4086000000000001</v>
      </c>
      <c r="P1277" s="410">
        <f t="shared" si="1149"/>
        <v>0</v>
      </c>
      <c r="Q1277" s="459">
        <f t="shared" ref="Q1277:Q1282" si="1153">+O1277*K1277</f>
        <v>0</v>
      </c>
    </row>
    <row r="1278" spans="1:17" ht="23.4" x14ac:dyDescent="0.3">
      <c r="A1278" s="248" t="s">
        <v>109</v>
      </c>
      <c r="B1278" s="601"/>
      <c r="C1278" s="278" t="s">
        <v>367</v>
      </c>
      <c r="D1278" s="279"/>
      <c r="E1278" s="442"/>
      <c r="F1278" s="339">
        <f t="shared" si="1150"/>
        <v>0</v>
      </c>
      <c r="G1278" s="281">
        <v>0</v>
      </c>
      <c r="H1278" s="281">
        <v>0</v>
      </c>
      <c r="I1278" s="358" t="str">
        <f>IFERROR(F1278/#REF!,"-")</f>
        <v>-</v>
      </c>
      <c r="J1278" s="339">
        <f t="shared" si="1151"/>
        <v>573613</v>
      </c>
      <c r="K1278" s="281">
        <f t="shared" si="1147"/>
        <v>566000</v>
      </c>
      <c r="L1278" s="251">
        <f t="shared" si="1148"/>
        <v>7613</v>
      </c>
      <c r="M1278" s="343" t="str">
        <f t="shared" si="1152"/>
        <v>-</v>
      </c>
      <c r="N1278" s="268">
        <f>IFERROR(L1278/J1278,"-")</f>
        <v>1.3272014406925924E-2</v>
      </c>
      <c r="O1278" s="649">
        <v>2.2141000000000002</v>
      </c>
      <c r="P1278" s="410">
        <f t="shared" si="1149"/>
        <v>0</v>
      </c>
      <c r="Q1278" s="459">
        <f t="shared" si="1153"/>
        <v>1253180.6000000001</v>
      </c>
    </row>
    <row r="1279" spans="1:17" ht="23.4" x14ac:dyDescent="0.3">
      <c r="A1279" s="248" t="s">
        <v>109</v>
      </c>
      <c r="B1279" s="602"/>
      <c r="C1279" s="278" t="s">
        <v>436</v>
      </c>
      <c r="D1279" s="283"/>
      <c r="E1279" s="541"/>
      <c r="F1279" s="340">
        <f t="shared" si="1150"/>
        <v>0</v>
      </c>
      <c r="G1279" s="285">
        <v>0</v>
      </c>
      <c r="H1279" s="285">
        <v>0</v>
      </c>
      <c r="I1279" s="359" t="str">
        <f>IFERROR(F1279/#REF!,"-")</f>
        <v>-</v>
      </c>
      <c r="J1279" s="339">
        <f t="shared" si="1151"/>
        <v>40882</v>
      </c>
      <c r="K1279" s="285">
        <f t="shared" si="1147"/>
        <v>40000</v>
      </c>
      <c r="L1279" s="286">
        <f t="shared" si="1148"/>
        <v>882</v>
      </c>
      <c r="M1279" s="344" t="str">
        <f t="shared" si="1152"/>
        <v>-</v>
      </c>
      <c r="N1279" s="350">
        <f t="shared" ref="N1279:N1286" si="1154">IFERROR(L1279/J1279,"-")</f>
        <v>2.157428697226163E-2</v>
      </c>
      <c r="O1279" s="650">
        <v>2.4565999999999999</v>
      </c>
      <c r="P1279" s="411">
        <f t="shared" si="1149"/>
        <v>0</v>
      </c>
      <c r="Q1279" s="460">
        <f t="shared" si="1153"/>
        <v>98264</v>
      </c>
    </row>
    <row r="1280" spans="1:17" ht="23.4" x14ac:dyDescent="0.3">
      <c r="A1280" s="248" t="s">
        <v>109</v>
      </c>
      <c r="B1280" s="446"/>
      <c r="C1280" s="647" t="s">
        <v>444</v>
      </c>
      <c r="D1280" s="521"/>
      <c r="E1280" s="542"/>
      <c r="F1280" s="339">
        <f t="shared" si="1150"/>
        <v>0</v>
      </c>
      <c r="G1280" s="561">
        <v>0</v>
      </c>
      <c r="H1280" s="561">
        <v>0</v>
      </c>
      <c r="I1280" s="358" t="str">
        <f>IFERROR(F1280/#REF!,"-")</f>
        <v>-</v>
      </c>
      <c r="J1280" s="339">
        <f t="shared" si="1151"/>
        <v>16280</v>
      </c>
      <c r="K1280" s="285">
        <f t="shared" si="1147"/>
        <v>15000</v>
      </c>
      <c r="L1280" s="286">
        <f t="shared" si="1148"/>
        <v>1280</v>
      </c>
      <c r="M1280" s="522"/>
      <c r="N1280" s="268">
        <f t="shared" si="1154"/>
        <v>7.8624078624078622E-2</v>
      </c>
      <c r="O1280" s="553">
        <v>4.8285999999999998</v>
      </c>
      <c r="P1280" s="410">
        <f t="shared" si="1149"/>
        <v>0</v>
      </c>
      <c r="Q1280" s="459">
        <f t="shared" si="1153"/>
        <v>72429</v>
      </c>
    </row>
    <row r="1281" spans="1:17" ht="23.4" x14ac:dyDescent="0.3">
      <c r="A1281" s="248" t="s">
        <v>109</v>
      </c>
      <c r="B1281" s="603"/>
      <c r="C1281" s="647" t="s">
        <v>439</v>
      </c>
      <c r="D1281" s="273"/>
      <c r="E1281" s="441"/>
      <c r="F1281" s="338">
        <f t="shared" si="1150"/>
        <v>0</v>
      </c>
      <c r="G1281" s="275">
        <v>0</v>
      </c>
      <c r="H1281" s="275">
        <v>0</v>
      </c>
      <c r="I1281" s="357" t="str">
        <f>IFERROR(F1281/#REF!,"-")</f>
        <v>-</v>
      </c>
      <c r="J1281" s="339">
        <f t="shared" si="1151"/>
        <v>273737</v>
      </c>
      <c r="K1281" s="285">
        <f t="shared" si="1147"/>
        <v>264250</v>
      </c>
      <c r="L1281" s="286">
        <f t="shared" si="1148"/>
        <v>9487</v>
      </c>
      <c r="M1281" s="342" t="str">
        <f t="shared" ref="M1281:M1282" si="1155">IFERROR(J1281/D1281,"-")</f>
        <v>-</v>
      </c>
      <c r="N1281" s="352">
        <f t="shared" si="1154"/>
        <v>3.4657353591220769E-2</v>
      </c>
      <c r="O1281" s="518">
        <v>4.1712999999999996</v>
      </c>
      <c r="P1281" s="408">
        <f t="shared" si="1149"/>
        <v>0</v>
      </c>
      <c r="Q1281" s="457">
        <f t="shared" si="1153"/>
        <v>1102266.0249999999</v>
      </c>
    </row>
    <row r="1282" spans="1:17" ht="24" thickBot="1" x14ac:dyDescent="0.35">
      <c r="A1282" s="248" t="s">
        <v>109</v>
      </c>
      <c r="B1282" s="601"/>
      <c r="C1282" s="278"/>
      <c r="D1282" s="279"/>
      <c r="E1282" s="442"/>
      <c r="F1282" s="339">
        <f t="shared" si="1150"/>
        <v>0</v>
      </c>
      <c r="G1282" s="281"/>
      <c r="H1282" s="281"/>
      <c r="I1282" s="358" t="str">
        <f>IFERROR(F1282/#REF!,"-")</f>
        <v>-</v>
      </c>
      <c r="J1282" s="339">
        <f t="shared" si="1151"/>
        <v>0</v>
      </c>
      <c r="K1282" s="281">
        <f t="shared" si="1147"/>
        <v>0</v>
      </c>
      <c r="L1282" s="251">
        <f t="shared" si="1148"/>
        <v>0</v>
      </c>
      <c r="M1282" s="343" t="str">
        <f t="shared" si="1155"/>
        <v>-</v>
      </c>
      <c r="N1282" s="264" t="str">
        <f t="shared" si="1154"/>
        <v>-</v>
      </c>
      <c r="O1282" s="458"/>
      <c r="P1282" s="410">
        <f t="shared" si="1149"/>
        <v>0</v>
      </c>
      <c r="Q1282" s="459">
        <f t="shared" si="1153"/>
        <v>0</v>
      </c>
    </row>
    <row r="1283" spans="1:17" ht="24" thickBot="1" x14ac:dyDescent="0.35">
      <c r="A1283" s="277" t="s">
        <v>109</v>
      </c>
      <c r="B1283" s="987" t="s">
        <v>21</v>
      </c>
      <c r="C1283" s="925"/>
      <c r="D1283" s="326">
        <v>0</v>
      </c>
      <c r="E1283" s="289">
        <v>15000</v>
      </c>
      <c r="F1283" s="326">
        <f>SUM(F1276:F1282)</f>
        <v>0</v>
      </c>
      <c r="G1283" s="327">
        <f t="shared" ref="G1283:H1283" si="1156">SUM(G1276:G1282)</f>
        <v>0</v>
      </c>
      <c r="H1283" s="327">
        <f t="shared" si="1156"/>
        <v>0</v>
      </c>
      <c r="I1283" s="351" t="str">
        <f>IFERROR(F1283/#REF!,"-")</f>
        <v>-</v>
      </c>
      <c r="J1283" s="326">
        <f t="shared" ref="J1283" si="1157">SUM(J1276:J1282)</f>
        <v>904512</v>
      </c>
      <c r="K1283" s="327">
        <f>SUM(K1276:K1282)</f>
        <v>885250</v>
      </c>
      <c r="L1283" s="327">
        <f>SUM(L1276:L1282)</f>
        <v>19262</v>
      </c>
      <c r="M1283" s="345" t="str">
        <f>IFERROR(J1283/D1283,"-")</f>
        <v>-</v>
      </c>
      <c r="N1283" s="351">
        <f t="shared" si="1154"/>
        <v>2.1295460977853252E-2</v>
      </c>
      <c r="O1283" s="397"/>
      <c r="P1283" s="412">
        <f>SUM(P1276:P1282)</f>
        <v>0</v>
      </c>
      <c r="Q1283" s="431">
        <f>SUM(Q1276:Q1282)</f>
        <v>2526139.625</v>
      </c>
    </row>
    <row r="1284" spans="1:17" ht="24" thickBot="1" x14ac:dyDescent="0.35">
      <c r="A1284" s="277" t="s">
        <v>109</v>
      </c>
      <c r="B1284" s="988" t="s">
        <v>275</v>
      </c>
      <c r="C1284" s="989"/>
      <c r="D1284" s="524">
        <f>+D1280+D1283</f>
        <v>0</v>
      </c>
      <c r="E1284" s="538">
        <f>+E1280+E1283</f>
        <v>15000</v>
      </c>
      <c r="F1284" s="524">
        <f>+F1280+F1283</f>
        <v>0</v>
      </c>
      <c r="G1284" s="526">
        <f>+G1280+G1283</f>
        <v>0</v>
      </c>
      <c r="H1284" s="526">
        <f>+H1280+H1283</f>
        <v>0</v>
      </c>
      <c r="I1284" s="527" t="str">
        <f>IFERROR(F1284/#REF!,"-")</f>
        <v>-</v>
      </c>
      <c r="J1284" s="524">
        <f>+J1280+J1283</f>
        <v>920792</v>
      </c>
      <c r="K1284" s="526">
        <f>+K1283</f>
        <v>885250</v>
      </c>
      <c r="L1284" s="526">
        <f>+L1283</f>
        <v>19262</v>
      </c>
      <c r="M1284" s="528" t="str">
        <f t="shared" ref="M1284" si="1158">IFERROR(J1284/D1284,"-")</f>
        <v>-</v>
      </c>
      <c r="N1284" s="527">
        <f t="shared" si="1154"/>
        <v>2.091894803603854E-2</v>
      </c>
      <c r="O1284" s="529"/>
      <c r="P1284" s="530">
        <f>+P1283</f>
        <v>0</v>
      </c>
      <c r="Q1284" s="530">
        <f>+Q1283</f>
        <v>2526139.625</v>
      </c>
    </row>
    <row r="1285" spans="1:17" ht="23.4" x14ac:dyDescent="0.4">
      <c r="A1285" s="244" t="s">
        <v>109</v>
      </c>
      <c r="B1285" s="979" t="s">
        <v>277</v>
      </c>
      <c r="C1285" s="555" t="s">
        <v>74</v>
      </c>
      <c r="D1285" s="540"/>
      <c r="E1285" s="470"/>
      <c r="F1285" s="468">
        <f>+G1285+H1285</f>
        <v>0</v>
      </c>
      <c r="G1285" s="469">
        <v>0</v>
      </c>
      <c r="H1285" s="469">
        <v>0</v>
      </c>
      <c r="I1285" s="544" t="str">
        <f>IFERROR(F1285/#REF!,"-")</f>
        <v>-</v>
      </c>
      <c r="J1285" s="468">
        <f>+K1285+L1285</f>
        <v>61721</v>
      </c>
      <c r="K1285" s="469">
        <f t="shared" ref="K1285:K1314" si="1159">+G1285+K1225</f>
        <v>61660</v>
      </c>
      <c r="L1285" s="246">
        <f t="shared" ref="L1285:L1314" si="1160">+H1285+L1225</f>
        <v>61</v>
      </c>
      <c r="M1285" s="263" t="str">
        <f>IFERROR(J1285/D1285,"-")</f>
        <v>-</v>
      </c>
      <c r="N1285" s="546">
        <f t="shared" si="1154"/>
        <v>9.8831840054438517E-4</v>
      </c>
      <c r="O1285" s="551">
        <v>32.946300000000001</v>
      </c>
      <c r="P1285" s="547">
        <f t="shared" ref="P1285:P1314" si="1161">+O1285*G1285</f>
        <v>0</v>
      </c>
      <c r="Q1285" s="548">
        <f t="shared" ref="Q1285:Q1314" si="1162">+O1285*K1285</f>
        <v>2031468.858</v>
      </c>
    </row>
    <row r="1286" spans="1:17" ht="23.4" x14ac:dyDescent="0.4">
      <c r="A1286" s="248" t="s">
        <v>109</v>
      </c>
      <c r="B1286" s="980"/>
      <c r="C1286" s="556" t="s">
        <v>75</v>
      </c>
      <c r="D1286" s="523"/>
      <c r="E1286" s="442"/>
      <c r="F1286" s="339">
        <f t="shared" ref="F1286:F1314" si="1163">+G1286+H1286</f>
        <v>0</v>
      </c>
      <c r="G1286" s="281">
        <v>0</v>
      </c>
      <c r="H1286" s="281">
        <v>0</v>
      </c>
      <c r="I1286" s="358" t="str">
        <f>IFERROR(F1286/#REF!,"-")</f>
        <v>-</v>
      </c>
      <c r="J1286" s="339">
        <f t="shared" ref="J1286:J1314" si="1164">+K1286+L1286</f>
        <v>0</v>
      </c>
      <c r="K1286" s="281">
        <f t="shared" si="1159"/>
        <v>0</v>
      </c>
      <c r="L1286" s="250">
        <f t="shared" si="1160"/>
        <v>0</v>
      </c>
      <c r="M1286" s="265" t="str">
        <f t="shared" ref="M1286:M1288" si="1165">IFERROR(J1286/D1286,"-")</f>
        <v>-</v>
      </c>
      <c r="N1286" s="268" t="str">
        <f t="shared" si="1154"/>
        <v>-</v>
      </c>
      <c r="O1286" s="519">
        <v>35.398400000000002</v>
      </c>
      <c r="P1286" s="410">
        <f t="shared" si="1161"/>
        <v>0</v>
      </c>
      <c r="Q1286" s="459">
        <f t="shared" si="1162"/>
        <v>0</v>
      </c>
    </row>
    <row r="1287" spans="1:17" ht="24" thickBot="1" x14ac:dyDescent="0.45">
      <c r="A1287" s="248" t="s">
        <v>109</v>
      </c>
      <c r="B1287" s="980"/>
      <c r="C1287" s="556" t="s">
        <v>76</v>
      </c>
      <c r="D1287" s="279"/>
      <c r="E1287" s="442"/>
      <c r="F1287" s="339">
        <f t="shared" si="1163"/>
        <v>0</v>
      </c>
      <c r="G1287" s="281">
        <v>0</v>
      </c>
      <c r="H1287" s="281">
        <v>0</v>
      </c>
      <c r="I1287" s="358" t="str">
        <f>IFERROR(F1287/#REF!,"-")</f>
        <v>-</v>
      </c>
      <c r="J1287" s="339">
        <f t="shared" si="1164"/>
        <v>10000</v>
      </c>
      <c r="K1287" s="281">
        <f t="shared" si="1159"/>
        <v>10000</v>
      </c>
      <c r="L1287" s="250">
        <f t="shared" si="1160"/>
        <v>0</v>
      </c>
      <c r="M1287" s="265" t="str">
        <f t="shared" si="1165"/>
        <v>-</v>
      </c>
      <c r="N1287" s="268">
        <f>IFERROR(L1287/J1287,"-")</f>
        <v>0</v>
      </c>
      <c r="O1287" s="519">
        <v>32.946300000000001</v>
      </c>
      <c r="P1287" s="410">
        <f t="shared" si="1161"/>
        <v>0</v>
      </c>
      <c r="Q1287" s="459">
        <f t="shared" si="1162"/>
        <v>329463</v>
      </c>
    </row>
    <row r="1288" spans="1:17" ht="23.4" x14ac:dyDescent="0.4">
      <c r="A1288" s="248" t="s">
        <v>109</v>
      </c>
      <c r="B1288" s="979" t="s">
        <v>278</v>
      </c>
      <c r="C1288" s="558" t="s">
        <v>78</v>
      </c>
      <c r="D1288" s="279"/>
      <c r="E1288" s="541"/>
      <c r="F1288" s="340">
        <f t="shared" si="1163"/>
        <v>0</v>
      </c>
      <c r="G1288" s="281">
        <v>0</v>
      </c>
      <c r="H1288" s="281">
        <v>0</v>
      </c>
      <c r="I1288" s="358" t="str">
        <f>IFERROR(F1288/#REF!,"-")</f>
        <v>-</v>
      </c>
      <c r="J1288" s="339">
        <f t="shared" si="1164"/>
        <v>9803</v>
      </c>
      <c r="K1288" s="281">
        <f t="shared" si="1159"/>
        <v>8225</v>
      </c>
      <c r="L1288" s="250">
        <f t="shared" si="1160"/>
        <v>1578</v>
      </c>
      <c r="M1288" s="265" t="str">
        <f t="shared" si="1165"/>
        <v>-</v>
      </c>
      <c r="N1288" s="268">
        <f t="shared" ref="N1288" si="1166">IFERROR(L1288/J1288,"-")</f>
        <v>0.16097113128634091</v>
      </c>
      <c r="O1288" s="519">
        <v>55.4758</v>
      </c>
      <c r="P1288" s="410">
        <f t="shared" si="1161"/>
        <v>0</v>
      </c>
      <c r="Q1288" s="459">
        <f t="shared" si="1162"/>
        <v>456288.45500000002</v>
      </c>
    </row>
    <row r="1289" spans="1:17" ht="23.4" x14ac:dyDescent="0.4">
      <c r="A1289" s="248" t="s">
        <v>109</v>
      </c>
      <c r="B1289" s="980"/>
      <c r="C1289" s="558" t="s">
        <v>75</v>
      </c>
      <c r="D1289" s="279"/>
      <c r="E1289" s="542"/>
      <c r="F1289" s="340">
        <f t="shared" si="1163"/>
        <v>0</v>
      </c>
      <c r="G1289" s="281">
        <v>0</v>
      </c>
      <c r="H1289" s="281">
        <v>0</v>
      </c>
      <c r="I1289" s="358" t="str">
        <f>IFERROR(F1289/#REF!,"-")</f>
        <v>-</v>
      </c>
      <c r="J1289" s="339">
        <f t="shared" si="1164"/>
        <v>5350</v>
      </c>
      <c r="K1289" s="281">
        <f t="shared" si="1159"/>
        <v>4150</v>
      </c>
      <c r="L1289" s="250">
        <f t="shared" si="1160"/>
        <v>1200</v>
      </c>
      <c r="M1289" s="522"/>
      <c r="N1289" s="378"/>
      <c r="O1289" s="553">
        <v>58.836300000000001</v>
      </c>
      <c r="P1289" s="410">
        <f t="shared" si="1161"/>
        <v>0</v>
      </c>
      <c r="Q1289" s="459">
        <f t="shared" si="1162"/>
        <v>244170.64500000002</v>
      </c>
    </row>
    <row r="1290" spans="1:17" ht="23.4" x14ac:dyDescent="0.4">
      <c r="A1290" s="248" t="s">
        <v>109</v>
      </c>
      <c r="B1290" s="980"/>
      <c r="C1290" s="558" t="s">
        <v>435</v>
      </c>
      <c r="D1290" s="279"/>
      <c r="E1290" s="441"/>
      <c r="F1290" s="340">
        <f t="shared" si="1163"/>
        <v>0</v>
      </c>
      <c r="G1290" s="281">
        <v>0</v>
      </c>
      <c r="H1290" s="281">
        <v>0</v>
      </c>
      <c r="I1290" s="358" t="str">
        <f>IFERROR(F1290/#REF!,"-")</f>
        <v>-</v>
      </c>
      <c r="J1290" s="339">
        <f t="shared" si="1164"/>
        <v>17944</v>
      </c>
      <c r="K1290" s="281">
        <f t="shared" si="1159"/>
        <v>15500</v>
      </c>
      <c r="L1290" s="250">
        <f t="shared" si="1160"/>
        <v>2444</v>
      </c>
      <c r="M1290" s="265" t="str">
        <f t="shared" ref="M1290" si="1167">IFERROR(J1290/D1290,"-")</f>
        <v>-</v>
      </c>
      <c r="N1290" s="264">
        <f t="shared" ref="N1290" si="1168">IFERROR(L1290/J1290,"-")</f>
        <v>0.13620151582701739</v>
      </c>
      <c r="O1290" s="519">
        <v>55.4758</v>
      </c>
      <c r="P1290" s="410">
        <f t="shared" si="1161"/>
        <v>0</v>
      </c>
      <c r="Q1290" s="459">
        <f t="shared" si="1162"/>
        <v>859874.9</v>
      </c>
    </row>
    <row r="1291" spans="1:17" ht="24" thickBot="1" x14ac:dyDescent="0.45">
      <c r="A1291" s="248"/>
      <c r="B1291" s="981"/>
      <c r="C1291" s="558" t="s">
        <v>471</v>
      </c>
      <c r="D1291" s="279"/>
      <c r="E1291" s="441"/>
      <c r="F1291" s="340">
        <f t="shared" si="1163"/>
        <v>5056</v>
      </c>
      <c r="G1291" s="281">
        <v>4800</v>
      </c>
      <c r="H1291" s="281">
        <v>256</v>
      </c>
      <c r="I1291" s="358"/>
      <c r="J1291" s="339">
        <f t="shared" si="1164"/>
        <v>26627</v>
      </c>
      <c r="K1291" s="281">
        <f t="shared" si="1159"/>
        <v>25340</v>
      </c>
      <c r="L1291" s="250">
        <f t="shared" si="1160"/>
        <v>1287</v>
      </c>
      <c r="M1291" s="265"/>
      <c r="N1291" s="264">
        <f>IFERROR(L1291/J1291,"-")</f>
        <v>4.8334397416156534E-2</v>
      </c>
      <c r="O1291" s="519">
        <v>55.4758</v>
      </c>
      <c r="P1291" s="410">
        <f t="shared" si="1161"/>
        <v>266283.84000000003</v>
      </c>
      <c r="Q1291" s="459">
        <f t="shared" si="1162"/>
        <v>1405756.7719999999</v>
      </c>
    </row>
    <row r="1292" spans="1:17" ht="23.4" x14ac:dyDescent="0.4">
      <c r="A1292" s="248" t="s">
        <v>109</v>
      </c>
      <c r="B1292" s="979" t="s">
        <v>79</v>
      </c>
      <c r="C1292" s="556" t="s">
        <v>80</v>
      </c>
      <c r="D1292" s="279"/>
      <c r="E1292" s="442"/>
      <c r="F1292" s="339">
        <f t="shared" si="1163"/>
        <v>3669</v>
      </c>
      <c r="G1292" s="281">
        <v>3660</v>
      </c>
      <c r="H1292" s="281">
        <v>9</v>
      </c>
      <c r="I1292" s="358" t="str">
        <f>IFERROR(F1292/#REF!,"-")</f>
        <v>-</v>
      </c>
      <c r="J1292" s="339">
        <f t="shared" si="1164"/>
        <v>26289</v>
      </c>
      <c r="K1292" s="281">
        <f t="shared" si="1159"/>
        <v>26101</v>
      </c>
      <c r="L1292" s="250">
        <f t="shared" si="1160"/>
        <v>188</v>
      </c>
      <c r="M1292" s="265" t="str">
        <f t="shared" ref="M1292:M1317" si="1169">IFERROR(J1292/D1292,"-")</f>
        <v>-</v>
      </c>
      <c r="N1292" s="264">
        <f t="shared" ref="N1292:N1316" si="1170">IFERROR(L1292/J1292,"-")</f>
        <v>7.1512800030430982E-3</v>
      </c>
      <c r="O1292" s="519">
        <v>25.687200000000001</v>
      </c>
      <c r="P1292" s="410">
        <f t="shared" si="1161"/>
        <v>94015.152000000002</v>
      </c>
      <c r="Q1292" s="459">
        <f t="shared" si="1162"/>
        <v>670461.60719999997</v>
      </c>
    </row>
    <row r="1293" spans="1:17" ht="24" thickBot="1" x14ac:dyDescent="0.45">
      <c r="A1293" s="248" t="s">
        <v>109</v>
      </c>
      <c r="B1293" s="981"/>
      <c r="C1293" s="556" t="s">
        <v>125</v>
      </c>
      <c r="D1293" s="279"/>
      <c r="E1293" s="442"/>
      <c r="F1293" s="339">
        <f t="shared" si="1163"/>
        <v>0</v>
      </c>
      <c r="G1293" s="281">
        <v>0</v>
      </c>
      <c r="H1293" s="281">
        <v>0</v>
      </c>
      <c r="I1293" s="358" t="str">
        <f>IFERROR(F1293/#REF!,"-")</f>
        <v>-</v>
      </c>
      <c r="J1293" s="339">
        <f t="shared" si="1164"/>
        <v>0</v>
      </c>
      <c r="K1293" s="281">
        <f t="shared" si="1159"/>
        <v>0</v>
      </c>
      <c r="L1293" s="250">
        <f t="shared" si="1160"/>
        <v>0</v>
      </c>
      <c r="M1293" s="265" t="str">
        <f t="shared" si="1169"/>
        <v>-</v>
      </c>
      <c r="N1293" s="264" t="str">
        <f t="shared" si="1170"/>
        <v>-</v>
      </c>
      <c r="O1293" s="519">
        <v>25.033899999999999</v>
      </c>
      <c r="P1293" s="410">
        <f t="shared" si="1161"/>
        <v>0</v>
      </c>
      <c r="Q1293" s="459">
        <f t="shared" si="1162"/>
        <v>0</v>
      </c>
    </row>
    <row r="1294" spans="1:17" ht="23.4" x14ac:dyDescent="0.4">
      <c r="A1294" s="248"/>
      <c r="B1294" s="979" t="s">
        <v>81</v>
      </c>
      <c r="C1294" s="556" t="s">
        <v>82</v>
      </c>
      <c r="D1294" s="279"/>
      <c r="E1294" s="442"/>
      <c r="F1294" s="339">
        <f t="shared" si="1163"/>
        <v>0</v>
      </c>
      <c r="G1294" s="281">
        <v>0</v>
      </c>
      <c r="H1294" s="281">
        <v>0</v>
      </c>
      <c r="I1294" s="358" t="str">
        <f>IFERROR(F1294/#REF!,"-")</f>
        <v>-</v>
      </c>
      <c r="J1294" s="339">
        <f t="shared" si="1164"/>
        <v>13702</v>
      </c>
      <c r="K1294" s="281">
        <f t="shared" si="1159"/>
        <v>13640</v>
      </c>
      <c r="L1294" s="250">
        <f t="shared" si="1160"/>
        <v>62</v>
      </c>
      <c r="M1294" s="265" t="str">
        <f t="shared" si="1169"/>
        <v>-</v>
      </c>
      <c r="N1294" s="264">
        <f t="shared" si="1170"/>
        <v>4.5248868778280547E-3</v>
      </c>
      <c r="O1294" s="519">
        <v>41.992699999999999</v>
      </c>
      <c r="P1294" s="410">
        <f t="shared" si="1161"/>
        <v>0</v>
      </c>
      <c r="Q1294" s="459">
        <f t="shared" si="1162"/>
        <v>572780.42799999996</v>
      </c>
    </row>
    <row r="1295" spans="1:17" ht="24" thickBot="1" x14ac:dyDescent="0.45">
      <c r="A1295" s="248"/>
      <c r="B1295" s="980"/>
      <c r="C1295" s="556" t="s">
        <v>364</v>
      </c>
      <c r="D1295" s="279"/>
      <c r="E1295" s="442"/>
      <c r="F1295" s="339">
        <f t="shared" si="1163"/>
        <v>0</v>
      </c>
      <c r="G1295" s="281">
        <v>0</v>
      </c>
      <c r="H1295" s="281">
        <v>0</v>
      </c>
      <c r="I1295" s="358" t="str">
        <f>IFERROR(F1295/#REF!,"-")</f>
        <v>-</v>
      </c>
      <c r="J1295" s="339">
        <f t="shared" si="1164"/>
        <v>0</v>
      </c>
      <c r="K1295" s="281">
        <f t="shared" si="1159"/>
        <v>0</v>
      </c>
      <c r="L1295" s="250">
        <f t="shared" si="1160"/>
        <v>0</v>
      </c>
      <c r="M1295" s="265" t="str">
        <f t="shared" si="1169"/>
        <v>-</v>
      </c>
      <c r="N1295" s="264" t="str">
        <f t="shared" si="1170"/>
        <v>-</v>
      </c>
      <c r="O1295" s="519">
        <v>41.992699999999999</v>
      </c>
      <c r="P1295" s="410">
        <f t="shared" si="1161"/>
        <v>0</v>
      </c>
      <c r="Q1295" s="459">
        <f t="shared" si="1162"/>
        <v>0</v>
      </c>
    </row>
    <row r="1296" spans="1:17" ht="24" thickBot="1" x14ac:dyDescent="0.45">
      <c r="A1296" s="248"/>
      <c r="B1296" s="559" t="s">
        <v>83</v>
      </c>
      <c r="C1296" s="556" t="s">
        <v>84</v>
      </c>
      <c r="D1296" s="279"/>
      <c r="E1296" s="442"/>
      <c r="F1296" s="339">
        <f t="shared" si="1163"/>
        <v>12047</v>
      </c>
      <c r="G1296" s="281">
        <v>12000</v>
      </c>
      <c r="H1296" s="281">
        <v>47</v>
      </c>
      <c r="I1296" s="358" t="str">
        <f>IFERROR(F1296/#REF!,"-")</f>
        <v>-</v>
      </c>
      <c r="J1296" s="339">
        <f t="shared" si="1164"/>
        <v>33533</v>
      </c>
      <c r="K1296" s="281">
        <f t="shared" si="1159"/>
        <v>32541</v>
      </c>
      <c r="L1296" s="250">
        <f t="shared" si="1160"/>
        <v>992</v>
      </c>
      <c r="M1296" s="265" t="str">
        <f t="shared" si="1169"/>
        <v>-</v>
      </c>
      <c r="N1296" s="264">
        <f t="shared" si="1170"/>
        <v>2.9582799033787611E-2</v>
      </c>
      <c r="O1296" s="519">
        <v>4.3535000000000004</v>
      </c>
      <c r="P1296" s="410">
        <f t="shared" si="1161"/>
        <v>52242.000000000007</v>
      </c>
      <c r="Q1296" s="459">
        <f t="shared" si="1162"/>
        <v>141667.24350000001</v>
      </c>
    </row>
    <row r="1297" spans="1:17" ht="23.4" x14ac:dyDescent="0.4">
      <c r="A1297" s="248"/>
      <c r="B1297" s="979" t="s">
        <v>280</v>
      </c>
      <c r="C1297" s="556" t="s">
        <v>80</v>
      </c>
      <c r="D1297" s="279"/>
      <c r="E1297" s="442"/>
      <c r="F1297" s="339">
        <f t="shared" si="1163"/>
        <v>0</v>
      </c>
      <c r="G1297" s="281">
        <v>0</v>
      </c>
      <c r="H1297" s="281">
        <v>0</v>
      </c>
      <c r="I1297" s="358" t="str">
        <f>IFERROR(F1297/#REF!,"-")</f>
        <v>-</v>
      </c>
      <c r="J1297" s="339">
        <f t="shared" si="1164"/>
        <v>0</v>
      </c>
      <c r="K1297" s="281">
        <f t="shared" si="1159"/>
        <v>0</v>
      </c>
      <c r="L1297" s="250">
        <f t="shared" si="1160"/>
        <v>0</v>
      </c>
      <c r="M1297" s="265" t="str">
        <f t="shared" si="1169"/>
        <v>-</v>
      </c>
      <c r="N1297" s="264" t="str">
        <f t="shared" si="1170"/>
        <v>-</v>
      </c>
      <c r="O1297" s="519">
        <v>4.6184000000000003</v>
      </c>
      <c r="P1297" s="410">
        <f t="shared" si="1161"/>
        <v>0</v>
      </c>
      <c r="Q1297" s="459">
        <f t="shared" si="1162"/>
        <v>0</v>
      </c>
    </row>
    <row r="1298" spans="1:17" ht="23.4" x14ac:dyDescent="0.4">
      <c r="A1298" s="248"/>
      <c r="B1298" s="980"/>
      <c r="C1298" s="556" t="s">
        <v>407</v>
      </c>
      <c r="D1298" s="279"/>
      <c r="E1298" s="442"/>
      <c r="F1298" s="339">
        <f t="shared" si="1163"/>
        <v>0</v>
      </c>
      <c r="G1298" s="281">
        <v>0</v>
      </c>
      <c r="H1298" s="281">
        <v>0</v>
      </c>
      <c r="I1298" s="358" t="str">
        <f>IFERROR(F1298/#REF!,"-")</f>
        <v>-</v>
      </c>
      <c r="J1298" s="339">
        <f t="shared" si="1164"/>
        <v>146140</v>
      </c>
      <c r="K1298" s="281">
        <f t="shared" si="1159"/>
        <v>144842</v>
      </c>
      <c r="L1298" s="250">
        <f t="shared" si="1160"/>
        <v>1298</v>
      </c>
      <c r="M1298" s="265" t="str">
        <f t="shared" si="1169"/>
        <v>-</v>
      </c>
      <c r="N1298" s="264">
        <f t="shared" si="1170"/>
        <v>8.8818940741754483E-3</v>
      </c>
      <c r="O1298" s="519">
        <v>4.6184000000000003</v>
      </c>
      <c r="P1298" s="410">
        <f t="shared" si="1161"/>
        <v>0</v>
      </c>
      <c r="Q1298" s="459">
        <f t="shared" si="1162"/>
        <v>668938.29280000005</v>
      </c>
    </row>
    <row r="1299" spans="1:17" ht="23.4" x14ac:dyDescent="0.4">
      <c r="A1299" s="248"/>
      <c r="B1299" s="980"/>
      <c r="C1299" s="556" t="s">
        <v>279</v>
      </c>
      <c r="D1299" s="279"/>
      <c r="E1299" s="442"/>
      <c r="F1299" s="339">
        <f t="shared" si="1163"/>
        <v>0</v>
      </c>
      <c r="G1299" s="281">
        <v>0</v>
      </c>
      <c r="H1299" s="281">
        <v>0</v>
      </c>
      <c r="I1299" s="358" t="str">
        <f>IFERROR(F1299/#REF!,"-")</f>
        <v>-</v>
      </c>
      <c r="J1299" s="339">
        <f t="shared" si="1164"/>
        <v>0</v>
      </c>
      <c r="K1299" s="281">
        <f t="shared" si="1159"/>
        <v>0</v>
      </c>
      <c r="L1299" s="250">
        <f t="shared" si="1160"/>
        <v>0</v>
      </c>
      <c r="M1299" s="265" t="str">
        <f t="shared" si="1169"/>
        <v>-</v>
      </c>
      <c r="N1299" s="264" t="str">
        <f t="shared" si="1170"/>
        <v>-</v>
      </c>
      <c r="O1299" s="519">
        <v>4.6184000000000003</v>
      </c>
      <c r="P1299" s="410">
        <f t="shared" si="1161"/>
        <v>0</v>
      </c>
      <c r="Q1299" s="459">
        <f t="shared" si="1162"/>
        <v>0</v>
      </c>
    </row>
    <row r="1300" spans="1:17" ht="23.4" x14ac:dyDescent="0.4">
      <c r="A1300" s="248"/>
      <c r="B1300" s="980"/>
      <c r="C1300" s="556" t="s">
        <v>440</v>
      </c>
      <c r="D1300" s="279"/>
      <c r="E1300" s="442"/>
      <c r="F1300" s="339">
        <f t="shared" si="1163"/>
        <v>24508</v>
      </c>
      <c r="G1300" s="281">
        <v>24300</v>
      </c>
      <c r="H1300" s="281">
        <v>208</v>
      </c>
      <c r="I1300" s="358" t="str">
        <f>IFERROR(F1300/#REF!,"-")</f>
        <v>-</v>
      </c>
      <c r="J1300" s="339">
        <f t="shared" si="1164"/>
        <v>353012</v>
      </c>
      <c r="K1300" s="281">
        <f t="shared" si="1159"/>
        <v>349500</v>
      </c>
      <c r="L1300" s="250">
        <f t="shared" si="1160"/>
        <v>3512</v>
      </c>
      <c r="M1300" s="265" t="str">
        <f t="shared" si="1169"/>
        <v>-</v>
      </c>
      <c r="N1300" s="264">
        <f t="shared" si="1170"/>
        <v>9.9486703001597683E-3</v>
      </c>
      <c r="O1300" s="519">
        <v>4.7636000000000003</v>
      </c>
      <c r="P1300" s="410">
        <f t="shared" si="1161"/>
        <v>115755.48000000001</v>
      </c>
      <c r="Q1300" s="459">
        <f t="shared" si="1162"/>
        <v>1664878.2000000002</v>
      </c>
    </row>
    <row r="1301" spans="1:17" ht="24" thickBot="1" x14ac:dyDescent="0.45">
      <c r="A1301" s="248"/>
      <c r="B1301" s="981"/>
      <c r="C1301" s="556" t="s">
        <v>429</v>
      </c>
      <c r="D1301" s="279"/>
      <c r="E1301" s="442"/>
      <c r="F1301" s="339">
        <f t="shared" si="1163"/>
        <v>0</v>
      </c>
      <c r="G1301" s="281">
        <v>0</v>
      </c>
      <c r="H1301" s="281">
        <v>0</v>
      </c>
      <c r="I1301" s="358" t="str">
        <f>IFERROR(F1301/#REF!,"-")</f>
        <v>-</v>
      </c>
      <c r="J1301" s="339">
        <f t="shared" si="1164"/>
        <v>12296</v>
      </c>
      <c r="K1301" s="281">
        <f t="shared" si="1159"/>
        <v>12100</v>
      </c>
      <c r="L1301" s="250">
        <f t="shared" si="1160"/>
        <v>196</v>
      </c>
      <c r="M1301" s="265" t="str">
        <f t="shared" si="1169"/>
        <v>-</v>
      </c>
      <c r="N1301" s="264">
        <f t="shared" si="1170"/>
        <v>1.594014313597918E-2</v>
      </c>
      <c r="O1301" s="519">
        <v>4.8738000000000001</v>
      </c>
      <c r="P1301" s="410">
        <f t="shared" si="1161"/>
        <v>0</v>
      </c>
      <c r="Q1301" s="459">
        <f t="shared" si="1162"/>
        <v>58972.98</v>
      </c>
    </row>
    <row r="1302" spans="1:17" ht="24" thickBot="1" x14ac:dyDescent="0.45">
      <c r="A1302" s="248"/>
      <c r="B1302" s="559" t="s">
        <v>281</v>
      </c>
      <c r="C1302" s="556" t="s">
        <v>132</v>
      </c>
      <c r="D1302" s="279"/>
      <c r="E1302" s="442"/>
      <c r="F1302" s="339">
        <f t="shared" si="1163"/>
        <v>0</v>
      </c>
      <c r="G1302" s="281">
        <v>0</v>
      </c>
      <c r="H1302" s="281">
        <v>0</v>
      </c>
      <c r="I1302" s="358" t="str">
        <f>IFERROR(F1302/#REF!,"-")</f>
        <v>-</v>
      </c>
      <c r="J1302" s="339">
        <f t="shared" si="1164"/>
        <v>0</v>
      </c>
      <c r="K1302" s="281">
        <f t="shared" si="1159"/>
        <v>0</v>
      </c>
      <c r="L1302" s="250">
        <f t="shared" si="1160"/>
        <v>0</v>
      </c>
      <c r="M1302" s="265" t="str">
        <f t="shared" si="1169"/>
        <v>-</v>
      </c>
      <c r="N1302" s="264" t="str">
        <f t="shared" si="1170"/>
        <v>-</v>
      </c>
      <c r="O1302" s="519">
        <v>4.8738000000000001</v>
      </c>
      <c r="P1302" s="410">
        <f t="shared" si="1161"/>
        <v>0</v>
      </c>
      <c r="Q1302" s="459">
        <f t="shared" si="1162"/>
        <v>0</v>
      </c>
    </row>
    <row r="1303" spans="1:17" ht="23.4" x14ac:dyDescent="0.4">
      <c r="A1303" s="248"/>
      <c r="B1303" s="979" t="s">
        <v>283</v>
      </c>
      <c r="C1303" s="556" t="s">
        <v>80</v>
      </c>
      <c r="D1303" s="279"/>
      <c r="E1303" s="442"/>
      <c r="F1303" s="339">
        <f t="shared" si="1163"/>
        <v>20250</v>
      </c>
      <c r="G1303" s="281">
        <v>19500</v>
      </c>
      <c r="H1303" s="281">
        <v>750</v>
      </c>
      <c r="I1303" s="358" t="str">
        <f>IFERROR(F1303/#REF!,"-")</f>
        <v>-</v>
      </c>
      <c r="J1303" s="339">
        <f t="shared" si="1164"/>
        <v>524857</v>
      </c>
      <c r="K1303" s="281">
        <f t="shared" si="1159"/>
        <v>514800</v>
      </c>
      <c r="L1303" s="281">
        <f t="shared" si="1160"/>
        <v>10057</v>
      </c>
      <c r="M1303" s="265" t="str">
        <f t="shared" si="1169"/>
        <v>-</v>
      </c>
      <c r="N1303" s="264">
        <f t="shared" si="1170"/>
        <v>1.9161409679207861E-2</v>
      </c>
      <c r="O1303" s="519">
        <v>4.9344999999999999</v>
      </c>
      <c r="P1303" s="410">
        <f t="shared" si="1161"/>
        <v>96222.75</v>
      </c>
      <c r="Q1303" s="459">
        <f t="shared" si="1162"/>
        <v>2540280.6</v>
      </c>
    </row>
    <row r="1304" spans="1:17" ht="23.4" x14ac:dyDescent="0.4">
      <c r="A1304" s="248"/>
      <c r="B1304" s="980"/>
      <c r="C1304" s="556" t="s">
        <v>143</v>
      </c>
      <c r="D1304" s="279"/>
      <c r="E1304" s="442"/>
      <c r="F1304" s="339">
        <f t="shared" si="1163"/>
        <v>0</v>
      </c>
      <c r="G1304" s="281">
        <v>0</v>
      </c>
      <c r="H1304" s="281">
        <v>0</v>
      </c>
      <c r="I1304" s="358" t="str">
        <f>IFERROR(F1304/#REF!,"-")</f>
        <v>-</v>
      </c>
      <c r="J1304" s="339">
        <f t="shared" si="1164"/>
        <v>0</v>
      </c>
      <c r="K1304" s="281">
        <f t="shared" si="1159"/>
        <v>0</v>
      </c>
      <c r="L1304" s="250">
        <f t="shared" si="1160"/>
        <v>0</v>
      </c>
      <c r="M1304" s="265" t="str">
        <f t="shared" si="1169"/>
        <v>-</v>
      </c>
      <c r="N1304" s="264" t="str">
        <f t="shared" si="1170"/>
        <v>-</v>
      </c>
      <c r="O1304" s="519">
        <v>4.9344999999999999</v>
      </c>
      <c r="P1304" s="410">
        <f t="shared" si="1161"/>
        <v>0</v>
      </c>
      <c r="Q1304" s="459">
        <f t="shared" si="1162"/>
        <v>0</v>
      </c>
    </row>
    <row r="1305" spans="1:17" ht="23.4" x14ac:dyDescent="0.4">
      <c r="A1305" s="248"/>
      <c r="B1305" s="980"/>
      <c r="C1305" s="556" t="s">
        <v>137</v>
      </c>
      <c r="D1305" s="279"/>
      <c r="E1305" s="442"/>
      <c r="F1305" s="339">
        <f t="shared" si="1163"/>
        <v>0</v>
      </c>
      <c r="G1305" s="281">
        <v>0</v>
      </c>
      <c r="H1305" s="281">
        <v>0</v>
      </c>
      <c r="I1305" s="358" t="str">
        <f>IFERROR(F1305/#REF!,"-")</f>
        <v>-</v>
      </c>
      <c r="J1305" s="339">
        <f t="shared" si="1164"/>
        <v>0</v>
      </c>
      <c r="K1305" s="281">
        <f t="shared" si="1159"/>
        <v>0</v>
      </c>
      <c r="L1305" s="250">
        <f t="shared" si="1160"/>
        <v>0</v>
      </c>
      <c r="M1305" s="265" t="str">
        <f t="shared" si="1169"/>
        <v>-</v>
      </c>
      <c r="N1305" s="264" t="str">
        <f t="shared" si="1170"/>
        <v>-</v>
      </c>
      <c r="O1305" s="519">
        <v>4.9344999999999999</v>
      </c>
      <c r="P1305" s="410">
        <f t="shared" si="1161"/>
        <v>0</v>
      </c>
      <c r="Q1305" s="459">
        <f t="shared" si="1162"/>
        <v>0</v>
      </c>
    </row>
    <row r="1306" spans="1:17" ht="24" thickBot="1" x14ac:dyDescent="0.45">
      <c r="A1306" s="248"/>
      <c r="B1306" s="981"/>
      <c r="C1306" s="556" t="s">
        <v>282</v>
      </c>
      <c r="D1306" s="279"/>
      <c r="E1306" s="442"/>
      <c r="F1306" s="339">
        <f t="shared" si="1163"/>
        <v>0</v>
      </c>
      <c r="G1306" s="281">
        <v>0</v>
      </c>
      <c r="H1306" s="281">
        <v>0</v>
      </c>
      <c r="I1306" s="358" t="str">
        <f>IFERROR(F1306/#REF!,"-")</f>
        <v>-</v>
      </c>
      <c r="J1306" s="339">
        <f t="shared" si="1164"/>
        <v>0</v>
      </c>
      <c r="K1306" s="281">
        <f t="shared" si="1159"/>
        <v>0</v>
      </c>
      <c r="L1306" s="250">
        <f t="shared" si="1160"/>
        <v>0</v>
      </c>
      <c r="M1306" s="265" t="str">
        <f t="shared" si="1169"/>
        <v>-</v>
      </c>
      <c r="N1306" s="264" t="str">
        <f t="shared" si="1170"/>
        <v>-</v>
      </c>
      <c r="O1306" s="519">
        <v>5.5069999999999997</v>
      </c>
      <c r="P1306" s="410">
        <f t="shared" si="1161"/>
        <v>0</v>
      </c>
      <c r="Q1306" s="459">
        <f t="shared" si="1162"/>
        <v>0</v>
      </c>
    </row>
    <row r="1307" spans="1:17" ht="23.4" x14ac:dyDescent="0.4">
      <c r="A1307" s="248"/>
      <c r="B1307" s="979" t="s">
        <v>288</v>
      </c>
      <c r="C1307" s="556" t="s">
        <v>284</v>
      </c>
      <c r="D1307" s="279"/>
      <c r="E1307" s="442"/>
      <c r="F1307" s="339">
        <f t="shared" si="1163"/>
        <v>0</v>
      </c>
      <c r="G1307" s="281">
        <v>0</v>
      </c>
      <c r="H1307" s="281">
        <v>0</v>
      </c>
      <c r="I1307" s="358" t="str">
        <f>IFERROR(F1307/#REF!,"-")</f>
        <v>-</v>
      </c>
      <c r="J1307" s="339">
        <f t="shared" si="1164"/>
        <v>0</v>
      </c>
      <c r="K1307" s="281">
        <f t="shared" si="1159"/>
        <v>0</v>
      </c>
      <c r="L1307" s="250">
        <f t="shared" si="1160"/>
        <v>0</v>
      </c>
      <c r="M1307" s="265" t="str">
        <f t="shared" si="1169"/>
        <v>-</v>
      </c>
      <c r="N1307" s="264" t="str">
        <f t="shared" si="1170"/>
        <v>-</v>
      </c>
      <c r="O1307" s="519">
        <v>5.6550000000000002</v>
      </c>
      <c r="P1307" s="410">
        <f t="shared" si="1161"/>
        <v>0</v>
      </c>
      <c r="Q1307" s="459">
        <f t="shared" si="1162"/>
        <v>0</v>
      </c>
    </row>
    <row r="1308" spans="1:17" ht="23.4" x14ac:dyDescent="0.4">
      <c r="A1308" s="248"/>
      <c r="B1308" s="980"/>
      <c r="C1308" s="556" t="s">
        <v>285</v>
      </c>
      <c r="D1308" s="279"/>
      <c r="E1308" s="442"/>
      <c r="F1308" s="339">
        <f t="shared" si="1163"/>
        <v>0</v>
      </c>
      <c r="G1308" s="281">
        <v>0</v>
      </c>
      <c r="H1308" s="281">
        <v>0</v>
      </c>
      <c r="I1308" s="358" t="str">
        <f>IFERROR(F1308/#REF!,"-")</f>
        <v>-</v>
      </c>
      <c r="J1308" s="339">
        <f t="shared" si="1164"/>
        <v>0</v>
      </c>
      <c r="K1308" s="281">
        <f t="shared" si="1159"/>
        <v>0</v>
      </c>
      <c r="L1308" s="250">
        <f t="shared" si="1160"/>
        <v>0</v>
      </c>
      <c r="M1308" s="265" t="str">
        <f t="shared" si="1169"/>
        <v>-</v>
      </c>
      <c r="N1308" s="264" t="str">
        <f t="shared" si="1170"/>
        <v>-</v>
      </c>
      <c r="O1308" s="519">
        <v>5.6550000000000002</v>
      </c>
      <c r="P1308" s="410">
        <f t="shared" si="1161"/>
        <v>0</v>
      </c>
      <c r="Q1308" s="459">
        <f t="shared" si="1162"/>
        <v>0</v>
      </c>
    </row>
    <row r="1309" spans="1:17" ht="23.4" x14ac:dyDescent="0.4">
      <c r="A1309" s="248"/>
      <c r="B1309" s="980"/>
      <c r="C1309" s="556" t="s">
        <v>374</v>
      </c>
      <c r="D1309" s="279"/>
      <c r="E1309" s="442"/>
      <c r="F1309" s="339">
        <f t="shared" si="1163"/>
        <v>26500</v>
      </c>
      <c r="G1309" s="281">
        <v>26350</v>
      </c>
      <c r="H1309" s="281">
        <v>150</v>
      </c>
      <c r="I1309" s="358" t="str">
        <f>IFERROR(F1309/#REF!,"-")</f>
        <v>-</v>
      </c>
      <c r="J1309" s="339">
        <f t="shared" si="1164"/>
        <v>568086</v>
      </c>
      <c r="K1309" s="281">
        <f t="shared" si="1159"/>
        <v>554650</v>
      </c>
      <c r="L1309" s="250">
        <f t="shared" si="1160"/>
        <v>13436</v>
      </c>
      <c r="M1309" s="265" t="str">
        <f t="shared" si="1169"/>
        <v>-</v>
      </c>
      <c r="N1309" s="264">
        <f t="shared" si="1170"/>
        <v>2.3651348563421735E-2</v>
      </c>
      <c r="O1309" s="519">
        <v>5.6550000000000002</v>
      </c>
      <c r="P1309" s="410">
        <f t="shared" si="1161"/>
        <v>149009.25</v>
      </c>
      <c r="Q1309" s="459">
        <f t="shared" si="1162"/>
        <v>3136545.75</v>
      </c>
    </row>
    <row r="1310" spans="1:17" ht="23.4" x14ac:dyDescent="0.4">
      <c r="A1310" s="248"/>
      <c r="B1310" s="980"/>
      <c r="C1310" s="556" t="s">
        <v>286</v>
      </c>
      <c r="D1310" s="279"/>
      <c r="E1310" s="442"/>
      <c r="F1310" s="339">
        <f t="shared" si="1163"/>
        <v>0</v>
      </c>
      <c r="G1310" s="281">
        <v>0</v>
      </c>
      <c r="H1310" s="281">
        <v>0</v>
      </c>
      <c r="I1310" s="358" t="str">
        <f>IFERROR(F1310/#REF!,"-")</f>
        <v>-</v>
      </c>
      <c r="J1310" s="339">
        <f t="shared" si="1164"/>
        <v>0</v>
      </c>
      <c r="K1310" s="281">
        <f t="shared" si="1159"/>
        <v>0</v>
      </c>
      <c r="L1310" s="250">
        <f t="shared" si="1160"/>
        <v>0</v>
      </c>
      <c r="M1310" s="265" t="str">
        <f t="shared" si="1169"/>
        <v>-</v>
      </c>
      <c r="N1310" s="264" t="str">
        <f t="shared" si="1170"/>
        <v>-</v>
      </c>
      <c r="O1310" s="519">
        <v>5.6550000000000002</v>
      </c>
      <c r="P1310" s="410">
        <f t="shared" si="1161"/>
        <v>0</v>
      </c>
      <c r="Q1310" s="459">
        <f t="shared" si="1162"/>
        <v>0</v>
      </c>
    </row>
    <row r="1311" spans="1:17" ht="23.4" x14ac:dyDescent="0.4">
      <c r="A1311" s="248" t="s">
        <v>109</v>
      </c>
      <c r="B1311" s="980"/>
      <c r="C1311" s="556" t="s">
        <v>287</v>
      </c>
      <c r="D1311" s="279"/>
      <c r="E1311" s="442"/>
      <c r="F1311" s="339">
        <f t="shared" si="1163"/>
        <v>0</v>
      </c>
      <c r="G1311" s="281">
        <v>0</v>
      </c>
      <c r="H1311" s="281">
        <v>0</v>
      </c>
      <c r="I1311" s="358" t="str">
        <f>IFERROR(F1311/#REF!,"-")</f>
        <v>-</v>
      </c>
      <c r="J1311" s="339">
        <f t="shared" si="1164"/>
        <v>0</v>
      </c>
      <c r="K1311" s="281">
        <f t="shared" si="1159"/>
        <v>0</v>
      </c>
      <c r="L1311" s="250">
        <f t="shared" si="1160"/>
        <v>0</v>
      </c>
      <c r="M1311" s="265" t="str">
        <f t="shared" si="1169"/>
        <v>-</v>
      </c>
      <c r="N1311" s="264" t="str">
        <f t="shared" si="1170"/>
        <v>-</v>
      </c>
      <c r="O1311" s="519">
        <v>3.2963</v>
      </c>
      <c r="P1311" s="410">
        <f t="shared" si="1161"/>
        <v>0</v>
      </c>
      <c r="Q1311" s="459">
        <f t="shared" si="1162"/>
        <v>0</v>
      </c>
    </row>
    <row r="1312" spans="1:17" ht="24" thickBot="1" x14ac:dyDescent="0.45">
      <c r="A1312" s="248" t="s">
        <v>109</v>
      </c>
      <c r="B1312" s="981"/>
      <c r="C1312" s="556" t="s">
        <v>282</v>
      </c>
      <c r="D1312" s="279"/>
      <c r="E1312" s="442"/>
      <c r="F1312" s="339">
        <f t="shared" si="1163"/>
        <v>0</v>
      </c>
      <c r="G1312" s="281">
        <v>0</v>
      </c>
      <c r="H1312" s="281">
        <v>0</v>
      </c>
      <c r="I1312" s="358" t="str">
        <f>IFERROR(F1312/#REF!,"-")</f>
        <v>-</v>
      </c>
      <c r="J1312" s="339">
        <f t="shared" si="1164"/>
        <v>0</v>
      </c>
      <c r="K1312" s="281">
        <f t="shared" si="1159"/>
        <v>0</v>
      </c>
      <c r="L1312" s="250">
        <f t="shared" si="1160"/>
        <v>0</v>
      </c>
      <c r="M1312" s="265" t="str">
        <f t="shared" si="1169"/>
        <v>-</v>
      </c>
      <c r="N1312" s="264" t="str">
        <f t="shared" si="1170"/>
        <v>-</v>
      </c>
      <c r="O1312" s="519">
        <v>3.2963</v>
      </c>
      <c r="P1312" s="410">
        <f t="shared" si="1161"/>
        <v>0</v>
      </c>
      <c r="Q1312" s="459">
        <f t="shared" si="1162"/>
        <v>0</v>
      </c>
    </row>
    <row r="1313" spans="1:17" ht="23.4" x14ac:dyDescent="0.4">
      <c r="A1313" s="248" t="s">
        <v>109</v>
      </c>
      <c r="B1313" s="560"/>
      <c r="C1313" s="557" t="s">
        <v>92</v>
      </c>
      <c r="D1313" s="523"/>
      <c r="E1313" s="442"/>
      <c r="F1313" s="339">
        <f t="shared" si="1163"/>
        <v>25229</v>
      </c>
      <c r="G1313" s="281">
        <v>25220</v>
      </c>
      <c r="H1313" s="281">
        <v>9</v>
      </c>
      <c r="I1313" s="358" t="str">
        <f>IFERROR(F1313/#REF!,"-")</f>
        <v>-</v>
      </c>
      <c r="J1313" s="339">
        <f t="shared" si="1164"/>
        <v>167430</v>
      </c>
      <c r="K1313" s="281">
        <f t="shared" si="1159"/>
        <v>167381</v>
      </c>
      <c r="L1313" s="250">
        <f t="shared" si="1160"/>
        <v>49</v>
      </c>
      <c r="M1313" s="265" t="str">
        <f t="shared" si="1169"/>
        <v>-</v>
      </c>
      <c r="N1313" s="264">
        <f t="shared" si="1170"/>
        <v>2.9265961894523086E-4</v>
      </c>
      <c r="O1313" s="519">
        <v>2.3201000000000001</v>
      </c>
      <c r="P1313" s="410">
        <f t="shared" si="1161"/>
        <v>58512.921999999999</v>
      </c>
      <c r="Q1313" s="459">
        <f t="shared" si="1162"/>
        <v>388340.6581</v>
      </c>
    </row>
    <row r="1314" spans="1:17" ht="24" thickBot="1" x14ac:dyDescent="0.35">
      <c r="A1314" s="248" t="s">
        <v>109</v>
      </c>
      <c r="B1314" s="537"/>
      <c r="C1314" s="554"/>
      <c r="D1314" s="543"/>
      <c r="E1314" s="473"/>
      <c r="F1314" s="471">
        <f t="shared" si="1163"/>
        <v>0</v>
      </c>
      <c r="G1314" s="472"/>
      <c r="H1314" s="472"/>
      <c r="I1314" s="545" t="str">
        <f>IFERROR(F1314/#REF!,"-")</f>
        <v>-</v>
      </c>
      <c r="J1314" s="471">
        <f t="shared" si="1164"/>
        <v>0</v>
      </c>
      <c r="K1314" s="472">
        <f t="shared" si="1159"/>
        <v>0</v>
      </c>
      <c r="L1314" s="257">
        <f t="shared" si="1160"/>
        <v>0</v>
      </c>
      <c r="M1314" s="267" t="str">
        <f t="shared" si="1169"/>
        <v>-</v>
      </c>
      <c r="N1314" s="266" t="str">
        <f t="shared" si="1170"/>
        <v>-</v>
      </c>
      <c r="O1314" s="552"/>
      <c r="P1314" s="549">
        <f t="shared" si="1161"/>
        <v>0</v>
      </c>
      <c r="Q1314" s="550">
        <f t="shared" si="1162"/>
        <v>0</v>
      </c>
    </row>
    <row r="1315" spans="1:17" ht="24" thickBot="1" x14ac:dyDescent="0.35">
      <c r="A1315" s="277" t="s">
        <v>109</v>
      </c>
      <c r="B1315" s="982" t="s">
        <v>25</v>
      </c>
      <c r="C1315" s="983"/>
      <c r="D1315" s="525">
        <f t="shared" ref="D1315" si="1171">SUM(D1290:D1314)</f>
        <v>0</v>
      </c>
      <c r="E1315" s="539">
        <v>100000</v>
      </c>
      <c r="F1315" s="525">
        <f>SUM(F1290:F1314)</f>
        <v>117259</v>
      </c>
      <c r="G1315" s="531">
        <f t="shared" ref="G1315:H1315" si="1172">SUM(G1290:G1314)</f>
        <v>115830</v>
      </c>
      <c r="H1315" s="531">
        <f t="shared" si="1172"/>
        <v>1429</v>
      </c>
      <c r="I1315" s="532" t="str">
        <f>IFERROR(F1315/#REF!,"-")</f>
        <v>-</v>
      </c>
      <c r="J1315" s="525">
        <f t="shared" ref="J1315" si="1173">SUM(J1290:J1314)</f>
        <v>1889916</v>
      </c>
      <c r="K1315" s="531">
        <f>SUM(K1285:K1314)</f>
        <v>1940430</v>
      </c>
      <c r="L1315" s="533">
        <f>SUM(L1285:L1314)</f>
        <v>36360</v>
      </c>
      <c r="M1315" s="534" t="str">
        <f t="shared" si="1169"/>
        <v>-</v>
      </c>
      <c r="N1315" s="532">
        <f t="shared" si="1170"/>
        <v>1.923895030255313E-2</v>
      </c>
      <c r="O1315" s="535"/>
      <c r="P1315" s="536">
        <f>SUM(P1285:P1314)</f>
        <v>832041.39400000009</v>
      </c>
      <c r="Q1315" s="536">
        <f>SUM(Q1285:Q1314)</f>
        <v>15169888.389599999</v>
      </c>
    </row>
    <row r="1316" spans="1:17" ht="24" thickBot="1" x14ac:dyDescent="0.35">
      <c r="A1316" s="324" t="s">
        <v>109</v>
      </c>
      <c r="B1316" s="984" t="s">
        <v>276</v>
      </c>
      <c r="C1316" s="927"/>
      <c r="D1316" s="332">
        <f>+D1289+D1315</f>
        <v>0</v>
      </c>
      <c r="E1316" s="333">
        <f>+E1289+E1315</f>
        <v>100000</v>
      </c>
      <c r="F1316" s="332">
        <f>+F1289+F1315</f>
        <v>117259</v>
      </c>
      <c r="G1316" s="330">
        <f>+G1289+G1315</f>
        <v>115830</v>
      </c>
      <c r="H1316" s="330">
        <f>+H1289+H1315</f>
        <v>1429</v>
      </c>
      <c r="I1316" s="355" t="str">
        <f>IFERROR(F1316/#REF!,"-")</f>
        <v>-</v>
      </c>
      <c r="J1316" s="332">
        <f>+J1289+J1315</f>
        <v>1895266</v>
      </c>
      <c r="K1316" s="330">
        <f>K1315</f>
        <v>1940430</v>
      </c>
      <c r="L1316" s="331">
        <f>+L1289+L1315</f>
        <v>37560</v>
      </c>
      <c r="M1316" s="347" t="str">
        <f t="shared" si="1169"/>
        <v>-</v>
      </c>
      <c r="N1316" s="355">
        <f t="shared" si="1170"/>
        <v>1.9817798662562405E-2</v>
      </c>
      <c r="O1316" s="400"/>
      <c r="P1316" s="416">
        <f>+P1289+P1315</f>
        <v>832041.39400000009</v>
      </c>
      <c r="Q1316" s="434">
        <f>Q1315</f>
        <v>15169888.389599999</v>
      </c>
    </row>
    <row r="1317" spans="1:17" ht="24.6" thickBot="1" x14ac:dyDescent="0.35">
      <c r="A1317" s="325"/>
      <c r="B1317" s="915" t="s">
        <v>183</v>
      </c>
      <c r="C1317" s="916"/>
      <c r="D1317" s="380">
        <f>+D1316+D1284+D1275</f>
        <v>0</v>
      </c>
      <c r="E1317" s="380">
        <f>+E1316+E1284+E1275</f>
        <v>230000</v>
      </c>
      <c r="F1317" s="380">
        <f>+F1316+F1284+F1275</f>
        <v>249353</v>
      </c>
      <c r="G1317" s="380">
        <f>+G1316+G1284+G1275</f>
        <v>246280</v>
      </c>
      <c r="H1317" s="380">
        <f>+H1316+H1284+H1275</f>
        <v>3073</v>
      </c>
      <c r="I1317" s="381" t="str">
        <f>IFERROR(F1317/#REF!,"-")</f>
        <v>-</v>
      </c>
      <c r="J1317" s="380">
        <f>+J1316+J1284+J1275</f>
        <v>6314267</v>
      </c>
      <c r="K1317" s="380">
        <f>+K1316+K1284+K1275</f>
        <v>6210464</v>
      </c>
      <c r="L1317" s="380">
        <f>+L1316+L1284+L1275</f>
        <v>170247</v>
      </c>
      <c r="M1317" s="381" t="str">
        <f t="shared" si="1169"/>
        <v>-</v>
      </c>
      <c r="N1317" s="381">
        <f>IFERROR(L1317/J1317,"-")</f>
        <v>2.6962274480949254E-2</v>
      </c>
      <c r="O1317" s="407"/>
      <c r="P1317" s="424">
        <f>+P1316+P1284+P1275</f>
        <v>1715665.6090000002</v>
      </c>
      <c r="Q1317" s="424">
        <f>+Q1316+Q1284+Q1275</f>
        <v>38679578.052000001</v>
      </c>
    </row>
  </sheetData>
  <mergeCells count="595">
    <mergeCell ref="B1237:B1241"/>
    <mergeCell ref="B1243:B1246"/>
    <mergeCell ref="B1247:B1252"/>
    <mergeCell ref="B1255:C1255"/>
    <mergeCell ref="B1256:C1256"/>
    <mergeCell ref="B1257:C1257"/>
    <mergeCell ref="B1206:C1206"/>
    <mergeCell ref="B1214:C1214"/>
    <mergeCell ref="B1215:C1215"/>
    <mergeCell ref="B1223:C1223"/>
    <mergeCell ref="B1224:C1224"/>
    <mergeCell ref="B1225:B1227"/>
    <mergeCell ref="B1228:B1231"/>
    <mergeCell ref="B1232:B1233"/>
    <mergeCell ref="B1234:B1235"/>
    <mergeCell ref="A1198:A1200"/>
    <mergeCell ref="B1198:B1200"/>
    <mergeCell ref="C1198:C1200"/>
    <mergeCell ref="D1198:N1198"/>
    <mergeCell ref="O1198:Q1198"/>
    <mergeCell ref="D1199:D1200"/>
    <mergeCell ref="E1199:E1200"/>
    <mergeCell ref="F1199:I1199"/>
    <mergeCell ref="J1199:L1199"/>
    <mergeCell ref="M1199:M1200"/>
    <mergeCell ref="N1199:N1200"/>
    <mergeCell ref="O1199:Q1199"/>
    <mergeCell ref="B1177:B1181"/>
    <mergeCell ref="B1183:B1186"/>
    <mergeCell ref="B1187:B1192"/>
    <mergeCell ref="B1195:C1195"/>
    <mergeCell ref="B1196:C1196"/>
    <mergeCell ref="B1197:C1197"/>
    <mergeCell ref="B1146:C1146"/>
    <mergeCell ref="B1154:C1154"/>
    <mergeCell ref="B1155:C1155"/>
    <mergeCell ref="B1163:C1163"/>
    <mergeCell ref="B1164:C1164"/>
    <mergeCell ref="B1165:B1167"/>
    <mergeCell ref="B1168:B1171"/>
    <mergeCell ref="B1172:B1173"/>
    <mergeCell ref="B1174:B1175"/>
    <mergeCell ref="A1138:A1140"/>
    <mergeCell ref="B1138:B1140"/>
    <mergeCell ref="C1138:C1140"/>
    <mergeCell ref="D1138:N1138"/>
    <mergeCell ref="O1138:Q1138"/>
    <mergeCell ref="D1139:D1140"/>
    <mergeCell ref="E1139:E1140"/>
    <mergeCell ref="F1139:I1139"/>
    <mergeCell ref="J1139:L1139"/>
    <mergeCell ref="M1139:M1140"/>
    <mergeCell ref="N1139:N1140"/>
    <mergeCell ref="O1139:Q1139"/>
    <mergeCell ref="B1117:B1121"/>
    <mergeCell ref="B1123:B1126"/>
    <mergeCell ref="B1127:B1132"/>
    <mergeCell ref="B1135:C1135"/>
    <mergeCell ref="B1136:C1136"/>
    <mergeCell ref="B1137:C1137"/>
    <mergeCell ref="B1086:C1086"/>
    <mergeCell ref="B1094:C1094"/>
    <mergeCell ref="B1095:C1095"/>
    <mergeCell ref="B1103:C1103"/>
    <mergeCell ref="B1104:C1104"/>
    <mergeCell ref="B1105:B1107"/>
    <mergeCell ref="B1108:B1111"/>
    <mergeCell ref="B1112:B1113"/>
    <mergeCell ref="B1114:B1115"/>
    <mergeCell ref="A1078:A1080"/>
    <mergeCell ref="B1078:B1080"/>
    <mergeCell ref="C1078:C1080"/>
    <mergeCell ref="D1078:N1078"/>
    <mergeCell ref="O1078:Q1078"/>
    <mergeCell ref="D1079:D1080"/>
    <mergeCell ref="E1079:E1080"/>
    <mergeCell ref="F1079:I1079"/>
    <mergeCell ref="J1079:L1079"/>
    <mergeCell ref="M1079:M1080"/>
    <mergeCell ref="N1079:N1080"/>
    <mergeCell ref="O1079:Q1079"/>
    <mergeCell ref="B1057:B1061"/>
    <mergeCell ref="B1063:B1066"/>
    <mergeCell ref="B1067:B1072"/>
    <mergeCell ref="B1075:C1075"/>
    <mergeCell ref="B1076:C1076"/>
    <mergeCell ref="B1077:C1077"/>
    <mergeCell ref="B1026:C1026"/>
    <mergeCell ref="B1034:C1034"/>
    <mergeCell ref="B1035:C1035"/>
    <mergeCell ref="B1043:C1043"/>
    <mergeCell ref="B1044:C1044"/>
    <mergeCell ref="B1045:B1047"/>
    <mergeCell ref="B1048:B1051"/>
    <mergeCell ref="B1052:B1053"/>
    <mergeCell ref="B1054:B1055"/>
    <mergeCell ref="A1018:A1020"/>
    <mergeCell ref="B1018:B1020"/>
    <mergeCell ref="C1018:C1020"/>
    <mergeCell ref="D1018:N1018"/>
    <mergeCell ref="O1018:Q1018"/>
    <mergeCell ref="D1019:D1020"/>
    <mergeCell ref="E1019:E1020"/>
    <mergeCell ref="F1019:I1019"/>
    <mergeCell ref="J1019:L1019"/>
    <mergeCell ref="M1019:M1020"/>
    <mergeCell ref="N1019:N1020"/>
    <mergeCell ref="O1019:Q1019"/>
    <mergeCell ref="B937:B941"/>
    <mergeCell ref="B943:B946"/>
    <mergeCell ref="B947:B952"/>
    <mergeCell ref="B955:C955"/>
    <mergeCell ref="B956:C956"/>
    <mergeCell ref="B957:C957"/>
    <mergeCell ref="B906:C906"/>
    <mergeCell ref="B914:C914"/>
    <mergeCell ref="B915:C915"/>
    <mergeCell ref="B923:C923"/>
    <mergeCell ref="B924:C924"/>
    <mergeCell ref="B925:B927"/>
    <mergeCell ref="B928:B931"/>
    <mergeCell ref="B932:B933"/>
    <mergeCell ref="B934:B935"/>
    <mergeCell ref="A898:A900"/>
    <mergeCell ref="B898:B900"/>
    <mergeCell ref="C898:C900"/>
    <mergeCell ref="D898:N898"/>
    <mergeCell ref="O898:Q898"/>
    <mergeCell ref="D899:D900"/>
    <mergeCell ref="E899:E900"/>
    <mergeCell ref="F899:I899"/>
    <mergeCell ref="J899:L899"/>
    <mergeCell ref="M899:M900"/>
    <mergeCell ref="N899:N900"/>
    <mergeCell ref="O899:Q899"/>
    <mergeCell ref="B817:B821"/>
    <mergeCell ref="B823:B826"/>
    <mergeCell ref="B827:B832"/>
    <mergeCell ref="B835:C835"/>
    <mergeCell ref="B836:C836"/>
    <mergeCell ref="B837:C837"/>
    <mergeCell ref="B786:C786"/>
    <mergeCell ref="B794:C794"/>
    <mergeCell ref="B795:C795"/>
    <mergeCell ref="B803:C803"/>
    <mergeCell ref="B804:C804"/>
    <mergeCell ref="B805:B807"/>
    <mergeCell ref="B812:B813"/>
    <mergeCell ref="B814:B815"/>
    <mergeCell ref="B808:B811"/>
    <mergeCell ref="A778:A780"/>
    <mergeCell ref="B778:B780"/>
    <mergeCell ref="C778:C780"/>
    <mergeCell ref="D778:N778"/>
    <mergeCell ref="O778:Q778"/>
    <mergeCell ref="D779:D780"/>
    <mergeCell ref="E779:E780"/>
    <mergeCell ref="F779:I779"/>
    <mergeCell ref="J779:L779"/>
    <mergeCell ref="M779:M780"/>
    <mergeCell ref="N779:N780"/>
    <mergeCell ref="O779:Q779"/>
    <mergeCell ref="B639:B643"/>
    <mergeCell ref="B645:B648"/>
    <mergeCell ref="B649:B654"/>
    <mergeCell ref="B657:C657"/>
    <mergeCell ref="B658:C658"/>
    <mergeCell ref="B659:C659"/>
    <mergeCell ref="B609:C609"/>
    <mergeCell ref="B617:C617"/>
    <mergeCell ref="B618:C618"/>
    <mergeCell ref="B626:C626"/>
    <mergeCell ref="B627:C627"/>
    <mergeCell ref="B628:B630"/>
    <mergeCell ref="B631:B633"/>
    <mergeCell ref="B634:B635"/>
    <mergeCell ref="B636:B637"/>
    <mergeCell ref="A601:A603"/>
    <mergeCell ref="B601:B603"/>
    <mergeCell ref="C601:C603"/>
    <mergeCell ref="D601:N601"/>
    <mergeCell ref="O601:Q601"/>
    <mergeCell ref="D602:D603"/>
    <mergeCell ref="E602:E603"/>
    <mergeCell ref="F602:I602"/>
    <mergeCell ref="J602:L602"/>
    <mergeCell ref="M602:M603"/>
    <mergeCell ref="N602:N603"/>
    <mergeCell ref="O602:Q602"/>
    <mergeCell ref="B580:B584"/>
    <mergeCell ref="B586:B589"/>
    <mergeCell ref="B590:B595"/>
    <mergeCell ref="B598:C598"/>
    <mergeCell ref="B599:C599"/>
    <mergeCell ref="B600:C600"/>
    <mergeCell ref="B550:C550"/>
    <mergeCell ref="B558:C558"/>
    <mergeCell ref="B559:C559"/>
    <mergeCell ref="B567:C567"/>
    <mergeCell ref="B568:C568"/>
    <mergeCell ref="B569:B571"/>
    <mergeCell ref="B572:B574"/>
    <mergeCell ref="B575:B576"/>
    <mergeCell ref="B577:B578"/>
    <mergeCell ref="A542:A544"/>
    <mergeCell ref="B542:B544"/>
    <mergeCell ref="C542:C544"/>
    <mergeCell ref="D542:N542"/>
    <mergeCell ref="O542:Q542"/>
    <mergeCell ref="D543:D544"/>
    <mergeCell ref="E543:E544"/>
    <mergeCell ref="F543:I543"/>
    <mergeCell ref="J543:L543"/>
    <mergeCell ref="M543:M544"/>
    <mergeCell ref="N543:N544"/>
    <mergeCell ref="O543:Q543"/>
    <mergeCell ref="B521:B525"/>
    <mergeCell ref="B527:B530"/>
    <mergeCell ref="B531:B536"/>
    <mergeCell ref="B539:C539"/>
    <mergeCell ref="B540:C540"/>
    <mergeCell ref="B541:C541"/>
    <mergeCell ref="B491:C491"/>
    <mergeCell ref="B499:C499"/>
    <mergeCell ref="B500:C500"/>
    <mergeCell ref="B508:C508"/>
    <mergeCell ref="B509:C509"/>
    <mergeCell ref="B510:B512"/>
    <mergeCell ref="B513:B515"/>
    <mergeCell ref="B516:B517"/>
    <mergeCell ref="B518:B519"/>
    <mergeCell ref="A483:A485"/>
    <mergeCell ref="B483:B485"/>
    <mergeCell ref="C483:C485"/>
    <mergeCell ref="D483:N483"/>
    <mergeCell ref="O483:Q483"/>
    <mergeCell ref="D484:D485"/>
    <mergeCell ref="E484:E485"/>
    <mergeCell ref="F484:I484"/>
    <mergeCell ref="J484:L484"/>
    <mergeCell ref="M484:M485"/>
    <mergeCell ref="N484:N485"/>
    <mergeCell ref="O484:Q484"/>
    <mergeCell ref="B462:B466"/>
    <mergeCell ref="B468:B471"/>
    <mergeCell ref="B472:B477"/>
    <mergeCell ref="B480:C480"/>
    <mergeCell ref="B481:C481"/>
    <mergeCell ref="B482:C482"/>
    <mergeCell ref="B432:C432"/>
    <mergeCell ref="B440:C440"/>
    <mergeCell ref="B441:C441"/>
    <mergeCell ref="B449:C449"/>
    <mergeCell ref="B450:C450"/>
    <mergeCell ref="B451:B453"/>
    <mergeCell ref="B454:B456"/>
    <mergeCell ref="B457:B458"/>
    <mergeCell ref="B459:B460"/>
    <mergeCell ref="A424:A426"/>
    <mergeCell ref="B424:B426"/>
    <mergeCell ref="C424:C426"/>
    <mergeCell ref="D424:N424"/>
    <mergeCell ref="O424:Q424"/>
    <mergeCell ref="D425:D426"/>
    <mergeCell ref="E425:E426"/>
    <mergeCell ref="F425:I425"/>
    <mergeCell ref="J425:L425"/>
    <mergeCell ref="M425:M426"/>
    <mergeCell ref="N425:N426"/>
    <mergeCell ref="O425:Q425"/>
    <mergeCell ref="B403:B407"/>
    <mergeCell ref="B409:B412"/>
    <mergeCell ref="B413:B418"/>
    <mergeCell ref="B421:C421"/>
    <mergeCell ref="B422:C422"/>
    <mergeCell ref="B423:C423"/>
    <mergeCell ref="B373:C373"/>
    <mergeCell ref="B381:C381"/>
    <mergeCell ref="B382:C382"/>
    <mergeCell ref="B390:C390"/>
    <mergeCell ref="B391:C391"/>
    <mergeCell ref="B392:B394"/>
    <mergeCell ref="B395:B397"/>
    <mergeCell ref="B398:B399"/>
    <mergeCell ref="B400:B401"/>
    <mergeCell ref="A365:A367"/>
    <mergeCell ref="B365:B367"/>
    <mergeCell ref="C365:C367"/>
    <mergeCell ref="D365:N365"/>
    <mergeCell ref="O365:Q365"/>
    <mergeCell ref="D366:D367"/>
    <mergeCell ref="E366:E367"/>
    <mergeCell ref="F366:I366"/>
    <mergeCell ref="J366:L366"/>
    <mergeCell ref="M366:M367"/>
    <mergeCell ref="N366:N367"/>
    <mergeCell ref="O366:Q366"/>
    <mergeCell ref="B232:B235"/>
    <mergeCell ref="B236:B241"/>
    <mergeCell ref="B244:C244"/>
    <mergeCell ref="B245:C245"/>
    <mergeCell ref="B246:C246"/>
    <mergeCell ref="B215:B217"/>
    <mergeCell ref="B218:B220"/>
    <mergeCell ref="B221:B222"/>
    <mergeCell ref="B223:B224"/>
    <mergeCell ref="B226:B230"/>
    <mergeCell ref="B196:C196"/>
    <mergeCell ref="B204:C204"/>
    <mergeCell ref="B205:C205"/>
    <mergeCell ref="B213:C213"/>
    <mergeCell ref="B214:C214"/>
    <mergeCell ref="A188:A190"/>
    <mergeCell ref="B188:B190"/>
    <mergeCell ref="D188:N188"/>
    <mergeCell ref="O188:Q188"/>
    <mergeCell ref="D189:D190"/>
    <mergeCell ref="E189:E190"/>
    <mergeCell ref="F189:I189"/>
    <mergeCell ref="J189:L189"/>
    <mergeCell ref="M189:M190"/>
    <mergeCell ref="N189:N190"/>
    <mergeCell ref="O189:Q189"/>
    <mergeCell ref="C188:C190"/>
    <mergeCell ref="B173:B176"/>
    <mergeCell ref="B177:B182"/>
    <mergeCell ref="B185:C185"/>
    <mergeCell ref="B186:C186"/>
    <mergeCell ref="B187:C187"/>
    <mergeCell ref="B156:B158"/>
    <mergeCell ref="B159:B161"/>
    <mergeCell ref="B162:B163"/>
    <mergeCell ref="B164:B165"/>
    <mergeCell ref="B167:B171"/>
    <mergeCell ref="B137:C137"/>
    <mergeCell ref="B145:C145"/>
    <mergeCell ref="B146:C146"/>
    <mergeCell ref="B154:C154"/>
    <mergeCell ref="B155:C155"/>
    <mergeCell ref="A129:A131"/>
    <mergeCell ref="B129:B131"/>
    <mergeCell ref="C129:C131"/>
    <mergeCell ref="D129:N129"/>
    <mergeCell ref="O129:Q129"/>
    <mergeCell ref="D130:D131"/>
    <mergeCell ref="E130:E131"/>
    <mergeCell ref="F130:I130"/>
    <mergeCell ref="J130:L130"/>
    <mergeCell ref="M130:M131"/>
    <mergeCell ref="N130:N131"/>
    <mergeCell ref="O130:Q130"/>
    <mergeCell ref="B114:B117"/>
    <mergeCell ref="B118:B123"/>
    <mergeCell ref="B126:C126"/>
    <mergeCell ref="B127:C127"/>
    <mergeCell ref="B128:C128"/>
    <mergeCell ref="B97:B99"/>
    <mergeCell ref="B100:B102"/>
    <mergeCell ref="B103:B104"/>
    <mergeCell ref="B105:B106"/>
    <mergeCell ref="B108:B112"/>
    <mergeCell ref="B78:C78"/>
    <mergeCell ref="B86:C86"/>
    <mergeCell ref="B87:C87"/>
    <mergeCell ref="B95:C95"/>
    <mergeCell ref="B96:C96"/>
    <mergeCell ref="A70:A72"/>
    <mergeCell ref="B70:B72"/>
    <mergeCell ref="C70:C72"/>
    <mergeCell ref="D70:N70"/>
    <mergeCell ref="O70:Q70"/>
    <mergeCell ref="D71:D72"/>
    <mergeCell ref="E71:E72"/>
    <mergeCell ref="F71:I71"/>
    <mergeCell ref="J71:L71"/>
    <mergeCell ref="M71:M72"/>
    <mergeCell ref="N71:N72"/>
    <mergeCell ref="O71:Q71"/>
    <mergeCell ref="B69:C69"/>
    <mergeCell ref="B19:C19"/>
    <mergeCell ref="B27:C27"/>
    <mergeCell ref="B28:C28"/>
    <mergeCell ref="B36:C36"/>
    <mergeCell ref="B37:C37"/>
    <mergeCell ref="B38:B40"/>
    <mergeCell ref="B41:B43"/>
    <mergeCell ref="B44:B45"/>
    <mergeCell ref="B46:B47"/>
    <mergeCell ref="B49:B53"/>
    <mergeCell ref="B55:B58"/>
    <mergeCell ref="B59:B64"/>
    <mergeCell ref="B67:C67"/>
    <mergeCell ref="B68:C68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A247:A249"/>
    <mergeCell ref="B247:B249"/>
    <mergeCell ref="C247:C249"/>
    <mergeCell ref="D247:N247"/>
    <mergeCell ref="O247:Q247"/>
    <mergeCell ref="D248:D249"/>
    <mergeCell ref="E248:E249"/>
    <mergeCell ref="F248:I248"/>
    <mergeCell ref="J248:L248"/>
    <mergeCell ref="M248:M249"/>
    <mergeCell ref="N248:N249"/>
    <mergeCell ref="O248:Q248"/>
    <mergeCell ref="B285:B289"/>
    <mergeCell ref="B291:B294"/>
    <mergeCell ref="B295:B300"/>
    <mergeCell ref="B303:C303"/>
    <mergeCell ref="B304:C304"/>
    <mergeCell ref="B305:C305"/>
    <mergeCell ref="B255:C255"/>
    <mergeCell ref="B263:C263"/>
    <mergeCell ref="B264:C264"/>
    <mergeCell ref="B272:C272"/>
    <mergeCell ref="B273:C273"/>
    <mergeCell ref="B274:B276"/>
    <mergeCell ref="B277:B279"/>
    <mergeCell ref="B280:B281"/>
    <mergeCell ref="B282:B283"/>
    <mergeCell ref="A306:A308"/>
    <mergeCell ref="B306:B308"/>
    <mergeCell ref="C306:C308"/>
    <mergeCell ref="D306:N306"/>
    <mergeCell ref="O306:Q306"/>
    <mergeCell ref="D307:D308"/>
    <mergeCell ref="E307:E308"/>
    <mergeCell ref="F307:I307"/>
    <mergeCell ref="J307:L307"/>
    <mergeCell ref="M307:M308"/>
    <mergeCell ref="N307:N308"/>
    <mergeCell ref="O307:Q307"/>
    <mergeCell ref="B344:B348"/>
    <mergeCell ref="B350:B353"/>
    <mergeCell ref="B354:B359"/>
    <mergeCell ref="B362:C362"/>
    <mergeCell ref="B363:C363"/>
    <mergeCell ref="B364:C364"/>
    <mergeCell ref="B314:C314"/>
    <mergeCell ref="B322:C322"/>
    <mergeCell ref="B323:C323"/>
    <mergeCell ref="B331:C331"/>
    <mergeCell ref="B332:C332"/>
    <mergeCell ref="B333:B335"/>
    <mergeCell ref="B336:B338"/>
    <mergeCell ref="B339:B340"/>
    <mergeCell ref="B341:B342"/>
    <mergeCell ref="A660:A662"/>
    <mergeCell ref="B660:B662"/>
    <mergeCell ref="C660:C662"/>
    <mergeCell ref="D660:N660"/>
    <mergeCell ref="O660:Q660"/>
    <mergeCell ref="D661:D662"/>
    <mergeCell ref="E661:E662"/>
    <mergeCell ref="F661:I661"/>
    <mergeCell ref="J661:L661"/>
    <mergeCell ref="M661:M662"/>
    <mergeCell ref="N661:N662"/>
    <mergeCell ref="O661:Q661"/>
    <mergeCell ref="B698:B702"/>
    <mergeCell ref="B704:B707"/>
    <mergeCell ref="B708:B713"/>
    <mergeCell ref="B716:C716"/>
    <mergeCell ref="B717:C717"/>
    <mergeCell ref="B718:C718"/>
    <mergeCell ref="B668:C668"/>
    <mergeCell ref="B676:C676"/>
    <mergeCell ref="B677:C677"/>
    <mergeCell ref="B685:C685"/>
    <mergeCell ref="B686:C686"/>
    <mergeCell ref="B687:B689"/>
    <mergeCell ref="B690:B692"/>
    <mergeCell ref="B693:B694"/>
    <mergeCell ref="B695:B696"/>
    <mergeCell ref="A719:A721"/>
    <mergeCell ref="B719:B721"/>
    <mergeCell ref="C719:C721"/>
    <mergeCell ref="D719:N719"/>
    <mergeCell ref="O719:Q719"/>
    <mergeCell ref="D720:D721"/>
    <mergeCell ref="E720:E721"/>
    <mergeCell ref="F720:I720"/>
    <mergeCell ref="J720:L720"/>
    <mergeCell ref="M720:M721"/>
    <mergeCell ref="N720:N721"/>
    <mergeCell ref="O720:Q720"/>
    <mergeCell ref="B757:B761"/>
    <mergeCell ref="B763:B766"/>
    <mergeCell ref="B767:B772"/>
    <mergeCell ref="B775:C775"/>
    <mergeCell ref="B776:C776"/>
    <mergeCell ref="B777:C777"/>
    <mergeCell ref="B727:C727"/>
    <mergeCell ref="B735:C735"/>
    <mergeCell ref="B736:C736"/>
    <mergeCell ref="B744:C744"/>
    <mergeCell ref="B745:C745"/>
    <mergeCell ref="B746:B748"/>
    <mergeCell ref="B749:B751"/>
    <mergeCell ref="B752:B753"/>
    <mergeCell ref="B754:B755"/>
    <mergeCell ref="A838:A840"/>
    <mergeCell ref="B838:B840"/>
    <mergeCell ref="C838:C840"/>
    <mergeCell ref="D838:N838"/>
    <mergeCell ref="O838:Q838"/>
    <mergeCell ref="D839:D840"/>
    <mergeCell ref="E839:E840"/>
    <mergeCell ref="F839:I839"/>
    <mergeCell ref="J839:L839"/>
    <mergeCell ref="M839:M840"/>
    <mergeCell ref="N839:N840"/>
    <mergeCell ref="O839:Q839"/>
    <mergeCell ref="B877:B881"/>
    <mergeCell ref="B883:B886"/>
    <mergeCell ref="B887:B892"/>
    <mergeCell ref="B895:C895"/>
    <mergeCell ref="B896:C896"/>
    <mergeCell ref="B897:C897"/>
    <mergeCell ref="B846:C846"/>
    <mergeCell ref="B854:C854"/>
    <mergeCell ref="B855:C855"/>
    <mergeCell ref="B863:C863"/>
    <mergeCell ref="B864:C864"/>
    <mergeCell ref="B865:B867"/>
    <mergeCell ref="B868:B871"/>
    <mergeCell ref="B872:B873"/>
    <mergeCell ref="B874:B875"/>
    <mergeCell ref="A958:A960"/>
    <mergeCell ref="B958:B960"/>
    <mergeCell ref="C958:C960"/>
    <mergeCell ref="D958:N958"/>
    <mergeCell ref="O958:Q958"/>
    <mergeCell ref="D959:D960"/>
    <mergeCell ref="E959:E960"/>
    <mergeCell ref="F959:I959"/>
    <mergeCell ref="J959:L959"/>
    <mergeCell ref="M959:M960"/>
    <mergeCell ref="N959:N960"/>
    <mergeCell ref="O959:Q959"/>
    <mergeCell ref="B997:B1001"/>
    <mergeCell ref="B1003:B1006"/>
    <mergeCell ref="B1007:B1012"/>
    <mergeCell ref="B1015:C1015"/>
    <mergeCell ref="B1016:C1016"/>
    <mergeCell ref="B1017:C1017"/>
    <mergeCell ref="B966:C966"/>
    <mergeCell ref="B974:C974"/>
    <mergeCell ref="B975:C975"/>
    <mergeCell ref="B983:C983"/>
    <mergeCell ref="B984:C984"/>
    <mergeCell ref="B985:B987"/>
    <mergeCell ref="B988:B991"/>
    <mergeCell ref="B992:B993"/>
    <mergeCell ref="B994:B995"/>
    <mergeCell ref="A1258:A1260"/>
    <mergeCell ref="B1258:B1260"/>
    <mergeCell ref="C1258:C1260"/>
    <mergeCell ref="D1258:N1258"/>
    <mergeCell ref="O1258:Q1258"/>
    <mergeCell ref="D1259:D1260"/>
    <mergeCell ref="E1259:E1260"/>
    <mergeCell ref="F1259:I1259"/>
    <mergeCell ref="J1259:L1259"/>
    <mergeCell ref="M1259:M1260"/>
    <mergeCell ref="N1259:N1260"/>
    <mergeCell ref="O1259:Q1259"/>
    <mergeCell ref="B1297:B1301"/>
    <mergeCell ref="B1303:B1306"/>
    <mergeCell ref="B1307:B1312"/>
    <mergeCell ref="B1315:C1315"/>
    <mergeCell ref="B1316:C1316"/>
    <mergeCell ref="B1317:C1317"/>
    <mergeCell ref="B1266:C1266"/>
    <mergeCell ref="B1274:C1274"/>
    <mergeCell ref="B1275:C1275"/>
    <mergeCell ref="B1283:C1283"/>
    <mergeCell ref="B1284:C1284"/>
    <mergeCell ref="B1285:B1287"/>
    <mergeCell ref="B1288:B1291"/>
    <mergeCell ref="B1292:B1293"/>
    <mergeCell ref="B1294:B1295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22" manualBreakCount="22">
    <brk id="10" max="16" man="1"/>
    <brk id="69" max="16" man="1"/>
    <brk id="128" max="16" man="1"/>
    <brk id="187" max="16" man="1"/>
    <brk id="246" max="16" man="1"/>
    <brk id="305" max="16" man="1"/>
    <brk id="364" max="16" man="1"/>
    <brk id="423" max="16" man="1"/>
    <brk id="482" max="16" man="1"/>
    <brk id="541" max="16" man="1"/>
    <brk id="600" max="16" man="1"/>
    <brk id="659" max="16" man="1"/>
    <brk id="718" max="16" man="1"/>
    <brk id="777" max="16" man="1"/>
    <brk id="837" max="16" man="1"/>
    <brk id="897" max="16" man="1"/>
    <brk id="957" max="16" man="1"/>
    <brk id="1017" max="16" man="1"/>
    <brk id="1077" max="16" man="1"/>
    <brk id="1137" max="16" man="1"/>
    <brk id="1197" max="16" man="1"/>
    <brk id="12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7:L1734"/>
  <sheetViews>
    <sheetView view="pageBreakPreview" topLeftCell="A1649" zoomScale="50" zoomScaleNormal="70" zoomScaleSheetLayoutView="50" workbookViewId="0">
      <pane xSplit="3" topLeftCell="D1" activePane="topRight" state="frozen"/>
      <selection pane="topRight" activeCell="F1708" sqref="F1708"/>
    </sheetView>
  </sheetViews>
  <sheetFormatPr defaultColWidth="9.109375" defaultRowHeight="13.8" x14ac:dyDescent="0.3"/>
  <cols>
    <col min="1" max="1" width="10.109375" style="229" customWidth="1"/>
    <col min="2" max="2" width="14.44140625" style="269" customWidth="1"/>
    <col min="3" max="3" width="86" style="269" customWidth="1"/>
    <col min="4" max="4" width="38.6640625" style="229" customWidth="1"/>
    <col min="5" max="6" width="24" style="222" customWidth="1"/>
    <col min="7" max="7" width="24" style="223" customWidth="1"/>
    <col min="8" max="8" width="30.44140625" style="223" bestFit="1" customWidth="1"/>
    <col min="9" max="9" width="32.33203125" style="222" customWidth="1"/>
    <col min="10" max="10" width="0.33203125" style="224" customWidth="1"/>
    <col min="11" max="11" width="15.33203125" style="229" bestFit="1" customWidth="1"/>
    <col min="12" max="12" width="17.5546875" style="229" customWidth="1"/>
    <col min="13" max="13" width="14.109375" style="229" bestFit="1" customWidth="1"/>
    <col min="14" max="16384" width="9.109375" style="229"/>
  </cols>
  <sheetData>
    <row r="7" spans="1:10" ht="67.2" customHeight="1" x14ac:dyDescent="0.3">
      <c r="A7" s="220" t="s">
        <v>0</v>
      </c>
    </row>
    <row r="9" spans="1:10" ht="81" customHeight="1" x14ac:dyDescent="0.3">
      <c r="A9" s="961" t="s">
        <v>412</v>
      </c>
      <c r="B9" s="962"/>
      <c r="C9" s="962"/>
      <c r="D9" s="962"/>
      <c r="E9" s="962"/>
      <c r="F9" s="962"/>
      <c r="G9" s="962"/>
      <c r="H9" s="962"/>
      <c r="I9" s="962"/>
      <c r="J9" s="962"/>
    </row>
    <row r="10" spans="1:10" ht="24.6" customHeight="1" thickBot="1" x14ac:dyDescent="0.35">
      <c r="A10" s="230"/>
      <c r="B10" s="230"/>
      <c r="C10" s="230"/>
      <c r="D10" s="230"/>
      <c r="E10" s="232"/>
      <c r="F10" s="232"/>
      <c r="G10" s="232"/>
      <c r="H10" s="232"/>
      <c r="I10" s="270"/>
      <c r="J10" s="234"/>
    </row>
    <row r="11" spans="1:10" ht="23.4" x14ac:dyDescent="0.3">
      <c r="A11" s="935" t="s">
        <v>1</v>
      </c>
      <c r="B11" s="938" t="s">
        <v>2</v>
      </c>
      <c r="C11" s="1001" t="s">
        <v>3</v>
      </c>
      <c r="D11" s="1005" t="s">
        <v>93</v>
      </c>
      <c r="E11" s="1008">
        <v>44502</v>
      </c>
      <c r="F11" s="945"/>
      <c r="G11" s="945"/>
      <c r="H11" s="945"/>
      <c r="I11" s="945"/>
      <c r="J11" s="946"/>
    </row>
    <row r="12" spans="1:10" ht="23.4" x14ac:dyDescent="0.3">
      <c r="A12" s="999"/>
      <c r="B12" s="1000"/>
      <c r="C12" s="1002"/>
      <c r="D12" s="1006"/>
      <c r="E12" s="1009" t="s">
        <v>94</v>
      </c>
      <c r="F12" s="1010"/>
      <c r="G12" s="1009" t="s">
        <v>252</v>
      </c>
      <c r="H12" s="1011"/>
      <c r="I12" s="1011"/>
      <c r="J12" s="1010"/>
    </row>
    <row r="13" spans="1:10" x14ac:dyDescent="0.3">
      <c r="A13" s="936"/>
      <c r="B13" s="939"/>
      <c r="C13" s="1003"/>
      <c r="D13" s="1006"/>
      <c r="E13" s="947" t="s">
        <v>95</v>
      </c>
      <c r="F13" s="949" t="s">
        <v>96</v>
      </c>
      <c r="G13" s="1012" t="s">
        <v>97</v>
      </c>
      <c r="H13" s="1014" t="s">
        <v>98</v>
      </c>
      <c r="I13" s="1014" t="s">
        <v>98</v>
      </c>
      <c r="J13" s="1016" t="s">
        <v>12</v>
      </c>
    </row>
    <row r="14" spans="1:10" ht="14.4" thickBot="1" x14ac:dyDescent="0.35">
      <c r="A14" s="937"/>
      <c r="B14" s="940"/>
      <c r="C14" s="1004"/>
      <c r="D14" s="1007"/>
      <c r="E14" s="948"/>
      <c r="F14" s="950"/>
      <c r="G14" s="1013"/>
      <c r="H14" s="1015"/>
      <c r="I14" s="1015"/>
      <c r="J14" s="1017"/>
    </row>
    <row r="15" spans="1:10" ht="23.4" x14ac:dyDescent="0.3">
      <c r="A15" s="996" t="s">
        <v>111</v>
      </c>
      <c r="B15" s="445"/>
      <c r="C15" s="592" t="s">
        <v>300</v>
      </c>
      <c r="D15" s="449" t="s">
        <v>292</v>
      </c>
      <c r="E15" s="273">
        <v>0</v>
      </c>
      <c r="F15" s="441">
        <f>E15</f>
        <v>0</v>
      </c>
      <c r="G15" s="593">
        <v>111.09</v>
      </c>
      <c r="H15" s="609">
        <f t="shared" ref="H15:H28" si="0">E15*G15</f>
        <v>0</v>
      </c>
      <c r="I15" s="612">
        <f>+G15*F15</f>
        <v>0</v>
      </c>
      <c r="J15" s="357"/>
    </row>
    <row r="16" spans="1:10" ht="23.4" x14ac:dyDescent="0.3">
      <c r="A16" s="997"/>
      <c r="B16" s="444"/>
      <c r="C16" s="448" t="s">
        <v>293</v>
      </c>
      <c r="D16" s="447" t="s">
        <v>294</v>
      </c>
      <c r="E16" s="279">
        <v>0</v>
      </c>
      <c r="F16" s="441">
        <f>E16</f>
        <v>0</v>
      </c>
      <c r="G16" s="594">
        <v>11</v>
      </c>
      <c r="H16" s="610">
        <f t="shared" si="0"/>
        <v>0</v>
      </c>
      <c r="I16" s="613">
        <f>+G16*F16</f>
        <v>0</v>
      </c>
      <c r="J16" s="358"/>
    </row>
    <row r="17" spans="1:10" ht="23.4" x14ac:dyDescent="0.3">
      <c r="A17" s="997"/>
      <c r="B17" s="444"/>
      <c r="C17" s="448" t="s">
        <v>319</v>
      </c>
      <c r="D17" s="447" t="s">
        <v>320</v>
      </c>
      <c r="E17" s="279">
        <v>0</v>
      </c>
      <c r="F17" s="441">
        <f t="shared" ref="F17:F28" si="1">E17</f>
        <v>0</v>
      </c>
      <c r="G17" s="594">
        <v>10.57</v>
      </c>
      <c r="H17" s="610">
        <f t="shared" si="0"/>
        <v>0</v>
      </c>
      <c r="I17" s="613">
        <f t="shared" ref="I17:I28" si="2">+G17*F17</f>
        <v>0</v>
      </c>
      <c r="J17" s="358"/>
    </row>
    <row r="18" spans="1:10" ht="23.4" x14ac:dyDescent="0.3">
      <c r="A18" s="997"/>
      <c r="B18" s="444"/>
      <c r="C18" s="448" t="s">
        <v>307</v>
      </c>
      <c r="D18" s="447" t="s">
        <v>320</v>
      </c>
      <c r="E18" s="279">
        <v>0</v>
      </c>
      <c r="F18" s="441">
        <f t="shared" si="1"/>
        <v>0</v>
      </c>
      <c r="G18" s="594">
        <v>55.76</v>
      </c>
      <c r="H18" s="610">
        <f t="shared" si="0"/>
        <v>0</v>
      </c>
      <c r="I18" s="613">
        <f t="shared" si="2"/>
        <v>0</v>
      </c>
      <c r="J18" s="358"/>
    </row>
    <row r="19" spans="1:10" ht="23.4" x14ac:dyDescent="0.3">
      <c r="A19" s="997"/>
      <c r="B19" s="444"/>
      <c r="C19" s="448" t="s">
        <v>323</v>
      </c>
      <c r="D19" s="447" t="s">
        <v>192</v>
      </c>
      <c r="E19" s="279">
        <v>0</v>
      </c>
      <c r="F19" s="441">
        <f t="shared" si="1"/>
        <v>0</v>
      </c>
      <c r="G19" s="594">
        <v>14.79</v>
      </c>
      <c r="H19" s="610">
        <f t="shared" si="0"/>
        <v>0</v>
      </c>
      <c r="I19" s="613">
        <f t="shared" si="2"/>
        <v>0</v>
      </c>
      <c r="J19" s="358"/>
    </row>
    <row r="20" spans="1:10" ht="23.4" x14ac:dyDescent="0.3">
      <c r="A20" s="997"/>
      <c r="B20" s="444"/>
      <c r="C20" s="448" t="s">
        <v>332</v>
      </c>
      <c r="D20" s="447" t="s">
        <v>294</v>
      </c>
      <c r="E20" s="279">
        <v>0</v>
      </c>
      <c r="F20" s="441">
        <f t="shared" si="1"/>
        <v>0</v>
      </c>
      <c r="G20" s="594">
        <v>139.04</v>
      </c>
      <c r="H20" s="610">
        <f t="shared" si="0"/>
        <v>0</v>
      </c>
      <c r="I20" s="613">
        <f t="shared" si="2"/>
        <v>0</v>
      </c>
      <c r="J20" s="358"/>
    </row>
    <row r="21" spans="1:10" ht="23.4" x14ac:dyDescent="0.3">
      <c r="A21" s="997"/>
      <c r="B21" s="444"/>
      <c r="C21" s="448" t="s">
        <v>355</v>
      </c>
      <c r="D21" s="623" t="s">
        <v>356</v>
      </c>
      <c r="E21" s="279">
        <v>0</v>
      </c>
      <c r="F21" s="441">
        <f t="shared" si="1"/>
        <v>0</v>
      </c>
      <c r="G21" s="594">
        <v>18.84</v>
      </c>
      <c r="H21" s="610">
        <f t="shared" si="0"/>
        <v>0</v>
      </c>
      <c r="I21" s="613">
        <f t="shared" si="2"/>
        <v>0</v>
      </c>
      <c r="J21" s="358"/>
    </row>
    <row r="22" spans="1:10" ht="23.4" x14ac:dyDescent="0.3">
      <c r="A22" s="997"/>
      <c r="B22" s="444"/>
      <c r="C22" s="448" t="s">
        <v>362</v>
      </c>
      <c r="D22" s="623" t="s">
        <v>294</v>
      </c>
      <c r="E22" s="279">
        <v>0</v>
      </c>
      <c r="F22" s="441">
        <f t="shared" si="1"/>
        <v>0</v>
      </c>
      <c r="G22" s="594">
        <v>18.84</v>
      </c>
      <c r="H22" s="610">
        <f t="shared" si="0"/>
        <v>0</v>
      </c>
      <c r="I22" s="613">
        <f t="shared" si="2"/>
        <v>0</v>
      </c>
      <c r="J22" s="358"/>
    </row>
    <row r="23" spans="1:10" ht="23.4" x14ac:dyDescent="0.3">
      <c r="A23" s="997"/>
      <c r="B23" s="444"/>
      <c r="C23" s="448" t="s">
        <v>376</v>
      </c>
      <c r="D23" s="623" t="s">
        <v>257</v>
      </c>
      <c r="E23" s="279">
        <v>0</v>
      </c>
      <c r="F23" s="441">
        <f t="shared" si="1"/>
        <v>0</v>
      </c>
      <c r="G23" s="594">
        <v>21.18</v>
      </c>
      <c r="H23" s="610">
        <f t="shared" si="0"/>
        <v>0</v>
      </c>
      <c r="I23" s="613">
        <f t="shared" si="2"/>
        <v>0</v>
      </c>
      <c r="J23" s="358"/>
    </row>
    <row r="24" spans="1:10" ht="23.4" x14ac:dyDescent="0.3">
      <c r="A24" s="997"/>
      <c r="B24" s="444"/>
      <c r="C24" s="448" t="s">
        <v>378</v>
      </c>
      <c r="D24" s="623" t="s">
        <v>379</v>
      </c>
      <c r="E24" s="279">
        <v>0</v>
      </c>
      <c r="F24" s="441">
        <f t="shared" si="1"/>
        <v>0</v>
      </c>
      <c r="G24" s="594">
        <v>21.28</v>
      </c>
      <c r="H24" s="610">
        <f t="shared" si="0"/>
        <v>0</v>
      </c>
      <c r="I24" s="613">
        <f t="shared" si="2"/>
        <v>0</v>
      </c>
      <c r="J24" s="358"/>
    </row>
    <row r="25" spans="1:10" ht="23.4" x14ac:dyDescent="0.3">
      <c r="A25" s="997"/>
      <c r="B25" s="444"/>
      <c r="C25" s="448" t="s">
        <v>380</v>
      </c>
      <c r="D25" s="623" t="s">
        <v>381</v>
      </c>
      <c r="E25" s="279">
        <v>0</v>
      </c>
      <c r="F25" s="441">
        <f t="shared" si="1"/>
        <v>0</v>
      </c>
      <c r="G25" s="594">
        <v>18.84</v>
      </c>
      <c r="H25" s="610">
        <f t="shared" si="0"/>
        <v>0</v>
      </c>
      <c r="I25" s="613">
        <f t="shared" si="2"/>
        <v>0</v>
      </c>
      <c r="J25" s="358"/>
    </row>
    <row r="26" spans="1:10" ht="23.4" x14ac:dyDescent="0.3">
      <c r="A26" s="997"/>
      <c r="B26" s="444"/>
      <c r="C26" s="592" t="s">
        <v>383</v>
      </c>
      <c r="D26" s="623" t="s">
        <v>294</v>
      </c>
      <c r="E26" s="279">
        <v>0</v>
      </c>
      <c r="F26" s="441">
        <f t="shared" si="1"/>
        <v>0</v>
      </c>
      <c r="G26" s="594">
        <v>109.77</v>
      </c>
      <c r="H26" s="610">
        <f t="shared" si="0"/>
        <v>0</v>
      </c>
      <c r="I26" s="613">
        <f t="shared" si="2"/>
        <v>0</v>
      </c>
      <c r="J26" s="358"/>
    </row>
    <row r="27" spans="1:10" ht="23.4" x14ac:dyDescent="0.3">
      <c r="A27" s="997"/>
      <c r="B27" s="444"/>
      <c r="C27" s="448" t="s">
        <v>384</v>
      </c>
      <c r="D27" s="623" t="s">
        <v>206</v>
      </c>
      <c r="E27" s="279">
        <v>0</v>
      </c>
      <c r="F27" s="441">
        <f t="shared" si="1"/>
        <v>0</v>
      </c>
      <c r="G27" s="594">
        <v>21.28</v>
      </c>
      <c r="H27" s="610">
        <f t="shared" si="0"/>
        <v>0</v>
      </c>
      <c r="I27" s="613">
        <f t="shared" si="2"/>
        <v>0</v>
      </c>
      <c r="J27" s="358"/>
    </row>
    <row r="28" spans="1:10" ht="24" thickBot="1" x14ac:dyDescent="0.35">
      <c r="A28" s="997"/>
      <c r="B28" s="444"/>
      <c r="C28" s="448" t="s">
        <v>400</v>
      </c>
      <c r="D28" s="450" t="s">
        <v>193</v>
      </c>
      <c r="E28" s="279">
        <v>0</v>
      </c>
      <c r="F28" s="441">
        <f t="shared" si="1"/>
        <v>0</v>
      </c>
      <c r="G28" s="594">
        <v>36.44</v>
      </c>
      <c r="H28" s="610">
        <f t="shared" si="0"/>
        <v>0</v>
      </c>
      <c r="I28" s="613">
        <f t="shared" si="2"/>
        <v>0</v>
      </c>
      <c r="J28" s="358"/>
    </row>
    <row r="29" spans="1:10" ht="24" thickBot="1" x14ac:dyDescent="0.35">
      <c r="A29" s="997"/>
      <c r="B29" s="992" t="s">
        <v>295</v>
      </c>
      <c r="C29" s="993"/>
      <c r="D29" s="655"/>
      <c r="E29" s="332"/>
      <c r="F29" s="333"/>
      <c r="G29" s="332"/>
      <c r="H29" s="605">
        <f>SUM(H15:H28)</f>
        <v>0</v>
      </c>
      <c r="I29" s="597">
        <f>SUM(I15:I28)</f>
        <v>0</v>
      </c>
      <c r="J29" s="355"/>
    </row>
    <row r="30" spans="1:10" ht="23.4" x14ac:dyDescent="0.3">
      <c r="A30" s="997"/>
      <c r="B30" s="653"/>
      <c r="C30" s="282" t="s">
        <v>301</v>
      </c>
      <c r="D30" s="440" t="s">
        <v>263</v>
      </c>
      <c r="E30" s="283">
        <v>0</v>
      </c>
      <c r="F30" s="323">
        <f>E30</f>
        <v>0</v>
      </c>
      <c r="G30" s="595">
        <v>160.44999999999999</v>
      </c>
      <c r="H30" s="611">
        <f t="shared" ref="H30:H40" si="3">E30*G30</f>
        <v>0</v>
      </c>
      <c r="I30" s="614">
        <f t="shared" ref="I30:I40" si="4">+G30*F30</f>
        <v>0</v>
      </c>
      <c r="J30" s="379"/>
    </row>
    <row r="31" spans="1:10" ht="23.4" x14ac:dyDescent="0.3">
      <c r="A31" s="997"/>
      <c r="B31" s="653"/>
      <c r="C31" s="282" t="s">
        <v>317</v>
      </c>
      <c r="D31" s="440" t="s">
        <v>263</v>
      </c>
      <c r="E31" s="283">
        <v>0</v>
      </c>
      <c r="F31" s="323">
        <f t="shared" ref="F31:F40" si="5">E31</f>
        <v>0</v>
      </c>
      <c r="G31" s="595">
        <v>160.44999999999999</v>
      </c>
      <c r="H31" s="611">
        <f t="shared" si="3"/>
        <v>0</v>
      </c>
      <c r="I31" s="614">
        <f t="shared" si="4"/>
        <v>0</v>
      </c>
      <c r="J31" s="379"/>
    </row>
    <row r="32" spans="1:10" ht="23.4" x14ac:dyDescent="0.3">
      <c r="A32" s="997"/>
      <c r="B32" s="653"/>
      <c r="C32" s="282" t="s">
        <v>318</v>
      </c>
      <c r="D32" s="440" t="s">
        <v>263</v>
      </c>
      <c r="E32" s="283">
        <v>0</v>
      </c>
      <c r="F32" s="323">
        <f t="shared" si="5"/>
        <v>0</v>
      </c>
      <c r="G32" s="595">
        <v>160.44999999999999</v>
      </c>
      <c r="H32" s="611">
        <f t="shared" si="3"/>
        <v>0</v>
      </c>
      <c r="I32" s="614">
        <f t="shared" si="4"/>
        <v>0</v>
      </c>
      <c r="J32" s="379"/>
    </row>
    <row r="33" spans="1:12" ht="23.4" x14ac:dyDescent="0.3">
      <c r="A33" s="997"/>
      <c r="B33" s="653"/>
      <c r="C33" s="282" t="s">
        <v>321</v>
      </c>
      <c r="D33" s="440" t="s">
        <v>100</v>
      </c>
      <c r="E33" s="283">
        <v>0</v>
      </c>
      <c r="F33" s="323">
        <f t="shared" si="5"/>
        <v>0</v>
      </c>
      <c r="G33" s="595">
        <v>27</v>
      </c>
      <c r="H33" s="611">
        <f t="shared" si="3"/>
        <v>0</v>
      </c>
      <c r="I33" s="614">
        <f t="shared" si="4"/>
        <v>0</v>
      </c>
      <c r="J33" s="379"/>
    </row>
    <row r="34" spans="1:12" ht="23.4" x14ac:dyDescent="0.3">
      <c r="A34" s="997"/>
      <c r="B34" s="653"/>
      <c r="C34" s="282" t="s">
        <v>321</v>
      </c>
      <c r="D34" s="440" t="s">
        <v>329</v>
      </c>
      <c r="E34" s="283">
        <v>0</v>
      </c>
      <c r="F34" s="323">
        <f t="shared" si="5"/>
        <v>0</v>
      </c>
      <c r="G34" s="595">
        <v>27.5</v>
      </c>
      <c r="H34" s="611">
        <f t="shared" si="3"/>
        <v>0</v>
      </c>
      <c r="I34" s="614">
        <f t="shared" si="4"/>
        <v>0</v>
      </c>
      <c r="J34" s="379"/>
    </row>
    <row r="35" spans="1:12" ht="23.4" x14ac:dyDescent="0.3">
      <c r="A35" s="997"/>
      <c r="B35" s="653"/>
      <c r="C35" s="282" t="s">
        <v>307</v>
      </c>
      <c r="D35" s="440" t="s">
        <v>329</v>
      </c>
      <c r="E35" s="283">
        <v>0</v>
      </c>
      <c r="F35" s="323">
        <f t="shared" si="5"/>
        <v>0</v>
      </c>
      <c r="G35" s="595">
        <v>34.5</v>
      </c>
      <c r="H35" s="611">
        <f t="shared" si="3"/>
        <v>0</v>
      </c>
      <c r="I35" s="614">
        <f t="shared" si="4"/>
        <v>0</v>
      </c>
      <c r="J35" s="379"/>
    </row>
    <row r="36" spans="1:12" ht="23.4" x14ac:dyDescent="0.3">
      <c r="A36" s="997"/>
      <c r="B36" s="653"/>
      <c r="C36" s="282" t="s">
        <v>342</v>
      </c>
      <c r="D36" s="440" t="s">
        <v>263</v>
      </c>
      <c r="E36" s="283">
        <v>0</v>
      </c>
      <c r="F36" s="323">
        <f t="shared" si="5"/>
        <v>0</v>
      </c>
      <c r="G36" s="595">
        <v>160.44999999999999</v>
      </c>
      <c r="H36" s="611">
        <f t="shared" si="3"/>
        <v>0</v>
      </c>
      <c r="I36" s="614">
        <f t="shared" si="4"/>
        <v>0</v>
      </c>
      <c r="J36" s="379"/>
    </row>
    <row r="37" spans="1:12" ht="23.4" x14ac:dyDescent="0.3">
      <c r="A37" s="997"/>
      <c r="B37" s="653"/>
      <c r="C37" s="282" t="s">
        <v>80</v>
      </c>
      <c r="D37" s="440" t="s">
        <v>263</v>
      </c>
      <c r="E37" s="283">
        <v>0</v>
      </c>
      <c r="F37" s="323">
        <f t="shared" si="5"/>
        <v>0</v>
      </c>
      <c r="G37" s="595">
        <v>148.41999999999999</v>
      </c>
      <c r="H37" s="611">
        <f t="shared" si="3"/>
        <v>0</v>
      </c>
      <c r="I37" s="614">
        <f t="shared" si="4"/>
        <v>0</v>
      </c>
      <c r="J37" s="379"/>
    </row>
    <row r="38" spans="1:12" ht="23.4" x14ac:dyDescent="0.3">
      <c r="A38" s="997"/>
      <c r="B38" s="653"/>
      <c r="C38" s="282" t="s">
        <v>357</v>
      </c>
      <c r="D38" s="440" t="s">
        <v>263</v>
      </c>
      <c r="E38" s="283">
        <v>0</v>
      </c>
      <c r="F38" s="323">
        <f t="shared" si="5"/>
        <v>0</v>
      </c>
      <c r="G38" s="595">
        <v>160.44999999999999</v>
      </c>
      <c r="H38" s="611">
        <f t="shared" si="3"/>
        <v>0</v>
      </c>
      <c r="I38" s="614">
        <f t="shared" si="4"/>
        <v>0</v>
      </c>
      <c r="J38" s="379"/>
    </row>
    <row r="39" spans="1:12" ht="23.4" x14ac:dyDescent="0.3">
      <c r="A39" s="997"/>
      <c r="B39" s="653"/>
      <c r="C39" s="282" t="s">
        <v>358</v>
      </c>
      <c r="D39" s="440" t="s">
        <v>263</v>
      </c>
      <c r="E39" s="283">
        <v>0</v>
      </c>
      <c r="F39" s="323">
        <f t="shared" si="5"/>
        <v>0</v>
      </c>
      <c r="G39" s="595">
        <v>160.44999999999999</v>
      </c>
      <c r="H39" s="611">
        <f t="shared" si="3"/>
        <v>0</v>
      </c>
      <c r="I39" s="614">
        <f t="shared" si="4"/>
        <v>0</v>
      </c>
      <c r="J39" s="379"/>
    </row>
    <row r="40" spans="1:12" ht="24" thickBot="1" x14ac:dyDescent="0.35">
      <c r="A40" s="997"/>
      <c r="B40" s="653"/>
      <c r="C40" s="282" t="s">
        <v>353</v>
      </c>
      <c r="D40" s="440" t="s">
        <v>263</v>
      </c>
      <c r="E40" s="283">
        <v>0</v>
      </c>
      <c r="F40" s="323">
        <f t="shared" si="5"/>
        <v>0</v>
      </c>
      <c r="G40" s="595">
        <v>160.44999999999999</v>
      </c>
      <c r="H40" s="611">
        <f t="shared" si="3"/>
        <v>0</v>
      </c>
      <c r="I40" s="614">
        <f t="shared" si="4"/>
        <v>0</v>
      </c>
      <c r="J40" s="379"/>
    </row>
    <row r="41" spans="1:12" ht="24" thickBot="1" x14ac:dyDescent="0.35">
      <c r="A41" s="997"/>
      <c r="B41" s="992" t="s">
        <v>296</v>
      </c>
      <c r="C41" s="993"/>
      <c r="D41" s="655"/>
      <c r="E41" s="332"/>
      <c r="F41" s="333"/>
      <c r="G41" s="332"/>
      <c r="H41" s="605">
        <f>SUM(H30:H40)</f>
        <v>0</v>
      </c>
      <c r="I41" s="597">
        <f>SUM(I30:I40)</f>
        <v>0</v>
      </c>
      <c r="J41" s="355"/>
    </row>
    <row r="42" spans="1:12" ht="23.4" x14ac:dyDescent="0.3">
      <c r="A42" s="997"/>
      <c r="B42" s="653"/>
      <c r="C42" s="282" t="s">
        <v>303</v>
      </c>
      <c r="D42" s="440"/>
      <c r="E42" s="283">
        <v>0</v>
      </c>
      <c r="F42" s="598">
        <f t="shared" ref="F42:F44" si="6">E42</f>
        <v>0</v>
      </c>
      <c r="G42" s="595">
        <v>10</v>
      </c>
      <c r="H42" s="611">
        <f t="shared" ref="H42:H44" si="7">E42*G42</f>
        <v>0</v>
      </c>
      <c r="I42" s="614">
        <f t="shared" ref="I42:I44" si="8">+G42*F42</f>
        <v>0</v>
      </c>
      <c r="J42" s="379"/>
    </row>
    <row r="43" spans="1:12" ht="23.4" x14ac:dyDescent="0.3">
      <c r="A43" s="997"/>
      <c r="B43" s="653"/>
      <c r="C43" s="282" t="s">
        <v>308</v>
      </c>
      <c r="D43" s="440" t="s">
        <v>309</v>
      </c>
      <c r="E43" s="283">
        <v>0</v>
      </c>
      <c r="F43" s="598">
        <f t="shared" si="6"/>
        <v>0</v>
      </c>
      <c r="G43" s="595">
        <v>2500</v>
      </c>
      <c r="H43" s="611">
        <f t="shared" si="7"/>
        <v>0</v>
      </c>
      <c r="I43" s="614">
        <f>+G43*F43</f>
        <v>0</v>
      </c>
      <c r="J43" s="379"/>
    </row>
    <row r="44" spans="1:12" ht="24" thickBot="1" x14ac:dyDescent="0.35">
      <c r="A44" s="997"/>
      <c r="B44" s="653"/>
      <c r="C44" s="282" t="s">
        <v>343</v>
      </c>
      <c r="D44" s="440" t="s">
        <v>344</v>
      </c>
      <c r="E44" s="283">
        <v>0</v>
      </c>
      <c r="F44" s="598">
        <f t="shared" si="6"/>
        <v>0</v>
      </c>
      <c r="G44" s="596">
        <v>360</v>
      </c>
      <c r="H44" s="611">
        <f t="shared" si="7"/>
        <v>0</v>
      </c>
      <c r="I44" s="614">
        <f t="shared" si="8"/>
        <v>0</v>
      </c>
      <c r="J44" s="379"/>
    </row>
    <row r="45" spans="1:12" ht="24" thickBot="1" x14ac:dyDescent="0.35">
      <c r="A45" s="997"/>
      <c r="B45" s="992" t="s">
        <v>302</v>
      </c>
      <c r="C45" s="993"/>
      <c r="D45" s="655"/>
      <c r="E45" s="332"/>
      <c r="F45" s="333"/>
      <c r="G45" s="332"/>
      <c r="H45" s="605">
        <f>SUM(H42:H44)</f>
        <v>0</v>
      </c>
      <c r="I45" s="597">
        <f>SUM(I42:I44)</f>
        <v>0</v>
      </c>
      <c r="J45" s="379"/>
    </row>
    <row r="46" spans="1:12" ht="24" thickBot="1" x14ac:dyDescent="0.35">
      <c r="A46" s="997"/>
      <c r="B46" s="653"/>
      <c r="C46" s="282"/>
      <c r="D46" s="440"/>
      <c r="E46" s="283"/>
      <c r="F46" s="323"/>
      <c r="G46" s="596"/>
      <c r="H46" s="606"/>
      <c r="I46" s="285">
        <f t="shared" ref="I46" si="9">+G46*F46</f>
        <v>0</v>
      </c>
      <c r="J46" s="379"/>
    </row>
    <row r="47" spans="1:12" ht="24" thickBot="1" x14ac:dyDescent="0.35">
      <c r="A47" s="998"/>
      <c r="B47" s="992" t="s">
        <v>298</v>
      </c>
      <c r="C47" s="993"/>
      <c r="D47" s="654"/>
      <c r="E47" s="332"/>
      <c r="F47" s="333"/>
      <c r="G47" s="332"/>
      <c r="H47" s="597">
        <f>+H41+H29+H45</f>
        <v>0</v>
      </c>
      <c r="I47" s="597">
        <f>+I41+I29+I45</f>
        <v>0</v>
      </c>
      <c r="J47" s="379"/>
      <c r="L47" s="620"/>
    </row>
    <row r="48" spans="1:12" ht="23.4" x14ac:dyDescent="0.3">
      <c r="A48" s="996" t="s">
        <v>109</v>
      </c>
      <c r="B48" s="653"/>
      <c r="C48" s="282" t="s">
        <v>312</v>
      </c>
      <c r="D48" s="440" t="s">
        <v>193</v>
      </c>
      <c r="E48" s="283">
        <v>0</v>
      </c>
      <c r="F48" s="323">
        <f t="shared" ref="F48:F67" si="10">E48</f>
        <v>0</v>
      </c>
      <c r="G48" s="621">
        <v>13.25</v>
      </c>
      <c r="H48" s="615">
        <f t="shared" ref="H48:H67" si="11">E48*G48</f>
        <v>0</v>
      </c>
      <c r="I48" s="614">
        <f t="shared" ref="I48:I67" si="12">+G48*F48</f>
        <v>0</v>
      </c>
      <c r="J48" s="379"/>
    </row>
    <row r="49" spans="1:10" ht="23.4" x14ac:dyDescent="0.3">
      <c r="A49" s="997"/>
      <c r="B49" s="653"/>
      <c r="C49" s="282" t="s">
        <v>313</v>
      </c>
      <c r="D49" s="440"/>
      <c r="E49" s="283">
        <v>0</v>
      </c>
      <c r="F49" s="323">
        <f t="shared" si="10"/>
        <v>0</v>
      </c>
      <c r="G49" s="622">
        <v>10000</v>
      </c>
      <c r="H49" s="615">
        <f t="shared" si="11"/>
        <v>0</v>
      </c>
      <c r="I49" s="614">
        <f t="shared" si="12"/>
        <v>0</v>
      </c>
      <c r="J49" s="379"/>
    </row>
    <row r="50" spans="1:10" ht="23.4" x14ac:dyDescent="0.3">
      <c r="A50" s="997"/>
      <c r="B50" s="661"/>
      <c r="C50" s="282" t="s">
        <v>313</v>
      </c>
      <c r="D50" s="440"/>
      <c r="E50" s="283">
        <v>0</v>
      </c>
      <c r="F50" s="323">
        <f t="shared" si="10"/>
        <v>0</v>
      </c>
      <c r="G50" s="622">
        <v>18000</v>
      </c>
      <c r="H50" s="615">
        <f t="shared" si="11"/>
        <v>0</v>
      </c>
      <c r="I50" s="614">
        <f t="shared" si="12"/>
        <v>0</v>
      </c>
      <c r="J50" s="379"/>
    </row>
    <row r="51" spans="1:10" ht="23.4" x14ac:dyDescent="0.3">
      <c r="A51" s="997"/>
      <c r="B51" s="653"/>
      <c r="C51" s="282" t="s">
        <v>328</v>
      </c>
      <c r="D51" s="440" t="s">
        <v>193</v>
      </c>
      <c r="E51" s="283">
        <v>0</v>
      </c>
      <c r="F51" s="323">
        <f t="shared" si="10"/>
        <v>0</v>
      </c>
      <c r="G51" s="621">
        <v>24.93</v>
      </c>
      <c r="H51" s="615">
        <f t="shared" si="11"/>
        <v>0</v>
      </c>
      <c r="I51" s="614">
        <f t="shared" si="12"/>
        <v>0</v>
      </c>
      <c r="J51" s="379"/>
    </row>
    <row r="52" spans="1:10" ht="23.4" x14ac:dyDescent="0.3">
      <c r="A52" s="997"/>
      <c r="B52" s="653"/>
      <c r="C52" s="282" t="s">
        <v>335</v>
      </c>
      <c r="D52" s="440" t="s">
        <v>99</v>
      </c>
      <c r="E52" s="283">
        <v>0</v>
      </c>
      <c r="F52" s="323">
        <f t="shared" si="10"/>
        <v>0</v>
      </c>
      <c r="G52" s="621">
        <v>26</v>
      </c>
      <c r="H52" s="615">
        <f t="shared" si="11"/>
        <v>0</v>
      </c>
      <c r="I52" s="614">
        <f t="shared" si="12"/>
        <v>0</v>
      </c>
      <c r="J52" s="379"/>
    </row>
    <row r="53" spans="1:10" ht="23.4" x14ac:dyDescent="0.3">
      <c r="A53" s="997"/>
      <c r="B53" s="653"/>
      <c r="C53" s="282" t="s">
        <v>336</v>
      </c>
      <c r="D53" s="440" t="s">
        <v>193</v>
      </c>
      <c r="E53" s="283">
        <v>0</v>
      </c>
      <c r="F53" s="323">
        <f t="shared" si="10"/>
        <v>0</v>
      </c>
      <c r="G53" s="621">
        <v>25.49</v>
      </c>
      <c r="H53" s="615">
        <f t="shared" si="11"/>
        <v>0</v>
      </c>
      <c r="I53" s="614">
        <f t="shared" si="12"/>
        <v>0</v>
      </c>
      <c r="J53" s="379"/>
    </row>
    <row r="54" spans="1:10" ht="23.4" x14ac:dyDescent="0.3">
      <c r="A54" s="997"/>
      <c r="B54" s="653"/>
      <c r="C54" s="282" t="s">
        <v>337</v>
      </c>
      <c r="D54" s="440" t="s">
        <v>115</v>
      </c>
      <c r="E54" s="283">
        <v>0</v>
      </c>
      <c r="F54" s="323">
        <f t="shared" si="10"/>
        <v>0</v>
      </c>
      <c r="G54" s="621">
        <v>24.93</v>
      </c>
      <c r="H54" s="615">
        <f t="shared" si="11"/>
        <v>0</v>
      </c>
      <c r="I54" s="614">
        <f t="shared" si="12"/>
        <v>0</v>
      </c>
      <c r="J54" s="379"/>
    </row>
    <row r="55" spans="1:10" ht="23.4" x14ac:dyDescent="0.3">
      <c r="A55" s="997"/>
      <c r="B55" s="653"/>
      <c r="C55" s="282" t="s">
        <v>338</v>
      </c>
      <c r="D55" s="440" t="s">
        <v>311</v>
      </c>
      <c r="E55" s="283">
        <v>0</v>
      </c>
      <c r="F55" s="323">
        <f t="shared" si="10"/>
        <v>0</v>
      </c>
      <c r="G55" s="621">
        <v>24.93</v>
      </c>
      <c r="H55" s="615">
        <f t="shared" si="11"/>
        <v>0</v>
      </c>
      <c r="I55" s="614">
        <f t="shared" si="12"/>
        <v>0</v>
      </c>
      <c r="J55" s="379"/>
    </row>
    <row r="56" spans="1:10" ht="23.4" x14ac:dyDescent="0.3">
      <c r="A56" s="997"/>
      <c r="B56" s="653"/>
      <c r="C56" s="282" t="s">
        <v>339</v>
      </c>
      <c r="D56" s="440" t="s">
        <v>99</v>
      </c>
      <c r="E56" s="283">
        <v>0</v>
      </c>
      <c r="F56" s="323">
        <f t="shared" si="10"/>
        <v>0</v>
      </c>
      <c r="G56" s="621">
        <v>20.89</v>
      </c>
      <c r="H56" s="615">
        <f t="shared" si="11"/>
        <v>0</v>
      </c>
      <c r="I56" s="614">
        <f t="shared" si="12"/>
        <v>0</v>
      </c>
      <c r="J56" s="379"/>
    </row>
    <row r="57" spans="1:10" ht="23.4" x14ac:dyDescent="0.3">
      <c r="A57" s="997"/>
      <c r="B57" s="653"/>
      <c r="C57" s="282" t="s">
        <v>349</v>
      </c>
      <c r="D57" s="440" t="s">
        <v>350</v>
      </c>
      <c r="E57" s="283">
        <v>0</v>
      </c>
      <c r="F57" s="323">
        <f t="shared" si="10"/>
        <v>0</v>
      </c>
      <c r="G57" s="621">
        <v>37.89</v>
      </c>
      <c r="H57" s="615">
        <f t="shared" si="11"/>
        <v>0</v>
      </c>
      <c r="I57" s="614">
        <f t="shared" si="12"/>
        <v>0</v>
      </c>
      <c r="J57" s="379"/>
    </row>
    <row r="58" spans="1:10" ht="23.4" x14ac:dyDescent="0.3">
      <c r="A58" s="997"/>
      <c r="B58" s="653"/>
      <c r="C58" s="282" t="s">
        <v>351</v>
      </c>
      <c r="D58" s="440" t="s">
        <v>350</v>
      </c>
      <c r="E58" s="283">
        <v>0</v>
      </c>
      <c r="F58" s="323">
        <f t="shared" si="10"/>
        <v>0</v>
      </c>
      <c r="G58" s="621">
        <v>24.41</v>
      </c>
      <c r="H58" s="615">
        <f t="shared" si="11"/>
        <v>0</v>
      </c>
      <c r="I58" s="614">
        <f t="shared" si="12"/>
        <v>0</v>
      </c>
      <c r="J58" s="379"/>
    </row>
    <row r="59" spans="1:10" ht="23.4" x14ac:dyDescent="0.3">
      <c r="A59" s="997"/>
      <c r="B59" s="653"/>
      <c r="C59" s="282" t="s">
        <v>337</v>
      </c>
      <c r="D59" s="440" t="s">
        <v>310</v>
      </c>
      <c r="E59" s="283">
        <v>0</v>
      </c>
      <c r="F59" s="323">
        <f t="shared" si="10"/>
        <v>0</v>
      </c>
      <c r="G59" s="621">
        <v>24.93</v>
      </c>
      <c r="H59" s="615">
        <f t="shared" si="11"/>
        <v>0</v>
      </c>
      <c r="I59" s="614">
        <f t="shared" si="12"/>
        <v>0</v>
      </c>
      <c r="J59" s="379"/>
    </row>
    <row r="60" spans="1:10" ht="23.4" x14ac:dyDescent="0.3">
      <c r="A60" s="997"/>
      <c r="B60" s="653"/>
      <c r="C60" s="282" t="s">
        <v>338</v>
      </c>
      <c r="D60" s="440" t="s">
        <v>310</v>
      </c>
      <c r="E60" s="283">
        <v>0</v>
      </c>
      <c r="F60" s="323">
        <f t="shared" si="10"/>
        <v>0</v>
      </c>
      <c r="G60" s="621">
        <v>24.93</v>
      </c>
      <c r="H60" s="615">
        <f t="shared" si="11"/>
        <v>0</v>
      </c>
      <c r="I60" s="614">
        <f t="shared" si="12"/>
        <v>0</v>
      </c>
      <c r="J60" s="379"/>
    </row>
    <row r="61" spans="1:10" ht="23.4" x14ac:dyDescent="0.3">
      <c r="A61" s="997"/>
      <c r="B61" s="653"/>
      <c r="C61" s="282" t="s">
        <v>369</v>
      </c>
      <c r="D61" s="440" t="s">
        <v>324</v>
      </c>
      <c r="E61" s="283">
        <v>0</v>
      </c>
      <c r="F61" s="323">
        <f t="shared" si="10"/>
        <v>0</v>
      </c>
      <c r="G61" s="621">
        <v>34.26</v>
      </c>
      <c r="H61" s="615">
        <f t="shared" si="11"/>
        <v>0</v>
      </c>
      <c r="I61" s="614">
        <f t="shared" si="12"/>
        <v>0</v>
      </c>
      <c r="J61" s="379"/>
    </row>
    <row r="62" spans="1:10" ht="23.4" x14ac:dyDescent="0.3">
      <c r="A62" s="997"/>
      <c r="B62" s="653"/>
      <c r="C62" s="282" t="s">
        <v>385</v>
      </c>
      <c r="D62" s="440" t="s">
        <v>193</v>
      </c>
      <c r="E62" s="283">
        <v>0</v>
      </c>
      <c r="F62" s="323">
        <f t="shared" si="10"/>
        <v>0</v>
      </c>
      <c r="G62" s="621">
        <v>23.65</v>
      </c>
      <c r="H62" s="615">
        <f t="shared" si="11"/>
        <v>0</v>
      </c>
      <c r="I62" s="614">
        <f t="shared" si="12"/>
        <v>0</v>
      </c>
      <c r="J62" s="379"/>
    </row>
    <row r="63" spans="1:10" ht="23.4" x14ac:dyDescent="0.3">
      <c r="A63" s="997"/>
      <c r="B63" s="661"/>
      <c r="C63" s="282" t="s">
        <v>405</v>
      </c>
      <c r="D63" s="440" t="s">
        <v>192</v>
      </c>
      <c r="E63" s="283">
        <v>0</v>
      </c>
      <c r="F63" s="323">
        <f t="shared" si="10"/>
        <v>0</v>
      </c>
      <c r="G63" s="621">
        <v>20.76</v>
      </c>
      <c r="H63" s="615">
        <f t="shared" si="11"/>
        <v>0</v>
      </c>
      <c r="I63" s="614">
        <f t="shared" si="12"/>
        <v>0</v>
      </c>
      <c r="J63" s="379"/>
    </row>
    <row r="64" spans="1:10" ht="23.4" x14ac:dyDescent="0.3">
      <c r="A64" s="997"/>
      <c r="B64" s="661"/>
      <c r="C64" s="282" t="s">
        <v>338</v>
      </c>
      <c r="D64" s="440" t="s">
        <v>192</v>
      </c>
      <c r="E64" s="283">
        <v>0</v>
      </c>
      <c r="F64" s="323">
        <f t="shared" si="10"/>
        <v>0</v>
      </c>
      <c r="G64" s="621">
        <v>21.22</v>
      </c>
      <c r="H64" s="615">
        <f t="shared" si="11"/>
        <v>0</v>
      </c>
      <c r="I64" s="614">
        <f t="shared" si="12"/>
        <v>0</v>
      </c>
      <c r="J64" s="379"/>
    </row>
    <row r="65" spans="1:10" ht="23.4" x14ac:dyDescent="0.3">
      <c r="A65" s="997"/>
      <c r="B65" s="661"/>
      <c r="C65" s="282" t="s">
        <v>337</v>
      </c>
      <c r="D65" s="440" t="s">
        <v>192</v>
      </c>
      <c r="E65" s="283">
        <v>0</v>
      </c>
      <c r="F65" s="323">
        <f t="shared" si="10"/>
        <v>0</v>
      </c>
      <c r="G65" s="621">
        <v>21.22</v>
      </c>
      <c r="H65" s="615">
        <f t="shared" si="11"/>
        <v>0</v>
      </c>
      <c r="I65" s="614">
        <f t="shared" si="12"/>
        <v>0</v>
      </c>
      <c r="J65" s="379"/>
    </row>
    <row r="66" spans="1:10" ht="23.4" x14ac:dyDescent="0.3">
      <c r="A66" s="997"/>
      <c r="B66" s="661"/>
      <c r="C66" s="282" t="s">
        <v>406</v>
      </c>
      <c r="D66" s="440" t="s">
        <v>344</v>
      </c>
      <c r="E66" s="283">
        <v>0</v>
      </c>
      <c r="F66" s="323">
        <f t="shared" si="10"/>
        <v>0</v>
      </c>
      <c r="G66" s="621">
        <v>10000</v>
      </c>
      <c r="H66" s="615">
        <f t="shared" si="11"/>
        <v>0</v>
      </c>
      <c r="I66" s="614">
        <f t="shared" si="12"/>
        <v>0</v>
      </c>
      <c r="J66" s="379"/>
    </row>
    <row r="67" spans="1:10" ht="24" thickBot="1" x14ac:dyDescent="0.35">
      <c r="A67" s="997"/>
      <c r="B67" s="653"/>
      <c r="C67" s="282" t="s">
        <v>403</v>
      </c>
      <c r="D67" s="440" t="s">
        <v>404</v>
      </c>
      <c r="E67" s="283">
        <v>0</v>
      </c>
      <c r="F67" s="323">
        <f t="shared" si="10"/>
        <v>0</v>
      </c>
      <c r="G67" s="621">
        <v>39</v>
      </c>
      <c r="H67" s="615">
        <f t="shared" si="11"/>
        <v>0</v>
      </c>
      <c r="I67" s="614">
        <f t="shared" si="12"/>
        <v>0</v>
      </c>
      <c r="J67" s="379"/>
    </row>
    <row r="68" spans="1:10" ht="24" thickBot="1" x14ac:dyDescent="0.35">
      <c r="A68" s="998"/>
      <c r="B68" s="992" t="s">
        <v>297</v>
      </c>
      <c r="C68" s="993"/>
      <c r="D68" s="655"/>
      <c r="E68" s="332"/>
      <c r="F68" s="333"/>
      <c r="G68" s="332"/>
      <c r="H68" s="605"/>
      <c r="I68" s="597">
        <f>SUM(I48:I67)</f>
        <v>0</v>
      </c>
      <c r="J68" s="379"/>
    </row>
    <row r="69" spans="1:10" ht="23.4" x14ac:dyDescent="0.3">
      <c r="A69" s="996" t="s">
        <v>110</v>
      </c>
      <c r="B69" s="653"/>
      <c r="C69" s="282" t="s">
        <v>304</v>
      </c>
      <c r="D69" s="440" t="s">
        <v>263</v>
      </c>
      <c r="E69" s="283">
        <v>0</v>
      </c>
      <c r="F69" s="323">
        <f t="shared" ref="F69:F88" si="13">E69</f>
        <v>0</v>
      </c>
      <c r="G69" s="621">
        <v>430.02</v>
      </c>
      <c r="H69" s="611">
        <f>E69*G69</f>
        <v>0</v>
      </c>
      <c r="I69" s="614">
        <f t="shared" ref="I69:I88" si="14">+G69*F69</f>
        <v>0</v>
      </c>
      <c r="J69" s="379"/>
    </row>
    <row r="70" spans="1:10" ht="23.4" x14ac:dyDescent="0.3">
      <c r="A70" s="997"/>
      <c r="B70" s="653"/>
      <c r="C70" s="282" t="s">
        <v>305</v>
      </c>
      <c r="D70" s="440" t="s">
        <v>263</v>
      </c>
      <c r="E70" s="283">
        <v>0</v>
      </c>
      <c r="F70" s="323">
        <f t="shared" si="13"/>
        <v>0</v>
      </c>
      <c r="G70" s="621">
        <v>445.38</v>
      </c>
      <c r="H70" s="611">
        <f t="shared" ref="H70:H88" si="15">E70*G70</f>
        <v>0</v>
      </c>
      <c r="I70" s="614">
        <f t="shared" si="14"/>
        <v>0</v>
      </c>
      <c r="J70" s="379"/>
    </row>
    <row r="71" spans="1:10" ht="23.4" x14ac:dyDescent="0.3">
      <c r="A71" s="997"/>
      <c r="B71" s="653"/>
      <c r="C71" s="282" t="s">
        <v>341</v>
      </c>
      <c r="D71" s="440" t="s">
        <v>263</v>
      </c>
      <c r="E71" s="283">
        <v>0</v>
      </c>
      <c r="F71" s="323">
        <f t="shared" si="13"/>
        <v>0</v>
      </c>
      <c r="G71" s="621">
        <v>63.55</v>
      </c>
      <c r="H71" s="611">
        <f t="shared" si="15"/>
        <v>0</v>
      </c>
      <c r="I71" s="614">
        <f t="shared" si="14"/>
        <v>0</v>
      </c>
      <c r="J71" s="379"/>
    </row>
    <row r="72" spans="1:10" ht="23.4" x14ac:dyDescent="0.3">
      <c r="A72" s="997"/>
      <c r="B72" s="653"/>
      <c r="C72" s="282" t="s">
        <v>306</v>
      </c>
      <c r="D72" s="440" t="s">
        <v>263</v>
      </c>
      <c r="E72" s="283">
        <f>10080+1680</f>
        <v>11760</v>
      </c>
      <c r="F72" s="323">
        <f t="shared" si="13"/>
        <v>11760</v>
      </c>
      <c r="G72" s="621">
        <v>71.44</v>
      </c>
      <c r="H72" s="611">
        <f t="shared" si="15"/>
        <v>840134.4</v>
      </c>
      <c r="I72" s="614">
        <f t="shared" si="14"/>
        <v>840134.4</v>
      </c>
      <c r="J72" s="379"/>
    </row>
    <row r="73" spans="1:10" ht="23.4" x14ac:dyDescent="0.3">
      <c r="A73" s="997"/>
      <c r="B73" s="653"/>
      <c r="C73" s="282" t="s">
        <v>307</v>
      </c>
      <c r="D73" s="440" t="s">
        <v>263</v>
      </c>
      <c r="E73" s="283">
        <v>0</v>
      </c>
      <c r="F73" s="323">
        <f t="shared" si="13"/>
        <v>0</v>
      </c>
      <c r="G73" s="621">
        <v>36.5</v>
      </c>
      <c r="H73" s="611">
        <f t="shared" si="15"/>
        <v>0</v>
      </c>
      <c r="I73" s="614">
        <f t="shared" si="14"/>
        <v>0</v>
      </c>
      <c r="J73" s="379"/>
    </row>
    <row r="74" spans="1:10" ht="23.4" x14ac:dyDescent="0.3">
      <c r="A74" s="997"/>
      <c r="B74" s="653"/>
      <c r="C74" s="282" t="s">
        <v>316</v>
      </c>
      <c r="D74" s="440" t="s">
        <v>263</v>
      </c>
      <c r="E74" s="283">
        <v>0</v>
      </c>
      <c r="F74" s="323">
        <f t="shared" si="13"/>
        <v>0</v>
      </c>
      <c r="G74" s="621">
        <v>320.35000000000002</v>
      </c>
      <c r="H74" s="611">
        <f t="shared" si="15"/>
        <v>0</v>
      </c>
      <c r="I74" s="614">
        <f t="shared" si="14"/>
        <v>0</v>
      </c>
      <c r="J74" s="379"/>
    </row>
    <row r="75" spans="1:10" ht="23.4" x14ac:dyDescent="0.3">
      <c r="A75" s="997"/>
      <c r="B75" s="653"/>
      <c r="C75" s="282" t="s">
        <v>333</v>
      </c>
      <c r="D75" s="440" t="s">
        <v>263</v>
      </c>
      <c r="E75" s="283">
        <v>0</v>
      </c>
      <c r="F75" s="323">
        <f t="shared" si="13"/>
        <v>0</v>
      </c>
      <c r="G75" s="621">
        <v>434.41</v>
      </c>
      <c r="H75" s="611">
        <f t="shared" si="15"/>
        <v>0</v>
      </c>
      <c r="I75" s="614">
        <f t="shared" si="14"/>
        <v>0</v>
      </c>
      <c r="J75" s="379"/>
    </row>
    <row r="76" spans="1:10" ht="23.4" x14ac:dyDescent="0.3">
      <c r="A76" s="997"/>
      <c r="B76" s="653"/>
      <c r="C76" s="282" t="s">
        <v>313</v>
      </c>
      <c r="D76" s="440" t="s">
        <v>263</v>
      </c>
      <c r="E76" s="283">
        <v>0</v>
      </c>
      <c r="F76" s="323">
        <f t="shared" si="13"/>
        <v>0</v>
      </c>
      <c r="G76" s="621">
        <v>29690</v>
      </c>
      <c r="H76" s="611">
        <f t="shared" si="15"/>
        <v>0</v>
      </c>
      <c r="I76" s="614">
        <f t="shared" si="14"/>
        <v>0</v>
      </c>
      <c r="J76" s="379"/>
    </row>
    <row r="77" spans="1:10" ht="23.4" x14ac:dyDescent="0.3">
      <c r="A77" s="997"/>
      <c r="B77" s="653"/>
      <c r="C77" s="282" t="s">
        <v>313</v>
      </c>
      <c r="D77" s="440" t="s">
        <v>263</v>
      </c>
      <c r="E77" s="283">
        <v>0</v>
      </c>
      <c r="F77" s="323">
        <f t="shared" si="13"/>
        <v>0</v>
      </c>
      <c r="G77" s="621">
        <v>26445</v>
      </c>
      <c r="H77" s="611">
        <f t="shared" si="15"/>
        <v>0</v>
      </c>
      <c r="I77" s="614">
        <f t="shared" si="14"/>
        <v>0</v>
      </c>
      <c r="J77" s="379"/>
    </row>
    <row r="78" spans="1:10" ht="23.4" x14ac:dyDescent="0.3">
      <c r="A78" s="997"/>
      <c r="B78" s="653"/>
      <c r="C78" s="282" t="s">
        <v>354</v>
      </c>
      <c r="D78" s="440" t="s">
        <v>401</v>
      </c>
      <c r="E78" s="283">
        <v>0</v>
      </c>
      <c r="F78" s="323">
        <f t="shared" si="13"/>
        <v>0</v>
      </c>
      <c r="G78" s="621">
        <v>50</v>
      </c>
      <c r="H78" s="611">
        <f t="shared" si="15"/>
        <v>0</v>
      </c>
      <c r="I78" s="614">
        <f t="shared" si="14"/>
        <v>0</v>
      </c>
      <c r="J78" s="379"/>
    </row>
    <row r="79" spans="1:10" ht="23.4" x14ac:dyDescent="0.3">
      <c r="A79" s="997"/>
      <c r="B79" s="653"/>
      <c r="C79" s="282" t="s">
        <v>365</v>
      </c>
      <c r="D79" s="440" t="s">
        <v>350</v>
      </c>
      <c r="E79" s="283">
        <v>0</v>
      </c>
      <c r="F79" s="323">
        <f t="shared" si="13"/>
        <v>0</v>
      </c>
      <c r="G79" s="621">
        <v>309.88</v>
      </c>
      <c r="H79" s="611">
        <f t="shared" si="15"/>
        <v>0</v>
      </c>
      <c r="I79" s="614">
        <f t="shared" si="14"/>
        <v>0</v>
      </c>
      <c r="J79" s="379"/>
    </row>
    <row r="80" spans="1:10" ht="23.4" x14ac:dyDescent="0.3">
      <c r="A80" s="997"/>
      <c r="B80" s="653"/>
      <c r="C80" s="282" t="s">
        <v>366</v>
      </c>
      <c r="D80" s="440" t="s">
        <v>263</v>
      </c>
      <c r="E80" s="283">
        <v>0</v>
      </c>
      <c r="F80" s="323">
        <f t="shared" si="13"/>
        <v>0</v>
      </c>
      <c r="G80" s="621">
        <v>53.86</v>
      </c>
      <c r="H80" s="611">
        <f t="shared" si="15"/>
        <v>0</v>
      </c>
      <c r="I80" s="614">
        <f t="shared" si="14"/>
        <v>0</v>
      </c>
      <c r="J80" s="379"/>
    </row>
    <row r="81" spans="1:10" ht="23.4" x14ac:dyDescent="0.3">
      <c r="A81" s="997"/>
      <c r="B81" s="653"/>
      <c r="C81" s="282" t="s">
        <v>386</v>
      </c>
      <c r="D81" s="440" t="s">
        <v>387</v>
      </c>
      <c r="E81" s="283">
        <v>0</v>
      </c>
      <c r="F81" s="323">
        <f t="shared" si="13"/>
        <v>0</v>
      </c>
      <c r="G81" s="621">
        <v>57.64</v>
      </c>
      <c r="H81" s="611">
        <f t="shared" si="15"/>
        <v>0</v>
      </c>
      <c r="I81" s="614">
        <f t="shared" si="14"/>
        <v>0</v>
      </c>
      <c r="J81" s="379"/>
    </row>
    <row r="82" spans="1:10" ht="23.4" x14ac:dyDescent="0.3">
      <c r="A82" s="997"/>
      <c r="B82" s="653"/>
      <c r="C82" s="282" t="s">
        <v>388</v>
      </c>
      <c r="D82" s="440" t="s">
        <v>389</v>
      </c>
      <c r="E82" s="283">
        <v>0</v>
      </c>
      <c r="F82" s="323">
        <f t="shared" si="13"/>
        <v>0</v>
      </c>
      <c r="G82" s="621">
        <v>434.41</v>
      </c>
      <c r="H82" s="611">
        <f t="shared" si="15"/>
        <v>0</v>
      </c>
      <c r="I82" s="614">
        <f t="shared" si="14"/>
        <v>0</v>
      </c>
      <c r="J82" s="379"/>
    </row>
    <row r="83" spans="1:10" ht="23.4" x14ac:dyDescent="0.3">
      <c r="A83" s="997"/>
      <c r="B83" s="653"/>
      <c r="C83" s="282" t="s">
        <v>419</v>
      </c>
      <c r="D83" s="440" t="s">
        <v>263</v>
      </c>
      <c r="E83" s="283">
        <v>0</v>
      </c>
      <c r="F83" s="323">
        <f t="shared" si="13"/>
        <v>0</v>
      </c>
      <c r="G83" s="621">
        <v>624.26</v>
      </c>
      <c r="H83" s="611">
        <f t="shared" si="15"/>
        <v>0</v>
      </c>
      <c r="I83" s="614">
        <f t="shared" si="14"/>
        <v>0</v>
      </c>
      <c r="J83" s="379"/>
    </row>
    <row r="84" spans="1:10" ht="23.4" x14ac:dyDescent="0.3">
      <c r="A84" s="997"/>
      <c r="B84" s="653"/>
      <c r="C84" s="282" t="s">
        <v>390</v>
      </c>
      <c r="D84" s="440" t="s">
        <v>389</v>
      </c>
      <c r="E84" s="283">
        <v>0</v>
      </c>
      <c r="F84" s="323">
        <f t="shared" si="13"/>
        <v>0</v>
      </c>
      <c r="G84" s="621">
        <v>63.55</v>
      </c>
      <c r="H84" s="611">
        <f t="shared" si="15"/>
        <v>0</v>
      </c>
      <c r="I84" s="614">
        <f t="shared" si="14"/>
        <v>0</v>
      </c>
      <c r="J84" s="379"/>
    </row>
    <row r="85" spans="1:10" ht="23.4" x14ac:dyDescent="0.3">
      <c r="A85" s="997"/>
      <c r="B85" s="653"/>
      <c r="C85" s="282" t="s">
        <v>391</v>
      </c>
      <c r="D85" s="440" t="s">
        <v>389</v>
      </c>
      <c r="E85" s="283">
        <v>0</v>
      </c>
      <c r="F85" s="323">
        <f t="shared" si="13"/>
        <v>0</v>
      </c>
      <c r="G85" s="621">
        <v>53.86</v>
      </c>
      <c r="H85" s="611">
        <f t="shared" si="15"/>
        <v>0</v>
      </c>
      <c r="I85" s="614">
        <f t="shared" si="14"/>
        <v>0</v>
      </c>
      <c r="J85" s="379"/>
    </row>
    <row r="86" spans="1:10" ht="23.4" x14ac:dyDescent="0.3">
      <c r="A86" s="997"/>
      <c r="B86" s="653"/>
      <c r="C86" s="282" t="s">
        <v>402</v>
      </c>
      <c r="D86" s="440" t="s">
        <v>344</v>
      </c>
      <c r="E86" s="283">
        <v>0</v>
      </c>
      <c r="F86" s="323">
        <f t="shared" si="13"/>
        <v>0</v>
      </c>
      <c r="G86" s="621">
        <v>10</v>
      </c>
      <c r="H86" s="611">
        <f t="shared" si="15"/>
        <v>0</v>
      </c>
      <c r="I86" s="614">
        <f t="shared" si="14"/>
        <v>0</v>
      </c>
      <c r="J86" s="379"/>
    </row>
    <row r="87" spans="1:10" ht="23.4" x14ac:dyDescent="0.3">
      <c r="A87" s="997"/>
      <c r="B87" s="653"/>
      <c r="C87" s="282" t="s">
        <v>313</v>
      </c>
      <c r="D87" s="440"/>
      <c r="E87" s="283">
        <v>0</v>
      </c>
      <c r="F87" s="323">
        <f t="shared" si="13"/>
        <v>0</v>
      </c>
      <c r="G87" s="621">
        <v>39450</v>
      </c>
      <c r="H87" s="611">
        <f t="shared" si="15"/>
        <v>0</v>
      </c>
      <c r="I87" s="614">
        <f t="shared" si="14"/>
        <v>0</v>
      </c>
      <c r="J87" s="379"/>
    </row>
    <row r="88" spans="1:10" ht="24" thickBot="1" x14ac:dyDescent="0.35">
      <c r="A88" s="997"/>
      <c r="B88" s="653"/>
      <c r="C88" s="282" t="s">
        <v>388</v>
      </c>
      <c r="D88" s="440" t="s">
        <v>103</v>
      </c>
      <c r="E88" s="283">
        <v>0</v>
      </c>
      <c r="F88" s="323">
        <f t="shared" si="13"/>
        <v>0</v>
      </c>
      <c r="G88" s="621">
        <v>434.41</v>
      </c>
      <c r="H88" s="611">
        <f t="shared" si="15"/>
        <v>0</v>
      </c>
      <c r="I88" s="614">
        <f t="shared" si="14"/>
        <v>0</v>
      </c>
      <c r="J88" s="379"/>
    </row>
    <row r="89" spans="1:10" ht="24" thickBot="1" x14ac:dyDescent="0.35">
      <c r="A89" s="998"/>
      <c r="B89" s="992" t="s">
        <v>299</v>
      </c>
      <c r="C89" s="993"/>
      <c r="D89" s="655"/>
      <c r="E89" s="332"/>
      <c r="F89" s="333"/>
      <c r="G89" s="332"/>
      <c r="H89" s="608">
        <f>SUM(H69:H88)</f>
        <v>840134.4</v>
      </c>
      <c r="I89" s="597">
        <f>SUM(I69:I88)</f>
        <v>840134.4</v>
      </c>
      <c r="J89" s="378"/>
    </row>
    <row r="90" spans="1:10" ht="24" thickBot="1" x14ac:dyDescent="0.35">
      <c r="A90" s="658"/>
      <c r="B90" s="443"/>
      <c r="C90" s="282"/>
      <c r="D90" s="440"/>
      <c r="E90" s="283"/>
      <c r="F90" s="284"/>
      <c r="G90" s="340"/>
      <c r="H90" s="607"/>
      <c r="I90" s="285"/>
      <c r="J90" s="379"/>
    </row>
    <row r="91" spans="1:10" ht="24" thickBot="1" x14ac:dyDescent="0.35">
      <c r="A91" s="658"/>
      <c r="B91" s="992" t="s">
        <v>243</v>
      </c>
      <c r="C91" s="993"/>
      <c r="D91" s="654"/>
      <c r="E91" s="332"/>
      <c r="F91" s="333"/>
      <c r="G91" s="332"/>
      <c r="H91" s="605"/>
      <c r="I91" s="330"/>
      <c r="J91" s="355"/>
    </row>
    <row r="92" spans="1:10" ht="24.6" thickBot="1" x14ac:dyDescent="0.35">
      <c r="A92" s="325"/>
      <c r="B92" s="994" t="s">
        <v>183</v>
      </c>
      <c r="C92" s="995"/>
      <c r="D92" s="652"/>
      <c r="E92" s="380"/>
      <c r="F92" s="380"/>
      <c r="G92" s="380"/>
      <c r="H92" s="380"/>
      <c r="I92" s="380">
        <f>+I89+I68+I47</f>
        <v>840134.4</v>
      </c>
      <c r="J92" s="381"/>
    </row>
    <row r="93" spans="1:10" ht="23.4" x14ac:dyDescent="0.3">
      <c r="A93" s="935" t="s">
        <v>1</v>
      </c>
      <c r="B93" s="938" t="s">
        <v>2</v>
      </c>
      <c r="C93" s="1001" t="s">
        <v>3</v>
      </c>
      <c r="D93" s="1005" t="s">
        <v>93</v>
      </c>
      <c r="E93" s="1008">
        <v>44503</v>
      </c>
      <c r="F93" s="945"/>
      <c r="G93" s="945"/>
      <c r="H93" s="945"/>
      <c r="I93" s="945"/>
      <c r="J93" s="946"/>
    </row>
    <row r="94" spans="1:10" ht="23.4" x14ac:dyDescent="0.3">
      <c r="A94" s="999"/>
      <c r="B94" s="1000"/>
      <c r="C94" s="1002"/>
      <c r="D94" s="1006"/>
      <c r="E94" s="1009" t="s">
        <v>94</v>
      </c>
      <c r="F94" s="1010"/>
      <c r="G94" s="1009" t="s">
        <v>252</v>
      </c>
      <c r="H94" s="1011"/>
      <c r="I94" s="1011"/>
      <c r="J94" s="1010"/>
    </row>
    <row r="95" spans="1:10" x14ac:dyDescent="0.3">
      <c r="A95" s="936"/>
      <c r="B95" s="939"/>
      <c r="C95" s="1003"/>
      <c r="D95" s="1006"/>
      <c r="E95" s="947" t="s">
        <v>95</v>
      </c>
      <c r="F95" s="949" t="s">
        <v>96</v>
      </c>
      <c r="G95" s="1012" t="s">
        <v>97</v>
      </c>
      <c r="H95" s="1014" t="s">
        <v>98</v>
      </c>
      <c r="I95" s="1014" t="s">
        <v>98</v>
      </c>
      <c r="J95" s="1016" t="s">
        <v>12</v>
      </c>
    </row>
    <row r="96" spans="1:10" ht="14.4" thickBot="1" x14ac:dyDescent="0.35">
      <c r="A96" s="937"/>
      <c r="B96" s="940"/>
      <c r="C96" s="1004"/>
      <c r="D96" s="1007"/>
      <c r="E96" s="948"/>
      <c r="F96" s="950"/>
      <c r="G96" s="1013"/>
      <c r="H96" s="1015"/>
      <c r="I96" s="1015"/>
      <c r="J96" s="1017"/>
    </row>
    <row r="97" spans="1:10" ht="23.4" x14ac:dyDescent="0.3">
      <c r="A97" s="996" t="s">
        <v>111</v>
      </c>
      <c r="B97" s="445"/>
      <c r="C97" s="592" t="s">
        <v>300</v>
      </c>
      <c r="D97" s="449" t="s">
        <v>292</v>
      </c>
      <c r="E97" s="273">
        <v>0</v>
      </c>
      <c r="F97" s="441">
        <f>E97+F15</f>
        <v>0</v>
      </c>
      <c r="G97" s="593">
        <v>111.09</v>
      </c>
      <c r="H97" s="609">
        <f t="shared" ref="H97:H110" si="16">E97*G97</f>
        <v>0</v>
      </c>
      <c r="I97" s="612">
        <f>+G97*F97</f>
        <v>0</v>
      </c>
      <c r="J97" s="357"/>
    </row>
    <row r="98" spans="1:10" ht="23.4" x14ac:dyDescent="0.3">
      <c r="A98" s="997"/>
      <c r="B98" s="444"/>
      <c r="C98" s="448" t="s">
        <v>293</v>
      </c>
      <c r="D98" s="447" t="s">
        <v>294</v>
      </c>
      <c r="E98" s="279">
        <v>0</v>
      </c>
      <c r="F98" s="441">
        <f t="shared" ref="F98:F110" si="17">E98+F16</f>
        <v>0</v>
      </c>
      <c r="G98" s="594">
        <v>11</v>
      </c>
      <c r="H98" s="610">
        <f t="shared" si="16"/>
        <v>0</v>
      </c>
      <c r="I98" s="613">
        <f>+G98*F98</f>
        <v>0</v>
      </c>
      <c r="J98" s="358"/>
    </row>
    <row r="99" spans="1:10" ht="23.4" x14ac:dyDescent="0.3">
      <c r="A99" s="997"/>
      <c r="B99" s="444"/>
      <c r="C99" s="448" t="s">
        <v>319</v>
      </c>
      <c r="D99" s="447" t="s">
        <v>320</v>
      </c>
      <c r="E99" s="279">
        <v>0</v>
      </c>
      <c r="F99" s="441">
        <f t="shared" si="17"/>
        <v>0</v>
      </c>
      <c r="G99" s="594">
        <v>10.57</v>
      </c>
      <c r="H99" s="610">
        <f t="shared" si="16"/>
        <v>0</v>
      </c>
      <c r="I99" s="613">
        <f t="shared" ref="I99:I110" si="18">+G99*F99</f>
        <v>0</v>
      </c>
      <c r="J99" s="358"/>
    </row>
    <row r="100" spans="1:10" ht="23.4" x14ac:dyDescent="0.3">
      <c r="A100" s="997"/>
      <c r="B100" s="444"/>
      <c r="C100" s="448" t="s">
        <v>307</v>
      </c>
      <c r="D100" s="447" t="s">
        <v>320</v>
      </c>
      <c r="E100" s="279">
        <v>0</v>
      </c>
      <c r="F100" s="441">
        <f t="shared" si="17"/>
        <v>0</v>
      </c>
      <c r="G100" s="594">
        <v>55.76</v>
      </c>
      <c r="H100" s="610">
        <f t="shared" si="16"/>
        <v>0</v>
      </c>
      <c r="I100" s="613">
        <f t="shared" si="18"/>
        <v>0</v>
      </c>
      <c r="J100" s="358"/>
    </row>
    <row r="101" spans="1:10" ht="23.4" x14ac:dyDescent="0.3">
      <c r="A101" s="997"/>
      <c r="B101" s="444"/>
      <c r="C101" s="448" t="s">
        <v>323</v>
      </c>
      <c r="D101" s="447" t="s">
        <v>192</v>
      </c>
      <c r="E101" s="279">
        <v>0</v>
      </c>
      <c r="F101" s="441">
        <f t="shared" si="17"/>
        <v>0</v>
      </c>
      <c r="G101" s="594">
        <v>14.79</v>
      </c>
      <c r="H101" s="610">
        <f t="shared" si="16"/>
        <v>0</v>
      </c>
      <c r="I101" s="613">
        <f t="shared" si="18"/>
        <v>0</v>
      </c>
      <c r="J101" s="358"/>
    </row>
    <row r="102" spans="1:10" ht="23.4" x14ac:dyDescent="0.3">
      <c r="A102" s="997"/>
      <c r="B102" s="444"/>
      <c r="C102" s="448" t="s">
        <v>332</v>
      </c>
      <c r="D102" s="447" t="s">
        <v>294</v>
      </c>
      <c r="E102" s="279">
        <v>0</v>
      </c>
      <c r="F102" s="441">
        <f t="shared" si="17"/>
        <v>0</v>
      </c>
      <c r="G102" s="594">
        <v>139.04</v>
      </c>
      <c r="H102" s="610">
        <f t="shared" si="16"/>
        <v>0</v>
      </c>
      <c r="I102" s="613">
        <f t="shared" si="18"/>
        <v>0</v>
      </c>
      <c r="J102" s="358"/>
    </row>
    <row r="103" spans="1:10" ht="23.4" x14ac:dyDescent="0.3">
      <c r="A103" s="997"/>
      <c r="B103" s="444"/>
      <c r="C103" s="448" t="s">
        <v>355</v>
      </c>
      <c r="D103" s="623" t="s">
        <v>356</v>
      </c>
      <c r="E103" s="279">
        <v>0</v>
      </c>
      <c r="F103" s="441">
        <f t="shared" si="17"/>
        <v>0</v>
      </c>
      <c r="G103" s="594">
        <v>18.84</v>
      </c>
      <c r="H103" s="610">
        <f t="shared" si="16"/>
        <v>0</v>
      </c>
      <c r="I103" s="613">
        <f t="shared" si="18"/>
        <v>0</v>
      </c>
      <c r="J103" s="358"/>
    </row>
    <row r="104" spans="1:10" ht="23.4" x14ac:dyDescent="0.3">
      <c r="A104" s="997"/>
      <c r="B104" s="444"/>
      <c r="C104" s="448" t="s">
        <v>362</v>
      </c>
      <c r="D104" s="623" t="s">
        <v>294</v>
      </c>
      <c r="E104" s="279">
        <v>16524</v>
      </c>
      <c r="F104" s="441">
        <f t="shared" si="17"/>
        <v>16524</v>
      </c>
      <c r="G104" s="594">
        <v>18.84</v>
      </c>
      <c r="H104" s="610">
        <f t="shared" si="16"/>
        <v>311312.15999999997</v>
      </c>
      <c r="I104" s="613">
        <f t="shared" si="18"/>
        <v>311312.15999999997</v>
      </c>
      <c r="J104" s="358"/>
    </row>
    <row r="105" spans="1:10" ht="23.4" x14ac:dyDescent="0.3">
      <c r="A105" s="997"/>
      <c r="B105" s="444"/>
      <c r="C105" s="448" t="s">
        <v>376</v>
      </c>
      <c r="D105" s="623" t="s">
        <v>257</v>
      </c>
      <c r="E105" s="279">
        <v>122400</v>
      </c>
      <c r="F105" s="441">
        <f t="shared" si="17"/>
        <v>122400</v>
      </c>
      <c r="G105" s="594">
        <v>21.18</v>
      </c>
      <c r="H105" s="610">
        <f t="shared" si="16"/>
        <v>2592432</v>
      </c>
      <c r="I105" s="613">
        <f t="shared" si="18"/>
        <v>2592432</v>
      </c>
      <c r="J105" s="358"/>
    </row>
    <row r="106" spans="1:10" ht="23.4" x14ac:dyDescent="0.3">
      <c r="A106" s="997"/>
      <c r="B106" s="444"/>
      <c r="C106" s="448" t="s">
        <v>378</v>
      </c>
      <c r="D106" s="623" t="s">
        <v>379</v>
      </c>
      <c r="E106" s="279">
        <v>61200</v>
      </c>
      <c r="F106" s="441">
        <f t="shared" si="17"/>
        <v>61200</v>
      </c>
      <c r="G106" s="594">
        <v>21.28</v>
      </c>
      <c r="H106" s="610">
        <f t="shared" si="16"/>
        <v>1302336</v>
      </c>
      <c r="I106" s="613">
        <f t="shared" si="18"/>
        <v>1302336</v>
      </c>
      <c r="J106" s="358"/>
    </row>
    <row r="107" spans="1:10" ht="23.4" x14ac:dyDescent="0.3">
      <c r="A107" s="997"/>
      <c r="B107" s="444"/>
      <c r="C107" s="448" t="s">
        <v>380</v>
      </c>
      <c r="D107" s="623" t="s">
        <v>381</v>
      </c>
      <c r="E107" s="279">
        <v>0</v>
      </c>
      <c r="F107" s="441">
        <f t="shared" si="17"/>
        <v>0</v>
      </c>
      <c r="G107" s="594">
        <v>18.84</v>
      </c>
      <c r="H107" s="610">
        <f t="shared" si="16"/>
        <v>0</v>
      </c>
      <c r="I107" s="613">
        <f t="shared" si="18"/>
        <v>0</v>
      </c>
      <c r="J107" s="358"/>
    </row>
    <row r="108" spans="1:10" ht="23.4" x14ac:dyDescent="0.3">
      <c r="A108" s="997"/>
      <c r="B108" s="444"/>
      <c r="C108" s="592" t="s">
        <v>383</v>
      </c>
      <c r="D108" s="623" t="s">
        <v>294</v>
      </c>
      <c r="E108" s="279">
        <v>0</v>
      </c>
      <c r="F108" s="441">
        <f t="shared" si="17"/>
        <v>0</v>
      </c>
      <c r="G108" s="594">
        <v>109.77</v>
      </c>
      <c r="H108" s="610">
        <f t="shared" si="16"/>
        <v>0</v>
      </c>
      <c r="I108" s="613">
        <f t="shared" si="18"/>
        <v>0</v>
      </c>
      <c r="J108" s="358"/>
    </row>
    <row r="109" spans="1:10" ht="23.4" x14ac:dyDescent="0.3">
      <c r="A109" s="997"/>
      <c r="B109" s="444"/>
      <c r="C109" s="448" t="s">
        <v>384</v>
      </c>
      <c r="D109" s="623" t="s">
        <v>206</v>
      </c>
      <c r="E109" s="279">
        <v>0</v>
      </c>
      <c r="F109" s="441">
        <f t="shared" si="17"/>
        <v>0</v>
      </c>
      <c r="G109" s="594">
        <v>21.28</v>
      </c>
      <c r="H109" s="610">
        <f t="shared" si="16"/>
        <v>0</v>
      </c>
      <c r="I109" s="613">
        <f t="shared" si="18"/>
        <v>0</v>
      </c>
      <c r="J109" s="358"/>
    </row>
    <row r="110" spans="1:10" ht="24" thickBot="1" x14ac:dyDescent="0.35">
      <c r="A110" s="997"/>
      <c r="B110" s="444"/>
      <c r="C110" s="448" t="s">
        <v>400</v>
      </c>
      <c r="D110" s="450" t="s">
        <v>193</v>
      </c>
      <c r="E110" s="279">
        <v>0</v>
      </c>
      <c r="F110" s="441">
        <f t="shared" si="17"/>
        <v>0</v>
      </c>
      <c r="G110" s="594">
        <v>36.44</v>
      </c>
      <c r="H110" s="610">
        <f t="shared" si="16"/>
        <v>0</v>
      </c>
      <c r="I110" s="613">
        <f t="shared" si="18"/>
        <v>0</v>
      </c>
      <c r="J110" s="358"/>
    </row>
    <row r="111" spans="1:10" ht="24" thickBot="1" x14ac:dyDescent="0.35">
      <c r="A111" s="997"/>
      <c r="B111" s="992" t="s">
        <v>295</v>
      </c>
      <c r="C111" s="993"/>
      <c r="D111" s="666"/>
      <c r="E111" s="332"/>
      <c r="F111" s="333"/>
      <c r="G111" s="332"/>
      <c r="H111" s="605">
        <f>SUM(H97:H110)</f>
        <v>4206080.16</v>
      </c>
      <c r="I111" s="597">
        <f>SUM(I97:I110)</f>
        <v>4206080.16</v>
      </c>
      <c r="J111" s="355"/>
    </row>
    <row r="112" spans="1:10" ht="23.4" x14ac:dyDescent="0.3">
      <c r="A112" s="997"/>
      <c r="B112" s="668"/>
      <c r="C112" s="282" t="s">
        <v>301</v>
      </c>
      <c r="D112" s="440" t="s">
        <v>263</v>
      </c>
      <c r="E112" s="283">
        <f>5250+5250</f>
        <v>10500</v>
      </c>
      <c r="F112" s="323">
        <f t="shared" ref="F112:F122" si="19">E112+F30</f>
        <v>10500</v>
      </c>
      <c r="G112" s="595">
        <v>160.44999999999999</v>
      </c>
      <c r="H112" s="611">
        <f t="shared" ref="H112:H122" si="20">E112*G112</f>
        <v>1684724.9999999998</v>
      </c>
      <c r="I112" s="614">
        <f t="shared" ref="I112:I122" si="21">+G112*F112</f>
        <v>1684724.9999999998</v>
      </c>
      <c r="J112" s="379"/>
    </row>
    <row r="113" spans="1:10" ht="23.4" x14ac:dyDescent="0.3">
      <c r="A113" s="997"/>
      <c r="B113" s="668"/>
      <c r="C113" s="282" t="s">
        <v>317</v>
      </c>
      <c r="D113" s="440" t="s">
        <v>263</v>
      </c>
      <c r="E113" s="283">
        <v>0</v>
      </c>
      <c r="F113" s="323">
        <f t="shared" si="19"/>
        <v>0</v>
      </c>
      <c r="G113" s="595">
        <v>160.44999999999999</v>
      </c>
      <c r="H113" s="611">
        <f t="shared" si="20"/>
        <v>0</v>
      </c>
      <c r="I113" s="614">
        <f t="shared" si="21"/>
        <v>0</v>
      </c>
      <c r="J113" s="379"/>
    </row>
    <row r="114" spans="1:10" ht="23.4" x14ac:dyDescent="0.3">
      <c r="A114" s="997"/>
      <c r="B114" s="668"/>
      <c r="C114" s="282" t="s">
        <v>318</v>
      </c>
      <c r="D114" s="440" t="s">
        <v>263</v>
      </c>
      <c r="E114" s="283">
        <v>0</v>
      </c>
      <c r="F114" s="323">
        <f t="shared" si="19"/>
        <v>0</v>
      </c>
      <c r="G114" s="595">
        <v>160.44999999999999</v>
      </c>
      <c r="H114" s="611">
        <f t="shared" si="20"/>
        <v>0</v>
      </c>
      <c r="I114" s="614">
        <f t="shared" si="21"/>
        <v>0</v>
      </c>
      <c r="J114" s="379"/>
    </row>
    <row r="115" spans="1:10" ht="23.4" x14ac:dyDescent="0.3">
      <c r="A115" s="997"/>
      <c r="B115" s="668"/>
      <c r="C115" s="282" t="s">
        <v>321</v>
      </c>
      <c r="D115" s="440" t="s">
        <v>100</v>
      </c>
      <c r="E115" s="283">
        <v>0</v>
      </c>
      <c r="F115" s="323">
        <f t="shared" si="19"/>
        <v>0</v>
      </c>
      <c r="G115" s="595">
        <v>27</v>
      </c>
      <c r="H115" s="611">
        <f t="shared" si="20"/>
        <v>0</v>
      </c>
      <c r="I115" s="614">
        <f t="shared" si="21"/>
        <v>0</v>
      </c>
      <c r="J115" s="379"/>
    </row>
    <row r="116" spans="1:10" ht="23.4" x14ac:dyDescent="0.3">
      <c r="A116" s="997"/>
      <c r="B116" s="668"/>
      <c r="C116" s="282" t="s">
        <v>321</v>
      </c>
      <c r="D116" s="440" t="s">
        <v>329</v>
      </c>
      <c r="E116" s="283">
        <v>0</v>
      </c>
      <c r="F116" s="323">
        <f t="shared" si="19"/>
        <v>0</v>
      </c>
      <c r="G116" s="595">
        <v>27.5</v>
      </c>
      <c r="H116" s="611">
        <f t="shared" si="20"/>
        <v>0</v>
      </c>
      <c r="I116" s="614">
        <f t="shared" si="21"/>
        <v>0</v>
      </c>
      <c r="J116" s="379"/>
    </row>
    <row r="117" spans="1:10" ht="23.4" x14ac:dyDescent="0.3">
      <c r="A117" s="997"/>
      <c r="B117" s="668"/>
      <c r="C117" s="282" t="s">
        <v>307</v>
      </c>
      <c r="D117" s="440" t="s">
        <v>329</v>
      </c>
      <c r="E117" s="283">
        <v>0</v>
      </c>
      <c r="F117" s="323">
        <f t="shared" si="19"/>
        <v>0</v>
      </c>
      <c r="G117" s="595">
        <v>34.5</v>
      </c>
      <c r="H117" s="611">
        <f t="shared" si="20"/>
        <v>0</v>
      </c>
      <c r="I117" s="614">
        <f t="shared" si="21"/>
        <v>0</v>
      </c>
      <c r="J117" s="379"/>
    </row>
    <row r="118" spans="1:10" ht="23.4" x14ac:dyDescent="0.3">
      <c r="A118" s="997"/>
      <c r="B118" s="668"/>
      <c r="C118" s="282" t="s">
        <v>342</v>
      </c>
      <c r="D118" s="440" t="s">
        <v>263</v>
      </c>
      <c r="E118" s="283">
        <v>125</v>
      </c>
      <c r="F118" s="323">
        <f t="shared" si="19"/>
        <v>125</v>
      </c>
      <c r="G118" s="595">
        <v>160.44999999999999</v>
      </c>
      <c r="H118" s="611">
        <f t="shared" si="20"/>
        <v>20056.25</v>
      </c>
      <c r="I118" s="614">
        <f t="shared" si="21"/>
        <v>20056.25</v>
      </c>
      <c r="J118" s="379"/>
    </row>
    <row r="119" spans="1:10" ht="23.4" x14ac:dyDescent="0.3">
      <c r="A119" s="997"/>
      <c r="B119" s="668"/>
      <c r="C119" s="282" t="s">
        <v>80</v>
      </c>
      <c r="D119" s="440" t="s">
        <v>263</v>
      </c>
      <c r="E119" s="283">
        <v>0</v>
      </c>
      <c r="F119" s="323">
        <f t="shared" si="19"/>
        <v>0</v>
      </c>
      <c r="G119" s="595">
        <v>148.41999999999999</v>
      </c>
      <c r="H119" s="611">
        <f t="shared" si="20"/>
        <v>0</v>
      </c>
      <c r="I119" s="614">
        <f t="shared" si="21"/>
        <v>0</v>
      </c>
      <c r="J119" s="379"/>
    </row>
    <row r="120" spans="1:10" ht="23.4" x14ac:dyDescent="0.3">
      <c r="A120" s="997"/>
      <c r="B120" s="668"/>
      <c r="C120" s="282" t="s">
        <v>357</v>
      </c>
      <c r="D120" s="440" t="s">
        <v>263</v>
      </c>
      <c r="E120" s="283">
        <v>6500</v>
      </c>
      <c r="F120" s="323">
        <f t="shared" si="19"/>
        <v>6500</v>
      </c>
      <c r="G120" s="595">
        <v>160.44999999999999</v>
      </c>
      <c r="H120" s="611">
        <f t="shared" si="20"/>
        <v>1042924.9999999999</v>
      </c>
      <c r="I120" s="614">
        <f t="shared" si="21"/>
        <v>1042924.9999999999</v>
      </c>
      <c r="J120" s="379"/>
    </row>
    <row r="121" spans="1:10" ht="23.4" x14ac:dyDescent="0.3">
      <c r="A121" s="997"/>
      <c r="B121" s="668"/>
      <c r="C121" s="282" t="s">
        <v>358</v>
      </c>
      <c r="D121" s="440" t="s">
        <v>263</v>
      </c>
      <c r="E121" s="283">
        <v>0</v>
      </c>
      <c r="F121" s="323">
        <f t="shared" si="19"/>
        <v>0</v>
      </c>
      <c r="G121" s="595">
        <v>160.44999999999999</v>
      </c>
      <c r="H121" s="611">
        <f t="shared" si="20"/>
        <v>0</v>
      </c>
      <c r="I121" s="614">
        <f t="shared" si="21"/>
        <v>0</v>
      </c>
      <c r="J121" s="379"/>
    </row>
    <row r="122" spans="1:10" ht="24" thickBot="1" x14ac:dyDescent="0.35">
      <c r="A122" s="997"/>
      <c r="B122" s="668"/>
      <c r="C122" s="282" t="s">
        <v>353</v>
      </c>
      <c r="D122" s="440" t="s">
        <v>263</v>
      </c>
      <c r="E122" s="283">
        <v>875</v>
      </c>
      <c r="F122" s="323">
        <f t="shared" si="19"/>
        <v>875</v>
      </c>
      <c r="G122" s="595">
        <v>160.44999999999999</v>
      </c>
      <c r="H122" s="611">
        <f t="shared" si="20"/>
        <v>140393.75</v>
      </c>
      <c r="I122" s="614">
        <f t="shared" si="21"/>
        <v>140393.75</v>
      </c>
      <c r="J122" s="379"/>
    </row>
    <row r="123" spans="1:10" ht="24" thickBot="1" x14ac:dyDescent="0.35">
      <c r="A123" s="997"/>
      <c r="B123" s="992" t="s">
        <v>296</v>
      </c>
      <c r="C123" s="993"/>
      <c r="D123" s="666"/>
      <c r="E123" s="332"/>
      <c r="F123" s="333"/>
      <c r="G123" s="332"/>
      <c r="H123" s="605">
        <f>SUM(H112:H122)</f>
        <v>2888099.9999999995</v>
      </c>
      <c r="I123" s="597">
        <f>SUM(I112:I122)</f>
        <v>2888099.9999999995</v>
      </c>
      <c r="J123" s="355"/>
    </row>
    <row r="124" spans="1:10" ht="23.4" x14ac:dyDescent="0.3">
      <c r="A124" s="997"/>
      <c r="B124" s="668"/>
      <c r="C124" s="282" t="s">
        <v>303</v>
      </c>
      <c r="D124" s="440"/>
      <c r="E124" s="283">
        <v>0</v>
      </c>
      <c r="F124" s="598">
        <f t="shared" ref="F124:F126" si="22">E124+F42</f>
        <v>0</v>
      </c>
      <c r="G124" s="595">
        <v>10</v>
      </c>
      <c r="H124" s="611">
        <f t="shared" ref="H124:H126" si="23">E124*G124</f>
        <v>0</v>
      </c>
      <c r="I124" s="614">
        <f t="shared" ref="I124" si="24">+G124*F124</f>
        <v>0</v>
      </c>
      <c r="J124" s="379"/>
    </row>
    <row r="125" spans="1:10" ht="23.4" x14ac:dyDescent="0.3">
      <c r="A125" s="997"/>
      <c r="B125" s="668"/>
      <c r="C125" s="282" t="s">
        <v>308</v>
      </c>
      <c r="D125" s="440" t="s">
        <v>309</v>
      </c>
      <c r="E125" s="283">
        <v>2</v>
      </c>
      <c r="F125" s="598">
        <f t="shared" si="22"/>
        <v>2</v>
      </c>
      <c r="G125" s="595">
        <v>2500</v>
      </c>
      <c r="H125" s="611">
        <f t="shared" si="23"/>
        <v>5000</v>
      </c>
      <c r="I125" s="614">
        <f>+G125*F125</f>
        <v>5000</v>
      </c>
      <c r="J125" s="379"/>
    </row>
    <row r="126" spans="1:10" ht="24" thickBot="1" x14ac:dyDescent="0.35">
      <c r="A126" s="997"/>
      <c r="B126" s="668"/>
      <c r="C126" s="282" t="s">
        <v>343</v>
      </c>
      <c r="D126" s="440" t="s">
        <v>344</v>
      </c>
      <c r="E126" s="283">
        <v>0</v>
      </c>
      <c r="F126" s="598">
        <f t="shared" si="22"/>
        <v>0</v>
      </c>
      <c r="G126" s="596">
        <v>360</v>
      </c>
      <c r="H126" s="611">
        <f t="shared" si="23"/>
        <v>0</v>
      </c>
      <c r="I126" s="614">
        <f t="shared" ref="I126" si="25">+G126*F126</f>
        <v>0</v>
      </c>
      <c r="J126" s="379"/>
    </row>
    <row r="127" spans="1:10" ht="24" thickBot="1" x14ac:dyDescent="0.35">
      <c r="A127" s="997"/>
      <c r="B127" s="992" t="s">
        <v>302</v>
      </c>
      <c r="C127" s="993"/>
      <c r="D127" s="666"/>
      <c r="E127" s="332"/>
      <c r="F127" s="333"/>
      <c r="G127" s="332"/>
      <c r="H127" s="605">
        <f>SUM(H124:H126)</f>
        <v>5000</v>
      </c>
      <c r="I127" s="597">
        <f>SUM(I124:I126)</f>
        <v>5000</v>
      </c>
      <c r="J127" s="379"/>
    </row>
    <row r="128" spans="1:10" ht="24" thickBot="1" x14ac:dyDescent="0.35">
      <c r="A128" s="997"/>
      <c r="B128" s="668"/>
      <c r="C128" s="282"/>
      <c r="D128" s="440"/>
      <c r="E128" s="283"/>
      <c r="F128" s="323"/>
      <c r="G128" s="596"/>
      <c r="H128" s="606"/>
      <c r="I128" s="285">
        <f t="shared" ref="I128" si="26">+G128*F128</f>
        <v>0</v>
      </c>
      <c r="J128" s="379"/>
    </row>
    <row r="129" spans="1:10" ht="24" thickBot="1" x14ac:dyDescent="0.35">
      <c r="A129" s="998"/>
      <c r="B129" s="992" t="s">
        <v>298</v>
      </c>
      <c r="C129" s="993"/>
      <c r="D129" s="669"/>
      <c r="E129" s="332"/>
      <c r="F129" s="333"/>
      <c r="G129" s="332"/>
      <c r="H129" s="597">
        <f>+H123+H111+H127</f>
        <v>7099180.1600000001</v>
      </c>
      <c r="I129" s="597">
        <f>+I123+I111+I127</f>
        <v>7099180.1600000001</v>
      </c>
      <c r="J129" s="379"/>
    </row>
    <row r="130" spans="1:10" ht="23.4" x14ac:dyDescent="0.3">
      <c r="A130" s="996" t="s">
        <v>109</v>
      </c>
      <c r="B130" s="668"/>
      <c r="C130" s="282" t="s">
        <v>312</v>
      </c>
      <c r="D130" s="440" t="s">
        <v>193</v>
      </c>
      <c r="E130" s="283">
        <v>7956</v>
      </c>
      <c r="F130" s="323">
        <f t="shared" ref="F130:F149" si="27">E130+F48</f>
        <v>7956</v>
      </c>
      <c r="G130" s="621">
        <v>13.25</v>
      </c>
      <c r="H130" s="615">
        <f t="shared" ref="H130:H149" si="28">E130*G130</f>
        <v>105417</v>
      </c>
      <c r="I130" s="614">
        <f t="shared" ref="I130:I149" si="29">+G130*F130</f>
        <v>105417</v>
      </c>
      <c r="J130" s="379"/>
    </row>
    <row r="131" spans="1:10" ht="23.4" x14ac:dyDescent="0.3">
      <c r="A131" s="997"/>
      <c r="B131" s="668"/>
      <c r="C131" s="282" t="s">
        <v>313</v>
      </c>
      <c r="D131" s="440"/>
      <c r="E131" s="283">
        <v>1</v>
      </c>
      <c r="F131" s="323">
        <f t="shared" si="27"/>
        <v>1</v>
      </c>
      <c r="G131" s="622">
        <v>10000</v>
      </c>
      <c r="H131" s="615">
        <f t="shared" si="28"/>
        <v>10000</v>
      </c>
      <c r="I131" s="614">
        <f t="shared" si="29"/>
        <v>10000</v>
      </c>
      <c r="J131" s="379"/>
    </row>
    <row r="132" spans="1:10" ht="23.4" x14ac:dyDescent="0.3">
      <c r="A132" s="997"/>
      <c r="B132" s="668"/>
      <c r="C132" s="282" t="s">
        <v>313</v>
      </c>
      <c r="D132" s="440"/>
      <c r="E132" s="283">
        <v>0</v>
      </c>
      <c r="F132" s="323">
        <f t="shared" si="27"/>
        <v>0</v>
      </c>
      <c r="G132" s="622">
        <v>18000</v>
      </c>
      <c r="H132" s="615">
        <f t="shared" si="28"/>
        <v>0</v>
      </c>
      <c r="I132" s="614">
        <f t="shared" si="29"/>
        <v>0</v>
      </c>
      <c r="J132" s="379"/>
    </row>
    <row r="133" spans="1:10" ht="23.4" x14ac:dyDescent="0.3">
      <c r="A133" s="997"/>
      <c r="B133" s="668"/>
      <c r="C133" s="282" t="s">
        <v>328</v>
      </c>
      <c r="D133" s="440" t="s">
        <v>193</v>
      </c>
      <c r="E133" s="283">
        <v>0</v>
      </c>
      <c r="F133" s="323">
        <f t="shared" si="27"/>
        <v>0</v>
      </c>
      <c r="G133" s="621">
        <v>24.93</v>
      </c>
      <c r="H133" s="615">
        <f t="shared" si="28"/>
        <v>0</v>
      </c>
      <c r="I133" s="614">
        <f t="shared" si="29"/>
        <v>0</v>
      </c>
      <c r="J133" s="379"/>
    </row>
    <row r="134" spans="1:10" ht="23.4" x14ac:dyDescent="0.3">
      <c r="A134" s="997"/>
      <c r="B134" s="668"/>
      <c r="C134" s="282" t="s">
        <v>335</v>
      </c>
      <c r="D134" s="440" t="s">
        <v>99</v>
      </c>
      <c r="E134" s="283">
        <v>0</v>
      </c>
      <c r="F134" s="323">
        <f t="shared" si="27"/>
        <v>0</v>
      </c>
      <c r="G134" s="621">
        <v>26</v>
      </c>
      <c r="H134" s="615">
        <f t="shared" si="28"/>
        <v>0</v>
      </c>
      <c r="I134" s="614">
        <f t="shared" si="29"/>
        <v>0</v>
      </c>
      <c r="J134" s="379"/>
    </row>
    <row r="135" spans="1:10" ht="23.4" x14ac:dyDescent="0.3">
      <c r="A135" s="997"/>
      <c r="B135" s="668"/>
      <c r="C135" s="282" t="s">
        <v>336</v>
      </c>
      <c r="D135" s="440" t="s">
        <v>193</v>
      </c>
      <c r="E135" s="283">
        <v>0</v>
      </c>
      <c r="F135" s="323">
        <f t="shared" si="27"/>
        <v>0</v>
      </c>
      <c r="G135" s="621">
        <v>25.49</v>
      </c>
      <c r="H135" s="615">
        <f t="shared" si="28"/>
        <v>0</v>
      </c>
      <c r="I135" s="614">
        <f t="shared" si="29"/>
        <v>0</v>
      </c>
      <c r="J135" s="379"/>
    </row>
    <row r="136" spans="1:10" ht="23.4" x14ac:dyDescent="0.3">
      <c r="A136" s="997"/>
      <c r="B136" s="668"/>
      <c r="C136" s="282" t="s">
        <v>337</v>
      </c>
      <c r="D136" s="440" t="s">
        <v>115</v>
      </c>
      <c r="E136" s="283">
        <v>0</v>
      </c>
      <c r="F136" s="323">
        <f t="shared" si="27"/>
        <v>0</v>
      </c>
      <c r="G136" s="621">
        <v>24.93</v>
      </c>
      <c r="H136" s="615">
        <f t="shared" si="28"/>
        <v>0</v>
      </c>
      <c r="I136" s="614">
        <f t="shared" si="29"/>
        <v>0</v>
      </c>
      <c r="J136" s="379"/>
    </row>
    <row r="137" spans="1:10" ht="23.4" x14ac:dyDescent="0.3">
      <c r="A137" s="997"/>
      <c r="B137" s="668"/>
      <c r="C137" s="282" t="s">
        <v>338</v>
      </c>
      <c r="D137" s="440" t="s">
        <v>311</v>
      </c>
      <c r="E137" s="283">
        <v>0</v>
      </c>
      <c r="F137" s="323">
        <f t="shared" si="27"/>
        <v>0</v>
      </c>
      <c r="G137" s="621">
        <v>24.93</v>
      </c>
      <c r="H137" s="615">
        <f t="shared" si="28"/>
        <v>0</v>
      </c>
      <c r="I137" s="614">
        <f t="shared" si="29"/>
        <v>0</v>
      </c>
      <c r="J137" s="379"/>
    </row>
    <row r="138" spans="1:10" ht="23.4" x14ac:dyDescent="0.3">
      <c r="A138" s="997"/>
      <c r="B138" s="668"/>
      <c r="C138" s="282" t="s">
        <v>339</v>
      </c>
      <c r="D138" s="440" t="s">
        <v>99</v>
      </c>
      <c r="E138" s="283">
        <v>0</v>
      </c>
      <c r="F138" s="323">
        <f t="shared" si="27"/>
        <v>0</v>
      </c>
      <c r="G138" s="621">
        <v>20.89</v>
      </c>
      <c r="H138" s="615">
        <f t="shared" si="28"/>
        <v>0</v>
      </c>
      <c r="I138" s="614">
        <f t="shared" si="29"/>
        <v>0</v>
      </c>
      <c r="J138" s="379"/>
    </row>
    <row r="139" spans="1:10" ht="23.4" x14ac:dyDescent="0.3">
      <c r="A139" s="997"/>
      <c r="B139" s="668"/>
      <c r="C139" s="282" t="s">
        <v>349</v>
      </c>
      <c r="D139" s="440" t="s">
        <v>350</v>
      </c>
      <c r="E139" s="283">
        <v>0</v>
      </c>
      <c r="F139" s="323">
        <f t="shared" si="27"/>
        <v>0</v>
      </c>
      <c r="G139" s="621">
        <v>37.89</v>
      </c>
      <c r="H139" s="615">
        <f t="shared" si="28"/>
        <v>0</v>
      </c>
      <c r="I139" s="614">
        <f t="shared" si="29"/>
        <v>0</v>
      </c>
      <c r="J139" s="379"/>
    </row>
    <row r="140" spans="1:10" ht="23.4" x14ac:dyDescent="0.3">
      <c r="A140" s="997"/>
      <c r="B140" s="668"/>
      <c r="C140" s="282" t="s">
        <v>351</v>
      </c>
      <c r="D140" s="440" t="s">
        <v>350</v>
      </c>
      <c r="E140" s="283">
        <v>0</v>
      </c>
      <c r="F140" s="323">
        <f t="shared" si="27"/>
        <v>0</v>
      </c>
      <c r="G140" s="621">
        <v>24.41</v>
      </c>
      <c r="H140" s="615">
        <f t="shared" si="28"/>
        <v>0</v>
      </c>
      <c r="I140" s="614">
        <f t="shared" si="29"/>
        <v>0</v>
      </c>
      <c r="J140" s="379"/>
    </row>
    <row r="141" spans="1:10" ht="23.4" x14ac:dyDescent="0.3">
      <c r="A141" s="997"/>
      <c r="B141" s="668"/>
      <c r="C141" s="282" t="s">
        <v>337</v>
      </c>
      <c r="D141" s="440" t="s">
        <v>310</v>
      </c>
      <c r="E141" s="283">
        <v>0</v>
      </c>
      <c r="F141" s="323">
        <f t="shared" si="27"/>
        <v>0</v>
      </c>
      <c r="G141" s="621">
        <v>24.93</v>
      </c>
      <c r="H141" s="615">
        <f t="shared" si="28"/>
        <v>0</v>
      </c>
      <c r="I141" s="614">
        <f t="shared" si="29"/>
        <v>0</v>
      </c>
      <c r="J141" s="379"/>
    </row>
    <row r="142" spans="1:10" ht="23.4" x14ac:dyDescent="0.3">
      <c r="A142" s="997"/>
      <c r="B142" s="668"/>
      <c r="C142" s="282" t="s">
        <v>338</v>
      </c>
      <c r="D142" s="440" t="s">
        <v>310</v>
      </c>
      <c r="E142" s="283">
        <v>0</v>
      </c>
      <c r="F142" s="323">
        <f t="shared" si="27"/>
        <v>0</v>
      </c>
      <c r="G142" s="621">
        <v>24.93</v>
      </c>
      <c r="H142" s="615">
        <f t="shared" si="28"/>
        <v>0</v>
      </c>
      <c r="I142" s="614">
        <f t="shared" si="29"/>
        <v>0</v>
      </c>
      <c r="J142" s="379"/>
    </row>
    <row r="143" spans="1:10" ht="23.4" x14ac:dyDescent="0.3">
      <c r="A143" s="997"/>
      <c r="B143" s="668"/>
      <c r="C143" s="282" t="s">
        <v>369</v>
      </c>
      <c r="D143" s="440" t="s">
        <v>324</v>
      </c>
      <c r="E143" s="283">
        <v>1872</v>
      </c>
      <c r="F143" s="323">
        <f t="shared" si="27"/>
        <v>1872</v>
      </c>
      <c r="G143" s="621">
        <v>34.26</v>
      </c>
      <c r="H143" s="615">
        <f t="shared" si="28"/>
        <v>64134.719999999994</v>
      </c>
      <c r="I143" s="614">
        <f t="shared" si="29"/>
        <v>64134.719999999994</v>
      </c>
      <c r="J143" s="379"/>
    </row>
    <row r="144" spans="1:10" ht="23.4" x14ac:dyDescent="0.3">
      <c r="A144" s="997"/>
      <c r="B144" s="668"/>
      <c r="C144" s="282" t="s">
        <v>385</v>
      </c>
      <c r="D144" s="440" t="s">
        <v>193</v>
      </c>
      <c r="E144" s="283">
        <v>0</v>
      </c>
      <c r="F144" s="323">
        <f t="shared" si="27"/>
        <v>0</v>
      </c>
      <c r="G144" s="621">
        <v>23.65</v>
      </c>
      <c r="H144" s="615">
        <f t="shared" si="28"/>
        <v>0</v>
      </c>
      <c r="I144" s="614">
        <f t="shared" si="29"/>
        <v>0</v>
      </c>
      <c r="J144" s="379"/>
    </row>
    <row r="145" spans="1:10" ht="23.4" x14ac:dyDescent="0.3">
      <c r="A145" s="997"/>
      <c r="B145" s="668"/>
      <c r="C145" s="282" t="s">
        <v>405</v>
      </c>
      <c r="D145" s="440" t="s">
        <v>192</v>
      </c>
      <c r="E145" s="283">
        <v>0</v>
      </c>
      <c r="F145" s="323">
        <f t="shared" si="27"/>
        <v>0</v>
      </c>
      <c r="G145" s="621">
        <v>20.76</v>
      </c>
      <c r="H145" s="615">
        <f t="shared" si="28"/>
        <v>0</v>
      </c>
      <c r="I145" s="614">
        <f t="shared" si="29"/>
        <v>0</v>
      </c>
      <c r="J145" s="379"/>
    </row>
    <row r="146" spans="1:10" ht="23.4" x14ac:dyDescent="0.3">
      <c r="A146" s="997"/>
      <c r="B146" s="668"/>
      <c r="C146" s="282" t="s">
        <v>338</v>
      </c>
      <c r="D146" s="440" t="s">
        <v>192</v>
      </c>
      <c r="E146" s="283">
        <v>0</v>
      </c>
      <c r="F146" s="323">
        <f t="shared" si="27"/>
        <v>0</v>
      </c>
      <c r="G146" s="621">
        <v>21.22</v>
      </c>
      <c r="H146" s="615">
        <f t="shared" si="28"/>
        <v>0</v>
      </c>
      <c r="I146" s="614">
        <f t="shared" si="29"/>
        <v>0</v>
      </c>
      <c r="J146" s="379"/>
    </row>
    <row r="147" spans="1:10" ht="23.4" x14ac:dyDescent="0.3">
      <c r="A147" s="997"/>
      <c r="B147" s="668"/>
      <c r="C147" s="282" t="s">
        <v>337</v>
      </c>
      <c r="D147" s="440" t="s">
        <v>192</v>
      </c>
      <c r="E147" s="283">
        <v>0</v>
      </c>
      <c r="F147" s="323">
        <f t="shared" si="27"/>
        <v>0</v>
      </c>
      <c r="G147" s="621">
        <v>21.22</v>
      </c>
      <c r="H147" s="615">
        <f t="shared" si="28"/>
        <v>0</v>
      </c>
      <c r="I147" s="614">
        <f t="shared" si="29"/>
        <v>0</v>
      </c>
      <c r="J147" s="379"/>
    </row>
    <row r="148" spans="1:10" ht="23.4" x14ac:dyDescent="0.3">
      <c r="A148" s="997"/>
      <c r="B148" s="668"/>
      <c r="C148" s="282" t="s">
        <v>406</v>
      </c>
      <c r="D148" s="440" t="s">
        <v>344</v>
      </c>
      <c r="E148" s="283">
        <v>0</v>
      </c>
      <c r="F148" s="323">
        <f t="shared" si="27"/>
        <v>0</v>
      </c>
      <c r="G148" s="621">
        <v>10000</v>
      </c>
      <c r="H148" s="615">
        <f t="shared" si="28"/>
        <v>0</v>
      </c>
      <c r="I148" s="614">
        <f t="shared" si="29"/>
        <v>0</v>
      </c>
      <c r="J148" s="379"/>
    </row>
    <row r="149" spans="1:10" ht="24" thickBot="1" x14ac:dyDescent="0.35">
      <c r="A149" s="997"/>
      <c r="B149" s="668"/>
      <c r="C149" s="282" t="s">
        <v>403</v>
      </c>
      <c r="D149" s="440" t="s">
        <v>404</v>
      </c>
      <c r="E149" s="283">
        <v>0</v>
      </c>
      <c r="F149" s="323">
        <f t="shared" si="27"/>
        <v>0</v>
      </c>
      <c r="G149" s="621">
        <v>39</v>
      </c>
      <c r="H149" s="615">
        <f t="shared" si="28"/>
        <v>0</v>
      </c>
      <c r="I149" s="614">
        <f t="shared" si="29"/>
        <v>0</v>
      </c>
      <c r="J149" s="379"/>
    </row>
    <row r="150" spans="1:10" ht="24" thickBot="1" x14ac:dyDescent="0.35">
      <c r="A150" s="998"/>
      <c r="B150" s="992" t="s">
        <v>297</v>
      </c>
      <c r="C150" s="993"/>
      <c r="D150" s="666"/>
      <c r="E150" s="332"/>
      <c r="F150" s="333"/>
      <c r="G150" s="332"/>
      <c r="H150" s="605"/>
      <c r="I150" s="597">
        <f>SUM(I130:I149)</f>
        <v>179551.72</v>
      </c>
      <c r="J150" s="379"/>
    </row>
    <row r="151" spans="1:10" ht="23.4" x14ac:dyDescent="0.3">
      <c r="A151" s="996" t="s">
        <v>110</v>
      </c>
      <c r="B151" s="668"/>
      <c r="C151" s="282" t="s">
        <v>304</v>
      </c>
      <c r="D151" s="440" t="s">
        <v>263</v>
      </c>
      <c r="E151" s="283">
        <v>2240</v>
      </c>
      <c r="F151" s="323">
        <f t="shared" ref="F151:F170" si="30">E151+F69</f>
        <v>2240</v>
      </c>
      <c r="G151" s="621">
        <v>430.02</v>
      </c>
      <c r="H151" s="611">
        <f>E151*G151</f>
        <v>963244.79999999993</v>
      </c>
      <c r="I151" s="614">
        <f t="shared" ref="I151:I170" si="31">+G151*F151</f>
        <v>963244.79999999993</v>
      </c>
      <c r="J151" s="379"/>
    </row>
    <row r="152" spans="1:10" ht="23.4" x14ac:dyDescent="0.3">
      <c r="A152" s="997"/>
      <c r="B152" s="668"/>
      <c r="C152" s="282" t="s">
        <v>305</v>
      </c>
      <c r="D152" s="440" t="s">
        <v>263</v>
      </c>
      <c r="E152" s="283">
        <v>0</v>
      </c>
      <c r="F152" s="323">
        <f t="shared" si="30"/>
        <v>0</v>
      </c>
      <c r="G152" s="621">
        <v>445.38</v>
      </c>
      <c r="H152" s="611">
        <f t="shared" ref="H152:H170" si="32">E152*G152</f>
        <v>0</v>
      </c>
      <c r="I152" s="614">
        <f t="shared" si="31"/>
        <v>0</v>
      </c>
      <c r="J152" s="379"/>
    </row>
    <row r="153" spans="1:10" ht="23.4" x14ac:dyDescent="0.3">
      <c r="A153" s="997"/>
      <c r="B153" s="668"/>
      <c r="C153" s="282" t="s">
        <v>341</v>
      </c>
      <c r="D153" s="440" t="s">
        <v>263</v>
      </c>
      <c r="E153" s="283">
        <v>0</v>
      </c>
      <c r="F153" s="323">
        <f t="shared" si="30"/>
        <v>0</v>
      </c>
      <c r="G153" s="621">
        <v>63.55</v>
      </c>
      <c r="H153" s="611">
        <f t="shared" si="32"/>
        <v>0</v>
      </c>
      <c r="I153" s="614">
        <f t="shared" si="31"/>
        <v>0</v>
      </c>
      <c r="J153" s="379"/>
    </row>
    <row r="154" spans="1:10" ht="23.4" x14ac:dyDescent="0.3">
      <c r="A154" s="997"/>
      <c r="B154" s="668"/>
      <c r="C154" s="282" t="s">
        <v>306</v>
      </c>
      <c r="D154" s="440" t="s">
        <v>263</v>
      </c>
      <c r="E154" s="283">
        <f>10080+1032</f>
        <v>11112</v>
      </c>
      <c r="F154" s="323">
        <f t="shared" si="30"/>
        <v>22872</v>
      </c>
      <c r="G154" s="621">
        <v>71.44</v>
      </c>
      <c r="H154" s="611">
        <f t="shared" si="32"/>
        <v>793841.28</v>
      </c>
      <c r="I154" s="614">
        <f t="shared" si="31"/>
        <v>1633975.68</v>
      </c>
      <c r="J154" s="379"/>
    </row>
    <row r="155" spans="1:10" ht="23.4" x14ac:dyDescent="0.3">
      <c r="A155" s="997"/>
      <c r="B155" s="668"/>
      <c r="C155" s="282" t="s">
        <v>307</v>
      </c>
      <c r="D155" s="440" t="s">
        <v>263</v>
      </c>
      <c r="E155" s="283">
        <v>0</v>
      </c>
      <c r="F155" s="323">
        <f t="shared" si="30"/>
        <v>0</v>
      </c>
      <c r="G155" s="621">
        <v>36.5</v>
      </c>
      <c r="H155" s="611">
        <f t="shared" si="32"/>
        <v>0</v>
      </c>
      <c r="I155" s="614">
        <f t="shared" si="31"/>
        <v>0</v>
      </c>
      <c r="J155" s="379"/>
    </row>
    <row r="156" spans="1:10" ht="23.4" x14ac:dyDescent="0.3">
      <c r="A156" s="997"/>
      <c r="B156" s="668"/>
      <c r="C156" s="282" t="s">
        <v>316</v>
      </c>
      <c r="D156" s="440" t="s">
        <v>263</v>
      </c>
      <c r="E156" s="283">
        <v>0</v>
      </c>
      <c r="F156" s="323">
        <f t="shared" si="30"/>
        <v>0</v>
      </c>
      <c r="G156" s="621">
        <v>320.35000000000002</v>
      </c>
      <c r="H156" s="611">
        <f t="shared" si="32"/>
        <v>0</v>
      </c>
      <c r="I156" s="614">
        <f t="shared" si="31"/>
        <v>0</v>
      </c>
      <c r="J156" s="379"/>
    </row>
    <row r="157" spans="1:10" ht="23.4" x14ac:dyDescent="0.3">
      <c r="A157" s="997"/>
      <c r="B157" s="668"/>
      <c r="C157" s="282" t="s">
        <v>333</v>
      </c>
      <c r="D157" s="440" t="s">
        <v>263</v>
      </c>
      <c r="E157" s="283">
        <v>0</v>
      </c>
      <c r="F157" s="323">
        <f t="shared" si="30"/>
        <v>0</v>
      </c>
      <c r="G157" s="621">
        <v>434.41</v>
      </c>
      <c r="H157" s="611">
        <f t="shared" si="32"/>
        <v>0</v>
      </c>
      <c r="I157" s="614">
        <f t="shared" si="31"/>
        <v>0</v>
      </c>
      <c r="J157" s="379"/>
    </row>
    <row r="158" spans="1:10" ht="23.4" x14ac:dyDescent="0.3">
      <c r="A158" s="997"/>
      <c r="B158" s="668"/>
      <c r="C158" s="282" t="s">
        <v>313</v>
      </c>
      <c r="D158" s="440" t="s">
        <v>263</v>
      </c>
      <c r="E158" s="283">
        <v>5</v>
      </c>
      <c r="F158" s="323">
        <f t="shared" si="30"/>
        <v>5</v>
      </c>
      <c r="G158" s="621">
        <v>29690</v>
      </c>
      <c r="H158" s="611">
        <f t="shared" si="32"/>
        <v>148450</v>
      </c>
      <c r="I158" s="614">
        <f t="shared" si="31"/>
        <v>148450</v>
      </c>
      <c r="J158" s="379"/>
    </row>
    <row r="159" spans="1:10" ht="23.4" x14ac:dyDescent="0.3">
      <c r="A159" s="997"/>
      <c r="B159" s="668"/>
      <c r="C159" s="282" t="s">
        <v>313</v>
      </c>
      <c r="D159" s="440" t="s">
        <v>263</v>
      </c>
      <c r="E159" s="283">
        <v>0</v>
      </c>
      <c r="F159" s="323">
        <f t="shared" si="30"/>
        <v>0</v>
      </c>
      <c r="G159" s="621">
        <v>26445</v>
      </c>
      <c r="H159" s="611">
        <f t="shared" si="32"/>
        <v>0</v>
      </c>
      <c r="I159" s="614">
        <f t="shared" si="31"/>
        <v>0</v>
      </c>
      <c r="J159" s="379"/>
    </row>
    <row r="160" spans="1:10" ht="23.4" x14ac:dyDescent="0.3">
      <c r="A160" s="997"/>
      <c r="B160" s="668"/>
      <c r="C160" s="282" t="s">
        <v>354</v>
      </c>
      <c r="D160" s="440" t="s">
        <v>401</v>
      </c>
      <c r="E160" s="283">
        <v>0</v>
      </c>
      <c r="F160" s="323">
        <f t="shared" si="30"/>
        <v>0</v>
      </c>
      <c r="G160" s="621">
        <v>50</v>
      </c>
      <c r="H160" s="611">
        <f t="shared" si="32"/>
        <v>0</v>
      </c>
      <c r="I160" s="614">
        <f t="shared" si="31"/>
        <v>0</v>
      </c>
      <c r="J160" s="379"/>
    </row>
    <row r="161" spans="1:10" ht="23.4" x14ac:dyDescent="0.3">
      <c r="A161" s="997"/>
      <c r="B161" s="668"/>
      <c r="C161" s="282" t="s">
        <v>365</v>
      </c>
      <c r="D161" s="440" t="s">
        <v>350</v>
      </c>
      <c r="E161" s="283">
        <v>0</v>
      </c>
      <c r="F161" s="323">
        <f t="shared" si="30"/>
        <v>0</v>
      </c>
      <c r="G161" s="621">
        <v>309.88</v>
      </c>
      <c r="H161" s="611">
        <f t="shared" si="32"/>
        <v>0</v>
      </c>
      <c r="I161" s="614">
        <f t="shared" si="31"/>
        <v>0</v>
      </c>
      <c r="J161" s="379"/>
    </row>
    <row r="162" spans="1:10" ht="23.4" x14ac:dyDescent="0.3">
      <c r="A162" s="997"/>
      <c r="B162" s="668"/>
      <c r="C162" s="282" t="s">
        <v>366</v>
      </c>
      <c r="D162" s="440" t="s">
        <v>263</v>
      </c>
      <c r="E162" s="283">
        <v>0</v>
      </c>
      <c r="F162" s="323">
        <f t="shared" si="30"/>
        <v>0</v>
      </c>
      <c r="G162" s="621">
        <v>53.86</v>
      </c>
      <c r="H162" s="611">
        <f t="shared" si="32"/>
        <v>0</v>
      </c>
      <c r="I162" s="614">
        <f t="shared" si="31"/>
        <v>0</v>
      </c>
      <c r="J162" s="379"/>
    </row>
    <row r="163" spans="1:10" ht="23.4" x14ac:dyDescent="0.3">
      <c r="A163" s="997"/>
      <c r="B163" s="668"/>
      <c r="C163" s="282" t="s">
        <v>386</v>
      </c>
      <c r="D163" s="440" t="s">
        <v>387</v>
      </c>
      <c r="E163" s="283">
        <v>0</v>
      </c>
      <c r="F163" s="323">
        <f t="shared" si="30"/>
        <v>0</v>
      </c>
      <c r="G163" s="621">
        <v>57.64</v>
      </c>
      <c r="H163" s="611">
        <f t="shared" si="32"/>
        <v>0</v>
      </c>
      <c r="I163" s="614">
        <f t="shared" si="31"/>
        <v>0</v>
      </c>
      <c r="J163" s="379"/>
    </row>
    <row r="164" spans="1:10" ht="23.4" x14ac:dyDescent="0.3">
      <c r="A164" s="997"/>
      <c r="B164" s="668"/>
      <c r="C164" s="282" t="s">
        <v>388</v>
      </c>
      <c r="D164" s="440" t="s">
        <v>389</v>
      </c>
      <c r="E164" s="283">
        <v>960</v>
      </c>
      <c r="F164" s="284">
        <f t="shared" si="30"/>
        <v>960</v>
      </c>
      <c r="G164" s="621">
        <v>434.41</v>
      </c>
      <c r="H164" s="611">
        <f t="shared" si="32"/>
        <v>417033.60000000003</v>
      </c>
      <c r="I164" s="614">
        <f t="shared" si="31"/>
        <v>417033.60000000003</v>
      </c>
      <c r="J164" s="379"/>
    </row>
    <row r="165" spans="1:10" ht="23.4" x14ac:dyDescent="0.3">
      <c r="A165" s="997"/>
      <c r="B165" s="668"/>
      <c r="C165" s="282" t="s">
        <v>419</v>
      </c>
      <c r="D165" s="440" t="s">
        <v>263</v>
      </c>
      <c r="E165" s="283">
        <v>800</v>
      </c>
      <c r="F165" s="284">
        <f t="shared" si="30"/>
        <v>800</v>
      </c>
      <c r="G165" s="621">
        <v>624.26</v>
      </c>
      <c r="H165" s="611">
        <f t="shared" si="32"/>
        <v>499408</v>
      </c>
      <c r="I165" s="614">
        <f t="shared" si="31"/>
        <v>499408</v>
      </c>
      <c r="J165" s="379"/>
    </row>
    <row r="166" spans="1:10" ht="23.4" x14ac:dyDescent="0.3">
      <c r="A166" s="997"/>
      <c r="B166" s="668"/>
      <c r="C166" s="282" t="s">
        <v>390</v>
      </c>
      <c r="D166" s="440" t="s">
        <v>389</v>
      </c>
      <c r="E166" s="283">
        <v>0</v>
      </c>
      <c r="F166" s="323">
        <f t="shared" si="30"/>
        <v>0</v>
      </c>
      <c r="G166" s="621">
        <v>63.55</v>
      </c>
      <c r="H166" s="611">
        <f t="shared" si="32"/>
        <v>0</v>
      </c>
      <c r="I166" s="614">
        <f t="shared" si="31"/>
        <v>0</v>
      </c>
      <c r="J166" s="379"/>
    </row>
    <row r="167" spans="1:10" ht="23.4" x14ac:dyDescent="0.3">
      <c r="A167" s="997"/>
      <c r="B167" s="668"/>
      <c r="C167" s="282" t="s">
        <v>391</v>
      </c>
      <c r="D167" s="440" t="s">
        <v>389</v>
      </c>
      <c r="E167" s="283">
        <v>0</v>
      </c>
      <c r="F167" s="323">
        <f t="shared" si="30"/>
        <v>0</v>
      </c>
      <c r="G167" s="621">
        <v>53.86</v>
      </c>
      <c r="H167" s="611">
        <f t="shared" si="32"/>
        <v>0</v>
      </c>
      <c r="I167" s="614">
        <f t="shared" si="31"/>
        <v>0</v>
      </c>
      <c r="J167" s="379"/>
    </row>
    <row r="168" spans="1:10" ht="23.4" x14ac:dyDescent="0.3">
      <c r="A168" s="997"/>
      <c r="B168" s="668"/>
      <c r="C168" s="282" t="s">
        <v>402</v>
      </c>
      <c r="D168" s="440" t="s">
        <v>344</v>
      </c>
      <c r="E168" s="283">
        <v>0</v>
      </c>
      <c r="F168" s="323">
        <f t="shared" si="30"/>
        <v>0</v>
      </c>
      <c r="G168" s="621">
        <v>10</v>
      </c>
      <c r="H168" s="611">
        <f t="shared" si="32"/>
        <v>0</v>
      </c>
      <c r="I168" s="614">
        <f t="shared" si="31"/>
        <v>0</v>
      </c>
      <c r="J168" s="379"/>
    </row>
    <row r="169" spans="1:10" ht="23.4" x14ac:dyDescent="0.3">
      <c r="A169" s="997"/>
      <c r="B169" s="668"/>
      <c r="C169" s="282" t="s">
        <v>313</v>
      </c>
      <c r="D169" s="440"/>
      <c r="E169" s="283">
        <v>0</v>
      </c>
      <c r="F169" s="323">
        <f t="shared" si="30"/>
        <v>0</v>
      </c>
      <c r="G169" s="621">
        <v>39450</v>
      </c>
      <c r="H169" s="611">
        <f t="shared" si="32"/>
        <v>0</v>
      </c>
      <c r="I169" s="614">
        <f t="shared" si="31"/>
        <v>0</v>
      </c>
      <c r="J169" s="379"/>
    </row>
    <row r="170" spans="1:10" ht="24" thickBot="1" x14ac:dyDescent="0.35">
      <c r="A170" s="997"/>
      <c r="B170" s="668"/>
      <c r="C170" s="282" t="s">
        <v>388</v>
      </c>
      <c r="D170" s="440" t="s">
        <v>103</v>
      </c>
      <c r="E170" s="283">
        <v>0</v>
      </c>
      <c r="F170" s="323">
        <f t="shared" si="30"/>
        <v>0</v>
      </c>
      <c r="G170" s="621">
        <v>434.41</v>
      </c>
      <c r="H170" s="611">
        <f t="shared" si="32"/>
        <v>0</v>
      </c>
      <c r="I170" s="614">
        <f t="shared" si="31"/>
        <v>0</v>
      </c>
      <c r="J170" s="379"/>
    </row>
    <row r="171" spans="1:10" ht="24" thickBot="1" x14ac:dyDescent="0.35">
      <c r="A171" s="998"/>
      <c r="B171" s="992" t="s">
        <v>299</v>
      </c>
      <c r="C171" s="993"/>
      <c r="D171" s="666"/>
      <c r="E171" s="332"/>
      <c r="F171" s="333"/>
      <c r="G171" s="332"/>
      <c r="H171" s="608">
        <f>SUM(H151:H170)</f>
        <v>2821977.68</v>
      </c>
      <c r="I171" s="597">
        <f>SUM(I151:I170)</f>
        <v>3662112.08</v>
      </c>
      <c r="J171" s="378"/>
    </row>
    <row r="172" spans="1:10" ht="24" thickBot="1" x14ac:dyDescent="0.35">
      <c r="A172" s="672"/>
      <c r="B172" s="443"/>
      <c r="C172" s="282"/>
      <c r="D172" s="440"/>
      <c r="E172" s="283"/>
      <c r="F172" s="284"/>
      <c r="G172" s="340"/>
      <c r="H172" s="607"/>
      <c r="I172" s="285"/>
      <c r="J172" s="379"/>
    </row>
    <row r="173" spans="1:10" ht="24" thickBot="1" x14ac:dyDescent="0.35">
      <c r="A173" s="672"/>
      <c r="B173" s="992" t="s">
        <v>243</v>
      </c>
      <c r="C173" s="993"/>
      <c r="D173" s="669"/>
      <c r="E173" s="332"/>
      <c r="F173" s="333"/>
      <c r="G173" s="332"/>
      <c r="H173" s="605"/>
      <c r="I173" s="330"/>
      <c r="J173" s="355"/>
    </row>
    <row r="174" spans="1:10" ht="24.6" thickBot="1" x14ac:dyDescent="0.35">
      <c r="A174" s="325"/>
      <c r="B174" s="994" t="s">
        <v>183</v>
      </c>
      <c r="C174" s="995"/>
      <c r="D174" s="665"/>
      <c r="E174" s="380"/>
      <c r="F174" s="380"/>
      <c r="G174" s="380"/>
      <c r="H174" s="380"/>
      <c r="I174" s="380">
        <f>+I171+I150+I129</f>
        <v>10940843.960000001</v>
      </c>
      <c r="J174" s="381"/>
    </row>
    <row r="175" spans="1:10" ht="23.4" x14ac:dyDescent="0.3">
      <c r="A175" s="935" t="s">
        <v>1</v>
      </c>
      <c r="B175" s="938" t="s">
        <v>2</v>
      </c>
      <c r="C175" s="1001" t="s">
        <v>3</v>
      </c>
      <c r="D175" s="1005" t="s">
        <v>93</v>
      </c>
      <c r="E175" s="1008">
        <v>44504</v>
      </c>
      <c r="F175" s="945"/>
      <c r="G175" s="945"/>
      <c r="H175" s="945"/>
      <c r="I175" s="945"/>
      <c r="J175" s="946"/>
    </row>
    <row r="176" spans="1:10" ht="23.4" x14ac:dyDescent="0.3">
      <c r="A176" s="999"/>
      <c r="B176" s="1000"/>
      <c r="C176" s="1002"/>
      <c r="D176" s="1006"/>
      <c r="E176" s="1009" t="s">
        <v>94</v>
      </c>
      <c r="F176" s="1010"/>
      <c r="G176" s="1009" t="s">
        <v>252</v>
      </c>
      <c r="H176" s="1011"/>
      <c r="I176" s="1011"/>
      <c r="J176" s="1010"/>
    </row>
    <row r="177" spans="1:10" x14ac:dyDescent="0.3">
      <c r="A177" s="936"/>
      <c r="B177" s="939"/>
      <c r="C177" s="1003"/>
      <c r="D177" s="1006"/>
      <c r="E177" s="947" t="s">
        <v>95</v>
      </c>
      <c r="F177" s="949" t="s">
        <v>96</v>
      </c>
      <c r="G177" s="1012" t="s">
        <v>97</v>
      </c>
      <c r="H177" s="1014" t="s">
        <v>98</v>
      </c>
      <c r="I177" s="1014" t="s">
        <v>98</v>
      </c>
      <c r="J177" s="1016" t="s">
        <v>12</v>
      </c>
    </row>
    <row r="178" spans="1:10" ht="14.4" thickBot="1" x14ac:dyDescent="0.35">
      <c r="A178" s="937"/>
      <c r="B178" s="940"/>
      <c r="C178" s="1004"/>
      <c r="D178" s="1007"/>
      <c r="E178" s="948"/>
      <c r="F178" s="950"/>
      <c r="G178" s="1013"/>
      <c r="H178" s="1015"/>
      <c r="I178" s="1015"/>
      <c r="J178" s="1017"/>
    </row>
    <row r="179" spans="1:10" ht="23.4" x14ac:dyDescent="0.3">
      <c r="A179" s="996" t="s">
        <v>111</v>
      </c>
      <c r="B179" s="445"/>
      <c r="C179" s="592" t="s">
        <v>300</v>
      </c>
      <c r="D179" s="449" t="s">
        <v>292</v>
      </c>
      <c r="E179" s="273">
        <v>0</v>
      </c>
      <c r="F179" s="441">
        <f>E179+F97</f>
        <v>0</v>
      </c>
      <c r="G179" s="593">
        <v>111.09</v>
      </c>
      <c r="H179" s="609">
        <f t="shared" ref="H179:H192" si="33">E179*G179</f>
        <v>0</v>
      </c>
      <c r="I179" s="612">
        <f>+G179*F179</f>
        <v>0</v>
      </c>
      <c r="J179" s="357"/>
    </row>
    <row r="180" spans="1:10" ht="23.4" x14ac:dyDescent="0.3">
      <c r="A180" s="997"/>
      <c r="B180" s="444"/>
      <c r="C180" s="448" t="s">
        <v>293</v>
      </c>
      <c r="D180" s="447" t="s">
        <v>294</v>
      </c>
      <c r="E180" s="279">
        <v>0</v>
      </c>
      <c r="F180" s="441">
        <f t="shared" ref="F180:F192" si="34">E180+F98</f>
        <v>0</v>
      </c>
      <c r="G180" s="594">
        <v>11</v>
      </c>
      <c r="H180" s="610">
        <f t="shared" si="33"/>
        <v>0</v>
      </c>
      <c r="I180" s="613">
        <f>+G180*F180</f>
        <v>0</v>
      </c>
      <c r="J180" s="358"/>
    </row>
    <row r="181" spans="1:10" ht="23.4" x14ac:dyDescent="0.3">
      <c r="A181" s="997"/>
      <c r="B181" s="444"/>
      <c r="C181" s="448" t="s">
        <v>319</v>
      </c>
      <c r="D181" s="447" t="s">
        <v>320</v>
      </c>
      <c r="E181" s="279">
        <v>0</v>
      </c>
      <c r="F181" s="441">
        <f t="shared" si="34"/>
        <v>0</v>
      </c>
      <c r="G181" s="594">
        <v>10.57</v>
      </c>
      <c r="H181" s="610">
        <f t="shared" si="33"/>
        <v>0</v>
      </c>
      <c r="I181" s="613">
        <f t="shared" ref="I181:I192" si="35">+G181*F181</f>
        <v>0</v>
      </c>
      <c r="J181" s="358"/>
    </row>
    <row r="182" spans="1:10" ht="23.4" x14ac:dyDescent="0.3">
      <c r="A182" s="997"/>
      <c r="B182" s="444"/>
      <c r="C182" s="448" t="s">
        <v>307</v>
      </c>
      <c r="D182" s="447" t="s">
        <v>320</v>
      </c>
      <c r="E182" s="279">
        <v>0</v>
      </c>
      <c r="F182" s="441">
        <f t="shared" si="34"/>
        <v>0</v>
      </c>
      <c r="G182" s="594">
        <v>55.76</v>
      </c>
      <c r="H182" s="610">
        <f t="shared" si="33"/>
        <v>0</v>
      </c>
      <c r="I182" s="613">
        <f t="shared" si="35"/>
        <v>0</v>
      </c>
      <c r="J182" s="358"/>
    </row>
    <row r="183" spans="1:10" ht="23.4" x14ac:dyDescent="0.3">
      <c r="A183" s="997"/>
      <c r="B183" s="444"/>
      <c r="C183" s="448" t="s">
        <v>323</v>
      </c>
      <c r="D183" s="447" t="s">
        <v>192</v>
      </c>
      <c r="E183" s="279">
        <v>0</v>
      </c>
      <c r="F183" s="441">
        <f t="shared" si="34"/>
        <v>0</v>
      </c>
      <c r="G183" s="594">
        <v>14.79</v>
      </c>
      <c r="H183" s="610">
        <f t="shared" si="33"/>
        <v>0</v>
      </c>
      <c r="I183" s="613">
        <f t="shared" si="35"/>
        <v>0</v>
      </c>
      <c r="J183" s="358"/>
    </row>
    <row r="184" spans="1:10" ht="23.4" x14ac:dyDescent="0.3">
      <c r="A184" s="997"/>
      <c r="B184" s="444"/>
      <c r="C184" s="448" t="s">
        <v>332</v>
      </c>
      <c r="D184" s="447" t="s">
        <v>294</v>
      </c>
      <c r="E184" s="279">
        <v>0</v>
      </c>
      <c r="F184" s="441">
        <f t="shared" si="34"/>
        <v>0</v>
      </c>
      <c r="G184" s="594">
        <v>139.04</v>
      </c>
      <c r="H184" s="610">
        <f t="shared" si="33"/>
        <v>0</v>
      </c>
      <c r="I184" s="613">
        <f t="shared" si="35"/>
        <v>0</v>
      </c>
      <c r="J184" s="358"/>
    </row>
    <row r="185" spans="1:10" ht="23.4" x14ac:dyDescent="0.3">
      <c r="A185" s="997"/>
      <c r="B185" s="444"/>
      <c r="C185" s="448" t="s">
        <v>355</v>
      </c>
      <c r="D185" s="623" t="s">
        <v>356</v>
      </c>
      <c r="E185" s="279">
        <v>0</v>
      </c>
      <c r="F185" s="441">
        <f t="shared" si="34"/>
        <v>0</v>
      </c>
      <c r="G185" s="594">
        <v>18.84</v>
      </c>
      <c r="H185" s="610">
        <f t="shared" si="33"/>
        <v>0</v>
      </c>
      <c r="I185" s="613">
        <f t="shared" si="35"/>
        <v>0</v>
      </c>
      <c r="J185" s="358"/>
    </row>
    <row r="186" spans="1:10" ht="23.4" x14ac:dyDescent="0.3">
      <c r="A186" s="997"/>
      <c r="B186" s="444"/>
      <c r="C186" s="448" t="s">
        <v>362</v>
      </c>
      <c r="D186" s="623" t="s">
        <v>294</v>
      </c>
      <c r="E186" s="279">
        <v>0</v>
      </c>
      <c r="F186" s="441">
        <f t="shared" si="34"/>
        <v>16524</v>
      </c>
      <c r="G186" s="594">
        <v>18.84</v>
      </c>
      <c r="H186" s="610">
        <f t="shared" si="33"/>
        <v>0</v>
      </c>
      <c r="I186" s="613">
        <f t="shared" si="35"/>
        <v>311312.15999999997</v>
      </c>
      <c r="J186" s="358"/>
    </row>
    <row r="187" spans="1:10" ht="23.4" x14ac:dyDescent="0.3">
      <c r="A187" s="997"/>
      <c r="B187" s="444"/>
      <c r="C187" s="448" t="s">
        <v>376</v>
      </c>
      <c r="D187" s="623" t="s">
        <v>257</v>
      </c>
      <c r="E187" s="279">
        <v>0</v>
      </c>
      <c r="F187" s="441">
        <f t="shared" si="34"/>
        <v>122400</v>
      </c>
      <c r="G187" s="594">
        <v>21.18</v>
      </c>
      <c r="H187" s="610">
        <f t="shared" si="33"/>
        <v>0</v>
      </c>
      <c r="I187" s="613">
        <f t="shared" si="35"/>
        <v>2592432</v>
      </c>
      <c r="J187" s="358"/>
    </row>
    <row r="188" spans="1:10" ht="23.4" x14ac:dyDescent="0.3">
      <c r="A188" s="997"/>
      <c r="B188" s="444"/>
      <c r="C188" s="448" t="s">
        <v>378</v>
      </c>
      <c r="D188" s="623" t="s">
        <v>379</v>
      </c>
      <c r="E188" s="279">
        <v>0</v>
      </c>
      <c r="F188" s="441">
        <f t="shared" si="34"/>
        <v>61200</v>
      </c>
      <c r="G188" s="594">
        <v>21.28</v>
      </c>
      <c r="H188" s="610">
        <f t="shared" si="33"/>
        <v>0</v>
      </c>
      <c r="I188" s="613">
        <f t="shared" si="35"/>
        <v>1302336</v>
      </c>
      <c r="J188" s="358"/>
    </row>
    <row r="189" spans="1:10" ht="23.4" x14ac:dyDescent="0.3">
      <c r="A189" s="997"/>
      <c r="B189" s="444"/>
      <c r="C189" s="448" t="s">
        <v>380</v>
      </c>
      <c r="D189" s="623" t="s">
        <v>381</v>
      </c>
      <c r="E189" s="279">
        <v>0</v>
      </c>
      <c r="F189" s="441">
        <f t="shared" si="34"/>
        <v>0</v>
      </c>
      <c r="G189" s="594">
        <v>18.84</v>
      </c>
      <c r="H189" s="610">
        <f t="shared" si="33"/>
        <v>0</v>
      </c>
      <c r="I189" s="613">
        <f t="shared" si="35"/>
        <v>0</v>
      </c>
      <c r="J189" s="358"/>
    </row>
    <row r="190" spans="1:10" ht="23.4" x14ac:dyDescent="0.3">
      <c r="A190" s="997"/>
      <c r="B190" s="444"/>
      <c r="C190" s="592" t="s">
        <v>383</v>
      </c>
      <c r="D190" s="623" t="s">
        <v>294</v>
      </c>
      <c r="E190" s="279">
        <v>0</v>
      </c>
      <c r="F190" s="441">
        <f t="shared" si="34"/>
        <v>0</v>
      </c>
      <c r="G190" s="594">
        <v>109.77</v>
      </c>
      <c r="H190" s="610">
        <f t="shared" si="33"/>
        <v>0</v>
      </c>
      <c r="I190" s="613">
        <f t="shared" si="35"/>
        <v>0</v>
      </c>
      <c r="J190" s="358"/>
    </row>
    <row r="191" spans="1:10" ht="23.4" x14ac:dyDescent="0.3">
      <c r="A191" s="997"/>
      <c r="B191" s="444"/>
      <c r="C191" s="448" t="s">
        <v>384</v>
      </c>
      <c r="D191" s="623" t="s">
        <v>206</v>
      </c>
      <c r="E191" s="279">
        <v>0</v>
      </c>
      <c r="F191" s="441">
        <f t="shared" si="34"/>
        <v>0</v>
      </c>
      <c r="G191" s="594">
        <v>21.28</v>
      </c>
      <c r="H191" s="610">
        <f t="shared" si="33"/>
        <v>0</v>
      </c>
      <c r="I191" s="613">
        <f t="shared" si="35"/>
        <v>0</v>
      </c>
      <c r="J191" s="358"/>
    </row>
    <row r="192" spans="1:10" ht="24" thickBot="1" x14ac:dyDescent="0.35">
      <c r="A192" s="997"/>
      <c r="B192" s="444"/>
      <c r="C192" s="448" t="s">
        <v>400</v>
      </c>
      <c r="D192" s="450" t="s">
        <v>193</v>
      </c>
      <c r="E192" s="279">
        <v>1186</v>
      </c>
      <c r="F192" s="441">
        <f t="shared" si="34"/>
        <v>1186</v>
      </c>
      <c r="G192" s="594">
        <v>36.44</v>
      </c>
      <c r="H192" s="610">
        <f t="shared" si="33"/>
        <v>43217.84</v>
      </c>
      <c r="I192" s="613">
        <f t="shared" si="35"/>
        <v>43217.84</v>
      </c>
      <c r="J192" s="358"/>
    </row>
    <row r="193" spans="1:10" ht="24" thickBot="1" x14ac:dyDescent="0.35">
      <c r="A193" s="997"/>
      <c r="B193" s="992" t="s">
        <v>295</v>
      </c>
      <c r="C193" s="993"/>
      <c r="D193" s="689"/>
      <c r="E193" s="332"/>
      <c r="F193" s="333"/>
      <c r="G193" s="332"/>
      <c r="H193" s="605">
        <f>SUM(H179:H192)</f>
        <v>43217.84</v>
      </c>
      <c r="I193" s="597">
        <f>SUM(I179:I192)</f>
        <v>4249298</v>
      </c>
      <c r="J193" s="355"/>
    </row>
    <row r="194" spans="1:10" ht="23.4" x14ac:dyDescent="0.3">
      <c r="A194" s="997"/>
      <c r="B194" s="688"/>
      <c r="C194" s="282" t="s">
        <v>301</v>
      </c>
      <c r="D194" s="440" t="s">
        <v>263</v>
      </c>
      <c r="E194" s="283">
        <v>12250</v>
      </c>
      <c r="F194" s="323">
        <f t="shared" ref="F194:F204" si="36">E194+F112</f>
        <v>22750</v>
      </c>
      <c r="G194" s="595">
        <v>160.44999999999999</v>
      </c>
      <c r="H194" s="611">
        <f t="shared" ref="H194:H204" si="37">E194*G194</f>
        <v>1965512.4999999998</v>
      </c>
      <c r="I194" s="614">
        <f t="shared" ref="I194:I204" si="38">+G194*F194</f>
        <v>3650237.4999999995</v>
      </c>
      <c r="J194" s="379"/>
    </row>
    <row r="195" spans="1:10" ht="23.4" x14ac:dyDescent="0.3">
      <c r="A195" s="997"/>
      <c r="B195" s="688"/>
      <c r="C195" s="282" t="s">
        <v>317</v>
      </c>
      <c r="D195" s="440" t="s">
        <v>263</v>
      </c>
      <c r="E195" s="283">
        <v>0</v>
      </c>
      <c r="F195" s="323">
        <f t="shared" si="36"/>
        <v>0</v>
      </c>
      <c r="G195" s="595">
        <v>160.44999999999999</v>
      </c>
      <c r="H195" s="611">
        <f t="shared" si="37"/>
        <v>0</v>
      </c>
      <c r="I195" s="614">
        <f t="shared" si="38"/>
        <v>0</v>
      </c>
      <c r="J195" s="379"/>
    </row>
    <row r="196" spans="1:10" ht="23.4" x14ac:dyDescent="0.3">
      <c r="A196" s="997"/>
      <c r="B196" s="688"/>
      <c r="C196" s="282" t="s">
        <v>318</v>
      </c>
      <c r="D196" s="440" t="s">
        <v>263</v>
      </c>
      <c r="E196" s="283">
        <v>0</v>
      </c>
      <c r="F196" s="323">
        <f t="shared" si="36"/>
        <v>0</v>
      </c>
      <c r="G196" s="595">
        <v>160.44999999999999</v>
      </c>
      <c r="H196" s="611">
        <f t="shared" si="37"/>
        <v>0</v>
      </c>
      <c r="I196" s="614">
        <f t="shared" si="38"/>
        <v>0</v>
      </c>
      <c r="J196" s="379"/>
    </row>
    <row r="197" spans="1:10" ht="23.4" x14ac:dyDescent="0.3">
      <c r="A197" s="997"/>
      <c r="B197" s="688"/>
      <c r="C197" s="282" t="s">
        <v>321</v>
      </c>
      <c r="D197" s="440" t="s">
        <v>100</v>
      </c>
      <c r="E197" s="283">
        <v>0</v>
      </c>
      <c r="F197" s="323">
        <f t="shared" si="36"/>
        <v>0</v>
      </c>
      <c r="G197" s="595">
        <v>27</v>
      </c>
      <c r="H197" s="611">
        <f t="shared" si="37"/>
        <v>0</v>
      </c>
      <c r="I197" s="614">
        <f t="shared" si="38"/>
        <v>0</v>
      </c>
      <c r="J197" s="379"/>
    </row>
    <row r="198" spans="1:10" ht="23.4" x14ac:dyDescent="0.3">
      <c r="A198" s="997"/>
      <c r="B198" s="688"/>
      <c r="C198" s="282" t="s">
        <v>321</v>
      </c>
      <c r="D198" s="440" t="s">
        <v>329</v>
      </c>
      <c r="E198" s="283">
        <v>0</v>
      </c>
      <c r="F198" s="323">
        <f t="shared" si="36"/>
        <v>0</v>
      </c>
      <c r="G198" s="595">
        <v>27.5</v>
      </c>
      <c r="H198" s="611">
        <f t="shared" si="37"/>
        <v>0</v>
      </c>
      <c r="I198" s="614">
        <f t="shared" si="38"/>
        <v>0</v>
      </c>
      <c r="J198" s="379"/>
    </row>
    <row r="199" spans="1:10" ht="23.4" x14ac:dyDescent="0.3">
      <c r="A199" s="997"/>
      <c r="B199" s="688"/>
      <c r="C199" s="282" t="s">
        <v>307</v>
      </c>
      <c r="D199" s="440" t="s">
        <v>329</v>
      </c>
      <c r="E199" s="283">
        <v>0</v>
      </c>
      <c r="F199" s="323">
        <f t="shared" si="36"/>
        <v>0</v>
      </c>
      <c r="G199" s="595">
        <v>34.5</v>
      </c>
      <c r="H199" s="611">
        <f t="shared" si="37"/>
        <v>0</v>
      </c>
      <c r="I199" s="614">
        <f t="shared" si="38"/>
        <v>0</v>
      </c>
      <c r="J199" s="379"/>
    </row>
    <row r="200" spans="1:10" ht="23.4" x14ac:dyDescent="0.3">
      <c r="A200" s="997"/>
      <c r="B200" s="688"/>
      <c r="C200" s="282" t="s">
        <v>342</v>
      </c>
      <c r="D200" s="440" t="s">
        <v>263</v>
      </c>
      <c r="E200" s="283">
        <v>0</v>
      </c>
      <c r="F200" s="323">
        <f t="shared" si="36"/>
        <v>125</v>
      </c>
      <c r="G200" s="595">
        <v>160.44999999999999</v>
      </c>
      <c r="H200" s="611">
        <f t="shared" si="37"/>
        <v>0</v>
      </c>
      <c r="I200" s="614">
        <f t="shared" si="38"/>
        <v>20056.25</v>
      </c>
      <c r="J200" s="379"/>
    </row>
    <row r="201" spans="1:10" ht="23.4" x14ac:dyDescent="0.3">
      <c r="A201" s="997"/>
      <c r="B201" s="688"/>
      <c r="C201" s="282" t="s">
        <v>80</v>
      </c>
      <c r="D201" s="440" t="s">
        <v>263</v>
      </c>
      <c r="E201" s="283">
        <v>0</v>
      </c>
      <c r="F201" s="323">
        <f t="shared" si="36"/>
        <v>0</v>
      </c>
      <c r="G201" s="595">
        <v>148.41999999999999</v>
      </c>
      <c r="H201" s="611">
        <f t="shared" si="37"/>
        <v>0</v>
      </c>
      <c r="I201" s="614">
        <f t="shared" si="38"/>
        <v>0</v>
      </c>
      <c r="J201" s="379"/>
    </row>
    <row r="202" spans="1:10" ht="23.4" x14ac:dyDescent="0.3">
      <c r="A202" s="997"/>
      <c r="B202" s="688"/>
      <c r="C202" s="282" t="s">
        <v>357</v>
      </c>
      <c r="D202" s="440" t="s">
        <v>263</v>
      </c>
      <c r="E202" s="283">
        <v>0</v>
      </c>
      <c r="F202" s="323">
        <f t="shared" si="36"/>
        <v>6500</v>
      </c>
      <c r="G202" s="595">
        <v>160.44999999999999</v>
      </c>
      <c r="H202" s="611">
        <f t="shared" si="37"/>
        <v>0</v>
      </c>
      <c r="I202" s="614">
        <f t="shared" si="38"/>
        <v>1042924.9999999999</v>
      </c>
      <c r="J202" s="379"/>
    </row>
    <row r="203" spans="1:10" ht="23.4" x14ac:dyDescent="0.3">
      <c r="A203" s="997"/>
      <c r="B203" s="688"/>
      <c r="C203" s="282" t="s">
        <v>358</v>
      </c>
      <c r="D203" s="440" t="s">
        <v>263</v>
      </c>
      <c r="E203" s="283">
        <v>0</v>
      </c>
      <c r="F203" s="323">
        <f t="shared" si="36"/>
        <v>0</v>
      </c>
      <c r="G203" s="595">
        <v>160.44999999999999</v>
      </c>
      <c r="H203" s="611">
        <f t="shared" si="37"/>
        <v>0</v>
      </c>
      <c r="I203" s="614">
        <f t="shared" si="38"/>
        <v>0</v>
      </c>
      <c r="J203" s="379"/>
    </row>
    <row r="204" spans="1:10" ht="24" thickBot="1" x14ac:dyDescent="0.35">
      <c r="A204" s="997"/>
      <c r="B204" s="688"/>
      <c r="C204" s="282" t="s">
        <v>353</v>
      </c>
      <c r="D204" s="440" t="s">
        <v>263</v>
      </c>
      <c r="E204" s="283">
        <v>0</v>
      </c>
      <c r="F204" s="323">
        <f t="shared" si="36"/>
        <v>875</v>
      </c>
      <c r="G204" s="595">
        <v>160.44999999999999</v>
      </c>
      <c r="H204" s="611">
        <f t="shared" si="37"/>
        <v>0</v>
      </c>
      <c r="I204" s="614">
        <f t="shared" si="38"/>
        <v>140393.75</v>
      </c>
      <c r="J204" s="379"/>
    </row>
    <row r="205" spans="1:10" ht="24" thickBot="1" x14ac:dyDescent="0.35">
      <c r="A205" s="997"/>
      <c r="B205" s="992" t="s">
        <v>296</v>
      </c>
      <c r="C205" s="993"/>
      <c r="D205" s="689"/>
      <c r="E205" s="332"/>
      <c r="F205" s="333"/>
      <c r="G205" s="332"/>
      <c r="H205" s="605">
        <f>SUM(H194:H204)</f>
        <v>1965512.4999999998</v>
      </c>
      <c r="I205" s="597">
        <f>SUM(I194:I204)</f>
        <v>4853612.4999999991</v>
      </c>
      <c r="J205" s="355"/>
    </row>
    <row r="206" spans="1:10" ht="23.4" x14ac:dyDescent="0.3">
      <c r="A206" s="997"/>
      <c r="B206" s="688"/>
      <c r="C206" s="282" t="s">
        <v>303</v>
      </c>
      <c r="D206" s="440"/>
      <c r="E206" s="283">
        <v>0</v>
      </c>
      <c r="F206" s="598">
        <f t="shared" ref="F206:F208" si="39">E206+F124</f>
        <v>0</v>
      </c>
      <c r="G206" s="595">
        <v>10</v>
      </c>
      <c r="H206" s="611">
        <f t="shared" ref="H206:H208" si="40">E206*G206</f>
        <v>0</v>
      </c>
      <c r="I206" s="614">
        <f t="shared" ref="I206" si="41">+G206*F206</f>
        <v>0</v>
      </c>
      <c r="J206" s="379"/>
    </row>
    <row r="207" spans="1:10" ht="23.4" x14ac:dyDescent="0.3">
      <c r="A207" s="997"/>
      <c r="B207" s="688"/>
      <c r="C207" s="282" t="s">
        <v>308</v>
      </c>
      <c r="D207" s="440" t="s">
        <v>309</v>
      </c>
      <c r="E207" s="283">
        <v>2</v>
      </c>
      <c r="F207" s="598">
        <f t="shared" si="39"/>
        <v>4</v>
      </c>
      <c r="G207" s="595">
        <v>2500</v>
      </c>
      <c r="H207" s="611">
        <f t="shared" si="40"/>
        <v>5000</v>
      </c>
      <c r="I207" s="614">
        <f>+G207*F207</f>
        <v>10000</v>
      </c>
      <c r="J207" s="379"/>
    </row>
    <row r="208" spans="1:10" ht="24" thickBot="1" x14ac:dyDescent="0.35">
      <c r="A208" s="997"/>
      <c r="B208" s="688"/>
      <c r="C208" s="282" t="s">
        <v>343</v>
      </c>
      <c r="D208" s="440" t="s">
        <v>344</v>
      </c>
      <c r="E208" s="283">
        <v>0</v>
      </c>
      <c r="F208" s="598">
        <f t="shared" si="39"/>
        <v>0</v>
      </c>
      <c r="G208" s="596">
        <v>360</v>
      </c>
      <c r="H208" s="611">
        <f t="shared" si="40"/>
        <v>0</v>
      </c>
      <c r="I208" s="614">
        <f t="shared" ref="I208" si="42">+G208*F208</f>
        <v>0</v>
      </c>
      <c r="J208" s="379"/>
    </row>
    <row r="209" spans="1:12" ht="24" thickBot="1" x14ac:dyDescent="0.35">
      <c r="A209" s="997"/>
      <c r="B209" s="992" t="s">
        <v>302</v>
      </c>
      <c r="C209" s="993"/>
      <c r="D209" s="689"/>
      <c r="E209" s="332"/>
      <c r="F209" s="333"/>
      <c r="G209" s="332"/>
      <c r="H209" s="605">
        <f>SUM(H206:H208)</f>
        <v>5000</v>
      </c>
      <c r="I209" s="597">
        <f>SUM(I206:I208)</f>
        <v>10000</v>
      </c>
      <c r="J209" s="379"/>
    </row>
    <row r="210" spans="1:12" ht="24" thickBot="1" x14ac:dyDescent="0.35">
      <c r="A210" s="997"/>
      <c r="B210" s="688"/>
      <c r="C210" s="282"/>
      <c r="D210" s="440"/>
      <c r="E210" s="283"/>
      <c r="F210" s="323"/>
      <c r="G210" s="596"/>
      <c r="H210" s="606"/>
      <c r="I210" s="285">
        <f t="shared" ref="I210" si="43">+G210*F210</f>
        <v>0</v>
      </c>
      <c r="J210" s="379"/>
    </row>
    <row r="211" spans="1:12" ht="24" thickBot="1" x14ac:dyDescent="0.35">
      <c r="A211" s="998"/>
      <c r="B211" s="992" t="s">
        <v>298</v>
      </c>
      <c r="C211" s="993"/>
      <c r="D211" s="686"/>
      <c r="E211" s="332"/>
      <c r="F211" s="333"/>
      <c r="G211" s="332"/>
      <c r="H211" s="597">
        <f>+H205+H193+H209</f>
        <v>2013730.3399999999</v>
      </c>
      <c r="I211" s="597">
        <f>+I205+I193+I209</f>
        <v>9112910.5</v>
      </c>
      <c r="J211" s="379"/>
      <c r="L211" s="620"/>
    </row>
    <row r="212" spans="1:12" ht="23.4" x14ac:dyDescent="0.3">
      <c r="A212" s="996" t="s">
        <v>109</v>
      </c>
      <c r="B212" s="688"/>
      <c r="C212" s="282" t="s">
        <v>312</v>
      </c>
      <c r="D212" s="440" t="s">
        <v>193</v>
      </c>
      <c r="E212" s="283">
        <v>0</v>
      </c>
      <c r="F212" s="323">
        <f t="shared" ref="F212:F231" si="44">E212+F130</f>
        <v>7956</v>
      </c>
      <c r="G212" s="621">
        <v>13.25</v>
      </c>
      <c r="H212" s="615">
        <f t="shared" ref="H212:H231" si="45">E212*G212</f>
        <v>0</v>
      </c>
      <c r="I212" s="614">
        <f t="shared" ref="I212:I231" si="46">+G212*F212</f>
        <v>105417</v>
      </c>
      <c r="J212" s="379"/>
    </row>
    <row r="213" spans="1:12" ht="23.4" x14ac:dyDescent="0.3">
      <c r="A213" s="997"/>
      <c r="B213" s="688"/>
      <c r="C213" s="282" t="s">
        <v>313</v>
      </c>
      <c r="D213" s="440"/>
      <c r="E213" s="283">
        <v>0</v>
      </c>
      <c r="F213" s="323">
        <f t="shared" si="44"/>
        <v>1</v>
      </c>
      <c r="G213" s="622">
        <v>10000</v>
      </c>
      <c r="H213" s="615">
        <f t="shared" si="45"/>
        <v>0</v>
      </c>
      <c r="I213" s="614">
        <f t="shared" si="46"/>
        <v>10000</v>
      </c>
      <c r="J213" s="379"/>
    </row>
    <row r="214" spans="1:12" ht="23.4" x14ac:dyDescent="0.3">
      <c r="A214" s="997"/>
      <c r="B214" s="688"/>
      <c r="C214" s="282" t="s">
        <v>313</v>
      </c>
      <c r="D214" s="440"/>
      <c r="E214" s="283">
        <v>0</v>
      </c>
      <c r="F214" s="323">
        <f t="shared" si="44"/>
        <v>0</v>
      </c>
      <c r="G214" s="622">
        <v>18000</v>
      </c>
      <c r="H214" s="615">
        <f t="shared" si="45"/>
        <v>0</v>
      </c>
      <c r="I214" s="614">
        <f t="shared" si="46"/>
        <v>0</v>
      </c>
      <c r="J214" s="379"/>
    </row>
    <row r="215" spans="1:12" ht="23.4" x14ac:dyDescent="0.3">
      <c r="A215" s="997"/>
      <c r="B215" s="688"/>
      <c r="C215" s="282" t="s">
        <v>328</v>
      </c>
      <c r="D215" s="440" t="s">
        <v>193</v>
      </c>
      <c r="E215" s="283">
        <v>0</v>
      </c>
      <c r="F215" s="323">
        <f t="shared" si="44"/>
        <v>0</v>
      </c>
      <c r="G215" s="621">
        <v>24.93</v>
      </c>
      <c r="H215" s="615">
        <f t="shared" si="45"/>
        <v>0</v>
      </c>
      <c r="I215" s="614">
        <f t="shared" si="46"/>
        <v>0</v>
      </c>
      <c r="J215" s="379"/>
    </row>
    <row r="216" spans="1:12" ht="23.4" x14ac:dyDescent="0.3">
      <c r="A216" s="997"/>
      <c r="B216" s="688"/>
      <c r="C216" s="282" t="s">
        <v>335</v>
      </c>
      <c r="D216" s="440" t="s">
        <v>99</v>
      </c>
      <c r="E216" s="283">
        <v>0</v>
      </c>
      <c r="F216" s="323">
        <f t="shared" si="44"/>
        <v>0</v>
      </c>
      <c r="G216" s="621">
        <v>26</v>
      </c>
      <c r="H216" s="615">
        <f t="shared" si="45"/>
        <v>0</v>
      </c>
      <c r="I216" s="614">
        <f t="shared" si="46"/>
        <v>0</v>
      </c>
      <c r="J216" s="379"/>
    </row>
    <row r="217" spans="1:12" ht="23.4" x14ac:dyDescent="0.3">
      <c r="A217" s="997"/>
      <c r="B217" s="688"/>
      <c r="C217" s="282" t="s">
        <v>336</v>
      </c>
      <c r="D217" s="440" t="s">
        <v>193</v>
      </c>
      <c r="E217" s="283">
        <v>0</v>
      </c>
      <c r="F217" s="323">
        <f t="shared" si="44"/>
        <v>0</v>
      </c>
      <c r="G217" s="621">
        <v>25.49</v>
      </c>
      <c r="H217" s="615">
        <f t="shared" si="45"/>
        <v>0</v>
      </c>
      <c r="I217" s="614">
        <f t="shared" si="46"/>
        <v>0</v>
      </c>
      <c r="J217" s="379"/>
    </row>
    <row r="218" spans="1:12" ht="23.4" x14ac:dyDescent="0.3">
      <c r="A218" s="997"/>
      <c r="B218" s="688"/>
      <c r="C218" s="282" t="s">
        <v>337</v>
      </c>
      <c r="D218" s="440" t="s">
        <v>115</v>
      </c>
      <c r="E218" s="283">
        <v>0</v>
      </c>
      <c r="F218" s="323">
        <f t="shared" si="44"/>
        <v>0</v>
      </c>
      <c r="G218" s="621">
        <v>24.93</v>
      </c>
      <c r="H218" s="615">
        <f t="shared" si="45"/>
        <v>0</v>
      </c>
      <c r="I218" s="614">
        <f t="shared" si="46"/>
        <v>0</v>
      </c>
      <c r="J218" s="379"/>
    </row>
    <row r="219" spans="1:12" ht="23.4" x14ac:dyDescent="0.3">
      <c r="A219" s="997"/>
      <c r="B219" s="688"/>
      <c r="C219" s="282" t="s">
        <v>338</v>
      </c>
      <c r="D219" s="440" t="s">
        <v>311</v>
      </c>
      <c r="E219" s="283">
        <v>0</v>
      </c>
      <c r="F219" s="323">
        <f t="shared" si="44"/>
        <v>0</v>
      </c>
      <c r="G219" s="621">
        <v>24.93</v>
      </c>
      <c r="H219" s="615">
        <f t="shared" si="45"/>
        <v>0</v>
      </c>
      <c r="I219" s="614">
        <f t="shared" si="46"/>
        <v>0</v>
      </c>
      <c r="J219" s="379"/>
    </row>
    <row r="220" spans="1:12" ht="23.4" x14ac:dyDescent="0.3">
      <c r="A220" s="997"/>
      <c r="B220" s="688"/>
      <c r="C220" s="282" t="s">
        <v>339</v>
      </c>
      <c r="D220" s="440" t="s">
        <v>99</v>
      </c>
      <c r="E220" s="283">
        <v>0</v>
      </c>
      <c r="F220" s="323">
        <f t="shared" si="44"/>
        <v>0</v>
      </c>
      <c r="G220" s="621">
        <v>20.89</v>
      </c>
      <c r="H220" s="615">
        <f t="shared" si="45"/>
        <v>0</v>
      </c>
      <c r="I220" s="614">
        <f t="shared" si="46"/>
        <v>0</v>
      </c>
      <c r="J220" s="379"/>
    </row>
    <row r="221" spans="1:12" ht="23.4" x14ac:dyDescent="0.3">
      <c r="A221" s="997"/>
      <c r="B221" s="688"/>
      <c r="C221" s="282" t="s">
        <v>349</v>
      </c>
      <c r="D221" s="440" t="s">
        <v>350</v>
      </c>
      <c r="E221" s="283">
        <v>0</v>
      </c>
      <c r="F221" s="323">
        <f t="shared" si="44"/>
        <v>0</v>
      </c>
      <c r="G221" s="621">
        <v>37.89</v>
      </c>
      <c r="H221" s="615">
        <f t="shared" si="45"/>
        <v>0</v>
      </c>
      <c r="I221" s="614">
        <f t="shared" si="46"/>
        <v>0</v>
      </c>
      <c r="J221" s="379"/>
    </row>
    <row r="222" spans="1:12" ht="23.4" x14ac:dyDescent="0.3">
      <c r="A222" s="997"/>
      <c r="B222" s="688"/>
      <c r="C222" s="282" t="s">
        <v>351</v>
      </c>
      <c r="D222" s="440" t="s">
        <v>350</v>
      </c>
      <c r="E222" s="283">
        <v>0</v>
      </c>
      <c r="F222" s="323">
        <f t="shared" si="44"/>
        <v>0</v>
      </c>
      <c r="G222" s="621">
        <v>24.41</v>
      </c>
      <c r="H222" s="615">
        <f t="shared" si="45"/>
        <v>0</v>
      </c>
      <c r="I222" s="614">
        <f t="shared" si="46"/>
        <v>0</v>
      </c>
      <c r="J222" s="379"/>
    </row>
    <row r="223" spans="1:12" ht="23.4" x14ac:dyDescent="0.3">
      <c r="A223" s="997"/>
      <c r="B223" s="688"/>
      <c r="C223" s="282" t="s">
        <v>337</v>
      </c>
      <c r="D223" s="440" t="s">
        <v>310</v>
      </c>
      <c r="E223" s="283">
        <v>0</v>
      </c>
      <c r="F223" s="323">
        <f t="shared" si="44"/>
        <v>0</v>
      </c>
      <c r="G223" s="621">
        <v>24.93</v>
      </c>
      <c r="H223" s="615">
        <f t="shared" si="45"/>
        <v>0</v>
      </c>
      <c r="I223" s="614">
        <f t="shared" si="46"/>
        <v>0</v>
      </c>
      <c r="J223" s="379"/>
    </row>
    <row r="224" spans="1:12" ht="23.4" x14ac:dyDescent="0.3">
      <c r="A224" s="997"/>
      <c r="B224" s="688"/>
      <c r="C224" s="282" t="s">
        <v>338</v>
      </c>
      <c r="D224" s="440" t="s">
        <v>310</v>
      </c>
      <c r="E224" s="283">
        <v>0</v>
      </c>
      <c r="F224" s="323">
        <f t="shared" si="44"/>
        <v>0</v>
      </c>
      <c r="G224" s="621">
        <v>24.93</v>
      </c>
      <c r="H224" s="615">
        <f t="shared" si="45"/>
        <v>0</v>
      </c>
      <c r="I224" s="614">
        <f t="shared" si="46"/>
        <v>0</v>
      </c>
      <c r="J224" s="379"/>
    </row>
    <row r="225" spans="1:10" ht="23.4" x14ac:dyDescent="0.3">
      <c r="A225" s="997"/>
      <c r="B225" s="688"/>
      <c r="C225" s="282" t="s">
        <v>369</v>
      </c>
      <c r="D225" s="440" t="s">
        <v>324</v>
      </c>
      <c r="E225" s="283">
        <v>0</v>
      </c>
      <c r="F225" s="323">
        <f t="shared" si="44"/>
        <v>1872</v>
      </c>
      <c r="G225" s="621">
        <v>34.26</v>
      </c>
      <c r="H225" s="615">
        <f t="shared" si="45"/>
        <v>0</v>
      </c>
      <c r="I225" s="614">
        <f t="shared" si="46"/>
        <v>64134.719999999994</v>
      </c>
      <c r="J225" s="379"/>
    </row>
    <row r="226" spans="1:10" ht="23.4" x14ac:dyDescent="0.3">
      <c r="A226" s="997"/>
      <c r="B226" s="688"/>
      <c r="C226" s="282" t="s">
        <v>385</v>
      </c>
      <c r="D226" s="440" t="s">
        <v>193</v>
      </c>
      <c r="E226" s="283">
        <v>0</v>
      </c>
      <c r="F226" s="323">
        <f t="shared" si="44"/>
        <v>0</v>
      </c>
      <c r="G226" s="621">
        <v>23.65</v>
      </c>
      <c r="H226" s="615">
        <f t="shared" si="45"/>
        <v>0</v>
      </c>
      <c r="I226" s="614">
        <f t="shared" si="46"/>
        <v>0</v>
      </c>
      <c r="J226" s="379"/>
    </row>
    <row r="227" spans="1:10" ht="23.4" x14ac:dyDescent="0.3">
      <c r="A227" s="997"/>
      <c r="B227" s="688"/>
      <c r="C227" s="282" t="s">
        <v>405</v>
      </c>
      <c r="D227" s="440" t="s">
        <v>192</v>
      </c>
      <c r="E227" s="283">
        <v>0</v>
      </c>
      <c r="F227" s="323">
        <f t="shared" si="44"/>
        <v>0</v>
      </c>
      <c r="G227" s="621">
        <v>20.76</v>
      </c>
      <c r="H227" s="615">
        <f t="shared" si="45"/>
        <v>0</v>
      </c>
      <c r="I227" s="614">
        <f t="shared" si="46"/>
        <v>0</v>
      </c>
      <c r="J227" s="379"/>
    </row>
    <row r="228" spans="1:10" ht="23.4" x14ac:dyDescent="0.3">
      <c r="A228" s="997"/>
      <c r="B228" s="688"/>
      <c r="C228" s="282" t="s">
        <v>338</v>
      </c>
      <c r="D228" s="440" t="s">
        <v>192</v>
      </c>
      <c r="E228" s="283">
        <v>0</v>
      </c>
      <c r="F228" s="323">
        <f t="shared" si="44"/>
        <v>0</v>
      </c>
      <c r="G228" s="621">
        <v>21.22</v>
      </c>
      <c r="H228" s="615">
        <f t="shared" si="45"/>
        <v>0</v>
      </c>
      <c r="I228" s="614">
        <f t="shared" si="46"/>
        <v>0</v>
      </c>
      <c r="J228" s="379"/>
    </row>
    <row r="229" spans="1:10" ht="23.4" x14ac:dyDescent="0.3">
      <c r="A229" s="997"/>
      <c r="B229" s="688"/>
      <c r="C229" s="282" t="s">
        <v>337</v>
      </c>
      <c r="D229" s="440" t="s">
        <v>192</v>
      </c>
      <c r="E229" s="283">
        <v>0</v>
      </c>
      <c r="F229" s="323">
        <f t="shared" si="44"/>
        <v>0</v>
      </c>
      <c r="G229" s="621">
        <v>21.22</v>
      </c>
      <c r="H229" s="615">
        <f t="shared" si="45"/>
        <v>0</v>
      </c>
      <c r="I229" s="614">
        <f t="shared" si="46"/>
        <v>0</v>
      </c>
      <c r="J229" s="379"/>
    </row>
    <row r="230" spans="1:10" ht="23.4" x14ac:dyDescent="0.3">
      <c r="A230" s="997"/>
      <c r="B230" s="688"/>
      <c r="C230" s="282" t="s">
        <v>406</v>
      </c>
      <c r="D230" s="440" t="s">
        <v>344</v>
      </c>
      <c r="E230" s="283">
        <v>0</v>
      </c>
      <c r="F230" s="323">
        <f t="shared" si="44"/>
        <v>0</v>
      </c>
      <c r="G230" s="621">
        <v>10000</v>
      </c>
      <c r="H230" s="615">
        <f t="shared" si="45"/>
        <v>0</v>
      </c>
      <c r="I230" s="614">
        <f t="shared" si="46"/>
        <v>0</v>
      </c>
      <c r="J230" s="379"/>
    </row>
    <row r="231" spans="1:10" ht="24" thickBot="1" x14ac:dyDescent="0.35">
      <c r="A231" s="997"/>
      <c r="B231" s="688"/>
      <c r="C231" s="282" t="s">
        <v>403</v>
      </c>
      <c r="D231" s="440" t="s">
        <v>404</v>
      </c>
      <c r="E231" s="283">
        <v>0</v>
      </c>
      <c r="F231" s="323">
        <f t="shared" si="44"/>
        <v>0</v>
      </c>
      <c r="G231" s="621">
        <v>39</v>
      </c>
      <c r="H231" s="615">
        <f t="shared" si="45"/>
        <v>0</v>
      </c>
      <c r="I231" s="614">
        <f t="shared" si="46"/>
        <v>0</v>
      </c>
      <c r="J231" s="379"/>
    </row>
    <row r="232" spans="1:10" ht="24" thickBot="1" x14ac:dyDescent="0.35">
      <c r="A232" s="998"/>
      <c r="B232" s="992" t="s">
        <v>297</v>
      </c>
      <c r="C232" s="993"/>
      <c r="D232" s="689"/>
      <c r="E232" s="332"/>
      <c r="F232" s="333"/>
      <c r="G232" s="332"/>
      <c r="H232" s="605"/>
      <c r="I232" s="597">
        <f>SUM(I212:I231)</f>
        <v>179551.72</v>
      </c>
      <c r="J232" s="379"/>
    </row>
    <row r="233" spans="1:10" ht="23.4" x14ac:dyDescent="0.3">
      <c r="A233" s="996" t="s">
        <v>110</v>
      </c>
      <c r="B233" s="688"/>
      <c r="C233" s="282" t="s">
        <v>304</v>
      </c>
      <c r="D233" s="440" t="s">
        <v>263</v>
      </c>
      <c r="E233" s="283">
        <v>0</v>
      </c>
      <c r="F233" s="323">
        <f t="shared" ref="F233:F252" si="47">E233+F151</f>
        <v>2240</v>
      </c>
      <c r="G233" s="621">
        <v>430.02</v>
      </c>
      <c r="H233" s="611">
        <f>E233*G233</f>
        <v>0</v>
      </c>
      <c r="I233" s="614">
        <f t="shared" ref="I233:I252" si="48">+G233*F233</f>
        <v>963244.79999999993</v>
      </c>
      <c r="J233" s="379"/>
    </row>
    <row r="234" spans="1:10" ht="23.4" x14ac:dyDescent="0.3">
      <c r="A234" s="997"/>
      <c r="B234" s="688"/>
      <c r="C234" s="282" t="s">
        <v>305</v>
      </c>
      <c r="D234" s="440" t="s">
        <v>263</v>
      </c>
      <c r="E234" s="283">
        <v>0</v>
      </c>
      <c r="F234" s="323">
        <f t="shared" si="47"/>
        <v>0</v>
      </c>
      <c r="G234" s="621">
        <v>445.38</v>
      </c>
      <c r="H234" s="611">
        <f t="shared" ref="H234:H252" si="49">E234*G234</f>
        <v>0</v>
      </c>
      <c r="I234" s="614">
        <f t="shared" si="48"/>
        <v>0</v>
      </c>
      <c r="J234" s="379"/>
    </row>
    <row r="235" spans="1:10" ht="23.4" x14ac:dyDescent="0.3">
      <c r="A235" s="997"/>
      <c r="B235" s="688"/>
      <c r="C235" s="282" t="s">
        <v>341</v>
      </c>
      <c r="D235" s="440" t="s">
        <v>263</v>
      </c>
      <c r="E235" s="283">
        <v>0</v>
      </c>
      <c r="F235" s="323">
        <f t="shared" si="47"/>
        <v>0</v>
      </c>
      <c r="G235" s="621">
        <v>63.55</v>
      </c>
      <c r="H235" s="611">
        <f t="shared" si="49"/>
        <v>0</v>
      </c>
      <c r="I235" s="614">
        <f t="shared" si="48"/>
        <v>0</v>
      </c>
      <c r="J235" s="379"/>
    </row>
    <row r="236" spans="1:10" ht="23.4" x14ac:dyDescent="0.3">
      <c r="A236" s="997"/>
      <c r="B236" s="688"/>
      <c r="C236" s="282" t="s">
        <v>306</v>
      </c>
      <c r="D236" s="440" t="s">
        <v>263</v>
      </c>
      <c r="E236" s="283">
        <v>10080</v>
      </c>
      <c r="F236" s="323">
        <f t="shared" si="47"/>
        <v>32952</v>
      </c>
      <c r="G236" s="621">
        <v>71.44</v>
      </c>
      <c r="H236" s="611">
        <f t="shared" si="49"/>
        <v>720115.19999999995</v>
      </c>
      <c r="I236" s="614">
        <f t="shared" si="48"/>
        <v>2354090.88</v>
      </c>
      <c r="J236" s="379"/>
    </row>
    <row r="237" spans="1:10" ht="23.4" x14ac:dyDescent="0.3">
      <c r="A237" s="997"/>
      <c r="B237" s="688"/>
      <c r="C237" s="282" t="s">
        <v>307</v>
      </c>
      <c r="D237" s="440" t="s">
        <v>263</v>
      </c>
      <c r="E237" s="283">
        <v>0</v>
      </c>
      <c r="F237" s="323">
        <f t="shared" si="47"/>
        <v>0</v>
      </c>
      <c r="G237" s="621">
        <v>36.5</v>
      </c>
      <c r="H237" s="611">
        <f t="shared" si="49"/>
        <v>0</v>
      </c>
      <c r="I237" s="614">
        <f t="shared" si="48"/>
        <v>0</v>
      </c>
      <c r="J237" s="379"/>
    </row>
    <row r="238" spans="1:10" ht="23.4" x14ac:dyDescent="0.3">
      <c r="A238" s="997"/>
      <c r="B238" s="688"/>
      <c r="C238" s="282" t="s">
        <v>316</v>
      </c>
      <c r="D238" s="440" t="s">
        <v>263</v>
      </c>
      <c r="E238" s="283">
        <v>0</v>
      </c>
      <c r="F238" s="323">
        <f t="shared" si="47"/>
        <v>0</v>
      </c>
      <c r="G238" s="621">
        <v>320.35000000000002</v>
      </c>
      <c r="H238" s="611">
        <f t="shared" si="49"/>
        <v>0</v>
      </c>
      <c r="I238" s="614">
        <f t="shared" si="48"/>
        <v>0</v>
      </c>
      <c r="J238" s="379"/>
    </row>
    <row r="239" spans="1:10" ht="23.4" x14ac:dyDescent="0.3">
      <c r="A239" s="997"/>
      <c r="B239" s="688"/>
      <c r="C239" s="282" t="s">
        <v>333</v>
      </c>
      <c r="D239" s="440" t="s">
        <v>263</v>
      </c>
      <c r="E239" s="283">
        <v>0</v>
      </c>
      <c r="F239" s="323">
        <f t="shared" si="47"/>
        <v>0</v>
      </c>
      <c r="G239" s="621">
        <v>434.41</v>
      </c>
      <c r="H239" s="611">
        <f t="shared" si="49"/>
        <v>0</v>
      </c>
      <c r="I239" s="614">
        <f t="shared" si="48"/>
        <v>0</v>
      </c>
      <c r="J239" s="379"/>
    </row>
    <row r="240" spans="1:10" ht="23.4" x14ac:dyDescent="0.3">
      <c r="A240" s="997"/>
      <c r="B240" s="688"/>
      <c r="C240" s="282" t="s">
        <v>313</v>
      </c>
      <c r="D240" s="440" t="s">
        <v>263</v>
      </c>
      <c r="E240" s="283">
        <v>0</v>
      </c>
      <c r="F240" s="323">
        <f t="shared" si="47"/>
        <v>5</v>
      </c>
      <c r="G240" s="621">
        <v>29690</v>
      </c>
      <c r="H240" s="611">
        <f t="shared" si="49"/>
        <v>0</v>
      </c>
      <c r="I240" s="614">
        <f t="shared" si="48"/>
        <v>148450</v>
      </c>
      <c r="J240" s="379"/>
    </row>
    <row r="241" spans="1:10" ht="23.4" x14ac:dyDescent="0.3">
      <c r="A241" s="997"/>
      <c r="B241" s="688"/>
      <c r="C241" s="282" t="s">
        <v>313</v>
      </c>
      <c r="D241" s="440" t="s">
        <v>263</v>
      </c>
      <c r="E241" s="283">
        <v>1</v>
      </c>
      <c r="F241" s="323">
        <f t="shared" si="47"/>
        <v>1</v>
      </c>
      <c r="G241" s="621">
        <v>26445</v>
      </c>
      <c r="H241" s="611">
        <f t="shared" si="49"/>
        <v>26445</v>
      </c>
      <c r="I241" s="614">
        <f t="shared" si="48"/>
        <v>26445</v>
      </c>
      <c r="J241" s="379"/>
    </row>
    <row r="242" spans="1:10" ht="23.4" x14ac:dyDescent="0.3">
      <c r="A242" s="997"/>
      <c r="B242" s="688"/>
      <c r="C242" s="282" t="s">
        <v>354</v>
      </c>
      <c r="D242" s="440" t="s">
        <v>401</v>
      </c>
      <c r="E242" s="283">
        <v>0</v>
      </c>
      <c r="F242" s="323">
        <f t="shared" si="47"/>
        <v>0</v>
      </c>
      <c r="G242" s="621">
        <v>50</v>
      </c>
      <c r="H242" s="611">
        <f t="shared" si="49"/>
        <v>0</v>
      </c>
      <c r="I242" s="614">
        <f t="shared" si="48"/>
        <v>0</v>
      </c>
      <c r="J242" s="379"/>
    </row>
    <row r="243" spans="1:10" ht="23.4" x14ac:dyDescent="0.3">
      <c r="A243" s="997"/>
      <c r="B243" s="688"/>
      <c r="C243" s="282" t="s">
        <v>365</v>
      </c>
      <c r="D243" s="440" t="s">
        <v>350</v>
      </c>
      <c r="E243" s="283">
        <v>0</v>
      </c>
      <c r="F243" s="323">
        <f t="shared" si="47"/>
        <v>0</v>
      </c>
      <c r="G243" s="621">
        <v>309.88</v>
      </c>
      <c r="H243" s="611">
        <f t="shared" si="49"/>
        <v>0</v>
      </c>
      <c r="I243" s="614">
        <f t="shared" si="48"/>
        <v>0</v>
      </c>
      <c r="J243" s="379"/>
    </row>
    <row r="244" spans="1:10" ht="23.4" x14ac:dyDescent="0.3">
      <c r="A244" s="997"/>
      <c r="B244" s="688"/>
      <c r="C244" s="282" t="s">
        <v>366</v>
      </c>
      <c r="D244" s="440" t="s">
        <v>263</v>
      </c>
      <c r="E244" s="283">
        <v>0</v>
      </c>
      <c r="F244" s="323">
        <f t="shared" si="47"/>
        <v>0</v>
      </c>
      <c r="G244" s="621">
        <v>53.86</v>
      </c>
      <c r="H244" s="611">
        <f t="shared" si="49"/>
        <v>0</v>
      </c>
      <c r="I244" s="614">
        <f t="shared" si="48"/>
        <v>0</v>
      </c>
      <c r="J244" s="379"/>
    </row>
    <row r="245" spans="1:10" ht="23.4" x14ac:dyDescent="0.3">
      <c r="A245" s="997"/>
      <c r="B245" s="688"/>
      <c r="C245" s="282" t="s">
        <v>386</v>
      </c>
      <c r="D245" s="440" t="s">
        <v>387</v>
      </c>
      <c r="E245" s="283">
        <v>0</v>
      </c>
      <c r="F245" s="323">
        <f t="shared" si="47"/>
        <v>0</v>
      </c>
      <c r="G245" s="621">
        <v>57.64</v>
      </c>
      <c r="H245" s="611">
        <f t="shared" si="49"/>
        <v>0</v>
      </c>
      <c r="I245" s="614">
        <f t="shared" si="48"/>
        <v>0</v>
      </c>
      <c r="J245" s="379"/>
    </row>
    <row r="246" spans="1:10" ht="23.4" x14ac:dyDescent="0.3">
      <c r="A246" s="997"/>
      <c r="B246" s="688"/>
      <c r="C246" s="282" t="s">
        <v>388</v>
      </c>
      <c r="D246" s="440" t="s">
        <v>389</v>
      </c>
      <c r="E246" s="283">
        <v>0</v>
      </c>
      <c r="F246" s="284">
        <f t="shared" si="47"/>
        <v>960</v>
      </c>
      <c r="G246" s="621">
        <v>434.41</v>
      </c>
      <c r="H246" s="611">
        <f t="shared" si="49"/>
        <v>0</v>
      </c>
      <c r="I246" s="614">
        <f t="shared" si="48"/>
        <v>417033.60000000003</v>
      </c>
      <c r="J246" s="379"/>
    </row>
    <row r="247" spans="1:10" ht="23.4" x14ac:dyDescent="0.3">
      <c r="A247" s="997"/>
      <c r="B247" s="688"/>
      <c r="C247" s="282" t="s">
        <v>419</v>
      </c>
      <c r="D247" s="440" t="s">
        <v>263</v>
      </c>
      <c r="E247" s="283">
        <v>260</v>
      </c>
      <c r="F247" s="284">
        <f t="shared" si="47"/>
        <v>1060</v>
      </c>
      <c r="G247" s="621">
        <v>624.26</v>
      </c>
      <c r="H247" s="611">
        <f t="shared" si="49"/>
        <v>162307.6</v>
      </c>
      <c r="I247" s="614">
        <f t="shared" si="48"/>
        <v>661715.6</v>
      </c>
      <c r="J247" s="379"/>
    </row>
    <row r="248" spans="1:10" ht="23.4" x14ac:dyDescent="0.3">
      <c r="A248" s="997"/>
      <c r="B248" s="688"/>
      <c r="C248" s="282" t="s">
        <v>390</v>
      </c>
      <c r="D248" s="440" t="s">
        <v>389</v>
      </c>
      <c r="E248" s="283">
        <v>0</v>
      </c>
      <c r="F248" s="323">
        <f t="shared" si="47"/>
        <v>0</v>
      </c>
      <c r="G248" s="621">
        <v>63.55</v>
      </c>
      <c r="H248" s="611">
        <f t="shared" si="49"/>
        <v>0</v>
      </c>
      <c r="I248" s="614">
        <f t="shared" si="48"/>
        <v>0</v>
      </c>
      <c r="J248" s="379"/>
    </row>
    <row r="249" spans="1:10" ht="23.4" x14ac:dyDescent="0.3">
      <c r="A249" s="997"/>
      <c r="B249" s="688"/>
      <c r="C249" s="282" t="s">
        <v>391</v>
      </c>
      <c r="D249" s="440" t="s">
        <v>389</v>
      </c>
      <c r="E249" s="283">
        <v>0</v>
      </c>
      <c r="F249" s="323">
        <f t="shared" si="47"/>
        <v>0</v>
      </c>
      <c r="G249" s="621">
        <v>53.86</v>
      </c>
      <c r="H249" s="611">
        <f t="shared" si="49"/>
        <v>0</v>
      </c>
      <c r="I249" s="614">
        <f t="shared" si="48"/>
        <v>0</v>
      </c>
      <c r="J249" s="379"/>
    </row>
    <row r="250" spans="1:10" ht="23.4" x14ac:dyDescent="0.3">
      <c r="A250" s="997"/>
      <c r="B250" s="688"/>
      <c r="C250" s="282" t="s">
        <v>402</v>
      </c>
      <c r="D250" s="440" t="s">
        <v>344</v>
      </c>
      <c r="E250" s="283">
        <v>0</v>
      </c>
      <c r="F250" s="323">
        <f t="shared" si="47"/>
        <v>0</v>
      </c>
      <c r="G250" s="621">
        <v>10</v>
      </c>
      <c r="H250" s="611">
        <f t="shared" si="49"/>
        <v>0</v>
      </c>
      <c r="I250" s="614">
        <f t="shared" si="48"/>
        <v>0</v>
      </c>
      <c r="J250" s="379"/>
    </row>
    <row r="251" spans="1:10" ht="23.4" x14ac:dyDescent="0.3">
      <c r="A251" s="997"/>
      <c r="B251" s="688"/>
      <c r="C251" s="282" t="s">
        <v>313</v>
      </c>
      <c r="D251" s="440"/>
      <c r="E251" s="283">
        <v>0</v>
      </c>
      <c r="F251" s="323">
        <f t="shared" si="47"/>
        <v>0</v>
      </c>
      <c r="G251" s="621">
        <v>39450</v>
      </c>
      <c r="H251" s="611">
        <f t="shared" si="49"/>
        <v>0</v>
      </c>
      <c r="I251" s="614">
        <f t="shared" si="48"/>
        <v>0</v>
      </c>
      <c r="J251" s="379"/>
    </row>
    <row r="252" spans="1:10" ht="24" thickBot="1" x14ac:dyDescent="0.35">
      <c r="A252" s="997"/>
      <c r="B252" s="688"/>
      <c r="C252" s="282" t="s">
        <v>388</v>
      </c>
      <c r="D252" s="440" t="s">
        <v>103</v>
      </c>
      <c r="E252" s="283">
        <v>0</v>
      </c>
      <c r="F252" s="323">
        <f t="shared" si="47"/>
        <v>0</v>
      </c>
      <c r="G252" s="621">
        <v>434.41</v>
      </c>
      <c r="H252" s="611">
        <f t="shared" si="49"/>
        <v>0</v>
      </c>
      <c r="I252" s="614">
        <f t="shared" si="48"/>
        <v>0</v>
      </c>
      <c r="J252" s="379"/>
    </row>
    <row r="253" spans="1:10" ht="24" thickBot="1" x14ac:dyDescent="0.35">
      <c r="A253" s="998"/>
      <c r="B253" s="992" t="s">
        <v>299</v>
      </c>
      <c r="C253" s="993"/>
      <c r="D253" s="689"/>
      <c r="E253" s="332"/>
      <c r="F253" s="333"/>
      <c r="G253" s="332"/>
      <c r="H253" s="608">
        <f>SUM(H233:H252)</f>
        <v>908867.79999999993</v>
      </c>
      <c r="I253" s="597">
        <f>SUM(I233:I252)</f>
        <v>4570979.88</v>
      </c>
      <c r="J253" s="378"/>
    </row>
    <row r="254" spans="1:10" ht="24" thickBot="1" x14ac:dyDescent="0.35">
      <c r="A254" s="690"/>
      <c r="B254" s="443"/>
      <c r="C254" s="282"/>
      <c r="D254" s="440"/>
      <c r="E254" s="283"/>
      <c r="F254" s="284"/>
      <c r="G254" s="340"/>
      <c r="H254" s="607"/>
      <c r="I254" s="285"/>
      <c r="J254" s="379"/>
    </row>
    <row r="255" spans="1:10" ht="24" thickBot="1" x14ac:dyDescent="0.35">
      <c r="A255" s="690"/>
      <c r="B255" s="992" t="s">
        <v>243</v>
      </c>
      <c r="C255" s="993"/>
      <c r="D255" s="686"/>
      <c r="E255" s="332"/>
      <c r="F255" s="333"/>
      <c r="G255" s="332"/>
      <c r="H255" s="605"/>
      <c r="I255" s="330"/>
      <c r="J255" s="355"/>
    </row>
    <row r="256" spans="1:10" ht="24.6" thickBot="1" x14ac:dyDescent="0.35">
      <c r="A256" s="325"/>
      <c r="B256" s="994" t="s">
        <v>183</v>
      </c>
      <c r="C256" s="995"/>
      <c r="D256" s="687"/>
      <c r="E256" s="380"/>
      <c r="F256" s="380"/>
      <c r="G256" s="380"/>
      <c r="H256" s="380"/>
      <c r="I256" s="380">
        <f>+I253+I232+I211</f>
        <v>13863442.1</v>
      </c>
      <c r="J256" s="381"/>
    </row>
    <row r="257" spans="1:10" ht="23.4" x14ac:dyDescent="0.3">
      <c r="A257" s="935" t="s">
        <v>1</v>
      </c>
      <c r="B257" s="938" t="s">
        <v>2</v>
      </c>
      <c r="C257" s="1001" t="s">
        <v>3</v>
      </c>
      <c r="D257" s="1005" t="s">
        <v>93</v>
      </c>
      <c r="E257" s="1008">
        <v>44507</v>
      </c>
      <c r="F257" s="945"/>
      <c r="G257" s="945"/>
      <c r="H257" s="945"/>
      <c r="I257" s="945"/>
      <c r="J257" s="946"/>
    </row>
    <row r="258" spans="1:10" ht="23.4" x14ac:dyDescent="0.3">
      <c r="A258" s="999"/>
      <c r="B258" s="1000"/>
      <c r="C258" s="1002"/>
      <c r="D258" s="1006"/>
      <c r="E258" s="1009" t="s">
        <v>94</v>
      </c>
      <c r="F258" s="1010"/>
      <c r="G258" s="1009" t="s">
        <v>252</v>
      </c>
      <c r="H258" s="1011"/>
      <c r="I258" s="1011"/>
      <c r="J258" s="1010"/>
    </row>
    <row r="259" spans="1:10" x14ac:dyDescent="0.3">
      <c r="A259" s="936"/>
      <c r="B259" s="939"/>
      <c r="C259" s="1003"/>
      <c r="D259" s="1006"/>
      <c r="E259" s="947" t="s">
        <v>95</v>
      </c>
      <c r="F259" s="949" t="s">
        <v>96</v>
      </c>
      <c r="G259" s="1012" t="s">
        <v>97</v>
      </c>
      <c r="H259" s="1014" t="s">
        <v>98</v>
      </c>
      <c r="I259" s="1014" t="s">
        <v>98</v>
      </c>
      <c r="J259" s="1016" t="s">
        <v>12</v>
      </c>
    </row>
    <row r="260" spans="1:10" ht="14.4" thickBot="1" x14ac:dyDescent="0.35">
      <c r="A260" s="937"/>
      <c r="B260" s="940"/>
      <c r="C260" s="1004"/>
      <c r="D260" s="1007"/>
      <c r="E260" s="948"/>
      <c r="F260" s="950"/>
      <c r="G260" s="1013"/>
      <c r="H260" s="1015"/>
      <c r="I260" s="1015"/>
      <c r="J260" s="1017"/>
    </row>
    <row r="261" spans="1:10" ht="23.4" x14ac:dyDescent="0.3">
      <c r="A261" s="996" t="s">
        <v>111</v>
      </c>
      <c r="B261" s="445"/>
      <c r="C261" s="592" t="s">
        <v>300</v>
      </c>
      <c r="D261" s="449" t="s">
        <v>292</v>
      </c>
      <c r="E261" s="273">
        <v>0</v>
      </c>
      <c r="F261" s="441">
        <f>E261+F179</f>
        <v>0</v>
      </c>
      <c r="G261" s="593">
        <v>111.09</v>
      </c>
      <c r="H261" s="609">
        <f t="shared" ref="H261:H274" si="50">E261*G261</f>
        <v>0</v>
      </c>
      <c r="I261" s="612">
        <f>+G261*F261</f>
        <v>0</v>
      </c>
      <c r="J261" s="357"/>
    </row>
    <row r="262" spans="1:10" ht="23.4" x14ac:dyDescent="0.3">
      <c r="A262" s="997"/>
      <c r="B262" s="444"/>
      <c r="C262" s="448" t="s">
        <v>293</v>
      </c>
      <c r="D262" s="447" t="s">
        <v>294</v>
      </c>
      <c r="E262" s="279">
        <v>0</v>
      </c>
      <c r="F262" s="441">
        <f t="shared" ref="F262:F274" si="51">E262+F180</f>
        <v>0</v>
      </c>
      <c r="G262" s="594">
        <v>11</v>
      </c>
      <c r="H262" s="610">
        <f t="shared" si="50"/>
        <v>0</v>
      </c>
      <c r="I262" s="613">
        <f>+G262*F262</f>
        <v>0</v>
      </c>
      <c r="J262" s="358"/>
    </row>
    <row r="263" spans="1:10" ht="23.4" x14ac:dyDescent="0.3">
      <c r="A263" s="997"/>
      <c r="B263" s="444"/>
      <c r="C263" s="448" t="s">
        <v>319</v>
      </c>
      <c r="D263" s="447" t="s">
        <v>320</v>
      </c>
      <c r="E263" s="279">
        <v>0</v>
      </c>
      <c r="F263" s="441">
        <f t="shared" si="51"/>
        <v>0</v>
      </c>
      <c r="G263" s="594">
        <v>10.57</v>
      </c>
      <c r="H263" s="610">
        <f t="shared" si="50"/>
        <v>0</v>
      </c>
      <c r="I263" s="613">
        <f t="shared" ref="I263:I274" si="52">+G263*F263</f>
        <v>0</v>
      </c>
      <c r="J263" s="358"/>
    </row>
    <row r="264" spans="1:10" ht="23.4" x14ac:dyDescent="0.3">
      <c r="A264" s="997"/>
      <c r="B264" s="444"/>
      <c r="C264" s="448" t="s">
        <v>307</v>
      </c>
      <c r="D264" s="447" t="s">
        <v>320</v>
      </c>
      <c r="E264" s="279">
        <v>0</v>
      </c>
      <c r="F264" s="441">
        <f t="shared" si="51"/>
        <v>0</v>
      </c>
      <c r="G264" s="594">
        <v>55.76</v>
      </c>
      <c r="H264" s="610">
        <f t="shared" si="50"/>
        <v>0</v>
      </c>
      <c r="I264" s="613">
        <f t="shared" si="52"/>
        <v>0</v>
      </c>
      <c r="J264" s="358"/>
    </row>
    <row r="265" spans="1:10" ht="23.4" x14ac:dyDescent="0.3">
      <c r="A265" s="997"/>
      <c r="B265" s="444"/>
      <c r="C265" s="448" t="s">
        <v>323</v>
      </c>
      <c r="D265" s="447" t="s">
        <v>192</v>
      </c>
      <c r="E265" s="279">
        <v>0</v>
      </c>
      <c r="F265" s="441">
        <f t="shared" si="51"/>
        <v>0</v>
      </c>
      <c r="G265" s="594">
        <v>14.79</v>
      </c>
      <c r="H265" s="610">
        <f t="shared" si="50"/>
        <v>0</v>
      </c>
      <c r="I265" s="613">
        <f t="shared" si="52"/>
        <v>0</v>
      </c>
      <c r="J265" s="358"/>
    </row>
    <row r="266" spans="1:10" ht="23.4" x14ac:dyDescent="0.3">
      <c r="A266" s="997"/>
      <c r="B266" s="444"/>
      <c r="C266" s="448" t="s">
        <v>332</v>
      </c>
      <c r="D266" s="447" t="s">
        <v>294</v>
      </c>
      <c r="E266" s="279">
        <v>0</v>
      </c>
      <c r="F266" s="441">
        <f t="shared" si="51"/>
        <v>0</v>
      </c>
      <c r="G266" s="594">
        <v>139.04</v>
      </c>
      <c r="H266" s="610">
        <f t="shared" si="50"/>
        <v>0</v>
      </c>
      <c r="I266" s="613">
        <f t="shared" si="52"/>
        <v>0</v>
      </c>
      <c r="J266" s="358"/>
    </row>
    <row r="267" spans="1:10" ht="23.4" x14ac:dyDescent="0.3">
      <c r="A267" s="997"/>
      <c r="B267" s="444"/>
      <c r="C267" s="448" t="s">
        <v>355</v>
      </c>
      <c r="D267" s="623" t="s">
        <v>356</v>
      </c>
      <c r="E267" s="279">
        <v>0</v>
      </c>
      <c r="F267" s="441">
        <f t="shared" si="51"/>
        <v>0</v>
      </c>
      <c r="G267" s="594">
        <v>18.84</v>
      </c>
      <c r="H267" s="610">
        <f t="shared" si="50"/>
        <v>0</v>
      </c>
      <c r="I267" s="613">
        <f t="shared" si="52"/>
        <v>0</v>
      </c>
      <c r="J267" s="358"/>
    </row>
    <row r="268" spans="1:10" ht="23.4" x14ac:dyDescent="0.3">
      <c r="A268" s="997"/>
      <c r="B268" s="444"/>
      <c r="C268" s="448" t="s">
        <v>362</v>
      </c>
      <c r="D268" s="623" t="s">
        <v>294</v>
      </c>
      <c r="E268" s="279">
        <v>0</v>
      </c>
      <c r="F268" s="441">
        <f t="shared" si="51"/>
        <v>16524</v>
      </c>
      <c r="G268" s="594">
        <v>18.84</v>
      </c>
      <c r="H268" s="610">
        <f t="shared" si="50"/>
        <v>0</v>
      </c>
      <c r="I268" s="613">
        <f t="shared" si="52"/>
        <v>311312.15999999997</v>
      </c>
      <c r="J268" s="358"/>
    </row>
    <row r="269" spans="1:10" ht="23.4" x14ac:dyDescent="0.3">
      <c r="A269" s="997"/>
      <c r="B269" s="444"/>
      <c r="C269" s="448" t="s">
        <v>376</v>
      </c>
      <c r="D269" s="623" t="s">
        <v>257</v>
      </c>
      <c r="E269" s="279">
        <v>183600</v>
      </c>
      <c r="F269" s="441">
        <f t="shared" si="51"/>
        <v>306000</v>
      </c>
      <c r="G269" s="594">
        <v>21.18</v>
      </c>
      <c r="H269" s="610">
        <f t="shared" si="50"/>
        <v>3888648</v>
      </c>
      <c r="I269" s="613">
        <f t="shared" si="52"/>
        <v>6481080</v>
      </c>
      <c r="J269" s="358"/>
    </row>
    <row r="270" spans="1:10" ht="23.4" x14ac:dyDescent="0.3">
      <c r="A270" s="997"/>
      <c r="B270" s="444"/>
      <c r="C270" s="448" t="s">
        <v>378</v>
      </c>
      <c r="D270" s="623" t="s">
        <v>379</v>
      </c>
      <c r="E270" s="279">
        <v>0</v>
      </c>
      <c r="F270" s="441">
        <f t="shared" si="51"/>
        <v>61200</v>
      </c>
      <c r="G270" s="594">
        <v>21.28</v>
      </c>
      <c r="H270" s="610">
        <f t="shared" si="50"/>
        <v>0</v>
      </c>
      <c r="I270" s="613">
        <f t="shared" si="52"/>
        <v>1302336</v>
      </c>
      <c r="J270" s="358"/>
    </row>
    <row r="271" spans="1:10" ht="23.4" x14ac:dyDescent="0.3">
      <c r="A271" s="997"/>
      <c r="B271" s="444"/>
      <c r="C271" s="448" t="s">
        <v>380</v>
      </c>
      <c r="D271" s="623" t="s">
        <v>381</v>
      </c>
      <c r="E271" s="279">
        <v>0</v>
      </c>
      <c r="F271" s="441">
        <f t="shared" si="51"/>
        <v>0</v>
      </c>
      <c r="G271" s="594">
        <v>18.84</v>
      </c>
      <c r="H271" s="610">
        <f t="shared" si="50"/>
        <v>0</v>
      </c>
      <c r="I271" s="613">
        <f t="shared" si="52"/>
        <v>0</v>
      </c>
      <c r="J271" s="358"/>
    </row>
    <row r="272" spans="1:10" ht="23.4" x14ac:dyDescent="0.3">
      <c r="A272" s="997"/>
      <c r="B272" s="444"/>
      <c r="C272" s="592" t="s">
        <v>383</v>
      </c>
      <c r="D272" s="623" t="s">
        <v>294</v>
      </c>
      <c r="E272" s="279">
        <v>0</v>
      </c>
      <c r="F272" s="441">
        <f t="shared" si="51"/>
        <v>0</v>
      </c>
      <c r="G272" s="594">
        <v>109.77</v>
      </c>
      <c r="H272" s="610">
        <f t="shared" si="50"/>
        <v>0</v>
      </c>
      <c r="I272" s="613">
        <f t="shared" si="52"/>
        <v>0</v>
      </c>
      <c r="J272" s="358"/>
    </row>
    <row r="273" spans="1:10" ht="23.4" x14ac:dyDescent="0.3">
      <c r="A273" s="997"/>
      <c r="B273" s="444"/>
      <c r="C273" s="448" t="s">
        <v>384</v>
      </c>
      <c r="D273" s="623" t="s">
        <v>206</v>
      </c>
      <c r="E273" s="279">
        <v>0</v>
      </c>
      <c r="F273" s="441">
        <f t="shared" si="51"/>
        <v>0</v>
      </c>
      <c r="G273" s="594">
        <v>21.28</v>
      </c>
      <c r="H273" s="610">
        <f t="shared" si="50"/>
        <v>0</v>
      </c>
      <c r="I273" s="613">
        <f t="shared" si="52"/>
        <v>0</v>
      </c>
      <c r="J273" s="358"/>
    </row>
    <row r="274" spans="1:10" ht="24" thickBot="1" x14ac:dyDescent="0.35">
      <c r="A274" s="997"/>
      <c r="B274" s="444"/>
      <c r="C274" s="448" t="s">
        <v>400</v>
      </c>
      <c r="D274" s="450" t="s">
        <v>193</v>
      </c>
      <c r="E274" s="279">
        <v>0</v>
      </c>
      <c r="F274" s="441">
        <f t="shared" si="51"/>
        <v>1186</v>
      </c>
      <c r="G274" s="594">
        <v>36.44</v>
      </c>
      <c r="H274" s="610">
        <f t="shared" si="50"/>
        <v>0</v>
      </c>
      <c r="I274" s="613">
        <f t="shared" si="52"/>
        <v>43217.84</v>
      </c>
      <c r="J274" s="358"/>
    </row>
    <row r="275" spans="1:10" ht="24" thickBot="1" x14ac:dyDescent="0.35">
      <c r="A275" s="997"/>
      <c r="B275" s="992" t="s">
        <v>295</v>
      </c>
      <c r="C275" s="993"/>
      <c r="D275" s="699"/>
      <c r="E275" s="332"/>
      <c r="F275" s="333"/>
      <c r="G275" s="332"/>
      <c r="H275" s="605">
        <f>SUM(H261:H274)</f>
        <v>3888648</v>
      </c>
      <c r="I275" s="597">
        <f>SUM(I261:I274)</f>
        <v>8137946</v>
      </c>
      <c r="J275" s="355"/>
    </row>
    <row r="276" spans="1:10" ht="23.4" x14ac:dyDescent="0.3">
      <c r="A276" s="997"/>
      <c r="B276" s="697"/>
      <c r="C276" s="282" t="s">
        <v>301</v>
      </c>
      <c r="D276" s="440" t="s">
        <v>263</v>
      </c>
      <c r="E276" s="283">
        <v>3500</v>
      </c>
      <c r="F276" s="323">
        <f t="shared" ref="F276:F286" si="53">E276+F194</f>
        <v>26250</v>
      </c>
      <c r="G276" s="595">
        <v>160.44999999999999</v>
      </c>
      <c r="H276" s="611">
        <f t="shared" ref="H276:H286" si="54">E276*G276</f>
        <v>561575</v>
      </c>
      <c r="I276" s="614">
        <f t="shared" ref="I276:I286" si="55">+G276*F276</f>
        <v>4211812.5</v>
      </c>
      <c r="J276" s="379"/>
    </row>
    <row r="277" spans="1:10" ht="23.4" x14ac:dyDescent="0.3">
      <c r="A277" s="997"/>
      <c r="B277" s="697"/>
      <c r="C277" s="282" t="s">
        <v>317</v>
      </c>
      <c r="D277" s="440" t="s">
        <v>263</v>
      </c>
      <c r="E277" s="283">
        <v>0</v>
      </c>
      <c r="F277" s="323">
        <f t="shared" si="53"/>
        <v>0</v>
      </c>
      <c r="G277" s="595">
        <v>160.44999999999999</v>
      </c>
      <c r="H277" s="611">
        <f t="shared" si="54"/>
        <v>0</v>
      </c>
      <c r="I277" s="614">
        <f t="shared" si="55"/>
        <v>0</v>
      </c>
      <c r="J277" s="379"/>
    </row>
    <row r="278" spans="1:10" ht="23.4" x14ac:dyDescent="0.3">
      <c r="A278" s="997"/>
      <c r="B278" s="697"/>
      <c r="C278" s="282" t="s">
        <v>318</v>
      </c>
      <c r="D278" s="440" t="s">
        <v>263</v>
      </c>
      <c r="E278" s="283">
        <v>0</v>
      </c>
      <c r="F278" s="323">
        <f t="shared" si="53"/>
        <v>0</v>
      </c>
      <c r="G278" s="595">
        <v>160.44999999999999</v>
      </c>
      <c r="H278" s="611">
        <f t="shared" si="54"/>
        <v>0</v>
      </c>
      <c r="I278" s="614">
        <f t="shared" si="55"/>
        <v>0</v>
      </c>
      <c r="J278" s="379"/>
    </row>
    <row r="279" spans="1:10" ht="23.4" x14ac:dyDescent="0.3">
      <c r="A279" s="997"/>
      <c r="B279" s="697"/>
      <c r="C279" s="282" t="s">
        <v>321</v>
      </c>
      <c r="D279" s="440" t="s">
        <v>100</v>
      </c>
      <c r="E279" s="283">
        <v>0</v>
      </c>
      <c r="F279" s="323">
        <f t="shared" si="53"/>
        <v>0</v>
      </c>
      <c r="G279" s="595">
        <v>27</v>
      </c>
      <c r="H279" s="611">
        <f t="shared" si="54"/>
        <v>0</v>
      </c>
      <c r="I279" s="614">
        <f t="shared" si="55"/>
        <v>0</v>
      </c>
      <c r="J279" s="379"/>
    </row>
    <row r="280" spans="1:10" ht="23.4" x14ac:dyDescent="0.3">
      <c r="A280" s="997"/>
      <c r="B280" s="697"/>
      <c r="C280" s="282" t="s">
        <v>321</v>
      </c>
      <c r="D280" s="440" t="s">
        <v>329</v>
      </c>
      <c r="E280" s="283">
        <v>0</v>
      </c>
      <c r="F280" s="323">
        <f t="shared" si="53"/>
        <v>0</v>
      </c>
      <c r="G280" s="595">
        <v>27.5</v>
      </c>
      <c r="H280" s="611">
        <f t="shared" si="54"/>
        <v>0</v>
      </c>
      <c r="I280" s="614">
        <f t="shared" si="55"/>
        <v>0</v>
      </c>
      <c r="J280" s="379"/>
    </row>
    <row r="281" spans="1:10" ht="23.4" x14ac:dyDescent="0.3">
      <c r="A281" s="997"/>
      <c r="B281" s="697"/>
      <c r="C281" s="282" t="s">
        <v>307</v>
      </c>
      <c r="D281" s="440" t="s">
        <v>329</v>
      </c>
      <c r="E281" s="283">
        <v>0</v>
      </c>
      <c r="F281" s="323">
        <f t="shared" si="53"/>
        <v>0</v>
      </c>
      <c r="G281" s="595">
        <v>34.5</v>
      </c>
      <c r="H281" s="611">
        <f t="shared" si="54"/>
        <v>0</v>
      </c>
      <c r="I281" s="614">
        <f t="shared" si="55"/>
        <v>0</v>
      </c>
      <c r="J281" s="379"/>
    </row>
    <row r="282" spans="1:10" ht="23.4" x14ac:dyDescent="0.3">
      <c r="A282" s="997"/>
      <c r="B282" s="697"/>
      <c r="C282" s="282" t="s">
        <v>342</v>
      </c>
      <c r="D282" s="440" t="s">
        <v>263</v>
      </c>
      <c r="E282" s="283">
        <v>0</v>
      </c>
      <c r="F282" s="323">
        <f t="shared" si="53"/>
        <v>125</v>
      </c>
      <c r="G282" s="595">
        <v>160.44999999999999</v>
      </c>
      <c r="H282" s="611">
        <f t="shared" si="54"/>
        <v>0</v>
      </c>
      <c r="I282" s="614">
        <f t="shared" si="55"/>
        <v>20056.25</v>
      </c>
      <c r="J282" s="379"/>
    </row>
    <row r="283" spans="1:10" ht="23.4" x14ac:dyDescent="0.3">
      <c r="A283" s="997"/>
      <c r="B283" s="697"/>
      <c r="C283" s="282" t="s">
        <v>80</v>
      </c>
      <c r="D283" s="440" t="s">
        <v>263</v>
      </c>
      <c r="E283" s="283">
        <v>0</v>
      </c>
      <c r="F283" s="323">
        <f t="shared" si="53"/>
        <v>0</v>
      </c>
      <c r="G283" s="595">
        <v>148.41999999999999</v>
      </c>
      <c r="H283" s="611">
        <f t="shared" si="54"/>
        <v>0</v>
      </c>
      <c r="I283" s="614">
        <f t="shared" si="55"/>
        <v>0</v>
      </c>
      <c r="J283" s="379"/>
    </row>
    <row r="284" spans="1:10" ht="23.4" x14ac:dyDescent="0.3">
      <c r="A284" s="997"/>
      <c r="B284" s="697"/>
      <c r="C284" s="282" t="s">
        <v>357</v>
      </c>
      <c r="D284" s="440" t="s">
        <v>263</v>
      </c>
      <c r="E284" s="283">
        <v>2625</v>
      </c>
      <c r="F284" s="323">
        <f t="shared" si="53"/>
        <v>9125</v>
      </c>
      <c r="G284" s="595">
        <v>160.44999999999999</v>
      </c>
      <c r="H284" s="611">
        <f t="shared" si="54"/>
        <v>421181.24999999994</v>
      </c>
      <c r="I284" s="614">
        <f t="shared" si="55"/>
        <v>1464106.25</v>
      </c>
      <c r="J284" s="379"/>
    </row>
    <row r="285" spans="1:10" ht="23.4" x14ac:dyDescent="0.3">
      <c r="A285" s="997"/>
      <c r="B285" s="697"/>
      <c r="C285" s="282" t="s">
        <v>358</v>
      </c>
      <c r="D285" s="440" t="s">
        <v>263</v>
      </c>
      <c r="E285" s="283">
        <v>0</v>
      </c>
      <c r="F285" s="323">
        <f t="shared" si="53"/>
        <v>0</v>
      </c>
      <c r="G285" s="595">
        <v>160.44999999999999</v>
      </c>
      <c r="H285" s="611">
        <f t="shared" si="54"/>
        <v>0</v>
      </c>
      <c r="I285" s="614">
        <f t="shared" si="55"/>
        <v>0</v>
      </c>
      <c r="J285" s="379"/>
    </row>
    <row r="286" spans="1:10" ht="24" thickBot="1" x14ac:dyDescent="0.35">
      <c r="A286" s="997"/>
      <c r="B286" s="697"/>
      <c r="C286" s="282" t="s">
        <v>353</v>
      </c>
      <c r="D286" s="440" t="s">
        <v>263</v>
      </c>
      <c r="E286" s="283">
        <v>0</v>
      </c>
      <c r="F286" s="323">
        <f t="shared" si="53"/>
        <v>875</v>
      </c>
      <c r="G286" s="595">
        <v>160.44999999999999</v>
      </c>
      <c r="H286" s="611">
        <f t="shared" si="54"/>
        <v>0</v>
      </c>
      <c r="I286" s="614">
        <f t="shared" si="55"/>
        <v>140393.75</v>
      </c>
      <c r="J286" s="379"/>
    </row>
    <row r="287" spans="1:10" ht="24" thickBot="1" x14ac:dyDescent="0.35">
      <c r="A287" s="997"/>
      <c r="B287" s="992" t="s">
        <v>296</v>
      </c>
      <c r="C287" s="993"/>
      <c r="D287" s="699"/>
      <c r="E287" s="332"/>
      <c r="F287" s="333"/>
      <c r="G287" s="332"/>
      <c r="H287" s="605">
        <f>SUM(H276:H286)</f>
        <v>982756.25</v>
      </c>
      <c r="I287" s="597">
        <f>SUM(I276:I286)</f>
        <v>5836368.75</v>
      </c>
      <c r="J287" s="355"/>
    </row>
    <row r="288" spans="1:10" ht="23.4" x14ac:dyDescent="0.3">
      <c r="A288" s="997"/>
      <c r="B288" s="697"/>
      <c r="C288" s="282" t="s">
        <v>303</v>
      </c>
      <c r="D288" s="440"/>
      <c r="E288" s="283">
        <v>0</v>
      </c>
      <c r="F288" s="598">
        <f t="shared" ref="F288:F290" si="56">E288+F206</f>
        <v>0</v>
      </c>
      <c r="G288" s="595">
        <v>10</v>
      </c>
      <c r="H288" s="611">
        <f t="shared" ref="H288:H290" si="57">E288*G288</f>
        <v>0</v>
      </c>
      <c r="I288" s="614">
        <f t="shared" ref="I288" si="58">+G288*F288</f>
        <v>0</v>
      </c>
      <c r="J288" s="379"/>
    </row>
    <row r="289" spans="1:12" ht="23.4" x14ac:dyDescent="0.3">
      <c r="A289" s="997"/>
      <c r="B289" s="697"/>
      <c r="C289" s="282" t="s">
        <v>308</v>
      </c>
      <c r="D289" s="440" t="s">
        <v>309</v>
      </c>
      <c r="E289" s="283">
        <v>1</v>
      </c>
      <c r="F289" s="598">
        <f t="shared" si="56"/>
        <v>5</v>
      </c>
      <c r="G289" s="595">
        <v>2500</v>
      </c>
      <c r="H289" s="611">
        <f t="shared" si="57"/>
        <v>2500</v>
      </c>
      <c r="I289" s="614">
        <f>+G289*F289</f>
        <v>12500</v>
      </c>
      <c r="J289" s="379"/>
    </row>
    <row r="290" spans="1:12" ht="24" thickBot="1" x14ac:dyDescent="0.35">
      <c r="A290" s="997"/>
      <c r="B290" s="697"/>
      <c r="C290" s="282" t="s">
        <v>343</v>
      </c>
      <c r="D290" s="440" t="s">
        <v>344</v>
      </c>
      <c r="E290" s="283">
        <v>0</v>
      </c>
      <c r="F290" s="598">
        <f t="shared" si="56"/>
        <v>0</v>
      </c>
      <c r="G290" s="596">
        <v>360</v>
      </c>
      <c r="H290" s="611">
        <f t="shared" si="57"/>
        <v>0</v>
      </c>
      <c r="I290" s="614">
        <f t="shared" ref="I290" si="59">+G290*F290</f>
        <v>0</v>
      </c>
      <c r="J290" s="379"/>
    </row>
    <row r="291" spans="1:12" ht="24" thickBot="1" x14ac:dyDescent="0.35">
      <c r="A291" s="997"/>
      <c r="B291" s="992" t="s">
        <v>302</v>
      </c>
      <c r="C291" s="993"/>
      <c r="D291" s="699"/>
      <c r="E291" s="332"/>
      <c r="F291" s="333"/>
      <c r="G291" s="332"/>
      <c r="H291" s="605">
        <f>SUM(H288:H290)</f>
        <v>2500</v>
      </c>
      <c r="I291" s="597">
        <f>SUM(I288:I290)</f>
        <v>12500</v>
      </c>
      <c r="J291" s="379"/>
    </row>
    <row r="292" spans="1:12" ht="24" thickBot="1" x14ac:dyDescent="0.35">
      <c r="A292" s="997"/>
      <c r="B292" s="697"/>
      <c r="C292" s="282"/>
      <c r="D292" s="440"/>
      <c r="E292" s="283"/>
      <c r="F292" s="323"/>
      <c r="G292" s="596"/>
      <c r="H292" s="606"/>
      <c r="I292" s="285">
        <f t="shared" ref="I292" si="60">+G292*F292</f>
        <v>0</v>
      </c>
      <c r="J292" s="379"/>
    </row>
    <row r="293" spans="1:12" ht="24" thickBot="1" x14ac:dyDescent="0.35">
      <c r="A293" s="998"/>
      <c r="B293" s="992" t="s">
        <v>298</v>
      </c>
      <c r="C293" s="993"/>
      <c r="D293" s="695"/>
      <c r="E293" s="332"/>
      <c r="F293" s="333"/>
      <c r="G293" s="332"/>
      <c r="H293" s="597">
        <f>+H287+H275+H291</f>
        <v>4873904.25</v>
      </c>
      <c r="I293" s="597">
        <f>+I287+I275+I291</f>
        <v>13986814.75</v>
      </c>
      <c r="J293" s="379"/>
      <c r="L293" s="620"/>
    </row>
    <row r="294" spans="1:12" ht="23.4" x14ac:dyDescent="0.3">
      <c r="A294" s="996" t="s">
        <v>109</v>
      </c>
      <c r="B294" s="697"/>
      <c r="C294" s="282" t="s">
        <v>312</v>
      </c>
      <c r="D294" s="440" t="s">
        <v>193</v>
      </c>
      <c r="E294" s="283">
        <v>0</v>
      </c>
      <c r="F294" s="323">
        <f t="shared" ref="F294:F313" si="61">E294+F212</f>
        <v>7956</v>
      </c>
      <c r="G294" s="621">
        <v>13.25</v>
      </c>
      <c r="H294" s="615">
        <f t="shared" ref="H294:H313" si="62">E294*G294</f>
        <v>0</v>
      </c>
      <c r="I294" s="614">
        <f t="shared" ref="I294:I313" si="63">+G294*F294</f>
        <v>105417</v>
      </c>
      <c r="J294" s="379"/>
    </row>
    <row r="295" spans="1:12" ht="23.4" x14ac:dyDescent="0.3">
      <c r="A295" s="997"/>
      <c r="B295" s="697"/>
      <c r="C295" s="282" t="s">
        <v>313</v>
      </c>
      <c r="D295" s="440"/>
      <c r="E295" s="283">
        <v>0</v>
      </c>
      <c r="F295" s="323">
        <f t="shared" si="61"/>
        <v>1</v>
      </c>
      <c r="G295" s="622">
        <v>10000</v>
      </c>
      <c r="H295" s="615">
        <f t="shared" si="62"/>
        <v>0</v>
      </c>
      <c r="I295" s="614">
        <f t="shared" si="63"/>
        <v>10000</v>
      </c>
      <c r="J295" s="379"/>
    </row>
    <row r="296" spans="1:12" ht="23.4" x14ac:dyDescent="0.3">
      <c r="A296" s="997"/>
      <c r="B296" s="697"/>
      <c r="C296" s="282" t="s">
        <v>313</v>
      </c>
      <c r="D296" s="440"/>
      <c r="E296" s="283">
        <v>0</v>
      </c>
      <c r="F296" s="323">
        <f t="shared" si="61"/>
        <v>0</v>
      </c>
      <c r="G296" s="622">
        <v>18000</v>
      </c>
      <c r="H296" s="615">
        <f t="shared" si="62"/>
        <v>0</v>
      </c>
      <c r="I296" s="614">
        <f t="shared" si="63"/>
        <v>0</v>
      </c>
      <c r="J296" s="379"/>
    </row>
    <row r="297" spans="1:12" ht="23.4" x14ac:dyDescent="0.3">
      <c r="A297" s="997"/>
      <c r="B297" s="697"/>
      <c r="C297" s="282" t="s">
        <v>328</v>
      </c>
      <c r="D297" s="440" t="s">
        <v>193</v>
      </c>
      <c r="E297" s="283">
        <v>0</v>
      </c>
      <c r="F297" s="323">
        <f t="shared" si="61"/>
        <v>0</v>
      </c>
      <c r="G297" s="621">
        <v>24.93</v>
      </c>
      <c r="H297" s="615">
        <f t="shared" si="62"/>
        <v>0</v>
      </c>
      <c r="I297" s="614">
        <f t="shared" si="63"/>
        <v>0</v>
      </c>
      <c r="J297" s="379"/>
    </row>
    <row r="298" spans="1:12" ht="23.4" x14ac:dyDescent="0.3">
      <c r="A298" s="997"/>
      <c r="B298" s="697"/>
      <c r="C298" s="282" t="s">
        <v>335</v>
      </c>
      <c r="D298" s="440" t="s">
        <v>99</v>
      </c>
      <c r="E298" s="283">
        <v>0</v>
      </c>
      <c r="F298" s="323">
        <f t="shared" si="61"/>
        <v>0</v>
      </c>
      <c r="G298" s="621">
        <v>26</v>
      </c>
      <c r="H298" s="615">
        <f t="shared" si="62"/>
        <v>0</v>
      </c>
      <c r="I298" s="614">
        <f t="shared" si="63"/>
        <v>0</v>
      </c>
      <c r="J298" s="379"/>
    </row>
    <row r="299" spans="1:12" ht="23.4" x14ac:dyDescent="0.3">
      <c r="A299" s="997"/>
      <c r="B299" s="697"/>
      <c r="C299" s="282" t="s">
        <v>336</v>
      </c>
      <c r="D299" s="440" t="s">
        <v>193</v>
      </c>
      <c r="E299" s="283">
        <v>0</v>
      </c>
      <c r="F299" s="323">
        <f t="shared" si="61"/>
        <v>0</v>
      </c>
      <c r="G299" s="621">
        <v>25.49</v>
      </c>
      <c r="H299" s="615">
        <f t="shared" si="62"/>
        <v>0</v>
      </c>
      <c r="I299" s="614">
        <f t="shared" si="63"/>
        <v>0</v>
      </c>
      <c r="J299" s="379"/>
    </row>
    <row r="300" spans="1:12" ht="23.4" x14ac:dyDescent="0.3">
      <c r="A300" s="997"/>
      <c r="B300" s="697"/>
      <c r="C300" s="282" t="s">
        <v>337</v>
      </c>
      <c r="D300" s="440" t="s">
        <v>115</v>
      </c>
      <c r="E300" s="283">
        <v>0</v>
      </c>
      <c r="F300" s="323">
        <f t="shared" si="61"/>
        <v>0</v>
      </c>
      <c r="G300" s="621">
        <v>24.93</v>
      </c>
      <c r="H300" s="615">
        <f t="shared" si="62"/>
        <v>0</v>
      </c>
      <c r="I300" s="614">
        <f t="shared" si="63"/>
        <v>0</v>
      </c>
      <c r="J300" s="379"/>
    </row>
    <row r="301" spans="1:12" ht="23.4" x14ac:dyDescent="0.3">
      <c r="A301" s="997"/>
      <c r="B301" s="697"/>
      <c r="C301" s="282" t="s">
        <v>338</v>
      </c>
      <c r="D301" s="440" t="s">
        <v>311</v>
      </c>
      <c r="E301" s="283">
        <v>0</v>
      </c>
      <c r="F301" s="323">
        <f t="shared" si="61"/>
        <v>0</v>
      </c>
      <c r="G301" s="621">
        <v>24.93</v>
      </c>
      <c r="H301" s="615">
        <f t="shared" si="62"/>
        <v>0</v>
      </c>
      <c r="I301" s="614">
        <f t="shared" si="63"/>
        <v>0</v>
      </c>
      <c r="J301" s="379"/>
    </row>
    <row r="302" spans="1:12" ht="23.4" x14ac:dyDescent="0.3">
      <c r="A302" s="997"/>
      <c r="B302" s="697"/>
      <c r="C302" s="282" t="s">
        <v>339</v>
      </c>
      <c r="D302" s="440" t="s">
        <v>99</v>
      </c>
      <c r="E302" s="283">
        <v>0</v>
      </c>
      <c r="F302" s="323">
        <f t="shared" si="61"/>
        <v>0</v>
      </c>
      <c r="G302" s="621">
        <v>20.89</v>
      </c>
      <c r="H302" s="615">
        <f t="shared" si="62"/>
        <v>0</v>
      </c>
      <c r="I302" s="614">
        <f t="shared" si="63"/>
        <v>0</v>
      </c>
      <c r="J302" s="379"/>
    </row>
    <row r="303" spans="1:12" ht="23.4" x14ac:dyDescent="0.3">
      <c r="A303" s="997"/>
      <c r="B303" s="697"/>
      <c r="C303" s="282" t="s">
        <v>349</v>
      </c>
      <c r="D303" s="440" t="s">
        <v>350</v>
      </c>
      <c r="E303" s="283">
        <v>0</v>
      </c>
      <c r="F303" s="323">
        <f t="shared" si="61"/>
        <v>0</v>
      </c>
      <c r="G303" s="621">
        <v>37.89</v>
      </c>
      <c r="H303" s="615">
        <f t="shared" si="62"/>
        <v>0</v>
      </c>
      <c r="I303" s="614">
        <f t="shared" si="63"/>
        <v>0</v>
      </c>
      <c r="J303" s="379"/>
    </row>
    <row r="304" spans="1:12" ht="23.4" x14ac:dyDescent="0.3">
      <c r="A304" s="997"/>
      <c r="B304" s="697"/>
      <c r="C304" s="282" t="s">
        <v>351</v>
      </c>
      <c r="D304" s="440" t="s">
        <v>350</v>
      </c>
      <c r="E304" s="283">
        <v>0</v>
      </c>
      <c r="F304" s="323">
        <f t="shared" si="61"/>
        <v>0</v>
      </c>
      <c r="G304" s="621">
        <v>24.41</v>
      </c>
      <c r="H304" s="615">
        <f t="shared" si="62"/>
        <v>0</v>
      </c>
      <c r="I304" s="614">
        <f t="shared" si="63"/>
        <v>0</v>
      </c>
      <c r="J304" s="379"/>
    </row>
    <row r="305" spans="1:10" ht="23.4" x14ac:dyDescent="0.3">
      <c r="A305" s="997"/>
      <c r="B305" s="697"/>
      <c r="C305" s="282" t="s">
        <v>337</v>
      </c>
      <c r="D305" s="440" t="s">
        <v>310</v>
      </c>
      <c r="E305" s="283">
        <v>0</v>
      </c>
      <c r="F305" s="323">
        <f t="shared" si="61"/>
        <v>0</v>
      </c>
      <c r="G305" s="621">
        <v>24.93</v>
      </c>
      <c r="H305" s="615">
        <f t="shared" si="62"/>
        <v>0</v>
      </c>
      <c r="I305" s="614">
        <f t="shared" si="63"/>
        <v>0</v>
      </c>
      <c r="J305" s="379"/>
    </row>
    <row r="306" spans="1:10" ht="23.4" x14ac:dyDescent="0.3">
      <c r="A306" s="997"/>
      <c r="B306" s="697"/>
      <c r="C306" s="282" t="s">
        <v>338</v>
      </c>
      <c r="D306" s="440" t="s">
        <v>310</v>
      </c>
      <c r="E306" s="283">
        <v>0</v>
      </c>
      <c r="F306" s="323">
        <f t="shared" si="61"/>
        <v>0</v>
      </c>
      <c r="G306" s="621">
        <v>24.93</v>
      </c>
      <c r="H306" s="615">
        <f t="shared" si="62"/>
        <v>0</v>
      </c>
      <c r="I306" s="614">
        <f t="shared" si="63"/>
        <v>0</v>
      </c>
      <c r="J306" s="379"/>
    </row>
    <row r="307" spans="1:10" ht="23.4" x14ac:dyDescent="0.3">
      <c r="A307" s="997"/>
      <c r="B307" s="697"/>
      <c r="C307" s="282" t="s">
        <v>369</v>
      </c>
      <c r="D307" s="440" t="s">
        <v>324</v>
      </c>
      <c r="E307" s="283">
        <v>0</v>
      </c>
      <c r="F307" s="323">
        <f t="shared" si="61"/>
        <v>1872</v>
      </c>
      <c r="G307" s="621">
        <v>34.26</v>
      </c>
      <c r="H307" s="615">
        <f t="shared" si="62"/>
        <v>0</v>
      </c>
      <c r="I307" s="614">
        <f t="shared" si="63"/>
        <v>64134.719999999994</v>
      </c>
      <c r="J307" s="379"/>
    </row>
    <row r="308" spans="1:10" ht="23.4" x14ac:dyDescent="0.3">
      <c r="A308" s="997"/>
      <c r="B308" s="697"/>
      <c r="C308" s="282" t="s">
        <v>385</v>
      </c>
      <c r="D308" s="440" t="s">
        <v>193</v>
      </c>
      <c r="E308" s="283">
        <v>0</v>
      </c>
      <c r="F308" s="323">
        <f t="shared" si="61"/>
        <v>0</v>
      </c>
      <c r="G308" s="621">
        <v>23.65</v>
      </c>
      <c r="H308" s="615">
        <f t="shared" si="62"/>
        <v>0</v>
      </c>
      <c r="I308" s="614">
        <f t="shared" si="63"/>
        <v>0</v>
      </c>
      <c r="J308" s="379"/>
    </row>
    <row r="309" spans="1:10" ht="23.4" x14ac:dyDescent="0.3">
      <c r="A309" s="997"/>
      <c r="B309" s="697"/>
      <c r="C309" s="282" t="s">
        <v>405</v>
      </c>
      <c r="D309" s="440" t="s">
        <v>192</v>
      </c>
      <c r="E309" s="283">
        <v>0</v>
      </c>
      <c r="F309" s="323">
        <f t="shared" si="61"/>
        <v>0</v>
      </c>
      <c r="G309" s="621">
        <v>20.76</v>
      </c>
      <c r="H309" s="615">
        <f t="shared" si="62"/>
        <v>0</v>
      </c>
      <c r="I309" s="614">
        <f t="shared" si="63"/>
        <v>0</v>
      </c>
      <c r="J309" s="379"/>
    </row>
    <row r="310" spans="1:10" ht="23.4" x14ac:dyDescent="0.3">
      <c r="A310" s="997"/>
      <c r="B310" s="697"/>
      <c r="C310" s="282" t="s">
        <v>338</v>
      </c>
      <c r="D310" s="440" t="s">
        <v>192</v>
      </c>
      <c r="E310" s="283">
        <v>0</v>
      </c>
      <c r="F310" s="323">
        <f t="shared" si="61"/>
        <v>0</v>
      </c>
      <c r="G310" s="621">
        <v>21.22</v>
      </c>
      <c r="H310" s="615">
        <f t="shared" si="62"/>
        <v>0</v>
      </c>
      <c r="I310" s="614">
        <f t="shared" si="63"/>
        <v>0</v>
      </c>
      <c r="J310" s="379"/>
    </row>
    <row r="311" spans="1:10" ht="23.4" x14ac:dyDescent="0.3">
      <c r="A311" s="997"/>
      <c r="B311" s="697"/>
      <c r="C311" s="282" t="s">
        <v>337</v>
      </c>
      <c r="D311" s="440" t="s">
        <v>192</v>
      </c>
      <c r="E311" s="283">
        <v>0</v>
      </c>
      <c r="F311" s="323">
        <f t="shared" si="61"/>
        <v>0</v>
      </c>
      <c r="G311" s="621">
        <v>21.22</v>
      </c>
      <c r="H311" s="615">
        <f t="shared" si="62"/>
        <v>0</v>
      </c>
      <c r="I311" s="614">
        <f t="shared" si="63"/>
        <v>0</v>
      </c>
      <c r="J311" s="379"/>
    </row>
    <row r="312" spans="1:10" ht="23.4" x14ac:dyDescent="0.3">
      <c r="A312" s="997"/>
      <c r="B312" s="697"/>
      <c r="C312" s="282" t="s">
        <v>406</v>
      </c>
      <c r="D312" s="440" t="s">
        <v>344</v>
      </c>
      <c r="E312" s="283">
        <v>0</v>
      </c>
      <c r="F312" s="323">
        <f t="shared" si="61"/>
        <v>0</v>
      </c>
      <c r="G312" s="621">
        <v>10000</v>
      </c>
      <c r="H312" s="615">
        <f t="shared" si="62"/>
        <v>0</v>
      </c>
      <c r="I312" s="614">
        <f t="shared" si="63"/>
        <v>0</v>
      </c>
      <c r="J312" s="379"/>
    </row>
    <row r="313" spans="1:10" ht="24" thickBot="1" x14ac:dyDescent="0.35">
      <c r="A313" s="997"/>
      <c r="B313" s="697"/>
      <c r="C313" s="282" t="s">
        <v>403</v>
      </c>
      <c r="D313" s="440" t="s">
        <v>404</v>
      </c>
      <c r="E313" s="283">
        <v>0</v>
      </c>
      <c r="F313" s="323">
        <f t="shared" si="61"/>
        <v>0</v>
      </c>
      <c r="G313" s="621">
        <v>39</v>
      </c>
      <c r="H313" s="615">
        <f t="shared" si="62"/>
        <v>0</v>
      </c>
      <c r="I313" s="614">
        <f t="shared" si="63"/>
        <v>0</v>
      </c>
      <c r="J313" s="379"/>
    </row>
    <row r="314" spans="1:10" ht="24" thickBot="1" x14ac:dyDescent="0.35">
      <c r="A314" s="998"/>
      <c r="B314" s="992" t="s">
        <v>297</v>
      </c>
      <c r="C314" s="993"/>
      <c r="D314" s="699"/>
      <c r="E314" s="332"/>
      <c r="F314" s="333"/>
      <c r="G314" s="332"/>
      <c r="H314" s="605"/>
      <c r="I314" s="597">
        <f>SUM(I294:I313)</f>
        <v>179551.72</v>
      </c>
      <c r="J314" s="379"/>
    </row>
    <row r="315" spans="1:10" ht="23.4" x14ac:dyDescent="0.3">
      <c r="A315" s="996" t="s">
        <v>110</v>
      </c>
      <c r="B315" s="697"/>
      <c r="C315" s="282" t="s">
        <v>304</v>
      </c>
      <c r="D315" s="440" t="s">
        <v>263</v>
      </c>
      <c r="E315" s="283">
        <v>0</v>
      </c>
      <c r="F315" s="323">
        <f t="shared" ref="F315:F334" si="64">E315+F233</f>
        <v>2240</v>
      </c>
      <c r="G315" s="621">
        <v>430.02</v>
      </c>
      <c r="H315" s="611">
        <f>E315*G315</f>
        <v>0</v>
      </c>
      <c r="I315" s="614">
        <f t="shared" ref="I315:I334" si="65">+G315*F315</f>
        <v>963244.79999999993</v>
      </c>
      <c r="J315" s="379"/>
    </row>
    <row r="316" spans="1:10" ht="23.4" x14ac:dyDescent="0.3">
      <c r="A316" s="997"/>
      <c r="B316" s="697"/>
      <c r="C316" s="282" t="s">
        <v>305</v>
      </c>
      <c r="D316" s="440" t="s">
        <v>263</v>
      </c>
      <c r="E316" s="283">
        <v>0</v>
      </c>
      <c r="F316" s="323">
        <f t="shared" si="64"/>
        <v>0</v>
      </c>
      <c r="G316" s="621">
        <v>445.38</v>
      </c>
      <c r="H316" s="611">
        <f t="shared" ref="H316:H334" si="66">E316*G316</f>
        <v>0</v>
      </c>
      <c r="I316" s="614">
        <f t="shared" si="65"/>
        <v>0</v>
      </c>
      <c r="J316" s="379"/>
    </row>
    <row r="317" spans="1:10" ht="23.4" x14ac:dyDescent="0.3">
      <c r="A317" s="997"/>
      <c r="B317" s="697"/>
      <c r="C317" s="282" t="s">
        <v>341</v>
      </c>
      <c r="D317" s="440" t="s">
        <v>263</v>
      </c>
      <c r="E317" s="283">
        <v>0</v>
      </c>
      <c r="F317" s="323">
        <f t="shared" si="64"/>
        <v>0</v>
      </c>
      <c r="G317" s="621">
        <v>63.55</v>
      </c>
      <c r="H317" s="611">
        <f t="shared" si="66"/>
        <v>0</v>
      </c>
      <c r="I317" s="614">
        <f t="shared" si="65"/>
        <v>0</v>
      </c>
      <c r="J317" s="379"/>
    </row>
    <row r="318" spans="1:10" ht="23.4" x14ac:dyDescent="0.3">
      <c r="A318" s="997"/>
      <c r="B318" s="697"/>
      <c r="C318" s="282" t="s">
        <v>306</v>
      </c>
      <c r="D318" s="440" t="s">
        <v>263</v>
      </c>
      <c r="E318" s="283">
        <v>2880</v>
      </c>
      <c r="F318" s="323">
        <f t="shared" si="64"/>
        <v>35832</v>
      </c>
      <c r="G318" s="621">
        <v>71.44</v>
      </c>
      <c r="H318" s="611">
        <f t="shared" si="66"/>
        <v>205747.19999999998</v>
      </c>
      <c r="I318" s="614">
        <f t="shared" si="65"/>
        <v>2559838.08</v>
      </c>
      <c r="J318" s="379"/>
    </row>
    <row r="319" spans="1:10" ht="23.4" x14ac:dyDescent="0.3">
      <c r="A319" s="997"/>
      <c r="B319" s="697"/>
      <c r="C319" s="282" t="s">
        <v>307</v>
      </c>
      <c r="D319" s="440" t="s">
        <v>263</v>
      </c>
      <c r="E319" s="283">
        <v>0</v>
      </c>
      <c r="F319" s="323">
        <f t="shared" si="64"/>
        <v>0</v>
      </c>
      <c r="G319" s="621">
        <v>36.5</v>
      </c>
      <c r="H319" s="611">
        <f t="shared" si="66"/>
        <v>0</v>
      </c>
      <c r="I319" s="614">
        <f t="shared" si="65"/>
        <v>0</v>
      </c>
      <c r="J319" s="379"/>
    </row>
    <row r="320" spans="1:10" ht="23.4" x14ac:dyDescent="0.3">
      <c r="A320" s="997"/>
      <c r="B320" s="697"/>
      <c r="C320" s="282" t="s">
        <v>316</v>
      </c>
      <c r="D320" s="440" t="s">
        <v>263</v>
      </c>
      <c r="E320" s="283">
        <v>0</v>
      </c>
      <c r="F320" s="323">
        <f t="shared" si="64"/>
        <v>0</v>
      </c>
      <c r="G320" s="621">
        <v>320.35000000000002</v>
      </c>
      <c r="H320" s="611">
        <f t="shared" si="66"/>
        <v>0</v>
      </c>
      <c r="I320" s="614">
        <f t="shared" si="65"/>
        <v>0</v>
      </c>
      <c r="J320" s="379"/>
    </row>
    <row r="321" spans="1:10" ht="23.4" x14ac:dyDescent="0.3">
      <c r="A321" s="997"/>
      <c r="B321" s="697"/>
      <c r="C321" s="282" t="s">
        <v>333</v>
      </c>
      <c r="D321" s="440" t="s">
        <v>263</v>
      </c>
      <c r="E321" s="283">
        <v>0</v>
      </c>
      <c r="F321" s="323">
        <f t="shared" si="64"/>
        <v>0</v>
      </c>
      <c r="G321" s="621">
        <v>434.41</v>
      </c>
      <c r="H321" s="611">
        <f t="shared" si="66"/>
        <v>0</v>
      </c>
      <c r="I321" s="614">
        <f t="shared" si="65"/>
        <v>0</v>
      </c>
      <c r="J321" s="379"/>
    </row>
    <row r="322" spans="1:10" ht="23.4" x14ac:dyDescent="0.3">
      <c r="A322" s="997"/>
      <c r="B322" s="697"/>
      <c r="C322" s="282" t="s">
        <v>313</v>
      </c>
      <c r="D322" s="440" t="s">
        <v>263</v>
      </c>
      <c r="E322" s="283">
        <v>0</v>
      </c>
      <c r="F322" s="323">
        <f t="shared" si="64"/>
        <v>5</v>
      </c>
      <c r="G322" s="621">
        <v>29690</v>
      </c>
      <c r="H322" s="611">
        <f t="shared" si="66"/>
        <v>0</v>
      </c>
      <c r="I322" s="614">
        <f t="shared" si="65"/>
        <v>148450</v>
      </c>
      <c r="J322" s="379"/>
    </row>
    <row r="323" spans="1:10" ht="23.4" x14ac:dyDescent="0.3">
      <c r="A323" s="997"/>
      <c r="B323" s="697"/>
      <c r="C323" s="282" t="s">
        <v>313</v>
      </c>
      <c r="D323" s="440" t="s">
        <v>263</v>
      </c>
      <c r="E323" s="283">
        <v>0</v>
      </c>
      <c r="F323" s="323">
        <f t="shared" si="64"/>
        <v>1</v>
      </c>
      <c r="G323" s="621">
        <v>26445</v>
      </c>
      <c r="H323" s="611">
        <f t="shared" si="66"/>
        <v>0</v>
      </c>
      <c r="I323" s="614">
        <f t="shared" si="65"/>
        <v>26445</v>
      </c>
      <c r="J323" s="379"/>
    </row>
    <row r="324" spans="1:10" ht="23.4" x14ac:dyDescent="0.3">
      <c r="A324" s="997"/>
      <c r="B324" s="697"/>
      <c r="C324" s="282" t="s">
        <v>354</v>
      </c>
      <c r="D324" s="440" t="s">
        <v>401</v>
      </c>
      <c r="E324" s="283">
        <v>0</v>
      </c>
      <c r="F324" s="323">
        <f t="shared" si="64"/>
        <v>0</v>
      </c>
      <c r="G324" s="621">
        <v>50</v>
      </c>
      <c r="H324" s="611">
        <f t="shared" si="66"/>
        <v>0</v>
      </c>
      <c r="I324" s="614">
        <f t="shared" si="65"/>
        <v>0</v>
      </c>
      <c r="J324" s="379"/>
    </row>
    <row r="325" spans="1:10" ht="23.4" x14ac:dyDescent="0.3">
      <c r="A325" s="997"/>
      <c r="B325" s="697"/>
      <c r="C325" s="282" t="s">
        <v>365</v>
      </c>
      <c r="D325" s="440" t="s">
        <v>350</v>
      </c>
      <c r="E325" s="283">
        <v>0</v>
      </c>
      <c r="F325" s="323">
        <f t="shared" si="64"/>
        <v>0</v>
      </c>
      <c r="G325" s="621">
        <v>309.88</v>
      </c>
      <c r="H325" s="611">
        <f t="shared" si="66"/>
        <v>0</v>
      </c>
      <c r="I325" s="614">
        <f t="shared" si="65"/>
        <v>0</v>
      </c>
      <c r="J325" s="379"/>
    </row>
    <row r="326" spans="1:10" ht="23.4" x14ac:dyDescent="0.3">
      <c r="A326" s="997"/>
      <c r="B326" s="697"/>
      <c r="C326" s="282" t="s">
        <v>366</v>
      </c>
      <c r="D326" s="440" t="s">
        <v>263</v>
      </c>
      <c r="E326" s="283">
        <v>0</v>
      </c>
      <c r="F326" s="323">
        <f t="shared" si="64"/>
        <v>0</v>
      </c>
      <c r="G326" s="621">
        <v>53.86</v>
      </c>
      <c r="H326" s="611">
        <f t="shared" si="66"/>
        <v>0</v>
      </c>
      <c r="I326" s="614">
        <f t="shared" si="65"/>
        <v>0</v>
      </c>
      <c r="J326" s="379"/>
    </row>
    <row r="327" spans="1:10" ht="23.4" x14ac:dyDescent="0.3">
      <c r="A327" s="997"/>
      <c r="B327" s="697"/>
      <c r="C327" s="282" t="s">
        <v>386</v>
      </c>
      <c r="D327" s="440" t="s">
        <v>387</v>
      </c>
      <c r="E327" s="283">
        <v>0</v>
      </c>
      <c r="F327" s="323">
        <f t="shared" si="64"/>
        <v>0</v>
      </c>
      <c r="G327" s="621">
        <v>57.64</v>
      </c>
      <c r="H327" s="611">
        <f t="shared" si="66"/>
        <v>0</v>
      </c>
      <c r="I327" s="614">
        <f t="shared" si="65"/>
        <v>0</v>
      </c>
      <c r="J327" s="379"/>
    </row>
    <row r="328" spans="1:10" ht="23.4" x14ac:dyDescent="0.3">
      <c r="A328" s="997"/>
      <c r="B328" s="697"/>
      <c r="C328" s="282" t="s">
        <v>388</v>
      </c>
      <c r="D328" s="440" t="s">
        <v>389</v>
      </c>
      <c r="E328" s="283">
        <v>0</v>
      </c>
      <c r="F328" s="284">
        <f t="shared" si="64"/>
        <v>960</v>
      </c>
      <c r="G328" s="621">
        <v>434.41</v>
      </c>
      <c r="H328" s="611">
        <f t="shared" si="66"/>
        <v>0</v>
      </c>
      <c r="I328" s="614">
        <f t="shared" si="65"/>
        <v>417033.60000000003</v>
      </c>
      <c r="J328" s="379"/>
    </row>
    <row r="329" spans="1:10" ht="23.4" x14ac:dyDescent="0.3">
      <c r="A329" s="997"/>
      <c r="B329" s="697"/>
      <c r="C329" s="282" t="s">
        <v>419</v>
      </c>
      <c r="D329" s="440" t="s">
        <v>263</v>
      </c>
      <c r="E329" s="283">
        <v>800</v>
      </c>
      <c r="F329" s="284">
        <f t="shared" si="64"/>
        <v>1860</v>
      </c>
      <c r="G329" s="621">
        <v>624.26</v>
      </c>
      <c r="H329" s="611">
        <f t="shared" si="66"/>
        <v>499408</v>
      </c>
      <c r="I329" s="614">
        <f t="shared" si="65"/>
        <v>1161123.6000000001</v>
      </c>
      <c r="J329" s="379"/>
    </row>
    <row r="330" spans="1:10" ht="23.4" x14ac:dyDescent="0.3">
      <c r="A330" s="997"/>
      <c r="B330" s="697"/>
      <c r="C330" s="282" t="s">
        <v>390</v>
      </c>
      <c r="D330" s="440" t="s">
        <v>389</v>
      </c>
      <c r="E330" s="283">
        <v>0</v>
      </c>
      <c r="F330" s="323">
        <f t="shared" si="64"/>
        <v>0</v>
      </c>
      <c r="G330" s="621">
        <v>63.55</v>
      </c>
      <c r="H330" s="611">
        <f t="shared" si="66"/>
        <v>0</v>
      </c>
      <c r="I330" s="614">
        <f t="shared" si="65"/>
        <v>0</v>
      </c>
      <c r="J330" s="379"/>
    </row>
    <row r="331" spans="1:10" ht="23.4" x14ac:dyDescent="0.3">
      <c r="A331" s="997"/>
      <c r="B331" s="697"/>
      <c r="C331" s="282" t="s">
        <v>391</v>
      </c>
      <c r="D331" s="440" t="s">
        <v>389</v>
      </c>
      <c r="E331" s="283">
        <v>0</v>
      </c>
      <c r="F331" s="323">
        <f t="shared" si="64"/>
        <v>0</v>
      </c>
      <c r="G331" s="621">
        <v>53.86</v>
      </c>
      <c r="H331" s="611">
        <f t="shared" si="66"/>
        <v>0</v>
      </c>
      <c r="I331" s="614">
        <f t="shared" si="65"/>
        <v>0</v>
      </c>
      <c r="J331" s="379"/>
    </row>
    <row r="332" spans="1:10" ht="23.4" x14ac:dyDescent="0.3">
      <c r="A332" s="997"/>
      <c r="B332" s="697"/>
      <c r="C332" s="282" t="s">
        <v>402</v>
      </c>
      <c r="D332" s="440" t="s">
        <v>344</v>
      </c>
      <c r="E332" s="283">
        <v>0</v>
      </c>
      <c r="F332" s="323">
        <f t="shared" si="64"/>
        <v>0</v>
      </c>
      <c r="G332" s="621">
        <v>10</v>
      </c>
      <c r="H332" s="611">
        <f t="shared" si="66"/>
        <v>0</v>
      </c>
      <c r="I332" s="614">
        <f t="shared" si="65"/>
        <v>0</v>
      </c>
      <c r="J332" s="379"/>
    </row>
    <row r="333" spans="1:10" ht="23.4" x14ac:dyDescent="0.3">
      <c r="A333" s="997"/>
      <c r="B333" s="697"/>
      <c r="C333" s="282" t="s">
        <v>313</v>
      </c>
      <c r="D333" s="440"/>
      <c r="E333" s="283">
        <v>0</v>
      </c>
      <c r="F333" s="323">
        <f t="shared" si="64"/>
        <v>0</v>
      </c>
      <c r="G333" s="621">
        <v>39450</v>
      </c>
      <c r="H333" s="611">
        <f t="shared" si="66"/>
        <v>0</v>
      </c>
      <c r="I333" s="614">
        <f t="shared" si="65"/>
        <v>0</v>
      </c>
      <c r="J333" s="379"/>
    </row>
    <row r="334" spans="1:10" ht="24" thickBot="1" x14ac:dyDescent="0.35">
      <c r="A334" s="997"/>
      <c r="B334" s="697"/>
      <c r="C334" s="282" t="s">
        <v>388</v>
      </c>
      <c r="D334" s="440" t="s">
        <v>103</v>
      </c>
      <c r="E334" s="283">
        <v>0</v>
      </c>
      <c r="F334" s="323">
        <f t="shared" si="64"/>
        <v>0</v>
      </c>
      <c r="G334" s="621">
        <v>434.41</v>
      </c>
      <c r="H334" s="611">
        <f t="shared" si="66"/>
        <v>0</v>
      </c>
      <c r="I334" s="614">
        <f t="shared" si="65"/>
        <v>0</v>
      </c>
      <c r="J334" s="379"/>
    </row>
    <row r="335" spans="1:10" ht="24" thickBot="1" x14ac:dyDescent="0.35">
      <c r="A335" s="998"/>
      <c r="B335" s="992" t="s">
        <v>299</v>
      </c>
      <c r="C335" s="993"/>
      <c r="D335" s="699"/>
      <c r="E335" s="332"/>
      <c r="F335" s="333"/>
      <c r="G335" s="332"/>
      <c r="H335" s="608">
        <f>SUM(H315:H334)</f>
        <v>705155.2</v>
      </c>
      <c r="I335" s="597">
        <f>SUM(I315:I334)</f>
        <v>5276135.08</v>
      </c>
      <c r="J335" s="378"/>
    </row>
    <row r="336" spans="1:10" ht="24" thickBot="1" x14ac:dyDescent="0.35">
      <c r="A336" s="702"/>
      <c r="B336" s="443"/>
      <c r="C336" s="282"/>
      <c r="D336" s="440"/>
      <c r="E336" s="283"/>
      <c r="F336" s="284"/>
      <c r="G336" s="340"/>
      <c r="H336" s="607"/>
      <c r="I336" s="285"/>
      <c r="J336" s="379"/>
    </row>
    <row r="337" spans="1:10" ht="24" thickBot="1" x14ac:dyDescent="0.35">
      <c r="A337" s="702"/>
      <c r="B337" s="992" t="s">
        <v>243</v>
      </c>
      <c r="C337" s="993"/>
      <c r="D337" s="695"/>
      <c r="E337" s="332"/>
      <c r="F337" s="333"/>
      <c r="G337" s="332"/>
      <c r="H337" s="605"/>
      <c r="I337" s="330"/>
      <c r="J337" s="355"/>
    </row>
    <row r="338" spans="1:10" ht="24.6" thickBot="1" x14ac:dyDescent="0.35">
      <c r="A338" s="325"/>
      <c r="B338" s="994" t="s">
        <v>183</v>
      </c>
      <c r="C338" s="995"/>
      <c r="D338" s="696"/>
      <c r="E338" s="380"/>
      <c r="F338" s="380"/>
      <c r="G338" s="380"/>
      <c r="H338" s="380"/>
      <c r="I338" s="380">
        <f>+I335+I314+I293</f>
        <v>19442501.550000001</v>
      </c>
      <c r="J338" s="381"/>
    </row>
    <row r="339" spans="1:10" ht="23.4" x14ac:dyDescent="0.3">
      <c r="A339" s="935" t="s">
        <v>1</v>
      </c>
      <c r="B339" s="938" t="s">
        <v>2</v>
      </c>
      <c r="C339" s="1001" t="s">
        <v>3</v>
      </c>
      <c r="D339" s="1005" t="s">
        <v>93</v>
      </c>
      <c r="E339" s="1008">
        <v>44508</v>
      </c>
      <c r="F339" s="945"/>
      <c r="G339" s="945"/>
      <c r="H339" s="945"/>
      <c r="I339" s="945"/>
      <c r="J339" s="946"/>
    </row>
    <row r="340" spans="1:10" ht="23.4" x14ac:dyDescent="0.3">
      <c r="A340" s="999"/>
      <c r="B340" s="1000"/>
      <c r="C340" s="1002"/>
      <c r="D340" s="1006"/>
      <c r="E340" s="1009" t="s">
        <v>94</v>
      </c>
      <c r="F340" s="1010"/>
      <c r="G340" s="1009" t="s">
        <v>252</v>
      </c>
      <c r="H340" s="1011"/>
      <c r="I340" s="1011"/>
      <c r="J340" s="1010"/>
    </row>
    <row r="341" spans="1:10" x14ac:dyDescent="0.3">
      <c r="A341" s="936"/>
      <c r="B341" s="939"/>
      <c r="C341" s="1003"/>
      <c r="D341" s="1006"/>
      <c r="E341" s="947" t="s">
        <v>95</v>
      </c>
      <c r="F341" s="949" t="s">
        <v>96</v>
      </c>
      <c r="G341" s="1012" t="s">
        <v>97</v>
      </c>
      <c r="H341" s="1014" t="s">
        <v>98</v>
      </c>
      <c r="I341" s="1014" t="s">
        <v>98</v>
      </c>
      <c r="J341" s="1016" t="s">
        <v>12</v>
      </c>
    </row>
    <row r="342" spans="1:10" ht="14.4" thickBot="1" x14ac:dyDescent="0.35">
      <c r="A342" s="937"/>
      <c r="B342" s="940"/>
      <c r="C342" s="1004"/>
      <c r="D342" s="1007"/>
      <c r="E342" s="948"/>
      <c r="F342" s="950"/>
      <c r="G342" s="1013"/>
      <c r="H342" s="1015"/>
      <c r="I342" s="1015"/>
      <c r="J342" s="1017"/>
    </row>
    <row r="343" spans="1:10" ht="23.4" x14ac:dyDescent="0.3">
      <c r="A343" s="996" t="s">
        <v>111</v>
      </c>
      <c r="B343" s="445"/>
      <c r="C343" s="592" t="s">
        <v>300</v>
      </c>
      <c r="D343" s="449" t="s">
        <v>292</v>
      </c>
      <c r="E343" s="273">
        <v>0</v>
      </c>
      <c r="F343" s="441">
        <f>E343+F261</f>
        <v>0</v>
      </c>
      <c r="G343" s="593">
        <v>111.09</v>
      </c>
      <c r="H343" s="609">
        <f t="shared" ref="H343:H356" si="67">E343*G343</f>
        <v>0</v>
      </c>
      <c r="I343" s="612">
        <f>+G343*F343</f>
        <v>0</v>
      </c>
      <c r="J343" s="357"/>
    </row>
    <row r="344" spans="1:10" ht="23.4" x14ac:dyDescent="0.3">
      <c r="A344" s="997"/>
      <c r="B344" s="444"/>
      <c r="C344" s="448" t="s">
        <v>293</v>
      </c>
      <c r="D344" s="447" t="s">
        <v>294</v>
      </c>
      <c r="E344" s="279">
        <v>0</v>
      </c>
      <c r="F344" s="441">
        <f t="shared" ref="F344:F356" si="68">E344+F262</f>
        <v>0</v>
      </c>
      <c r="G344" s="594">
        <v>11</v>
      </c>
      <c r="H344" s="610">
        <f t="shared" si="67"/>
        <v>0</v>
      </c>
      <c r="I344" s="613">
        <f>+G344*F344</f>
        <v>0</v>
      </c>
      <c r="J344" s="358"/>
    </row>
    <row r="345" spans="1:10" ht="23.4" x14ac:dyDescent="0.3">
      <c r="A345" s="997"/>
      <c r="B345" s="444"/>
      <c r="C345" s="448" t="s">
        <v>319</v>
      </c>
      <c r="D345" s="447" t="s">
        <v>320</v>
      </c>
      <c r="E345" s="279">
        <v>0</v>
      </c>
      <c r="F345" s="441">
        <f t="shared" si="68"/>
        <v>0</v>
      </c>
      <c r="G345" s="594">
        <v>10.57</v>
      </c>
      <c r="H345" s="610">
        <f t="shared" si="67"/>
        <v>0</v>
      </c>
      <c r="I345" s="613">
        <f t="shared" ref="I345:I356" si="69">+G345*F345</f>
        <v>0</v>
      </c>
      <c r="J345" s="358"/>
    </row>
    <row r="346" spans="1:10" ht="23.4" x14ac:dyDescent="0.3">
      <c r="A346" s="997"/>
      <c r="B346" s="444"/>
      <c r="C346" s="448" t="s">
        <v>307</v>
      </c>
      <c r="D346" s="447" t="s">
        <v>320</v>
      </c>
      <c r="E346" s="279">
        <v>0</v>
      </c>
      <c r="F346" s="441">
        <f t="shared" si="68"/>
        <v>0</v>
      </c>
      <c r="G346" s="594">
        <v>55.76</v>
      </c>
      <c r="H346" s="610">
        <f t="shared" si="67"/>
        <v>0</v>
      </c>
      <c r="I346" s="613">
        <f t="shared" si="69"/>
        <v>0</v>
      </c>
      <c r="J346" s="358"/>
    </row>
    <row r="347" spans="1:10" ht="23.4" x14ac:dyDescent="0.3">
      <c r="A347" s="997"/>
      <c r="B347" s="444"/>
      <c r="C347" s="448" t="s">
        <v>323</v>
      </c>
      <c r="D347" s="447" t="s">
        <v>192</v>
      </c>
      <c r="E347" s="279">
        <v>0</v>
      </c>
      <c r="F347" s="441">
        <f t="shared" si="68"/>
        <v>0</v>
      </c>
      <c r="G347" s="594">
        <v>14.79</v>
      </c>
      <c r="H347" s="610">
        <f t="shared" si="67"/>
        <v>0</v>
      </c>
      <c r="I347" s="613">
        <f t="shared" si="69"/>
        <v>0</v>
      </c>
      <c r="J347" s="358"/>
    </row>
    <row r="348" spans="1:10" ht="23.4" x14ac:dyDescent="0.3">
      <c r="A348" s="997"/>
      <c r="B348" s="444"/>
      <c r="C348" s="448" t="s">
        <v>332</v>
      </c>
      <c r="D348" s="447" t="s">
        <v>294</v>
      </c>
      <c r="E348" s="279">
        <v>320</v>
      </c>
      <c r="F348" s="441">
        <f t="shared" si="68"/>
        <v>320</v>
      </c>
      <c r="G348" s="594">
        <v>139.04</v>
      </c>
      <c r="H348" s="610">
        <f t="shared" si="67"/>
        <v>44492.799999999996</v>
      </c>
      <c r="I348" s="613">
        <f t="shared" si="69"/>
        <v>44492.799999999996</v>
      </c>
      <c r="J348" s="358"/>
    </row>
    <row r="349" spans="1:10" ht="23.4" x14ac:dyDescent="0.3">
      <c r="A349" s="997"/>
      <c r="B349" s="444"/>
      <c r="C349" s="448" t="s">
        <v>355</v>
      </c>
      <c r="D349" s="623" t="s">
        <v>356</v>
      </c>
      <c r="E349" s="279">
        <v>0</v>
      </c>
      <c r="F349" s="441">
        <f t="shared" si="68"/>
        <v>0</v>
      </c>
      <c r="G349" s="594">
        <v>18.84</v>
      </c>
      <c r="H349" s="610">
        <f t="shared" si="67"/>
        <v>0</v>
      </c>
      <c r="I349" s="613">
        <f t="shared" si="69"/>
        <v>0</v>
      </c>
      <c r="J349" s="358"/>
    </row>
    <row r="350" spans="1:10" ht="23.4" x14ac:dyDescent="0.3">
      <c r="A350" s="997"/>
      <c r="B350" s="444"/>
      <c r="C350" s="448" t="s">
        <v>362</v>
      </c>
      <c r="D350" s="623" t="s">
        <v>294</v>
      </c>
      <c r="E350" s="279">
        <v>0</v>
      </c>
      <c r="F350" s="441">
        <f t="shared" si="68"/>
        <v>16524</v>
      </c>
      <c r="G350" s="594">
        <v>18.84</v>
      </c>
      <c r="H350" s="610">
        <f t="shared" si="67"/>
        <v>0</v>
      </c>
      <c r="I350" s="613">
        <f t="shared" si="69"/>
        <v>311312.15999999997</v>
      </c>
      <c r="J350" s="358"/>
    </row>
    <row r="351" spans="1:10" ht="23.4" x14ac:dyDescent="0.3">
      <c r="A351" s="997"/>
      <c r="B351" s="444"/>
      <c r="C351" s="448" t="s">
        <v>376</v>
      </c>
      <c r="D351" s="623" t="s">
        <v>257</v>
      </c>
      <c r="E351" s="279">
        <v>0</v>
      </c>
      <c r="F351" s="441">
        <f t="shared" si="68"/>
        <v>306000</v>
      </c>
      <c r="G351" s="594">
        <v>21.18</v>
      </c>
      <c r="H351" s="610">
        <f t="shared" si="67"/>
        <v>0</v>
      </c>
      <c r="I351" s="613">
        <f t="shared" si="69"/>
        <v>6481080</v>
      </c>
      <c r="J351" s="358"/>
    </row>
    <row r="352" spans="1:10" ht="23.4" x14ac:dyDescent="0.3">
      <c r="A352" s="997"/>
      <c r="B352" s="444"/>
      <c r="C352" s="448" t="s">
        <v>378</v>
      </c>
      <c r="D352" s="623" t="s">
        <v>379</v>
      </c>
      <c r="E352" s="279">
        <v>0</v>
      </c>
      <c r="F352" s="441">
        <f t="shared" si="68"/>
        <v>61200</v>
      </c>
      <c r="G352" s="594">
        <v>21.28</v>
      </c>
      <c r="H352" s="610">
        <f t="shared" si="67"/>
        <v>0</v>
      </c>
      <c r="I352" s="613">
        <f t="shared" si="69"/>
        <v>1302336</v>
      </c>
      <c r="J352" s="358"/>
    </row>
    <row r="353" spans="1:10" ht="23.4" x14ac:dyDescent="0.3">
      <c r="A353" s="997"/>
      <c r="B353" s="444"/>
      <c r="C353" s="448" t="s">
        <v>380</v>
      </c>
      <c r="D353" s="623" t="s">
        <v>381</v>
      </c>
      <c r="E353" s="279">
        <v>0</v>
      </c>
      <c r="F353" s="441">
        <f t="shared" si="68"/>
        <v>0</v>
      </c>
      <c r="G353" s="594">
        <v>18.84</v>
      </c>
      <c r="H353" s="610">
        <f t="shared" si="67"/>
        <v>0</v>
      </c>
      <c r="I353" s="613">
        <f t="shared" si="69"/>
        <v>0</v>
      </c>
      <c r="J353" s="358"/>
    </row>
    <row r="354" spans="1:10" ht="23.4" x14ac:dyDescent="0.3">
      <c r="A354" s="997"/>
      <c r="B354" s="444"/>
      <c r="C354" s="592" t="s">
        <v>383</v>
      </c>
      <c r="D354" s="623" t="s">
        <v>294</v>
      </c>
      <c r="E354" s="279">
        <v>0</v>
      </c>
      <c r="F354" s="441">
        <f t="shared" si="68"/>
        <v>0</v>
      </c>
      <c r="G354" s="594">
        <v>109.77</v>
      </c>
      <c r="H354" s="610">
        <f t="shared" si="67"/>
        <v>0</v>
      </c>
      <c r="I354" s="613">
        <f t="shared" si="69"/>
        <v>0</v>
      </c>
      <c r="J354" s="358"/>
    </row>
    <row r="355" spans="1:10" ht="23.4" x14ac:dyDescent="0.3">
      <c r="A355" s="997"/>
      <c r="B355" s="444"/>
      <c r="C355" s="448" t="s">
        <v>384</v>
      </c>
      <c r="D355" s="623" t="s">
        <v>206</v>
      </c>
      <c r="E355" s="279">
        <v>0</v>
      </c>
      <c r="F355" s="441">
        <f t="shared" si="68"/>
        <v>0</v>
      </c>
      <c r="G355" s="594">
        <v>21.28</v>
      </c>
      <c r="H355" s="610">
        <f t="shared" si="67"/>
        <v>0</v>
      </c>
      <c r="I355" s="613">
        <f t="shared" si="69"/>
        <v>0</v>
      </c>
      <c r="J355" s="358"/>
    </row>
    <row r="356" spans="1:10" ht="24" thickBot="1" x14ac:dyDescent="0.35">
      <c r="A356" s="997"/>
      <c r="B356" s="444"/>
      <c r="C356" s="448" t="s">
        <v>400</v>
      </c>
      <c r="D356" s="450" t="s">
        <v>193</v>
      </c>
      <c r="E356" s="279">
        <v>0</v>
      </c>
      <c r="F356" s="441">
        <f t="shared" si="68"/>
        <v>1186</v>
      </c>
      <c r="G356" s="594">
        <v>36.44</v>
      </c>
      <c r="H356" s="610">
        <f t="shared" si="67"/>
        <v>0</v>
      </c>
      <c r="I356" s="613">
        <f t="shared" si="69"/>
        <v>43217.84</v>
      </c>
      <c r="J356" s="358"/>
    </row>
    <row r="357" spans="1:10" ht="24" thickBot="1" x14ac:dyDescent="0.35">
      <c r="A357" s="997"/>
      <c r="B357" s="992" t="s">
        <v>295</v>
      </c>
      <c r="C357" s="993"/>
      <c r="D357" s="710"/>
      <c r="E357" s="332"/>
      <c r="F357" s="333"/>
      <c r="G357" s="332"/>
      <c r="H357" s="605">
        <f>SUM(H343:H356)</f>
        <v>44492.799999999996</v>
      </c>
      <c r="I357" s="597">
        <f>SUM(I343:I356)</f>
        <v>8182438.7999999998</v>
      </c>
      <c r="J357" s="355"/>
    </row>
    <row r="358" spans="1:10" ht="23.4" x14ac:dyDescent="0.3">
      <c r="A358" s="997"/>
      <c r="B358" s="708"/>
      <c r="C358" s="282" t="s">
        <v>301</v>
      </c>
      <c r="D358" s="440" t="s">
        <v>263</v>
      </c>
      <c r="E358" s="283">
        <v>0</v>
      </c>
      <c r="F358" s="323">
        <f t="shared" ref="F358:F368" si="70">E358+F276</f>
        <v>26250</v>
      </c>
      <c r="G358" s="595">
        <v>160.44999999999999</v>
      </c>
      <c r="H358" s="611">
        <f t="shared" ref="H358:H368" si="71">E358*G358</f>
        <v>0</v>
      </c>
      <c r="I358" s="614">
        <f t="shared" ref="I358:I368" si="72">+G358*F358</f>
        <v>4211812.5</v>
      </c>
      <c r="J358" s="379"/>
    </row>
    <row r="359" spans="1:10" ht="23.4" x14ac:dyDescent="0.3">
      <c r="A359" s="997"/>
      <c r="B359" s="708"/>
      <c r="C359" s="282" t="s">
        <v>317</v>
      </c>
      <c r="D359" s="440" t="s">
        <v>263</v>
      </c>
      <c r="E359" s="283">
        <v>0</v>
      </c>
      <c r="F359" s="323">
        <f t="shared" si="70"/>
        <v>0</v>
      </c>
      <c r="G359" s="595">
        <v>160.44999999999999</v>
      </c>
      <c r="H359" s="611">
        <f t="shared" si="71"/>
        <v>0</v>
      </c>
      <c r="I359" s="614">
        <f t="shared" si="72"/>
        <v>0</v>
      </c>
      <c r="J359" s="379"/>
    </row>
    <row r="360" spans="1:10" ht="23.4" x14ac:dyDescent="0.3">
      <c r="A360" s="997"/>
      <c r="B360" s="708"/>
      <c r="C360" s="282" t="s">
        <v>318</v>
      </c>
      <c r="D360" s="440" t="s">
        <v>263</v>
      </c>
      <c r="E360" s="283">
        <v>0</v>
      </c>
      <c r="F360" s="323">
        <f t="shared" si="70"/>
        <v>0</v>
      </c>
      <c r="G360" s="595">
        <v>160.44999999999999</v>
      </c>
      <c r="H360" s="611">
        <f t="shared" si="71"/>
        <v>0</v>
      </c>
      <c r="I360" s="614">
        <f t="shared" si="72"/>
        <v>0</v>
      </c>
      <c r="J360" s="379"/>
    </row>
    <row r="361" spans="1:10" ht="23.4" x14ac:dyDescent="0.3">
      <c r="A361" s="997"/>
      <c r="B361" s="708"/>
      <c r="C361" s="282" t="s">
        <v>321</v>
      </c>
      <c r="D361" s="440" t="s">
        <v>100</v>
      </c>
      <c r="E361" s="283">
        <v>0</v>
      </c>
      <c r="F361" s="323">
        <f t="shared" si="70"/>
        <v>0</v>
      </c>
      <c r="G361" s="595">
        <v>27</v>
      </c>
      <c r="H361" s="611">
        <f t="shared" si="71"/>
        <v>0</v>
      </c>
      <c r="I361" s="614">
        <f t="shared" si="72"/>
        <v>0</v>
      </c>
      <c r="J361" s="379"/>
    </row>
    <row r="362" spans="1:10" ht="23.4" x14ac:dyDescent="0.3">
      <c r="A362" s="997"/>
      <c r="B362" s="708"/>
      <c r="C362" s="282" t="s">
        <v>321</v>
      </c>
      <c r="D362" s="440" t="s">
        <v>329</v>
      </c>
      <c r="E362" s="283">
        <v>0</v>
      </c>
      <c r="F362" s="323">
        <f t="shared" si="70"/>
        <v>0</v>
      </c>
      <c r="G362" s="595">
        <v>27.5</v>
      </c>
      <c r="H362" s="611">
        <f t="shared" si="71"/>
        <v>0</v>
      </c>
      <c r="I362" s="614">
        <f t="shared" si="72"/>
        <v>0</v>
      </c>
      <c r="J362" s="379"/>
    </row>
    <row r="363" spans="1:10" ht="23.4" x14ac:dyDescent="0.3">
      <c r="A363" s="997"/>
      <c r="B363" s="708"/>
      <c r="C363" s="282" t="s">
        <v>307</v>
      </c>
      <c r="D363" s="440" t="s">
        <v>329</v>
      </c>
      <c r="E363" s="283">
        <v>0</v>
      </c>
      <c r="F363" s="323">
        <f t="shared" si="70"/>
        <v>0</v>
      </c>
      <c r="G363" s="595">
        <v>34.5</v>
      </c>
      <c r="H363" s="611">
        <f t="shared" si="71"/>
        <v>0</v>
      </c>
      <c r="I363" s="614">
        <f t="shared" si="72"/>
        <v>0</v>
      </c>
      <c r="J363" s="379"/>
    </row>
    <row r="364" spans="1:10" ht="23.4" x14ac:dyDescent="0.3">
      <c r="A364" s="997"/>
      <c r="B364" s="708"/>
      <c r="C364" s="282" t="s">
        <v>342</v>
      </c>
      <c r="D364" s="440" t="s">
        <v>263</v>
      </c>
      <c r="E364" s="283">
        <v>2625</v>
      </c>
      <c r="F364" s="323">
        <f t="shared" si="70"/>
        <v>2750</v>
      </c>
      <c r="G364" s="595">
        <v>160.44999999999999</v>
      </c>
      <c r="H364" s="611">
        <f t="shared" si="71"/>
        <v>421181.24999999994</v>
      </c>
      <c r="I364" s="614">
        <f t="shared" si="72"/>
        <v>441237.49999999994</v>
      </c>
      <c r="J364" s="379"/>
    </row>
    <row r="365" spans="1:10" ht="23.4" x14ac:dyDescent="0.3">
      <c r="A365" s="997"/>
      <c r="B365" s="708"/>
      <c r="C365" s="282" t="s">
        <v>80</v>
      </c>
      <c r="D365" s="440" t="s">
        <v>263</v>
      </c>
      <c r="E365" s="283">
        <v>0</v>
      </c>
      <c r="F365" s="323">
        <f t="shared" si="70"/>
        <v>0</v>
      </c>
      <c r="G365" s="595">
        <v>148.41999999999999</v>
      </c>
      <c r="H365" s="611">
        <f t="shared" si="71"/>
        <v>0</v>
      </c>
      <c r="I365" s="614">
        <f t="shared" si="72"/>
        <v>0</v>
      </c>
      <c r="J365" s="379"/>
    </row>
    <row r="366" spans="1:10" ht="23.4" x14ac:dyDescent="0.3">
      <c r="A366" s="997"/>
      <c r="B366" s="708"/>
      <c r="C366" s="282" t="s">
        <v>357</v>
      </c>
      <c r="D366" s="440" t="s">
        <v>263</v>
      </c>
      <c r="E366" s="283">
        <v>0</v>
      </c>
      <c r="F366" s="323">
        <f t="shared" si="70"/>
        <v>9125</v>
      </c>
      <c r="G366" s="595">
        <v>160.44999999999999</v>
      </c>
      <c r="H366" s="611">
        <f t="shared" si="71"/>
        <v>0</v>
      </c>
      <c r="I366" s="614">
        <f t="shared" si="72"/>
        <v>1464106.25</v>
      </c>
      <c r="J366" s="379"/>
    </row>
    <row r="367" spans="1:10" ht="23.4" x14ac:dyDescent="0.3">
      <c r="A367" s="997"/>
      <c r="B367" s="708"/>
      <c r="C367" s="282" t="s">
        <v>358</v>
      </c>
      <c r="D367" s="440" t="s">
        <v>263</v>
      </c>
      <c r="E367" s="283">
        <v>2625</v>
      </c>
      <c r="F367" s="323">
        <f t="shared" si="70"/>
        <v>2625</v>
      </c>
      <c r="G367" s="595">
        <v>160.44999999999999</v>
      </c>
      <c r="H367" s="611">
        <f t="shared" si="71"/>
        <v>421181.24999999994</v>
      </c>
      <c r="I367" s="614">
        <f t="shared" si="72"/>
        <v>421181.24999999994</v>
      </c>
      <c r="J367" s="379"/>
    </row>
    <row r="368" spans="1:10" ht="24" thickBot="1" x14ac:dyDescent="0.35">
      <c r="A368" s="997"/>
      <c r="B368" s="708"/>
      <c r="C368" s="282" t="s">
        <v>353</v>
      </c>
      <c r="D368" s="440" t="s">
        <v>263</v>
      </c>
      <c r="E368" s="283">
        <v>0</v>
      </c>
      <c r="F368" s="323">
        <f t="shared" si="70"/>
        <v>875</v>
      </c>
      <c r="G368" s="595">
        <v>160.44999999999999</v>
      </c>
      <c r="H368" s="611">
        <f t="shared" si="71"/>
        <v>0</v>
      </c>
      <c r="I368" s="614">
        <f t="shared" si="72"/>
        <v>140393.75</v>
      </c>
      <c r="J368" s="379"/>
    </row>
    <row r="369" spans="1:12" ht="24" thickBot="1" x14ac:dyDescent="0.35">
      <c r="A369" s="997"/>
      <c r="B369" s="992" t="s">
        <v>296</v>
      </c>
      <c r="C369" s="993"/>
      <c r="D369" s="710"/>
      <c r="E369" s="332"/>
      <c r="F369" s="333"/>
      <c r="G369" s="332"/>
      <c r="H369" s="605">
        <f>SUM(H358:H368)</f>
        <v>842362.49999999988</v>
      </c>
      <c r="I369" s="597">
        <f>SUM(I358:I368)</f>
        <v>6678731.25</v>
      </c>
      <c r="J369" s="355"/>
    </row>
    <row r="370" spans="1:12" ht="23.4" x14ac:dyDescent="0.3">
      <c r="A370" s="997"/>
      <c r="B370" s="708"/>
      <c r="C370" s="282" t="s">
        <v>303</v>
      </c>
      <c r="D370" s="440"/>
      <c r="E370" s="283">
        <v>0</v>
      </c>
      <c r="F370" s="598">
        <f t="shared" ref="F370:F372" si="73">E370+F288</f>
        <v>0</v>
      </c>
      <c r="G370" s="595">
        <v>10</v>
      </c>
      <c r="H370" s="611">
        <f t="shared" ref="H370:H372" si="74">E370*G370</f>
        <v>0</v>
      </c>
      <c r="I370" s="614">
        <f t="shared" ref="I370" si="75">+G370*F370</f>
        <v>0</v>
      </c>
      <c r="J370" s="379"/>
    </row>
    <row r="371" spans="1:12" ht="23.4" x14ac:dyDescent="0.3">
      <c r="A371" s="997"/>
      <c r="B371" s="708"/>
      <c r="C371" s="282" t="s">
        <v>308</v>
      </c>
      <c r="D371" s="440" t="s">
        <v>309</v>
      </c>
      <c r="E371" s="283">
        <v>0</v>
      </c>
      <c r="F371" s="598">
        <f t="shared" si="73"/>
        <v>5</v>
      </c>
      <c r="G371" s="595">
        <v>2500</v>
      </c>
      <c r="H371" s="611">
        <f t="shared" si="74"/>
        <v>0</v>
      </c>
      <c r="I371" s="614">
        <f>+G371*F371</f>
        <v>12500</v>
      </c>
      <c r="J371" s="379"/>
    </row>
    <row r="372" spans="1:12" ht="24" thickBot="1" x14ac:dyDescent="0.35">
      <c r="A372" s="997"/>
      <c r="B372" s="708"/>
      <c r="C372" s="282" t="s">
        <v>343</v>
      </c>
      <c r="D372" s="440" t="s">
        <v>344</v>
      </c>
      <c r="E372" s="283">
        <v>0</v>
      </c>
      <c r="F372" s="598">
        <f t="shared" si="73"/>
        <v>0</v>
      </c>
      <c r="G372" s="596">
        <v>360</v>
      </c>
      <c r="H372" s="611">
        <f t="shared" si="74"/>
        <v>0</v>
      </c>
      <c r="I372" s="614">
        <f t="shared" ref="I372" si="76">+G372*F372</f>
        <v>0</v>
      </c>
      <c r="J372" s="379"/>
    </row>
    <row r="373" spans="1:12" ht="24" thickBot="1" x14ac:dyDescent="0.35">
      <c r="A373" s="997"/>
      <c r="B373" s="992" t="s">
        <v>302</v>
      </c>
      <c r="C373" s="993"/>
      <c r="D373" s="710"/>
      <c r="E373" s="332"/>
      <c r="F373" s="333"/>
      <c r="G373" s="332"/>
      <c r="H373" s="605">
        <f>SUM(H370:H372)</f>
        <v>0</v>
      </c>
      <c r="I373" s="597">
        <f>SUM(I370:I372)</f>
        <v>12500</v>
      </c>
      <c r="J373" s="379"/>
    </row>
    <row r="374" spans="1:12" ht="24" thickBot="1" x14ac:dyDescent="0.35">
      <c r="A374" s="997"/>
      <c r="B374" s="708"/>
      <c r="C374" s="282"/>
      <c r="D374" s="440"/>
      <c r="E374" s="283"/>
      <c r="F374" s="323"/>
      <c r="G374" s="596"/>
      <c r="H374" s="606"/>
      <c r="I374" s="285">
        <f t="shared" ref="I374" si="77">+G374*F374</f>
        <v>0</v>
      </c>
      <c r="J374" s="379"/>
    </row>
    <row r="375" spans="1:12" ht="24" thickBot="1" x14ac:dyDescent="0.35">
      <c r="A375" s="998"/>
      <c r="B375" s="992" t="s">
        <v>298</v>
      </c>
      <c r="C375" s="993"/>
      <c r="D375" s="706"/>
      <c r="E375" s="332"/>
      <c r="F375" s="333"/>
      <c r="G375" s="332"/>
      <c r="H375" s="597">
        <f>+H369+H357+H373</f>
        <v>886855.29999999993</v>
      </c>
      <c r="I375" s="597">
        <f>+I369+I357+I373</f>
        <v>14873670.050000001</v>
      </c>
      <c r="J375" s="379"/>
      <c r="L375" s="620"/>
    </row>
    <row r="376" spans="1:12" ht="23.4" x14ac:dyDescent="0.3">
      <c r="A376" s="996" t="s">
        <v>109</v>
      </c>
      <c r="B376" s="708"/>
      <c r="C376" s="282" t="s">
        <v>312</v>
      </c>
      <c r="D376" s="440" t="s">
        <v>193</v>
      </c>
      <c r="E376" s="283">
        <v>0</v>
      </c>
      <c r="F376" s="323">
        <f t="shared" ref="F376:F395" si="78">E376+F294</f>
        <v>7956</v>
      </c>
      <c r="G376" s="621">
        <v>13.25</v>
      </c>
      <c r="H376" s="615">
        <f t="shared" ref="H376:H395" si="79">E376*G376</f>
        <v>0</v>
      </c>
      <c r="I376" s="614">
        <f t="shared" ref="I376:I395" si="80">+G376*F376</f>
        <v>105417</v>
      </c>
      <c r="J376" s="379"/>
    </row>
    <row r="377" spans="1:12" ht="23.4" x14ac:dyDescent="0.3">
      <c r="A377" s="997"/>
      <c r="B377" s="708"/>
      <c r="C377" s="282" t="s">
        <v>313</v>
      </c>
      <c r="D377" s="440"/>
      <c r="E377" s="283">
        <v>0</v>
      </c>
      <c r="F377" s="323">
        <f t="shared" si="78"/>
        <v>1</v>
      </c>
      <c r="G377" s="622">
        <v>10000</v>
      </c>
      <c r="H377" s="615">
        <f t="shared" si="79"/>
        <v>0</v>
      </c>
      <c r="I377" s="614">
        <f t="shared" si="80"/>
        <v>10000</v>
      </c>
      <c r="J377" s="379"/>
    </row>
    <row r="378" spans="1:12" ht="23.4" x14ac:dyDescent="0.3">
      <c r="A378" s="997"/>
      <c r="B378" s="708"/>
      <c r="C378" s="282" t="s">
        <v>313</v>
      </c>
      <c r="D378" s="440"/>
      <c r="E378" s="283">
        <v>0</v>
      </c>
      <c r="F378" s="323">
        <f t="shared" si="78"/>
        <v>0</v>
      </c>
      <c r="G378" s="622">
        <v>18000</v>
      </c>
      <c r="H378" s="615">
        <f t="shared" si="79"/>
        <v>0</v>
      </c>
      <c r="I378" s="614">
        <f t="shared" si="80"/>
        <v>0</v>
      </c>
      <c r="J378" s="379"/>
    </row>
    <row r="379" spans="1:12" ht="23.4" x14ac:dyDescent="0.3">
      <c r="A379" s="997"/>
      <c r="B379" s="708"/>
      <c r="C379" s="282" t="s">
        <v>328</v>
      </c>
      <c r="D379" s="440" t="s">
        <v>193</v>
      </c>
      <c r="E379" s="283">
        <v>0</v>
      </c>
      <c r="F379" s="323">
        <f t="shared" si="78"/>
        <v>0</v>
      </c>
      <c r="G379" s="621">
        <v>24.93</v>
      </c>
      <c r="H379" s="615">
        <f t="shared" si="79"/>
        <v>0</v>
      </c>
      <c r="I379" s="614">
        <f t="shared" si="80"/>
        <v>0</v>
      </c>
      <c r="J379" s="379"/>
    </row>
    <row r="380" spans="1:12" ht="23.4" x14ac:dyDescent="0.3">
      <c r="A380" s="997"/>
      <c r="B380" s="708"/>
      <c r="C380" s="282" t="s">
        <v>335</v>
      </c>
      <c r="D380" s="440" t="s">
        <v>99</v>
      </c>
      <c r="E380" s="283">
        <v>0</v>
      </c>
      <c r="F380" s="323">
        <f t="shared" si="78"/>
        <v>0</v>
      </c>
      <c r="G380" s="621">
        <v>26</v>
      </c>
      <c r="H380" s="615">
        <f t="shared" si="79"/>
        <v>0</v>
      </c>
      <c r="I380" s="614">
        <f t="shared" si="80"/>
        <v>0</v>
      </c>
      <c r="J380" s="379"/>
    </row>
    <row r="381" spans="1:12" ht="23.4" x14ac:dyDescent="0.3">
      <c r="A381" s="997"/>
      <c r="B381" s="708"/>
      <c r="C381" s="282" t="s">
        <v>336</v>
      </c>
      <c r="D381" s="440" t="s">
        <v>193</v>
      </c>
      <c r="E381" s="283">
        <v>0</v>
      </c>
      <c r="F381" s="323">
        <f t="shared" si="78"/>
        <v>0</v>
      </c>
      <c r="G381" s="621">
        <v>25.49</v>
      </c>
      <c r="H381" s="615">
        <f t="shared" si="79"/>
        <v>0</v>
      </c>
      <c r="I381" s="614">
        <f t="shared" si="80"/>
        <v>0</v>
      </c>
      <c r="J381" s="379"/>
    </row>
    <row r="382" spans="1:12" ht="23.4" x14ac:dyDescent="0.3">
      <c r="A382" s="997"/>
      <c r="B382" s="708"/>
      <c r="C382" s="282" t="s">
        <v>337</v>
      </c>
      <c r="D382" s="440" t="s">
        <v>115</v>
      </c>
      <c r="E382" s="283">
        <v>0</v>
      </c>
      <c r="F382" s="323">
        <f t="shared" si="78"/>
        <v>0</v>
      </c>
      <c r="G382" s="621">
        <v>24.93</v>
      </c>
      <c r="H382" s="615">
        <f t="shared" si="79"/>
        <v>0</v>
      </c>
      <c r="I382" s="614">
        <f t="shared" si="80"/>
        <v>0</v>
      </c>
      <c r="J382" s="379"/>
    </row>
    <row r="383" spans="1:12" ht="23.4" x14ac:dyDescent="0.3">
      <c r="A383" s="997"/>
      <c r="B383" s="708"/>
      <c r="C383" s="282" t="s">
        <v>338</v>
      </c>
      <c r="D383" s="440" t="s">
        <v>311</v>
      </c>
      <c r="E383" s="283">
        <v>0</v>
      </c>
      <c r="F383" s="323">
        <f t="shared" si="78"/>
        <v>0</v>
      </c>
      <c r="G383" s="621">
        <v>24.93</v>
      </c>
      <c r="H383" s="615">
        <f t="shared" si="79"/>
        <v>0</v>
      </c>
      <c r="I383" s="614">
        <f t="shared" si="80"/>
        <v>0</v>
      </c>
      <c r="J383" s="379"/>
    </row>
    <row r="384" spans="1:12" ht="23.4" x14ac:dyDescent="0.3">
      <c r="A384" s="997"/>
      <c r="B384" s="708"/>
      <c r="C384" s="282" t="s">
        <v>339</v>
      </c>
      <c r="D384" s="440" t="s">
        <v>99</v>
      </c>
      <c r="E384" s="283">
        <v>0</v>
      </c>
      <c r="F384" s="323">
        <f t="shared" si="78"/>
        <v>0</v>
      </c>
      <c r="G384" s="621">
        <v>20.89</v>
      </c>
      <c r="H384" s="615">
        <f t="shared" si="79"/>
        <v>0</v>
      </c>
      <c r="I384" s="614">
        <f t="shared" si="80"/>
        <v>0</v>
      </c>
      <c r="J384" s="379"/>
    </row>
    <row r="385" spans="1:10" ht="23.4" x14ac:dyDescent="0.3">
      <c r="A385" s="997"/>
      <c r="B385" s="708"/>
      <c r="C385" s="282" t="s">
        <v>349</v>
      </c>
      <c r="D385" s="440" t="s">
        <v>350</v>
      </c>
      <c r="E385" s="283">
        <v>0</v>
      </c>
      <c r="F385" s="323">
        <f t="shared" si="78"/>
        <v>0</v>
      </c>
      <c r="G385" s="621">
        <v>37.89</v>
      </c>
      <c r="H385" s="615">
        <f t="shared" si="79"/>
        <v>0</v>
      </c>
      <c r="I385" s="614">
        <f t="shared" si="80"/>
        <v>0</v>
      </c>
      <c r="J385" s="379"/>
    </row>
    <row r="386" spans="1:10" ht="23.4" x14ac:dyDescent="0.3">
      <c r="A386" s="997"/>
      <c r="B386" s="708"/>
      <c r="C386" s="282" t="s">
        <v>351</v>
      </c>
      <c r="D386" s="440" t="s">
        <v>350</v>
      </c>
      <c r="E386" s="283">
        <v>0</v>
      </c>
      <c r="F386" s="323">
        <f t="shared" si="78"/>
        <v>0</v>
      </c>
      <c r="G386" s="621">
        <v>24.41</v>
      </c>
      <c r="H386" s="615">
        <f t="shared" si="79"/>
        <v>0</v>
      </c>
      <c r="I386" s="614">
        <f t="shared" si="80"/>
        <v>0</v>
      </c>
      <c r="J386" s="379"/>
    </row>
    <row r="387" spans="1:10" ht="23.4" x14ac:dyDescent="0.3">
      <c r="A387" s="997"/>
      <c r="B387" s="708"/>
      <c r="C387" s="282" t="s">
        <v>337</v>
      </c>
      <c r="D387" s="440" t="s">
        <v>310</v>
      </c>
      <c r="E387" s="283">
        <v>0</v>
      </c>
      <c r="F387" s="323">
        <f t="shared" si="78"/>
        <v>0</v>
      </c>
      <c r="G387" s="621">
        <v>24.93</v>
      </c>
      <c r="H387" s="615">
        <f t="shared" si="79"/>
        <v>0</v>
      </c>
      <c r="I387" s="614">
        <f t="shared" si="80"/>
        <v>0</v>
      </c>
      <c r="J387" s="379"/>
    </row>
    <row r="388" spans="1:10" ht="23.4" x14ac:dyDescent="0.3">
      <c r="A388" s="997"/>
      <c r="B388" s="708"/>
      <c r="C388" s="282" t="s">
        <v>338</v>
      </c>
      <c r="D388" s="440" t="s">
        <v>310</v>
      </c>
      <c r="E388" s="283">
        <v>0</v>
      </c>
      <c r="F388" s="323">
        <f t="shared" si="78"/>
        <v>0</v>
      </c>
      <c r="G388" s="621">
        <v>24.93</v>
      </c>
      <c r="H388" s="615">
        <f t="shared" si="79"/>
        <v>0</v>
      </c>
      <c r="I388" s="614">
        <f t="shared" si="80"/>
        <v>0</v>
      </c>
      <c r="J388" s="379"/>
    </row>
    <row r="389" spans="1:10" ht="23.4" x14ac:dyDescent="0.3">
      <c r="A389" s="997"/>
      <c r="B389" s="708"/>
      <c r="C389" s="282" t="s">
        <v>369</v>
      </c>
      <c r="D389" s="440" t="s">
        <v>324</v>
      </c>
      <c r="E389" s="283">
        <v>0</v>
      </c>
      <c r="F389" s="323">
        <f t="shared" si="78"/>
        <v>1872</v>
      </c>
      <c r="G389" s="621">
        <v>34.26</v>
      </c>
      <c r="H389" s="615">
        <f t="shared" si="79"/>
        <v>0</v>
      </c>
      <c r="I389" s="614">
        <f t="shared" si="80"/>
        <v>64134.719999999994</v>
      </c>
      <c r="J389" s="379"/>
    </row>
    <row r="390" spans="1:10" ht="23.4" x14ac:dyDescent="0.3">
      <c r="A390" s="997"/>
      <c r="B390" s="708"/>
      <c r="C390" s="282" t="s">
        <v>385</v>
      </c>
      <c r="D390" s="440" t="s">
        <v>193</v>
      </c>
      <c r="E390" s="283">
        <v>0</v>
      </c>
      <c r="F390" s="323">
        <f t="shared" si="78"/>
        <v>0</v>
      </c>
      <c r="G390" s="621">
        <v>23.65</v>
      </c>
      <c r="H390" s="615">
        <f t="shared" si="79"/>
        <v>0</v>
      </c>
      <c r="I390" s="614">
        <f t="shared" si="80"/>
        <v>0</v>
      </c>
      <c r="J390" s="379"/>
    </row>
    <row r="391" spans="1:10" ht="23.4" x14ac:dyDescent="0.3">
      <c r="A391" s="997"/>
      <c r="B391" s="708"/>
      <c r="C391" s="282" t="s">
        <v>405</v>
      </c>
      <c r="D391" s="440" t="s">
        <v>192</v>
      </c>
      <c r="E391" s="283">
        <v>0</v>
      </c>
      <c r="F391" s="323">
        <f t="shared" si="78"/>
        <v>0</v>
      </c>
      <c r="G391" s="621">
        <v>20.76</v>
      </c>
      <c r="H391" s="615">
        <f t="shared" si="79"/>
        <v>0</v>
      </c>
      <c r="I391" s="614">
        <f t="shared" si="80"/>
        <v>0</v>
      </c>
      <c r="J391" s="379"/>
    </row>
    <row r="392" spans="1:10" ht="23.4" x14ac:dyDescent="0.3">
      <c r="A392" s="997"/>
      <c r="B392" s="708"/>
      <c r="C392" s="282" t="s">
        <v>338</v>
      </c>
      <c r="D392" s="440" t="s">
        <v>192</v>
      </c>
      <c r="E392" s="283">
        <v>0</v>
      </c>
      <c r="F392" s="323">
        <f t="shared" si="78"/>
        <v>0</v>
      </c>
      <c r="G392" s="621">
        <v>21.22</v>
      </c>
      <c r="H392" s="615">
        <f t="shared" si="79"/>
        <v>0</v>
      </c>
      <c r="I392" s="614">
        <f t="shared" si="80"/>
        <v>0</v>
      </c>
      <c r="J392" s="379"/>
    </row>
    <row r="393" spans="1:10" ht="23.4" x14ac:dyDescent="0.3">
      <c r="A393" s="997"/>
      <c r="B393" s="708"/>
      <c r="C393" s="282" t="s">
        <v>337</v>
      </c>
      <c r="D393" s="440" t="s">
        <v>192</v>
      </c>
      <c r="E393" s="283">
        <v>0</v>
      </c>
      <c r="F393" s="323">
        <f t="shared" si="78"/>
        <v>0</v>
      </c>
      <c r="G393" s="621">
        <v>21.22</v>
      </c>
      <c r="H393" s="615">
        <f t="shared" si="79"/>
        <v>0</v>
      </c>
      <c r="I393" s="614">
        <f t="shared" si="80"/>
        <v>0</v>
      </c>
      <c r="J393" s="379"/>
    </row>
    <row r="394" spans="1:10" ht="23.4" x14ac:dyDescent="0.3">
      <c r="A394" s="997"/>
      <c r="B394" s="708"/>
      <c r="C394" s="282" t="s">
        <v>406</v>
      </c>
      <c r="D394" s="440" t="s">
        <v>344</v>
      </c>
      <c r="E394" s="283">
        <v>0</v>
      </c>
      <c r="F394" s="323">
        <f t="shared" si="78"/>
        <v>0</v>
      </c>
      <c r="G394" s="621">
        <v>10000</v>
      </c>
      <c r="H394" s="615">
        <f t="shared" si="79"/>
        <v>0</v>
      </c>
      <c r="I394" s="614">
        <f t="shared" si="80"/>
        <v>0</v>
      </c>
      <c r="J394" s="379"/>
    </row>
    <row r="395" spans="1:10" ht="24" thickBot="1" x14ac:dyDescent="0.35">
      <c r="A395" s="997"/>
      <c r="B395" s="708"/>
      <c r="C395" s="282" t="s">
        <v>403</v>
      </c>
      <c r="D395" s="440" t="s">
        <v>404</v>
      </c>
      <c r="E395" s="283">
        <v>0</v>
      </c>
      <c r="F395" s="323">
        <f t="shared" si="78"/>
        <v>0</v>
      </c>
      <c r="G395" s="621">
        <v>39</v>
      </c>
      <c r="H395" s="615">
        <f t="shared" si="79"/>
        <v>0</v>
      </c>
      <c r="I395" s="614">
        <f t="shared" si="80"/>
        <v>0</v>
      </c>
      <c r="J395" s="379"/>
    </row>
    <row r="396" spans="1:10" ht="24" thickBot="1" x14ac:dyDescent="0.35">
      <c r="A396" s="998"/>
      <c r="B396" s="992" t="s">
        <v>297</v>
      </c>
      <c r="C396" s="993"/>
      <c r="D396" s="710"/>
      <c r="E396" s="332"/>
      <c r="F396" s="333"/>
      <c r="G396" s="332"/>
      <c r="H396" s="605"/>
      <c r="I396" s="597">
        <f>SUM(I376:I395)</f>
        <v>179551.72</v>
      </c>
      <c r="J396" s="379"/>
    </row>
    <row r="397" spans="1:10" ht="23.4" x14ac:dyDescent="0.3">
      <c r="A397" s="996" t="s">
        <v>110</v>
      </c>
      <c r="B397" s="708"/>
      <c r="C397" s="282" t="s">
        <v>304</v>
      </c>
      <c r="D397" s="440" t="s">
        <v>263</v>
      </c>
      <c r="E397" s="283">
        <v>0</v>
      </c>
      <c r="F397" s="323">
        <f t="shared" ref="F397:F416" si="81">E397+F315</f>
        <v>2240</v>
      </c>
      <c r="G397" s="621">
        <v>430.02</v>
      </c>
      <c r="H397" s="611">
        <f>E397*G397</f>
        <v>0</v>
      </c>
      <c r="I397" s="614">
        <f t="shared" ref="I397:I416" si="82">+G397*F397</f>
        <v>963244.79999999993</v>
      </c>
      <c r="J397" s="379"/>
    </row>
    <row r="398" spans="1:10" ht="23.4" x14ac:dyDescent="0.3">
      <c r="A398" s="997"/>
      <c r="B398" s="708"/>
      <c r="C398" s="282" t="s">
        <v>305</v>
      </c>
      <c r="D398" s="440" t="s">
        <v>263</v>
      </c>
      <c r="E398" s="283">
        <v>0</v>
      </c>
      <c r="F398" s="323">
        <f t="shared" si="81"/>
        <v>0</v>
      </c>
      <c r="G398" s="621">
        <v>445.38</v>
      </c>
      <c r="H398" s="611">
        <f t="shared" ref="H398:H416" si="83">E398*G398</f>
        <v>0</v>
      </c>
      <c r="I398" s="614">
        <f t="shared" si="82"/>
        <v>0</v>
      </c>
      <c r="J398" s="379"/>
    </row>
    <row r="399" spans="1:10" ht="23.4" x14ac:dyDescent="0.3">
      <c r="A399" s="997"/>
      <c r="B399" s="708"/>
      <c r="C399" s="282" t="s">
        <v>341</v>
      </c>
      <c r="D399" s="440" t="s">
        <v>263</v>
      </c>
      <c r="E399" s="283">
        <v>0</v>
      </c>
      <c r="F399" s="323">
        <f t="shared" si="81"/>
        <v>0</v>
      </c>
      <c r="G399" s="621">
        <v>63.55</v>
      </c>
      <c r="H399" s="611">
        <f t="shared" si="83"/>
        <v>0</v>
      </c>
      <c r="I399" s="614">
        <f t="shared" si="82"/>
        <v>0</v>
      </c>
      <c r="J399" s="379"/>
    </row>
    <row r="400" spans="1:10" ht="23.4" x14ac:dyDescent="0.3">
      <c r="A400" s="997"/>
      <c r="B400" s="708"/>
      <c r="C400" s="282" t="s">
        <v>306</v>
      </c>
      <c r="D400" s="440" t="s">
        <v>263</v>
      </c>
      <c r="E400" s="283">
        <v>25200</v>
      </c>
      <c r="F400" s="323">
        <f t="shared" si="81"/>
        <v>61032</v>
      </c>
      <c r="G400" s="621">
        <v>71.44</v>
      </c>
      <c r="H400" s="611">
        <f t="shared" si="83"/>
        <v>1800288</v>
      </c>
      <c r="I400" s="614">
        <f t="shared" si="82"/>
        <v>4360126.08</v>
      </c>
      <c r="J400" s="379"/>
    </row>
    <row r="401" spans="1:10" ht="23.4" x14ac:dyDescent="0.3">
      <c r="A401" s="997"/>
      <c r="B401" s="708"/>
      <c r="C401" s="282" t="s">
        <v>307</v>
      </c>
      <c r="D401" s="440" t="s">
        <v>263</v>
      </c>
      <c r="E401" s="283">
        <v>0</v>
      </c>
      <c r="F401" s="323">
        <f t="shared" si="81"/>
        <v>0</v>
      </c>
      <c r="G401" s="621">
        <v>36.5</v>
      </c>
      <c r="H401" s="611">
        <f t="shared" si="83"/>
        <v>0</v>
      </c>
      <c r="I401" s="614">
        <f t="shared" si="82"/>
        <v>0</v>
      </c>
      <c r="J401" s="379"/>
    </row>
    <row r="402" spans="1:10" ht="23.4" x14ac:dyDescent="0.3">
      <c r="A402" s="997"/>
      <c r="B402" s="708"/>
      <c r="C402" s="282" t="s">
        <v>316</v>
      </c>
      <c r="D402" s="440" t="s">
        <v>263</v>
      </c>
      <c r="E402" s="283">
        <v>0</v>
      </c>
      <c r="F402" s="323">
        <f t="shared" si="81"/>
        <v>0</v>
      </c>
      <c r="G402" s="621">
        <v>320.35000000000002</v>
      </c>
      <c r="H402" s="611">
        <f t="shared" si="83"/>
        <v>0</v>
      </c>
      <c r="I402" s="614">
        <f t="shared" si="82"/>
        <v>0</v>
      </c>
      <c r="J402" s="379"/>
    </row>
    <row r="403" spans="1:10" ht="23.4" x14ac:dyDescent="0.3">
      <c r="A403" s="997"/>
      <c r="B403" s="708"/>
      <c r="C403" s="282" t="s">
        <v>333</v>
      </c>
      <c r="D403" s="440" t="s">
        <v>263</v>
      </c>
      <c r="E403" s="283">
        <v>0</v>
      </c>
      <c r="F403" s="323">
        <f t="shared" si="81"/>
        <v>0</v>
      </c>
      <c r="G403" s="621">
        <v>434.41</v>
      </c>
      <c r="H403" s="611">
        <f t="shared" si="83"/>
        <v>0</v>
      </c>
      <c r="I403" s="614">
        <f t="shared" si="82"/>
        <v>0</v>
      </c>
      <c r="J403" s="379"/>
    </row>
    <row r="404" spans="1:10" ht="23.4" x14ac:dyDescent="0.3">
      <c r="A404" s="997"/>
      <c r="B404" s="708"/>
      <c r="C404" s="282" t="s">
        <v>313</v>
      </c>
      <c r="D404" s="440" t="s">
        <v>263</v>
      </c>
      <c r="E404" s="283">
        <v>0</v>
      </c>
      <c r="F404" s="323">
        <f t="shared" si="81"/>
        <v>5</v>
      </c>
      <c r="G404" s="621">
        <v>29690</v>
      </c>
      <c r="H404" s="611">
        <f t="shared" si="83"/>
        <v>0</v>
      </c>
      <c r="I404" s="614">
        <f t="shared" si="82"/>
        <v>148450</v>
      </c>
      <c r="J404" s="379"/>
    </row>
    <row r="405" spans="1:10" ht="23.4" x14ac:dyDescent="0.3">
      <c r="A405" s="997"/>
      <c r="B405" s="708"/>
      <c r="C405" s="282" t="s">
        <v>313</v>
      </c>
      <c r="D405" s="440" t="s">
        <v>263</v>
      </c>
      <c r="E405" s="283">
        <v>0</v>
      </c>
      <c r="F405" s="323">
        <f t="shared" si="81"/>
        <v>1</v>
      </c>
      <c r="G405" s="621">
        <v>26445</v>
      </c>
      <c r="H405" s="611">
        <f t="shared" si="83"/>
        <v>0</v>
      </c>
      <c r="I405" s="614">
        <f t="shared" si="82"/>
        <v>26445</v>
      </c>
      <c r="J405" s="379"/>
    </row>
    <row r="406" spans="1:10" ht="23.4" x14ac:dyDescent="0.3">
      <c r="A406" s="997"/>
      <c r="B406" s="708"/>
      <c r="C406" s="282" t="s">
        <v>354</v>
      </c>
      <c r="D406" s="440" t="s">
        <v>401</v>
      </c>
      <c r="E406" s="283">
        <v>1998</v>
      </c>
      <c r="F406" s="323">
        <f t="shared" si="81"/>
        <v>1998</v>
      </c>
      <c r="G406" s="621">
        <v>50</v>
      </c>
      <c r="H406" s="611">
        <f t="shared" si="83"/>
        <v>99900</v>
      </c>
      <c r="I406" s="614">
        <f t="shared" si="82"/>
        <v>99900</v>
      </c>
      <c r="J406" s="379"/>
    </row>
    <row r="407" spans="1:10" ht="23.4" x14ac:dyDescent="0.3">
      <c r="A407" s="997"/>
      <c r="B407" s="708"/>
      <c r="C407" s="282" t="s">
        <v>365</v>
      </c>
      <c r="D407" s="440" t="s">
        <v>350</v>
      </c>
      <c r="E407" s="283">
        <v>0</v>
      </c>
      <c r="F407" s="323">
        <f t="shared" si="81"/>
        <v>0</v>
      </c>
      <c r="G407" s="621">
        <v>309.88</v>
      </c>
      <c r="H407" s="611">
        <f t="shared" si="83"/>
        <v>0</v>
      </c>
      <c r="I407" s="614">
        <f t="shared" si="82"/>
        <v>0</v>
      </c>
      <c r="J407" s="379"/>
    </row>
    <row r="408" spans="1:10" ht="23.4" x14ac:dyDescent="0.3">
      <c r="A408" s="997"/>
      <c r="B408" s="708"/>
      <c r="C408" s="282" t="s">
        <v>366</v>
      </c>
      <c r="D408" s="440" t="s">
        <v>263</v>
      </c>
      <c r="E408" s="283">
        <v>0</v>
      </c>
      <c r="F408" s="323">
        <f t="shared" si="81"/>
        <v>0</v>
      </c>
      <c r="G408" s="621">
        <v>53.86</v>
      </c>
      <c r="H408" s="611">
        <f t="shared" si="83"/>
        <v>0</v>
      </c>
      <c r="I408" s="614">
        <f t="shared" si="82"/>
        <v>0</v>
      </c>
      <c r="J408" s="379"/>
    </row>
    <row r="409" spans="1:10" ht="23.4" x14ac:dyDescent="0.3">
      <c r="A409" s="997"/>
      <c r="B409" s="708"/>
      <c r="C409" s="282" t="s">
        <v>386</v>
      </c>
      <c r="D409" s="440" t="s">
        <v>387</v>
      </c>
      <c r="E409" s="283">
        <v>0</v>
      </c>
      <c r="F409" s="323">
        <f t="shared" si="81"/>
        <v>0</v>
      </c>
      <c r="G409" s="621">
        <v>57.64</v>
      </c>
      <c r="H409" s="611">
        <f t="shared" si="83"/>
        <v>0</v>
      </c>
      <c r="I409" s="614">
        <f t="shared" si="82"/>
        <v>0</v>
      </c>
      <c r="J409" s="379"/>
    </row>
    <row r="410" spans="1:10" ht="23.4" x14ac:dyDescent="0.3">
      <c r="A410" s="997"/>
      <c r="B410" s="708"/>
      <c r="C410" s="282" t="s">
        <v>388</v>
      </c>
      <c r="D410" s="440" t="s">
        <v>389</v>
      </c>
      <c r="E410" s="283">
        <v>0</v>
      </c>
      <c r="F410" s="284">
        <f t="shared" si="81"/>
        <v>960</v>
      </c>
      <c r="G410" s="621">
        <v>434.41</v>
      </c>
      <c r="H410" s="611">
        <f t="shared" si="83"/>
        <v>0</v>
      </c>
      <c r="I410" s="614">
        <f t="shared" si="82"/>
        <v>417033.60000000003</v>
      </c>
      <c r="J410" s="379"/>
    </row>
    <row r="411" spans="1:10" ht="23.4" x14ac:dyDescent="0.3">
      <c r="A411" s="997"/>
      <c r="B411" s="708"/>
      <c r="C411" s="282" t="s">
        <v>419</v>
      </c>
      <c r="D411" s="440" t="s">
        <v>263</v>
      </c>
      <c r="E411" s="283">
        <v>1500</v>
      </c>
      <c r="F411" s="284">
        <f t="shared" si="81"/>
        <v>3360</v>
      </c>
      <c r="G411" s="621">
        <v>624.26</v>
      </c>
      <c r="H411" s="611">
        <f t="shared" si="83"/>
        <v>936390</v>
      </c>
      <c r="I411" s="614">
        <f t="shared" si="82"/>
        <v>2097513.6</v>
      </c>
      <c r="J411" s="379"/>
    </row>
    <row r="412" spans="1:10" ht="23.4" x14ac:dyDescent="0.3">
      <c r="A412" s="997"/>
      <c r="B412" s="708"/>
      <c r="C412" s="282" t="s">
        <v>390</v>
      </c>
      <c r="D412" s="440" t="s">
        <v>389</v>
      </c>
      <c r="E412" s="283">
        <v>0</v>
      </c>
      <c r="F412" s="323">
        <f t="shared" si="81"/>
        <v>0</v>
      </c>
      <c r="G412" s="621">
        <v>63.55</v>
      </c>
      <c r="H412" s="611">
        <f t="shared" si="83"/>
        <v>0</v>
      </c>
      <c r="I412" s="614">
        <f t="shared" si="82"/>
        <v>0</v>
      </c>
      <c r="J412" s="379"/>
    </row>
    <row r="413" spans="1:10" ht="23.4" x14ac:dyDescent="0.3">
      <c r="A413" s="997"/>
      <c r="B413" s="708"/>
      <c r="C413" s="282" t="s">
        <v>391</v>
      </c>
      <c r="D413" s="440" t="s">
        <v>389</v>
      </c>
      <c r="E413" s="283">
        <v>0</v>
      </c>
      <c r="F413" s="323">
        <f t="shared" si="81"/>
        <v>0</v>
      </c>
      <c r="G413" s="621">
        <v>53.86</v>
      </c>
      <c r="H413" s="611">
        <f t="shared" si="83"/>
        <v>0</v>
      </c>
      <c r="I413" s="614">
        <f t="shared" si="82"/>
        <v>0</v>
      </c>
      <c r="J413" s="379"/>
    </row>
    <row r="414" spans="1:10" ht="23.4" x14ac:dyDescent="0.3">
      <c r="A414" s="997"/>
      <c r="B414" s="708"/>
      <c r="C414" s="282" t="s">
        <v>432</v>
      </c>
      <c r="D414" s="440" t="s">
        <v>401</v>
      </c>
      <c r="E414" s="283">
        <v>414</v>
      </c>
      <c r="F414" s="323">
        <f t="shared" si="81"/>
        <v>414</v>
      </c>
      <c r="G414" s="621">
        <v>45</v>
      </c>
      <c r="H414" s="611">
        <f t="shared" si="83"/>
        <v>18630</v>
      </c>
      <c r="I414" s="614">
        <f t="shared" si="82"/>
        <v>18630</v>
      </c>
      <c r="J414" s="379"/>
    </row>
    <row r="415" spans="1:10" ht="23.4" x14ac:dyDescent="0.3">
      <c r="A415" s="997"/>
      <c r="B415" s="708"/>
      <c r="C415" s="282" t="s">
        <v>313</v>
      </c>
      <c r="D415" s="440"/>
      <c r="E415" s="283">
        <v>0</v>
      </c>
      <c r="F415" s="323">
        <f t="shared" si="81"/>
        <v>0</v>
      </c>
      <c r="G415" s="621">
        <v>39450</v>
      </c>
      <c r="H415" s="611">
        <f t="shared" si="83"/>
        <v>0</v>
      </c>
      <c r="I415" s="614">
        <f t="shared" si="82"/>
        <v>0</v>
      </c>
      <c r="J415" s="379"/>
    </row>
    <row r="416" spans="1:10" ht="24" thickBot="1" x14ac:dyDescent="0.35">
      <c r="A416" s="997"/>
      <c r="B416" s="708"/>
      <c r="C416" s="282" t="s">
        <v>388</v>
      </c>
      <c r="D416" s="440" t="s">
        <v>103</v>
      </c>
      <c r="E416" s="283">
        <v>0</v>
      </c>
      <c r="F416" s="323">
        <f t="shared" si="81"/>
        <v>0</v>
      </c>
      <c r="G416" s="621">
        <v>434.41</v>
      </c>
      <c r="H416" s="611">
        <f t="shared" si="83"/>
        <v>0</v>
      </c>
      <c r="I416" s="614">
        <f t="shared" si="82"/>
        <v>0</v>
      </c>
      <c r="J416" s="379"/>
    </row>
    <row r="417" spans="1:10" ht="24" thickBot="1" x14ac:dyDescent="0.35">
      <c r="A417" s="998"/>
      <c r="B417" s="992" t="s">
        <v>299</v>
      </c>
      <c r="C417" s="993"/>
      <c r="D417" s="710"/>
      <c r="E417" s="332"/>
      <c r="F417" s="333"/>
      <c r="G417" s="332"/>
      <c r="H417" s="608">
        <f>SUM(H397:H416)</f>
        <v>2855208</v>
      </c>
      <c r="I417" s="597">
        <f>SUM(I397:I416)</f>
        <v>8131343.0800000001</v>
      </c>
      <c r="J417" s="378"/>
    </row>
    <row r="418" spans="1:10" ht="24" thickBot="1" x14ac:dyDescent="0.35">
      <c r="A418" s="713"/>
      <c r="B418" s="443"/>
      <c r="C418" s="282"/>
      <c r="D418" s="440"/>
      <c r="E418" s="283"/>
      <c r="F418" s="284"/>
      <c r="G418" s="340"/>
      <c r="H418" s="607"/>
      <c r="I418" s="285"/>
      <c r="J418" s="379"/>
    </row>
    <row r="419" spans="1:10" ht="24" thickBot="1" x14ac:dyDescent="0.35">
      <c r="A419" s="713"/>
      <c r="B419" s="992" t="s">
        <v>243</v>
      </c>
      <c r="C419" s="993"/>
      <c r="D419" s="706"/>
      <c r="E419" s="332"/>
      <c r="F419" s="333"/>
      <c r="G419" s="332"/>
      <c r="H419" s="605"/>
      <c r="I419" s="330"/>
      <c r="J419" s="355"/>
    </row>
    <row r="420" spans="1:10" ht="24.6" thickBot="1" x14ac:dyDescent="0.35">
      <c r="A420" s="325"/>
      <c r="B420" s="994" t="s">
        <v>183</v>
      </c>
      <c r="C420" s="995"/>
      <c r="D420" s="707"/>
      <c r="E420" s="380"/>
      <c r="F420" s="380"/>
      <c r="G420" s="380"/>
      <c r="H420" s="380"/>
      <c r="I420" s="380">
        <f>+I417+I396+I375</f>
        <v>23184564.850000001</v>
      </c>
      <c r="J420" s="381"/>
    </row>
    <row r="421" spans="1:10" ht="23.4" x14ac:dyDescent="0.3">
      <c r="A421" s="935" t="s">
        <v>1</v>
      </c>
      <c r="B421" s="938" t="s">
        <v>2</v>
      </c>
      <c r="C421" s="1001" t="s">
        <v>3</v>
      </c>
      <c r="D421" s="1005" t="s">
        <v>93</v>
      </c>
      <c r="E421" s="1008">
        <v>44509</v>
      </c>
      <c r="F421" s="945"/>
      <c r="G421" s="945"/>
      <c r="H421" s="945"/>
      <c r="I421" s="945"/>
      <c r="J421" s="946"/>
    </row>
    <row r="422" spans="1:10" ht="23.4" x14ac:dyDescent="0.3">
      <c r="A422" s="999"/>
      <c r="B422" s="1000"/>
      <c r="C422" s="1002"/>
      <c r="D422" s="1006"/>
      <c r="E422" s="1009" t="s">
        <v>94</v>
      </c>
      <c r="F422" s="1010"/>
      <c r="G422" s="1009" t="s">
        <v>252</v>
      </c>
      <c r="H422" s="1011"/>
      <c r="I422" s="1011"/>
      <c r="J422" s="1010"/>
    </row>
    <row r="423" spans="1:10" x14ac:dyDescent="0.3">
      <c r="A423" s="936"/>
      <c r="B423" s="939"/>
      <c r="C423" s="1003"/>
      <c r="D423" s="1006"/>
      <c r="E423" s="947" t="s">
        <v>95</v>
      </c>
      <c r="F423" s="949" t="s">
        <v>96</v>
      </c>
      <c r="G423" s="1012" t="s">
        <v>97</v>
      </c>
      <c r="H423" s="1014" t="s">
        <v>98</v>
      </c>
      <c r="I423" s="1014" t="s">
        <v>98</v>
      </c>
      <c r="J423" s="1016" t="s">
        <v>12</v>
      </c>
    </row>
    <row r="424" spans="1:10" ht="14.4" thickBot="1" x14ac:dyDescent="0.35">
      <c r="A424" s="937"/>
      <c r="B424" s="940"/>
      <c r="C424" s="1004"/>
      <c r="D424" s="1007"/>
      <c r="E424" s="948"/>
      <c r="F424" s="950"/>
      <c r="G424" s="1013"/>
      <c r="H424" s="1015"/>
      <c r="I424" s="1015"/>
      <c r="J424" s="1017"/>
    </row>
    <row r="425" spans="1:10" ht="23.4" x14ac:dyDescent="0.3">
      <c r="A425" s="996" t="s">
        <v>111</v>
      </c>
      <c r="B425" s="445"/>
      <c r="C425" s="592" t="s">
        <v>300</v>
      </c>
      <c r="D425" s="449" t="s">
        <v>292</v>
      </c>
      <c r="E425" s="273">
        <v>0</v>
      </c>
      <c r="F425" s="441">
        <f>E425+F343</f>
        <v>0</v>
      </c>
      <c r="G425" s="593">
        <v>111.09</v>
      </c>
      <c r="H425" s="609">
        <f t="shared" ref="H425:H438" si="84">E425*G425</f>
        <v>0</v>
      </c>
      <c r="I425" s="612">
        <f>+G425*F425</f>
        <v>0</v>
      </c>
      <c r="J425" s="357"/>
    </row>
    <row r="426" spans="1:10" ht="23.4" x14ac:dyDescent="0.3">
      <c r="A426" s="997"/>
      <c r="B426" s="444"/>
      <c r="C426" s="448" t="s">
        <v>293</v>
      </c>
      <c r="D426" s="447" t="s">
        <v>294</v>
      </c>
      <c r="E426" s="279">
        <v>0</v>
      </c>
      <c r="F426" s="441">
        <f t="shared" ref="F426:F438" si="85">E426+F344</f>
        <v>0</v>
      </c>
      <c r="G426" s="594">
        <v>11</v>
      </c>
      <c r="H426" s="610">
        <f t="shared" si="84"/>
        <v>0</v>
      </c>
      <c r="I426" s="613">
        <f>+G426*F426</f>
        <v>0</v>
      </c>
      <c r="J426" s="358"/>
    </row>
    <row r="427" spans="1:10" ht="23.4" x14ac:dyDescent="0.3">
      <c r="A427" s="997"/>
      <c r="B427" s="444"/>
      <c r="C427" s="448" t="s">
        <v>319</v>
      </c>
      <c r="D427" s="447" t="s">
        <v>320</v>
      </c>
      <c r="E427" s="279">
        <v>0</v>
      </c>
      <c r="F427" s="441">
        <f t="shared" si="85"/>
        <v>0</v>
      </c>
      <c r="G427" s="594">
        <v>10.57</v>
      </c>
      <c r="H427" s="610">
        <f t="shared" si="84"/>
        <v>0</v>
      </c>
      <c r="I427" s="613">
        <f t="shared" ref="I427:I438" si="86">+G427*F427</f>
        <v>0</v>
      </c>
      <c r="J427" s="358"/>
    </row>
    <row r="428" spans="1:10" ht="23.4" x14ac:dyDescent="0.3">
      <c r="A428" s="997"/>
      <c r="B428" s="444"/>
      <c r="C428" s="448" t="s">
        <v>307</v>
      </c>
      <c r="D428" s="447" t="s">
        <v>320</v>
      </c>
      <c r="E428" s="279">
        <v>0</v>
      </c>
      <c r="F428" s="441">
        <f t="shared" si="85"/>
        <v>0</v>
      </c>
      <c r="G428" s="594">
        <v>55.76</v>
      </c>
      <c r="H428" s="610">
        <f t="shared" si="84"/>
        <v>0</v>
      </c>
      <c r="I428" s="613">
        <f t="shared" si="86"/>
        <v>0</v>
      </c>
      <c r="J428" s="358"/>
    </row>
    <row r="429" spans="1:10" ht="23.4" x14ac:dyDescent="0.3">
      <c r="A429" s="997"/>
      <c r="B429" s="444"/>
      <c r="C429" s="448" t="s">
        <v>323</v>
      </c>
      <c r="D429" s="447" t="s">
        <v>192</v>
      </c>
      <c r="E429" s="279">
        <v>152064</v>
      </c>
      <c r="F429" s="441">
        <f t="shared" si="85"/>
        <v>152064</v>
      </c>
      <c r="G429" s="594">
        <v>14.79</v>
      </c>
      <c r="H429" s="610">
        <f t="shared" si="84"/>
        <v>2249026.5600000001</v>
      </c>
      <c r="I429" s="613">
        <f t="shared" si="86"/>
        <v>2249026.5600000001</v>
      </c>
      <c r="J429" s="358"/>
    </row>
    <row r="430" spans="1:10" ht="23.4" x14ac:dyDescent="0.3">
      <c r="A430" s="997"/>
      <c r="B430" s="444"/>
      <c r="C430" s="448" t="s">
        <v>332</v>
      </c>
      <c r="D430" s="447" t="s">
        <v>294</v>
      </c>
      <c r="E430" s="279">
        <v>0</v>
      </c>
      <c r="F430" s="441">
        <f t="shared" si="85"/>
        <v>320</v>
      </c>
      <c r="G430" s="594">
        <v>139.04</v>
      </c>
      <c r="H430" s="610">
        <f t="shared" si="84"/>
        <v>0</v>
      </c>
      <c r="I430" s="613">
        <f t="shared" si="86"/>
        <v>44492.799999999996</v>
      </c>
      <c r="J430" s="358"/>
    </row>
    <row r="431" spans="1:10" ht="23.4" x14ac:dyDescent="0.3">
      <c r="A431" s="997"/>
      <c r="B431" s="444"/>
      <c r="C431" s="448" t="s">
        <v>355</v>
      </c>
      <c r="D431" s="623" t="s">
        <v>356</v>
      </c>
      <c r="E431" s="279">
        <v>0</v>
      </c>
      <c r="F431" s="441">
        <f t="shared" si="85"/>
        <v>0</v>
      </c>
      <c r="G431" s="594">
        <v>18.84</v>
      </c>
      <c r="H431" s="610">
        <f t="shared" si="84"/>
        <v>0</v>
      </c>
      <c r="I431" s="613">
        <f t="shared" si="86"/>
        <v>0</v>
      </c>
      <c r="J431" s="358"/>
    </row>
    <row r="432" spans="1:10" ht="23.4" x14ac:dyDescent="0.3">
      <c r="A432" s="997"/>
      <c r="B432" s="444"/>
      <c r="C432" s="448" t="s">
        <v>362</v>
      </c>
      <c r="D432" s="623" t="s">
        <v>294</v>
      </c>
      <c r="E432" s="279">
        <v>0</v>
      </c>
      <c r="F432" s="441">
        <f t="shared" si="85"/>
        <v>16524</v>
      </c>
      <c r="G432" s="594">
        <v>18.84</v>
      </c>
      <c r="H432" s="610">
        <f t="shared" si="84"/>
        <v>0</v>
      </c>
      <c r="I432" s="613">
        <f t="shared" si="86"/>
        <v>311312.15999999997</v>
      </c>
      <c r="J432" s="358"/>
    </row>
    <row r="433" spans="1:10" ht="23.4" x14ac:dyDescent="0.3">
      <c r="A433" s="997"/>
      <c r="B433" s="444"/>
      <c r="C433" s="448" t="s">
        <v>376</v>
      </c>
      <c r="D433" s="623" t="s">
        <v>257</v>
      </c>
      <c r="E433" s="279">
        <v>0</v>
      </c>
      <c r="F433" s="441">
        <f t="shared" si="85"/>
        <v>306000</v>
      </c>
      <c r="G433" s="594">
        <v>21.18</v>
      </c>
      <c r="H433" s="610">
        <f t="shared" si="84"/>
        <v>0</v>
      </c>
      <c r="I433" s="613">
        <f t="shared" si="86"/>
        <v>6481080</v>
      </c>
      <c r="J433" s="358"/>
    </row>
    <row r="434" spans="1:10" ht="23.4" x14ac:dyDescent="0.3">
      <c r="A434" s="997"/>
      <c r="B434" s="444"/>
      <c r="C434" s="448" t="s">
        <v>378</v>
      </c>
      <c r="D434" s="623" t="s">
        <v>379</v>
      </c>
      <c r="E434" s="279">
        <v>0</v>
      </c>
      <c r="F434" s="441">
        <f t="shared" si="85"/>
        <v>61200</v>
      </c>
      <c r="G434" s="594">
        <v>21.28</v>
      </c>
      <c r="H434" s="610">
        <f t="shared" si="84"/>
        <v>0</v>
      </c>
      <c r="I434" s="613">
        <f t="shared" si="86"/>
        <v>1302336</v>
      </c>
      <c r="J434" s="358"/>
    </row>
    <row r="435" spans="1:10" ht="23.4" x14ac:dyDescent="0.3">
      <c r="A435" s="997"/>
      <c r="B435" s="444"/>
      <c r="C435" s="448" t="s">
        <v>380</v>
      </c>
      <c r="D435" s="623" t="s">
        <v>381</v>
      </c>
      <c r="E435" s="279">
        <v>0</v>
      </c>
      <c r="F435" s="441">
        <f t="shared" si="85"/>
        <v>0</v>
      </c>
      <c r="G435" s="594">
        <v>18.84</v>
      </c>
      <c r="H435" s="610">
        <f t="shared" si="84"/>
        <v>0</v>
      </c>
      <c r="I435" s="613">
        <f t="shared" si="86"/>
        <v>0</v>
      </c>
      <c r="J435" s="358"/>
    </row>
    <row r="436" spans="1:10" ht="23.4" x14ac:dyDescent="0.3">
      <c r="A436" s="997"/>
      <c r="B436" s="444"/>
      <c r="C436" s="592" t="s">
        <v>383</v>
      </c>
      <c r="D436" s="623" t="s">
        <v>294</v>
      </c>
      <c r="E436" s="279">
        <v>0</v>
      </c>
      <c r="F436" s="441">
        <f t="shared" si="85"/>
        <v>0</v>
      </c>
      <c r="G436" s="594">
        <v>109.77</v>
      </c>
      <c r="H436" s="610">
        <f t="shared" si="84"/>
        <v>0</v>
      </c>
      <c r="I436" s="613">
        <f t="shared" si="86"/>
        <v>0</v>
      </c>
      <c r="J436" s="358"/>
    </row>
    <row r="437" spans="1:10" ht="23.4" x14ac:dyDescent="0.3">
      <c r="A437" s="997"/>
      <c r="B437" s="444"/>
      <c r="C437" s="448" t="s">
        <v>384</v>
      </c>
      <c r="D437" s="623" t="s">
        <v>206</v>
      </c>
      <c r="E437" s="279">
        <v>0</v>
      </c>
      <c r="F437" s="441">
        <f t="shared" si="85"/>
        <v>0</v>
      </c>
      <c r="G437" s="594">
        <v>21.28</v>
      </c>
      <c r="H437" s="610">
        <f t="shared" si="84"/>
        <v>0</v>
      </c>
      <c r="I437" s="613">
        <f t="shared" si="86"/>
        <v>0</v>
      </c>
      <c r="J437" s="358"/>
    </row>
    <row r="438" spans="1:10" ht="24" thickBot="1" x14ac:dyDescent="0.35">
      <c r="A438" s="997"/>
      <c r="B438" s="444"/>
      <c r="C438" s="448" t="s">
        <v>400</v>
      </c>
      <c r="D438" s="450" t="s">
        <v>193</v>
      </c>
      <c r="E438" s="279">
        <v>0</v>
      </c>
      <c r="F438" s="441">
        <f t="shared" si="85"/>
        <v>1186</v>
      </c>
      <c r="G438" s="594">
        <v>36.44</v>
      </c>
      <c r="H438" s="610">
        <f t="shared" si="84"/>
        <v>0</v>
      </c>
      <c r="I438" s="613">
        <f t="shared" si="86"/>
        <v>43217.84</v>
      </c>
      <c r="J438" s="358"/>
    </row>
    <row r="439" spans="1:10" ht="24" thickBot="1" x14ac:dyDescent="0.35">
      <c r="A439" s="997"/>
      <c r="B439" s="992" t="s">
        <v>295</v>
      </c>
      <c r="C439" s="993"/>
      <c r="D439" s="723"/>
      <c r="E439" s="332"/>
      <c r="F439" s="333"/>
      <c r="G439" s="332"/>
      <c r="H439" s="605">
        <f>SUM(H425:H438)</f>
        <v>2249026.5600000001</v>
      </c>
      <c r="I439" s="597">
        <f>SUM(I425:I438)</f>
        <v>10431465.359999999</v>
      </c>
      <c r="J439" s="355"/>
    </row>
    <row r="440" spans="1:10" ht="23.4" x14ac:dyDescent="0.3">
      <c r="A440" s="997"/>
      <c r="B440" s="722"/>
      <c r="C440" s="282" t="s">
        <v>301</v>
      </c>
      <c r="D440" s="440" t="s">
        <v>263</v>
      </c>
      <c r="E440" s="283">
        <f>8750+5250</f>
        <v>14000</v>
      </c>
      <c r="F440" s="323">
        <f t="shared" ref="F440:F450" si="87">E440+F358</f>
        <v>40250</v>
      </c>
      <c r="G440" s="595">
        <v>160.44999999999999</v>
      </c>
      <c r="H440" s="611">
        <f t="shared" ref="H440:H450" si="88">E440*G440</f>
        <v>2246300</v>
      </c>
      <c r="I440" s="614">
        <f t="shared" ref="I440:I450" si="89">+G440*F440</f>
        <v>6458112.5</v>
      </c>
      <c r="J440" s="379"/>
    </row>
    <row r="441" spans="1:10" ht="23.4" x14ac:dyDescent="0.3">
      <c r="A441" s="997"/>
      <c r="B441" s="722"/>
      <c r="C441" s="282" t="s">
        <v>317</v>
      </c>
      <c r="D441" s="440" t="s">
        <v>263</v>
      </c>
      <c r="E441" s="283">
        <v>875</v>
      </c>
      <c r="F441" s="323">
        <f t="shared" si="87"/>
        <v>875</v>
      </c>
      <c r="G441" s="595">
        <v>160.44999999999999</v>
      </c>
      <c r="H441" s="611">
        <f t="shared" si="88"/>
        <v>140393.75</v>
      </c>
      <c r="I441" s="614">
        <f t="shared" si="89"/>
        <v>140393.75</v>
      </c>
      <c r="J441" s="379"/>
    </row>
    <row r="442" spans="1:10" ht="23.4" x14ac:dyDescent="0.3">
      <c r="A442" s="997"/>
      <c r="B442" s="722"/>
      <c r="C442" s="282" t="s">
        <v>318</v>
      </c>
      <c r="D442" s="440" t="s">
        <v>263</v>
      </c>
      <c r="E442" s="283">
        <v>0</v>
      </c>
      <c r="F442" s="323">
        <f t="shared" si="87"/>
        <v>0</v>
      </c>
      <c r="G442" s="595">
        <v>160.44999999999999</v>
      </c>
      <c r="H442" s="611">
        <f t="shared" si="88"/>
        <v>0</v>
      </c>
      <c r="I442" s="614">
        <f t="shared" si="89"/>
        <v>0</v>
      </c>
      <c r="J442" s="379"/>
    </row>
    <row r="443" spans="1:10" ht="23.4" x14ac:dyDescent="0.3">
      <c r="A443" s="997"/>
      <c r="B443" s="722"/>
      <c r="C443" s="282" t="s">
        <v>321</v>
      </c>
      <c r="D443" s="440" t="s">
        <v>100</v>
      </c>
      <c r="E443" s="283">
        <v>0</v>
      </c>
      <c r="F443" s="323">
        <f t="shared" si="87"/>
        <v>0</v>
      </c>
      <c r="G443" s="595">
        <v>27</v>
      </c>
      <c r="H443" s="611">
        <f t="shared" si="88"/>
        <v>0</v>
      </c>
      <c r="I443" s="614">
        <f t="shared" si="89"/>
        <v>0</v>
      </c>
      <c r="J443" s="379"/>
    </row>
    <row r="444" spans="1:10" ht="23.4" x14ac:dyDescent="0.3">
      <c r="A444" s="997"/>
      <c r="B444" s="722"/>
      <c r="C444" s="282" t="s">
        <v>321</v>
      </c>
      <c r="D444" s="440" t="s">
        <v>329</v>
      </c>
      <c r="E444" s="283">
        <v>0</v>
      </c>
      <c r="F444" s="323">
        <f t="shared" si="87"/>
        <v>0</v>
      </c>
      <c r="G444" s="595">
        <v>27.5</v>
      </c>
      <c r="H444" s="611">
        <f t="shared" si="88"/>
        <v>0</v>
      </c>
      <c r="I444" s="614">
        <f t="shared" si="89"/>
        <v>0</v>
      </c>
      <c r="J444" s="379"/>
    </row>
    <row r="445" spans="1:10" ht="23.4" x14ac:dyDescent="0.3">
      <c r="A445" s="997"/>
      <c r="B445" s="722"/>
      <c r="C445" s="282" t="s">
        <v>307</v>
      </c>
      <c r="D445" s="440" t="s">
        <v>329</v>
      </c>
      <c r="E445" s="283">
        <v>0</v>
      </c>
      <c r="F445" s="323">
        <f t="shared" si="87"/>
        <v>0</v>
      </c>
      <c r="G445" s="595">
        <v>34.5</v>
      </c>
      <c r="H445" s="611">
        <f t="shared" si="88"/>
        <v>0</v>
      </c>
      <c r="I445" s="614">
        <f t="shared" si="89"/>
        <v>0</v>
      </c>
      <c r="J445" s="379"/>
    </row>
    <row r="446" spans="1:10" ht="23.4" x14ac:dyDescent="0.3">
      <c r="A446" s="997"/>
      <c r="B446" s="722"/>
      <c r="C446" s="282" t="s">
        <v>342</v>
      </c>
      <c r="D446" s="440" t="s">
        <v>263</v>
      </c>
      <c r="E446" s="283">
        <v>3500</v>
      </c>
      <c r="F446" s="323">
        <f t="shared" si="87"/>
        <v>6250</v>
      </c>
      <c r="G446" s="595">
        <v>160.44999999999999</v>
      </c>
      <c r="H446" s="611">
        <f t="shared" si="88"/>
        <v>561575</v>
      </c>
      <c r="I446" s="614">
        <f t="shared" si="89"/>
        <v>1002812.4999999999</v>
      </c>
      <c r="J446" s="379"/>
    </row>
    <row r="447" spans="1:10" ht="23.4" x14ac:dyDescent="0.3">
      <c r="A447" s="997"/>
      <c r="B447" s="722"/>
      <c r="C447" s="282" t="s">
        <v>438</v>
      </c>
      <c r="D447" s="440" t="s">
        <v>263</v>
      </c>
      <c r="E447" s="283">
        <v>3500</v>
      </c>
      <c r="F447" s="323">
        <f t="shared" si="87"/>
        <v>3500</v>
      </c>
      <c r="G447" s="595">
        <v>160.44999999999999</v>
      </c>
      <c r="H447" s="611">
        <f t="shared" si="88"/>
        <v>561575</v>
      </c>
      <c r="I447" s="614">
        <f t="shared" si="89"/>
        <v>561575</v>
      </c>
      <c r="J447" s="379"/>
    </row>
    <row r="448" spans="1:10" ht="23.4" x14ac:dyDescent="0.3">
      <c r="A448" s="997"/>
      <c r="B448" s="722"/>
      <c r="C448" s="282" t="s">
        <v>357</v>
      </c>
      <c r="D448" s="440" t="s">
        <v>263</v>
      </c>
      <c r="E448" s="283">
        <v>2610</v>
      </c>
      <c r="F448" s="323">
        <f t="shared" si="87"/>
        <v>11735</v>
      </c>
      <c r="G448" s="595">
        <v>160.44999999999999</v>
      </c>
      <c r="H448" s="611">
        <f t="shared" si="88"/>
        <v>418774.49999999994</v>
      </c>
      <c r="I448" s="614">
        <f t="shared" si="89"/>
        <v>1882880.7499999998</v>
      </c>
      <c r="J448" s="379"/>
    </row>
    <row r="449" spans="1:12" ht="23.4" x14ac:dyDescent="0.3">
      <c r="A449" s="997"/>
      <c r="B449" s="722"/>
      <c r="C449" s="282" t="s">
        <v>358</v>
      </c>
      <c r="D449" s="440" t="s">
        <v>263</v>
      </c>
      <c r="E449" s="283">
        <v>0</v>
      </c>
      <c r="F449" s="323">
        <f t="shared" si="87"/>
        <v>2625</v>
      </c>
      <c r="G449" s="595">
        <v>160.44999999999999</v>
      </c>
      <c r="H449" s="611">
        <f t="shared" si="88"/>
        <v>0</v>
      </c>
      <c r="I449" s="614">
        <f t="shared" si="89"/>
        <v>421181.24999999994</v>
      </c>
      <c r="J449" s="379"/>
    </row>
    <row r="450" spans="1:12" ht="24" thickBot="1" x14ac:dyDescent="0.35">
      <c r="A450" s="997"/>
      <c r="B450" s="722"/>
      <c r="C450" s="282" t="s">
        <v>353</v>
      </c>
      <c r="D450" s="440" t="s">
        <v>263</v>
      </c>
      <c r="E450" s="283">
        <v>0</v>
      </c>
      <c r="F450" s="323">
        <f t="shared" si="87"/>
        <v>875</v>
      </c>
      <c r="G450" s="595">
        <v>160.44999999999999</v>
      </c>
      <c r="H450" s="611">
        <f t="shared" si="88"/>
        <v>0</v>
      </c>
      <c r="I450" s="614">
        <f t="shared" si="89"/>
        <v>140393.75</v>
      </c>
      <c r="J450" s="379"/>
    </row>
    <row r="451" spans="1:12" ht="24" thickBot="1" x14ac:dyDescent="0.35">
      <c r="A451" s="997"/>
      <c r="B451" s="992" t="s">
        <v>296</v>
      </c>
      <c r="C451" s="993"/>
      <c r="D451" s="723"/>
      <c r="E451" s="332"/>
      <c r="F451" s="333"/>
      <c r="G451" s="332"/>
      <c r="H451" s="605">
        <f>SUM(H440:H450)</f>
        <v>3928618.25</v>
      </c>
      <c r="I451" s="597">
        <f>SUM(I440:I450)</f>
        <v>10607349.5</v>
      </c>
      <c r="J451" s="355"/>
    </row>
    <row r="452" spans="1:12" ht="23.4" x14ac:dyDescent="0.3">
      <c r="A452" s="997"/>
      <c r="B452" s="722"/>
      <c r="C452" s="282" t="s">
        <v>303</v>
      </c>
      <c r="D452" s="440"/>
      <c r="E452" s="283">
        <v>0</v>
      </c>
      <c r="F452" s="598">
        <f t="shared" ref="F452:F454" si="90">E452+F370</f>
        <v>0</v>
      </c>
      <c r="G452" s="595">
        <v>10</v>
      </c>
      <c r="H452" s="611">
        <f t="shared" ref="H452:H454" si="91">E452*G452</f>
        <v>0</v>
      </c>
      <c r="I452" s="614">
        <f t="shared" ref="I452" si="92">+G452*F452</f>
        <v>0</v>
      </c>
      <c r="J452" s="379"/>
    </row>
    <row r="453" spans="1:12" ht="23.4" x14ac:dyDescent="0.3">
      <c r="A453" s="997"/>
      <c r="B453" s="722"/>
      <c r="C453" s="282" t="s">
        <v>308</v>
      </c>
      <c r="D453" s="440" t="s">
        <v>309</v>
      </c>
      <c r="E453" s="283">
        <v>0</v>
      </c>
      <c r="F453" s="598">
        <f t="shared" si="90"/>
        <v>5</v>
      </c>
      <c r="G453" s="595">
        <v>2500</v>
      </c>
      <c r="H453" s="611">
        <f t="shared" si="91"/>
        <v>0</v>
      </c>
      <c r="I453" s="614">
        <f>+G453*F453</f>
        <v>12500</v>
      </c>
      <c r="J453" s="379"/>
    </row>
    <row r="454" spans="1:12" ht="24" thickBot="1" x14ac:dyDescent="0.35">
      <c r="A454" s="997"/>
      <c r="B454" s="722"/>
      <c r="C454" s="282" t="s">
        <v>343</v>
      </c>
      <c r="D454" s="440" t="s">
        <v>344</v>
      </c>
      <c r="E454" s="283">
        <v>0</v>
      </c>
      <c r="F454" s="598">
        <f t="shared" si="90"/>
        <v>0</v>
      </c>
      <c r="G454" s="596">
        <v>360</v>
      </c>
      <c r="H454" s="611">
        <f t="shared" si="91"/>
        <v>0</v>
      </c>
      <c r="I454" s="614">
        <f t="shared" ref="I454" si="93">+G454*F454</f>
        <v>0</v>
      </c>
      <c r="J454" s="379"/>
    </row>
    <row r="455" spans="1:12" ht="24" thickBot="1" x14ac:dyDescent="0.35">
      <c r="A455" s="997"/>
      <c r="B455" s="992" t="s">
        <v>302</v>
      </c>
      <c r="C455" s="993"/>
      <c r="D455" s="723"/>
      <c r="E455" s="332"/>
      <c r="F455" s="333"/>
      <c r="G455" s="332"/>
      <c r="H455" s="605">
        <f>SUM(H452:H454)</f>
        <v>0</v>
      </c>
      <c r="I455" s="597">
        <f>SUM(I452:I454)</f>
        <v>12500</v>
      </c>
      <c r="J455" s="379"/>
    </row>
    <row r="456" spans="1:12" ht="24" thickBot="1" x14ac:dyDescent="0.35">
      <c r="A456" s="997"/>
      <c r="B456" s="722"/>
      <c r="C456" s="282"/>
      <c r="D456" s="440"/>
      <c r="E456" s="283"/>
      <c r="F456" s="323"/>
      <c r="G456" s="596"/>
      <c r="H456" s="606"/>
      <c r="I456" s="285">
        <f t="shared" ref="I456" si="94">+G456*F456</f>
        <v>0</v>
      </c>
      <c r="J456" s="379"/>
    </row>
    <row r="457" spans="1:12" ht="24" thickBot="1" x14ac:dyDescent="0.35">
      <c r="A457" s="998"/>
      <c r="B457" s="992" t="s">
        <v>298</v>
      </c>
      <c r="C457" s="993"/>
      <c r="D457" s="720"/>
      <c r="E457" s="332"/>
      <c r="F457" s="333"/>
      <c r="G457" s="332"/>
      <c r="H457" s="597">
        <f>+H451+H439+H455</f>
        <v>6177644.8100000005</v>
      </c>
      <c r="I457" s="597">
        <f>+I451+I439+I455</f>
        <v>21051314.859999999</v>
      </c>
      <c r="J457" s="379"/>
      <c r="L457" s="620"/>
    </row>
    <row r="458" spans="1:12" ht="23.4" x14ac:dyDescent="0.3">
      <c r="A458" s="996" t="s">
        <v>109</v>
      </c>
      <c r="B458" s="722"/>
      <c r="C458" s="282" t="s">
        <v>312</v>
      </c>
      <c r="D458" s="440" t="s">
        <v>193</v>
      </c>
      <c r="E458" s="283">
        <v>0</v>
      </c>
      <c r="F458" s="323">
        <f t="shared" ref="F458:F477" si="95">E458+F376</f>
        <v>7956</v>
      </c>
      <c r="G458" s="621">
        <v>13.25</v>
      </c>
      <c r="H458" s="615">
        <f t="shared" ref="H458:H477" si="96">E458*G458</f>
        <v>0</v>
      </c>
      <c r="I458" s="614">
        <f t="shared" ref="I458:I477" si="97">+G458*F458</f>
        <v>105417</v>
      </c>
      <c r="J458" s="379"/>
    </row>
    <row r="459" spans="1:12" ht="23.4" x14ac:dyDescent="0.3">
      <c r="A459" s="997"/>
      <c r="B459" s="722"/>
      <c r="C459" s="282" t="s">
        <v>313</v>
      </c>
      <c r="D459" s="440"/>
      <c r="E459" s="283">
        <v>0</v>
      </c>
      <c r="F459" s="323">
        <f t="shared" si="95"/>
        <v>1</v>
      </c>
      <c r="G459" s="622">
        <v>10000</v>
      </c>
      <c r="H459" s="615">
        <f t="shared" si="96"/>
        <v>0</v>
      </c>
      <c r="I459" s="614">
        <f t="shared" si="97"/>
        <v>10000</v>
      </c>
      <c r="J459" s="379"/>
    </row>
    <row r="460" spans="1:12" ht="23.4" x14ac:dyDescent="0.3">
      <c r="A460" s="997"/>
      <c r="B460" s="722"/>
      <c r="C460" s="282" t="s">
        <v>313</v>
      </c>
      <c r="D460" s="440"/>
      <c r="E460" s="283">
        <v>0</v>
      </c>
      <c r="F460" s="323">
        <f t="shared" si="95"/>
        <v>0</v>
      </c>
      <c r="G460" s="622">
        <v>18000</v>
      </c>
      <c r="H460" s="615">
        <f t="shared" si="96"/>
        <v>0</v>
      </c>
      <c r="I460" s="614">
        <f t="shared" si="97"/>
        <v>0</v>
      </c>
      <c r="J460" s="379"/>
    </row>
    <row r="461" spans="1:12" ht="23.4" x14ac:dyDescent="0.3">
      <c r="A461" s="997"/>
      <c r="B461" s="722"/>
      <c r="C461" s="282" t="s">
        <v>328</v>
      </c>
      <c r="D461" s="440" t="s">
        <v>193</v>
      </c>
      <c r="E461" s="283">
        <v>0</v>
      </c>
      <c r="F461" s="323">
        <f t="shared" si="95"/>
        <v>0</v>
      </c>
      <c r="G461" s="621">
        <v>24.93</v>
      </c>
      <c r="H461" s="615">
        <f t="shared" si="96"/>
        <v>0</v>
      </c>
      <c r="I461" s="614">
        <f t="shared" si="97"/>
        <v>0</v>
      </c>
      <c r="J461" s="379"/>
    </row>
    <row r="462" spans="1:12" ht="23.4" x14ac:dyDescent="0.3">
      <c r="A462" s="997"/>
      <c r="B462" s="722"/>
      <c r="C462" s="282" t="s">
        <v>335</v>
      </c>
      <c r="D462" s="440" t="s">
        <v>99</v>
      </c>
      <c r="E462" s="283">
        <v>0</v>
      </c>
      <c r="F462" s="323">
        <f t="shared" si="95"/>
        <v>0</v>
      </c>
      <c r="G462" s="621">
        <v>26</v>
      </c>
      <c r="H462" s="615">
        <f t="shared" si="96"/>
        <v>0</v>
      </c>
      <c r="I462" s="614">
        <f t="shared" si="97"/>
        <v>0</v>
      </c>
      <c r="J462" s="379"/>
    </row>
    <row r="463" spans="1:12" ht="23.4" x14ac:dyDescent="0.3">
      <c r="A463" s="997"/>
      <c r="B463" s="722"/>
      <c r="C463" s="282" t="s">
        <v>336</v>
      </c>
      <c r="D463" s="440" t="s">
        <v>193</v>
      </c>
      <c r="E463" s="283">
        <v>0</v>
      </c>
      <c r="F463" s="323">
        <f t="shared" si="95"/>
        <v>0</v>
      </c>
      <c r="G463" s="621">
        <v>25.49</v>
      </c>
      <c r="H463" s="615">
        <f t="shared" si="96"/>
        <v>0</v>
      </c>
      <c r="I463" s="614">
        <f t="shared" si="97"/>
        <v>0</v>
      </c>
      <c r="J463" s="379"/>
    </row>
    <row r="464" spans="1:12" ht="23.4" x14ac:dyDescent="0.3">
      <c r="A464" s="997"/>
      <c r="B464" s="722"/>
      <c r="C464" s="282" t="s">
        <v>337</v>
      </c>
      <c r="D464" s="440" t="s">
        <v>115</v>
      </c>
      <c r="E464" s="283">
        <v>0</v>
      </c>
      <c r="F464" s="323">
        <f t="shared" si="95"/>
        <v>0</v>
      </c>
      <c r="G464" s="621">
        <v>24.93</v>
      </c>
      <c r="H464" s="615">
        <f t="shared" si="96"/>
        <v>0</v>
      </c>
      <c r="I464" s="614">
        <f t="shared" si="97"/>
        <v>0</v>
      </c>
      <c r="J464" s="379"/>
    </row>
    <row r="465" spans="1:10" ht="23.4" x14ac:dyDescent="0.3">
      <c r="A465" s="997"/>
      <c r="B465" s="722"/>
      <c r="C465" s="282" t="s">
        <v>338</v>
      </c>
      <c r="D465" s="440" t="s">
        <v>311</v>
      </c>
      <c r="E465" s="283">
        <v>0</v>
      </c>
      <c r="F465" s="323">
        <f t="shared" si="95"/>
        <v>0</v>
      </c>
      <c r="G465" s="621">
        <v>24.93</v>
      </c>
      <c r="H465" s="615">
        <f t="shared" si="96"/>
        <v>0</v>
      </c>
      <c r="I465" s="614">
        <f t="shared" si="97"/>
        <v>0</v>
      </c>
      <c r="J465" s="379"/>
    </row>
    <row r="466" spans="1:10" ht="23.4" x14ac:dyDescent="0.3">
      <c r="A466" s="997"/>
      <c r="B466" s="722"/>
      <c r="C466" s="282" t="s">
        <v>339</v>
      </c>
      <c r="D466" s="440" t="s">
        <v>99</v>
      </c>
      <c r="E466" s="283">
        <v>0</v>
      </c>
      <c r="F466" s="323">
        <f t="shared" si="95"/>
        <v>0</v>
      </c>
      <c r="G466" s="621">
        <v>20.89</v>
      </c>
      <c r="H466" s="615">
        <f t="shared" si="96"/>
        <v>0</v>
      </c>
      <c r="I466" s="614">
        <f t="shared" si="97"/>
        <v>0</v>
      </c>
      <c r="J466" s="379"/>
    </row>
    <row r="467" spans="1:10" ht="23.4" x14ac:dyDescent="0.3">
      <c r="A467" s="997"/>
      <c r="B467" s="722"/>
      <c r="C467" s="282" t="s">
        <v>349</v>
      </c>
      <c r="D467" s="440" t="s">
        <v>350</v>
      </c>
      <c r="E467" s="283">
        <v>0</v>
      </c>
      <c r="F467" s="323">
        <f t="shared" si="95"/>
        <v>0</v>
      </c>
      <c r="G467" s="621">
        <v>37.89</v>
      </c>
      <c r="H467" s="615">
        <f t="shared" si="96"/>
        <v>0</v>
      </c>
      <c r="I467" s="614">
        <f t="shared" si="97"/>
        <v>0</v>
      </c>
      <c r="J467" s="379"/>
    </row>
    <row r="468" spans="1:10" ht="23.4" x14ac:dyDescent="0.3">
      <c r="A468" s="997"/>
      <c r="B468" s="722"/>
      <c r="C468" s="282" t="s">
        <v>351</v>
      </c>
      <c r="D468" s="440" t="s">
        <v>350</v>
      </c>
      <c r="E468" s="283">
        <v>0</v>
      </c>
      <c r="F468" s="323">
        <f t="shared" si="95"/>
        <v>0</v>
      </c>
      <c r="G468" s="621">
        <v>24.41</v>
      </c>
      <c r="H468" s="615">
        <f t="shared" si="96"/>
        <v>0</v>
      </c>
      <c r="I468" s="614">
        <f t="shared" si="97"/>
        <v>0</v>
      </c>
      <c r="J468" s="379"/>
    </row>
    <row r="469" spans="1:10" ht="23.4" x14ac:dyDescent="0.3">
      <c r="A469" s="997"/>
      <c r="B469" s="722"/>
      <c r="C469" s="282" t="s">
        <v>337</v>
      </c>
      <c r="D469" s="440" t="s">
        <v>310</v>
      </c>
      <c r="E469" s="283">
        <v>0</v>
      </c>
      <c r="F469" s="323">
        <f t="shared" si="95"/>
        <v>0</v>
      </c>
      <c r="G469" s="621">
        <v>24.93</v>
      </c>
      <c r="H469" s="615">
        <f t="shared" si="96"/>
        <v>0</v>
      </c>
      <c r="I469" s="614">
        <f t="shared" si="97"/>
        <v>0</v>
      </c>
      <c r="J469" s="379"/>
    </row>
    <row r="470" spans="1:10" ht="23.4" x14ac:dyDescent="0.3">
      <c r="A470" s="997"/>
      <c r="B470" s="722"/>
      <c r="C470" s="282" t="s">
        <v>338</v>
      </c>
      <c r="D470" s="440" t="s">
        <v>310</v>
      </c>
      <c r="E470" s="283">
        <v>0</v>
      </c>
      <c r="F470" s="323">
        <f t="shared" si="95"/>
        <v>0</v>
      </c>
      <c r="G470" s="621">
        <v>24.93</v>
      </c>
      <c r="H470" s="615">
        <f t="shared" si="96"/>
        <v>0</v>
      </c>
      <c r="I470" s="614">
        <f t="shared" si="97"/>
        <v>0</v>
      </c>
      <c r="J470" s="379"/>
    </row>
    <row r="471" spans="1:10" ht="23.4" x14ac:dyDescent="0.3">
      <c r="A471" s="997"/>
      <c r="B471" s="722"/>
      <c r="C471" s="282" t="s">
        <v>369</v>
      </c>
      <c r="D471" s="440" t="s">
        <v>324</v>
      </c>
      <c r="E471" s="283">
        <v>0</v>
      </c>
      <c r="F471" s="323">
        <f t="shared" si="95"/>
        <v>1872</v>
      </c>
      <c r="G471" s="621">
        <v>34.26</v>
      </c>
      <c r="H471" s="615">
        <f t="shared" si="96"/>
        <v>0</v>
      </c>
      <c r="I471" s="614">
        <f t="shared" si="97"/>
        <v>64134.719999999994</v>
      </c>
      <c r="J471" s="379"/>
    </row>
    <row r="472" spans="1:10" ht="23.4" x14ac:dyDescent="0.3">
      <c r="A472" s="997"/>
      <c r="B472" s="722"/>
      <c r="C472" s="282" t="s">
        <v>385</v>
      </c>
      <c r="D472" s="440" t="s">
        <v>193</v>
      </c>
      <c r="E472" s="283">
        <v>0</v>
      </c>
      <c r="F472" s="323">
        <f t="shared" si="95"/>
        <v>0</v>
      </c>
      <c r="G472" s="621">
        <v>23.65</v>
      </c>
      <c r="H472" s="615">
        <f t="shared" si="96"/>
        <v>0</v>
      </c>
      <c r="I472" s="614">
        <f t="shared" si="97"/>
        <v>0</v>
      </c>
      <c r="J472" s="379"/>
    </row>
    <row r="473" spans="1:10" ht="23.4" x14ac:dyDescent="0.3">
      <c r="A473" s="997"/>
      <c r="B473" s="722"/>
      <c r="C473" s="282" t="s">
        <v>405</v>
      </c>
      <c r="D473" s="440" t="s">
        <v>192</v>
      </c>
      <c r="E473" s="283">
        <v>0</v>
      </c>
      <c r="F473" s="323">
        <f t="shared" si="95"/>
        <v>0</v>
      </c>
      <c r="G473" s="621">
        <v>20.76</v>
      </c>
      <c r="H473" s="615">
        <f t="shared" si="96"/>
        <v>0</v>
      </c>
      <c r="I473" s="614">
        <f t="shared" si="97"/>
        <v>0</v>
      </c>
      <c r="J473" s="379"/>
    </row>
    <row r="474" spans="1:10" ht="23.4" x14ac:dyDescent="0.3">
      <c r="A474" s="997"/>
      <c r="B474" s="722"/>
      <c r="C474" s="282" t="s">
        <v>338</v>
      </c>
      <c r="D474" s="440" t="s">
        <v>192</v>
      </c>
      <c r="E474" s="283">
        <v>0</v>
      </c>
      <c r="F474" s="323">
        <f t="shared" si="95"/>
        <v>0</v>
      </c>
      <c r="G474" s="621">
        <v>21.22</v>
      </c>
      <c r="H474" s="615">
        <f t="shared" si="96"/>
        <v>0</v>
      </c>
      <c r="I474" s="614">
        <f t="shared" si="97"/>
        <v>0</v>
      </c>
      <c r="J474" s="379"/>
    </row>
    <row r="475" spans="1:10" ht="23.4" x14ac:dyDescent="0.3">
      <c r="A475" s="997"/>
      <c r="B475" s="722"/>
      <c r="C475" s="282" t="s">
        <v>337</v>
      </c>
      <c r="D475" s="440" t="s">
        <v>192</v>
      </c>
      <c r="E475" s="283">
        <v>0</v>
      </c>
      <c r="F475" s="323">
        <f t="shared" si="95"/>
        <v>0</v>
      </c>
      <c r="G475" s="621">
        <v>21.22</v>
      </c>
      <c r="H475" s="615">
        <f t="shared" si="96"/>
        <v>0</v>
      </c>
      <c r="I475" s="614">
        <f t="shared" si="97"/>
        <v>0</v>
      </c>
      <c r="J475" s="379"/>
    </row>
    <row r="476" spans="1:10" ht="23.4" x14ac:dyDescent="0.3">
      <c r="A476" s="997"/>
      <c r="B476" s="722"/>
      <c r="C476" s="282" t="s">
        <v>406</v>
      </c>
      <c r="D476" s="440" t="s">
        <v>344</v>
      </c>
      <c r="E476" s="283">
        <v>0</v>
      </c>
      <c r="F476" s="323">
        <f t="shared" si="95"/>
        <v>0</v>
      </c>
      <c r="G476" s="621">
        <v>10000</v>
      </c>
      <c r="H476" s="615">
        <f t="shared" si="96"/>
        <v>0</v>
      </c>
      <c r="I476" s="614">
        <f t="shared" si="97"/>
        <v>0</v>
      </c>
      <c r="J476" s="379"/>
    </row>
    <row r="477" spans="1:10" ht="24" thickBot="1" x14ac:dyDescent="0.35">
      <c r="A477" s="997"/>
      <c r="B477" s="722"/>
      <c r="C477" s="282" t="s">
        <v>403</v>
      </c>
      <c r="D477" s="440" t="s">
        <v>404</v>
      </c>
      <c r="E477" s="283">
        <v>0</v>
      </c>
      <c r="F477" s="323">
        <f t="shared" si="95"/>
        <v>0</v>
      </c>
      <c r="G477" s="621">
        <v>39</v>
      </c>
      <c r="H477" s="615">
        <f t="shared" si="96"/>
        <v>0</v>
      </c>
      <c r="I477" s="614">
        <f t="shared" si="97"/>
        <v>0</v>
      </c>
      <c r="J477" s="379"/>
    </row>
    <row r="478" spans="1:10" ht="24" thickBot="1" x14ac:dyDescent="0.35">
      <c r="A478" s="998"/>
      <c r="B478" s="992" t="s">
        <v>297</v>
      </c>
      <c r="C478" s="993"/>
      <c r="D478" s="723"/>
      <c r="E478" s="332"/>
      <c r="F478" s="333"/>
      <c r="G478" s="332"/>
      <c r="H478" s="605"/>
      <c r="I478" s="597">
        <f>SUM(I458:I477)</f>
        <v>179551.72</v>
      </c>
      <c r="J478" s="379"/>
    </row>
    <row r="479" spans="1:10" ht="23.4" x14ac:dyDescent="0.3">
      <c r="A479" s="996" t="s">
        <v>110</v>
      </c>
      <c r="B479" s="722"/>
      <c r="C479" s="282" t="s">
        <v>304</v>
      </c>
      <c r="D479" s="440" t="s">
        <v>263</v>
      </c>
      <c r="E479" s="283">
        <v>0</v>
      </c>
      <c r="F479" s="323">
        <f t="shared" ref="F479:F498" si="98">E479+F397</f>
        <v>2240</v>
      </c>
      <c r="G479" s="621">
        <v>430.02</v>
      </c>
      <c r="H479" s="611">
        <f>E479*G479</f>
        <v>0</v>
      </c>
      <c r="I479" s="614">
        <f t="shared" ref="I479:I498" si="99">+G479*F479</f>
        <v>963244.79999999993</v>
      </c>
      <c r="J479" s="379"/>
    </row>
    <row r="480" spans="1:10" ht="23.4" x14ac:dyDescent="0.3">
      <c r="A480" s="997"/>
      <c r="B480" s="722"/>
      <c r="C480" s="282" t="s">
        <v>305</v>
      </c>
      <c r="D480" s="440" t="s">
        <v>263</v>
      </c>
      <c r="E480" s="283">
        <v>0</v>
      </c>
      <c r="F480" s="323">
        <f t="shared" si="98"/>
        <v>0</v>
      </c>
      <c r="G480" s="621">
        <v>445.38</v>
      </c>
      <c r="H480" s="611">
        <f t="shared" ref="H480:H498" si="100">E480*G480</f>
        <v>0</v>
      </c>
      <c r="I480" s="614">
        <f t="shared" si="99"/>
        <v>0</v>
      </c>
      <c r="J480" s="379"/>
    </row>
    <row r="481" spans="1:10" ht="23.4" x14ac:dyDescent="0.3">
      <c r="A481" s="997"/>
      <c r="B481" s="722"/>
      <c r="C481" s="282" t="s">
        <v>341</v>
      </c>
      <c r="D481" s="440" t="s">
        <v>263</v>
      </c>
      <c r="E481" s="283">
        <v>0</v>
      </c>
      <c r="F481" s="323">
        <f t="shared" si="98"/>
        <v>0</v>
      </c>
      <c r="G481" s="621">
        <v>63.55</v>
      </c>
      <c r="H481" s="611">
        <f t="shared" si="100"/>
        <v>0</v>
      </c>
      <c r="I481" s="614">
        <f t="shared" si="99"/>
        <v>0</v>
      </c>
      <c r="J481" s="379"/>
    </row>
    <row r="482" spans="1:10" ht="23.4" x14ac:dyDescent="0.3">
      <c r="A482" s="997"/>
      <c r="B482" s="722"/>
      <c r="C482" s="282" t="s">
        <v>306</v>
      </c>
      <c r="D482" s="440" t="s">
        <v>263</v>
      </c>
      <c r="E482" s="283">
        <f>6720+3372+10080+13440</f>
        <v>33612</v>
      </c>
      <c r="F482" s="323">
        <f t="shared" si="98"/>
        <v>94644</v>
      </c>
      <c r="G482" s="621">
        <v>71.44</v>
      </c>
      <c r="H482" s="611">
        <f t="shared" si="100"/>
        <v>2401241.2799999998</v>
      </c>
      <c r="I482" s="614">
        <f t="shared" si="99"/>
        <v>6761367.3599999994</v>
      </c>
      <c r="J482" s="379"/>
    </row>
    <row r="483" spans="1:10" ht="23.4" x14ac:dyDescent="0.3">
      <c r="A483" s="997"/>
      <c r="B483" s="722"/>
      <c r="C483" s="282" t="s">
        <v>307</v>
      </c>
      <c r="D483" s="440" t="s">
        <v>263</v>
      </c>
      <c r="E483" s="283">
        <v>0</v>
      </c>
      <c r="F483" s="323">
        <f t="shared" si="98"/>
        <v>0</v>
      </c>
      <c r="G483" s="621">
        <v>36.5</v>
      </c>
      <c r="H483" s="611">
        <f t="shared" si="100"/>
        <v>0</v>
      </c>
      <c r="I483" s="614">
        <f t="shared" si="99"/>
        <v>0</v>
      </c>
      <c r="J483" s="379"/>
    </row>
    <row r="484" spans="1:10" ht="23.4" x14ac:dyDescent="0.3">
      <c r="A484" s="997"/>
      <c r="B484" s="722"/>
      <c r="C484" s="282" t="s">
        <v>316</v>
      </c>
      <c r="D484" s="440" t="s">
        <v>263</v>
      </c>
      <c r="E484" s="283">
        <v>0</v>
      </c>
      <c r="F484" s="323">
        <f t="shared" si="98"/>
        <v>0</v>
      </c>
      <c r="G484" s="621">
        <v>320.35000000000002</v>
      </c>
      <c r="H484" s="611">
        <f t="shared" si="100"/>
        <v>0</v>
      </c>
      <c r="I484" s="614">
        <f t="shared" si="99"/>
        <v>0</v>
      </c>
      <c r="J484" s="379"/>
    </row>
    <row r="485" spans="1:10" ht="23.4" x14ac:dyDescent="0.3">
      <c r="A485" s="997"/>
      <c r="B485" s="722"/>
      <c r="C485" s="282" t="s">
        <v>333</v>
      </c>
      <c r="D485" s="440" t="s">
        <v>263</v>
      </c>
      <c r="E485" s="283">
        <v>0</v>
      </c>
      <c r="F485" s="323">
        <f t="shared" si="98"/>
        <v>0</v>
      </c>
      <c r="G485" s="621">
        <v>434.41</v>
      </c>
      <c r="H485" s="611">
        <f t="shared" si="100"/>
        <v>0</v>
      </c>
      <c r="I485" s="614">
        <f t="shared" si="99"/>
        <v>0</v>
      </c>
      <c r="J485" s="379"/>
    </row>
    <row r="486" spans="1:10" ht="23.4" x14ac:dyDescent="0.3">
      <c r="A486" s="997"/>
      <c r="B486" s="722"/>
      <c r="C486" s="282" t="s">
        <v>313</v>
      </c>
      <c r="D486" s="440" t="s">
        <v>263</v>
      </c>
      <c r="E486" s="283">
        <v>0</v>
      </c>
      <c r="F486" s="323">
        <f t="shared" si="98"/>
        <v>5</v>
      </c>
      <c r="G486" s="621">
        <v>29690</v>
      </c>
      <c r="H486" s="611">
        <f t="shared" si="100"/>
        <v>0</v>
      </c>
      <c r="I486" s="614">
        <f t="shared" si="99"/>
        <v>148450</v>
      </c>
      <c r="J486" s="379"/>
    </row>
    <row r="487" spans="1:10" ht="23.4" x14ac:dyDescent="0.3">
      <c r="A487" s="997"/>
      <c r="B487" s="722"/>
      <c r="C487" s="282" t="s">
        <v>313</v>
      </c>
      <c r="D487" s="440" t="s">
        <v>263</v>
      </c>
      <c r="E487" s="283">
        <v>0</v>
      </c>
      <c r="F487" s="323">
        <f t="shared" si="98"/>
        <v>1</v>
      </c>
      <c r="G487" s="621">
        <v>26445</v>
      </c>
      <c r="H487" s="611">
        <f t="shared" si="100"/>
        <v>0</v>
      </c>
      <c r="I487" s="614">
        <f t="shared" si="99"/>
        <v>26445</v>
      </c>
      <c r="J487" s="379"/>
    </row>
    <row r="488" spans="1:10" ht="23.4" x14ac:dyDescent="0.3">
      <c r="A488" s="997"/>
      <c r="B488" s="722"/>
      <c r="C488" s="282" t="s">
        <v>354</v>
      </c>
      <c r="D488" s="440" t="s">
        <v>401</v>
      </c>
      <c r="E488" s="283">
        <v>0</v>
      </c>
      <c r="F488" s="323">
        <f t="shared" si="98"/>
        <v>1998</v>
      </c>
      <c r="G488" s="621">
        <v>50</v>
      </c>
      <c r="H488" s="611">
        <f t="shared" si="100"/>
        <v>0</v>
      </c>
      <c r="I488" s="614">
        <f t="shared" si="99"/>
        <v>99900</v>
      </c>
      <c r="J488" s="379"/>
    </row>
    <row r="489" spans="1:10" ht="23.4" x14ac:dyDescent="0.3">
      <c r="A489" s="997"/>
      <c r="B489" s="722"/>
      <c r="C489" s="282" t="s">
        <v>365</v>
      </c>
      <c r="D489" s="440" t="s">
        <v>350</v>
      </c>
      <c r="E489" s="283">
        <v>0</v>
      </c>
      <c r="F489" s="323">
        <f t="shared" si="98"/>
        <v>0</v>
      </c>
      <c r="G489" s="621">
        <v>309.88</v>
      </c>
      <c r="H489" s="611">
        <f t="shared" si="100"/>
        <v>0</v>
      </c>
      <c r="I489" s="614">
        <f t="shared" si="99"/>
        <v>0</v>
      </c>
      <c r="J489" s="379"/>
    </row>
    <row r="490" spans="1:10" ht="23.4" x14ac:dyDescent="0.3">
      <c r="A490" s="997"/>
      <c r="B490" s="722"/>
      <c r="C490" s="282" t="s">
        <v>366</v>
      </c>
      <c r="D490" s="440" t="s">
        <v>263</v>
      </c>
      <c r="E490" s="283">
        <v>0</v>
      </c>
      <c r="F490" s="323">
        <f t="shared" si="98"/>
        <v>0</v>
      </c>
      <c r="G490" s="621">
        <v>53.86</v>
      </c>
      <c r="H490" s="611">
        <f t="shared" si="100"/>
        <v>0</v>
      </c>
      <c r="I490" s="614">
        <f t="shared" si="99"/>
        <v>0</v>
      </c>
      <c r="J490" s="379"/>
    </row>
    <row r="491" spans="1:10" ht="23.4" x14ac:dyDescent="0.3">
      <c r="A491" s="997"/>
      <c r="B491" s="722"/>
      <c r="C491" s="282" t="s">
        <v>386</v>
      </c>
      <c r="D491" s="440" t="s">
        <v>387</v>
      </c>
      <c r="E491" s="283">
        <v>0</v>
      </c>
      <c r="F491" s="323">
        <f t="shared" si="98"/>
        <v>0</v>
      </c>
      <c r="G491" s="621">
        <v>57.64</v>
      </c>
      <c r="H491" s="611">
        <f t="shared" si="100"/>
        <v>0</v>
      </c>
      <c r="I491" s="614">
        <f t="shared" si="99"/>
        <v>0</v>
      </c>
      <c r="J491" s="379"/>
    </row>
    <row r="492" spans="1:10" ht="23.4" x14ac:dyDescent="0.3">
      <c r="A492" s="997"/>
      <c r="B492" s="722"/>
      <c r="C492" s="282" t="s">
        <v>388</v>
      </c>
      <c r="D492" s="440" t="s">
        <v>389</v>
      </c>
      <c r="E492" s="283">
        <v>0</v>
      </c>
      <c r="F492" s="284">
        <f t="shared" si="98"/>
        <v>960</v>
      </c>
      <c r="G492" s="621">
        <v>434.41</v>
      </c>
      <c r="H492" s="611">
        <f t="shared" si="100"/>
        <v>0</v>
      </c>
      <c r="I492" s="614">
        <f t="shared" si="99"/>
        <v>417033.60000000003</v>
      </c>
      <c r="J492" s="379"/>
    </row>
    <row r="493" spans="1:10" ht="23.4" x14ac:dyDescent="0.3">
      <c r="A493" s="997"/>
      <c r="B493" s="722"/>
      <c r="C493" s="282" t="s">
        <v>419</v>
      </c>
      <c r="D493" s="440" t="s">
        <v>263</v>
      </c>
      <c r="E493" s="283">
        <v>900</v>
      </c>
      <c r="F493" s="284">
        <f t="shared" si="98"/>
        <v>4260</v>
      </c>
      <c r="G493" s="621">
        <v>624.26</v>
      </c>
      <c r="H493" s="611">
        <f t="shared" si="100"/>
        <v>561834</v>
      </c>
      <c r="I493" s="614">
        <f t="shared" si="99"/>
        <v>2659347.6</v>
      </c>
      <c r="J493" s="379"/>
    </row>
    <row r="494" spans="1:10" ht="23.4" x14ac:dyDescent="0.3">
      <c r="A494" s="997"/>
      <c r="B494" s="722"/>
      <c r="C494" s="282" t="s">
        <v>390</v>
      </c>
      <c r="D494" s="440" t="s">
        <v>389</v>
      </c>
      <c r="E494" s="283">
        <v>0</v>
      </c>
      <c r="F494" s="323">
        <f t="shared" si="98"/>
        <v>0</v>
      </c>
      <c r="G494" s="621">
        <v>63.55</v>
      </c>
      <c r="H494" s="611">
        <f t="shared" si="100"/>
        <v>0</v>
      </c>
      <c r="I494" s="614">
        <f t="shared" si="99"/>
        <v>0</v>
      </c>
      <c r="J494" s="379"/>
    </row>
    <row r="495" spans="1:10" ht="23.4" x14ac:dyDescent="0.3">
      <c r="A495" s="997"/>
      <c r="B495" s="722"/>
      <c r="C495" s="282" t="s">
        <v>391</v>
      </c>
      <c r="D495" s="440" t="s">
        <v>389</v>
      </c>
      <c r="E495" s="283">
        <v>0</v>
      </c>
      <c r="F495" s="323">
        <f t="shared" si="98"/>
        <v>0</v>
      </c>
      <c r="G495" s="621">
        <v>53.86</v>
      </c>
      <c r="H495" s="611">
        <f t="shared" si="100"/>
        <v>0</v>
      </c>
      <c r="I495" s="614">
        <f t="shared" si="99"/>
        <v>0</v>
      </c>
      <c r="J495" s="379"/>
    </row>
    <row r="496" spans="1:10" ht="23.4" x14ac:dyDescent="0.3">
      <c r="A496" s="997"/>
      <c r="B496" s="722"/>
      <c r="C496" s="282" t="s">
        <v>432</v>
      </c>
      <c r="D496" s="440" t="s">
        <v>401</v>
      </c>
      <c r="E496" s="283">
        <v>0</v>
      </c>
      <c r="F496" s="323">
        <f t="shared" si="98"/>
        <v>414</v>
      </c>
      <c r="G496" s="621">
        <v>45</v>
      </c>
      <c r="H496" s="611">
        <f t="shared" si="100"/>
        <v>0</v>
      </c>
      <c r="I496" s="614">
        <f t="shared" si="99"/>
        <v>18630</v>
      </c>
      <c r="J496" s="379"/>
    </row>
    <row r="497" spans="1:10" ht="23.4" x14ac:dyDescent="0.3">
      <c r="A497" s="997"/>
      <c r="B497" s="722"/>
      <c r="C497" s="282" t="s">
        <v>313</v>
      </c>
      <c r="D497" s="440"/>
      <c r="E497" s="283">
        <v>0</v>
      </c>
      <c r="F497" s="323">
        <f t="shared" si="98"/>
        <v>0</v>
      </c>
      <c r="G497" s="621">
        <v>39450</v>
      </c>
      <c r="H497" s="611">
        <f t="shared" si="100"/>
        <v>0</v>
      </c>
      <c r="I497" s="614">
        <f t="shared" si="99"/>
        <v>0</v>
      </c>
      <c r="J497" s="379"/>
    </row>
    <row r="498" spans="1:10" ht="24" thickBot="1" x14ac:dyDescent="0.35">
      <c r="A498" s="997"/>
      <c r="B498" s="722"/>
      <c r="C498" s="282" t="s">
        <v>388</v>
      </c>
      <c r="D498" s="440" t="s">
        <v>103</v>
      </c>
      <c r="E498" s="283">
        <v>0</v>
      </c>
      <c r="F498" s="323">
        <f t="shared" si="98"/>
        <v>0</v>
      </c>
      <c r="G498" s="621">
        <v>434.41</v>
      </c>
      <c r="H498" s="611">
        <f t="shared" si="100"/>
        <v>0</v>
      </c>
      <c r="I498" s="614">
        <f t="shared" si="99"/>
        <v>0</v>
      </c>
      <c r="J498" s="379"/>
    </row>
    <row r="499" spans="1:10" ht="24" thickBot="1" x14ac:dyDescent="0.35">
      <c r="A499" s="998"/>
      <c r="B499" s="992" t="s">
        <v>299</v>
      </c>
      <c r="C499" s="993"/>
      <c r="D499" s="723"/>
      <c r="E499" s="332"/>
      <c r="F499" s="333"/>
      <c r="G499" s="332"/>
      <c r="H499" s="608">
        <f>SUM(H479:H498)</f>
        <v>2963075.28</v>
      </c>
      <c r="I499" s="597">
        <f>SUM(I479:I498)</f>
        <v>11094418.359999999</v>
      </c>
      <c r="J499" s="378"/>
    </row>
    <row r="500" spans="1:10" ht="24" thickBot="1" x14ac:dyDescent="0.35">
      <c r="A500" s="724"/>
      <c r="B500" s="443"/>
      <c r="C500" s="282"/>
      <c r="D500" s="440"/>
      <c r="E500" s="283"/>
      <c r="F500" s="284"/>
      <c r="G500" s="340"/>
      <c r="H500" s="607"/>
      <c r="I500" s="285"/>
      <c r="J500" s="379"/>
    </row>
    <row r="501" spans="1:10" ht="24" thickBot="1" x14ac:dyDescent="0.35">
      <c r="A501" s="724"/>
      <c r="B501" s="992" t="s">
        <v>243</v>
      </c>
      <c r="C501" s="993"/>
      <c r="D501" s="720"/>
      <c r="E501" s="332"/>
      <c r="F501" s="333"/>
      <c r="G501" s="332"/>
      <c r="H501" s="605"/>
      <c r="I501" s="330"/>
      <c r="J501" s="355"/>
    </row>
    <row r="502" spans="1:10" ht="24.6" thickBot="1" x14ac:dyDescent="0.35">
      <c r="A502" s="325"/>
      <c r="B502" s="994" t="s">
        <v>183</v>
      </c>
      <c r="C502" s="995"/>
      <c r="D502" s="721"/>
      <c r="E502" s="380"/>
      <c r="F502" s="380"/>
      <c r="G502" s="380"/>
      <c r="H502" s="380"/>
      <c r="I502" s="380">
        <f>+I499+I478+I457</f>
        <v>32325284.939999998</v>
      </c>
      <c r="J502" s="381"/>
    </row>
    <row r="503" spans="1:10" ht="23.4" x14ac:dyDescent="0.3">
      <c r="A503" s="935" t="s">
        <v>1</v>
      </c>
      <c r="B503" s="938" t="s">
        <v>2</v>
      </c>
      <c r="C503" s="1001" t="s">
        <v>3</v>
      </c>
      <c r="D503" s="1005" t="s">
        <v>93</v>
      </c>
      <c r="E503" s="1008">
        <v>44510</v>
      </c>
      <c r="F503" s="945"/>
      <c r="G503" s="945"/>
      <c r="H503" s="945"/>
      <c r="I503" s="945"/>
      <c r="J503" s="946"/>
    </row>
    <row r="504" spans="1:10" ht="23.4" x14ac:dyDescent="0.3">
      <c r="A504" s="999"/>
      <c r="B504" s="1000"/>
      <c r="C504" s="1002"/>
      <c r="D504" s="1006"/>
      <c r="E504" s="1009" t="s">
        <v>94</v>
      </c>
      <c r="F504" s="1010"/>
      <c r="G504" s="1009" t="s">
        <v>252</v>
      </c>
      <c r="H504" s="1011"/>
      <c r="I504" s="1011"/>
      <c r="J504" s="1010"/>
    </row>
    <row r="505" spans="1:10" x14ac:dyDescent="0.3">
      <c r="A505" s="936"/>
      <c r="B505" s="939"/>
      <c r="C505" s="1003"/>
      <c r="D505" s="1006"/>
      <c r="E505" s="947" t="s">
        <v>95</v>
      </c>
      <c r="F505" s="949" t="s">
        <v>96</v>
      </c>
      <c r="G505" s="1012" t="s">
        <v>97</v>
      </c>
      <c r="H505" s="1014" t="s">
        <v>98</v>
      </c>
      <c r="I505" s="1014" t="s">
        <v>98</v>
      </c>
      <c r="J505" s="1016" t="s">
        <v>12</v>
      </c>
    </row>
    <row r="506" spans="1:10" ht="14.4" thickBot="1" x14ac:dyDescent="0.35">
      <c r="A506" s="937"/>
      <c r="B506" s="940"/>
      <c r="C506" s="1004"/>
      <c r="D506" s="1007"/>
      <c r="E506" s="948"/>
      <c r="F506" s="950"/>
      <c r="G506" s="1013"/>
      <c r="H506" s="1015"/>
      <c r="I506" s="1015"/>
      <c r="J506" s="1017"/>
    </row>
    <row r="507" spans="1:10" ht="23.4" x14ac:dyDescent="0.3">
      <c r="A507" s="996" t="s">
        <v>111</v>
      </c>
      <c r="B507" s="445"/>
      <c r="C507" s="592" t="s">
        <v>300</v>
      </c>
      <c r="D507" s="449" t="s">
        <v>292</v>
      </c>
      <c r="E507" s="273">
        <v>0</v>
      </c>
      <c r="F507" s="441">
        <f>E507+F425</f>
        <v>0</v>
      </c>
      <c r="G507" s="593">
        <v>111.09</v>
      </c>
      <c r="H507" s="609">
        <f t="shared" ref="H507:H520" si="101">E507*G507</f>
        <v>0</v>
      </c>
      <c r="I507" s="612">
        <f>+G507*F507</f>
        <v>0</v>
      </c>
      <c r="J507" s="357"/>
    </row>
    <row r="508" spans="1:10" ht="23.4" x14ac:dyDescent="0.3">
      <c r="A508" s="997"/>
      <c r="B508" s="444"/>
      <c r="C508" s="448" t="s">
        <v>293</v>
      </c>
      <c r="D508" s="447" t="s">
        <v>294</v>
      </c>
      <c r="E508" s="279">
        <v>0</v>
      </c>
      <c r="F508" s="441">
        <f t="shared" ref="F508:F520" si="102">E508+F426</f>
        <v>0</v>
      </c>
      <c r="G508" s="594">
        <v>11</v>
      </c>
      <c r="H508" s="610">
        <f t="shared" si="101"/>
        <v>0</v>
      </c>
      <c r="I508" s="613">
        <f>+G508*F508</f>
        <v>0</v>
      </c>
      <c r="J508" s="358"/>
    </row>
    <row r="509" spans="1:10" ht="23.4" x14ac:dyDescent="0.3">
      <c r="A509" s="997"/>
      <c r="B509" s="444"/>
      <c r="C509" s="448" t="s">
        <v>319</v>
      </c>
      <c r="D509" s="447" t="s">
        <v>320</v>
      </c>
      <c r="E509" s="279">
        <v>0</v>
      </c>
      <c r="F509" s="441">
        <f t="shared" si="102"/>
        <v>0</v>
      </c>
      <c r="G509" s="594">
        <v>10.57</v>
      </c>
      <c r="H509" s="610">
        <f t="shared" si="101"/>
        <v>0</v>
      </c>
      <c r="I509" s="613">
        <f t="shared" ref="I509:I520" si="103">+G509*F509</f>
        <v>0</v>
      </c>
      <c r="J509" s="358"/>
    </row>
    <row r="510" spans="1:10" ht="23.4" x14ac:dyDescent="0.3">
      <c r="A510" s="997"/>
      <c r="B510" s="444"/>
      <c r="C510" s="448" t="s">
        <v>307</v>
      </c>
      <c r="D510" s="447" t="s">
        <v>320</v>
      </c>
      <c r="E510" s="279">
        <v>0</v>
      </c>
      <c r="F510" s="441">
        <f t="shared" si="102"/>
        <v>0</v>
      </c>
      <c r="G510" s="594">
        <v>55.76</v>
      </c>
      <c r="H510" s="610">
        <f t="shared" si="101"/>
        <v>0</v>
      </c>
      <c r="I510" s="613">
        <f t="shared" si="103"/>
        <v>0</v>
      </c>
      <c r="J510" s="358"/>
    </row>
    <row r="511" spans="1:10" ht="23.4" x14ac:dyDescent="0.3">
      <c r="A511" s="997"/>
      <c r="B511" s="444"/>
      <c r="C511" s="448" t="s">
        <v>323</v>
      </c>
      <c r="D511" s="447" t="s">
        <v>192</v>
      </c>
      <c r="E511" s="279">
        <v>0</v>
      </c>
      <c r="F511" s="441">
        <f t="shared" si="102"/>
        <v>152064</v>
      </c>
      <c r="G511" s="594">
        <v>14.79</v>
      </c>
      <c r="H511" s="610">
        <f t="shared" si="101"/>
        <v>0</v>
      </c>
      <c r="I511" s="613">
        <f t="shared" si="103"/>
        <v>2249026.5600000001</v>
      </c>
      <c r="J511" s="358"/>
    </row>
    <row r="512" spans="1:10" ht="23.4" x14ac:dyDescent="0.3">
      <c r="A512" s="997"/>
      <c r="B512" s="444"/>
      <c r="C512" s="448" t="s">
        <v>332</v>
      </c>
      <c r="D512" s="447" t="s">
        <v>294</v>
      </c>
      <c r="E512" s="279">
        <v>640</v>
      </c>
      <c r="F512" s="441">
        <f t="shared" si="102"/>
        <v>960</v>
      </c>
      <c r="G512" s="594">
        <v>139.04</v>
      </c>
      <c r="H512" s="610">
        <f t="shared" si="101"/>
        <v>88985.599999999991</v>
      </c>
      <c r="I512" s="613">
        <f t="shared" si="103"/>
        <v>133478.39999999999</v>
      </c>
      <c r="J512" s="358"/>
    </row>
    <row r="513" spans="1:10" ht="23.4" x14ac:dyDescent="0.3">
      <c r="A513" s="997"/>
      <c r="B513" s="444"/>
      <c r="C513" s="448" t="s">
        <v>384</v>
      </c>
      <c r="D513" s="623" t="s">
        <v>447</v>
      </c>
      <c r="E513" s="279">
        <v>99364</v>
      </c>
      <c r="F513" s="441">
        <f t="shared" si="102"/>
        <v>99364</v>
      </c>
      <c r="G513" s="594">
        <v>20.5</v>
      </c>
      <c r="H513" s="610">
        <f t="shared" si="101"/>
        <v>2036962</v>
      </c>
      <c r="I513" s="613">
        <f t="shared" si="103"/>
        <v>2036962</v>
      </c>
      <c r="J513" s="358"/>
    </row>
    <row r="514" spans="1:10" ht="23.4" x14ac:dyDescent="0.3">
      <c r="A514" s="997"/>
      <c r="B514" s="444"/>
      <c r="C514" s="448" t="s">
        <v>362</v>
      </c>
      <c r="D514" s="623" t="s">
        <v>294</v>
      </c>
      <c r="E514" s="279">
        <v>0</v>
      </c>
      <c r="F514" s="441">
        <f t="shared" si="102"/>
        <v>16524</v>
      </c>
      <c r="G514" s="594">
        <v>18.84</v>
      </c>
      <c r="H514" s="610">
        <f t="shared" si="101"/>
        <v>0</v>
      </c>
      <c r="I514" s="613">
        <f t="shared" si="103"/>
        <v>311312.15999999997</v>
      </c>
      <c r="J514" s="358"/>
    </row>
    <row r="515" spans="1:10" ht="23.4" x14ac:dyDescent="0.3">
      <c r="A515" s="997"/>
      <c r="B515" s="444"/>
      <c r="C515" s="448" t="s">
        <v>376</v>
      </c>
      <c r="D515" s="623" t="s">
        <v>257</v>
      </c>
      <c r="E515" s="279">
        <v>0</v>
      </c>
      <c r="F515" s="441">
        <f t="shared" si="102"/>
        <v>306000</v>
      </c>
      <c r="G515" s="594">
        <v>21.18</v>
      </c>
      <c r="H515" s="610">
        <f t="shared" si="101"/>
        <v>0</v>
      </c>
      <c r="I515" s="613">
        <f t="shared" si="103"/>
        <v>6481080</v>
      </c>
      <c r="J515" s="358"/>
    </row>
    <row r="516" spans="1:10" ht="23.4" x14ac:dyDescent="0.3">
      <c r="A516" s="997"/>
      <c r="B516" s="444"/>
      <c r="C516" s="448" t="s">
        <v>378</v>
      </c>
      <c r="D516" s="623" t="s">
        <v>379</v>
      </c>
      <c r="E516" s="279">
        <v>0</v>
      </c>
      <c r="F516" s="441">
        <f t="shared" si="102"/>
        <v>61200</v>
      </c>
      <c r="G516" s="594">
        <v>21.28</v>
      </c>
      <c r="H516" s="610">
        <f t="shared" si="101"/>
        <v>0</v>
      </c>
      <c r="I516" s="613">
        <f t="shared" si="103"/>
        <v>1302336</v>
      </c>
      <c r="J516" s="358"/>
    </row>
    <row r="517" spans="1:10" ht="23.4" x14ac:dyDescent="0.3">
      <c r="A517" s="997"/>
      <c r="B517" s="444"/>
      <c r="C517" s="448" t="s">
        <v>332</v>
      </c>
      <c r="D517" s="623" t="s">
        <v>447</v>
      </c>
      <c r="E517" s="279">
        <v>9920</v>
      </c>
      <c r="F517" s="441">
        <f t="shared" si="102"/>
        <v>9920</v>
      </c>
      <c r="G517" s="594">
        <v>139.04</v>
      </c>
      <c r="H517" s="610">
        <f t="shared" si="101"/>
        <v>1379276.7999999998</v>
      </c>
      <c r="I517" s="613">
        <f t="shared" si="103"/>
        <v>1379276.7999999998</v>
      </c>
      <c r="J517" s="358"/>
    </row>
    <row r="518" spans="1:10" ht="23.4" x14ac:dyDescent="0.3">
      <c r="A518" s="997"/>
      <c r="B518" s="444"/>
      <c r="C518" s="592" t="s">
        <v>383</v>
      </c>
      <c r="D518" s="623" t="s">
        <v>294</v>
      </c>
      <c r="E518" s="279">
        <v>0</v>
      </c>
      <c r="F518" s="441">
        <f t="shared" si="102"/>
        <v>0</v>
      </c>
      <c r="G518" s="594">
        <v>109.77</v>
      </c>
      <c r="H518" s="610">
        <f t="shared" si="101"/>
        <v>0</v>
      </c>
      <c r="I518" s="613">
        <f t="shared" si="103"/>
        <v>0</v>
      </c>
      <c r="J518" s="358"/>
    </row>
    <row r="519" spans="1:10" ht="23.4" x14ac:dyDescent="0.3">
      <c r="A519" s="997"/>
      <c r="B519" s="444"/>
      <c r="C519" s="448" t="s">
        <v>384</v>
      </c>
      <c r="D519" s="623" t="s">
        <v>206</v>
      </c>
      <c r="E519" s="279">
        <v>0</v>
      </c>
      <c r="F519" s="441">
        <f t="shared" si="102"/>
        <v>0</v>
      </c>
      <c r="G519" s="594">
        <v>21.28</v>
      </c>
      <c r="H519" s="610">
        <f t="shared" si="101"/>
        <v>0</v>
      </c>
      <c r="I519" s="613">
        <f t="shared" si="103"/>
        <v>0</v>
      </c>
      <c r="J519" s="358"/>
    </row>
    <row r="520" spans="1:10" ht="24" thickBot="1" x14ac:dyDescent="0.35">
      <c r="A520" s="997"/>
      <c r="B520" s="444"/>
      <c r="C520" s="448" t="s">
        <v>400</v>
      </c>
      <c r="D520" s="450" t="s">
        <v>193</v>
      </c>
      <c r="E520" s="279">
        <v>0</v>
      </c>
      <c r="F520" s="441">
        <f t="shared" si="102"/>
        <v>1186</v>
      </c>
      <c r="G520" s="594">
        <v>36.44</v>
      </c>
      <c r="H520" s="610">
        <f t="shared" si="101"/>
        <v>0</v>
      </c>
      <c r="I520" s="613">
        <f t="shared" si="103"/>
        <v>43217.84</v>
      </c>
      <c r="J520" s="358"/>
    </row>
    <row r="521" spans="1:10" ht="24" thickBot="1" x14ac:dyDescent="0.35">
      <c r="A521" s="997"/>
      <c r="B521" s="992" t="s">
        <v>295</v>
      </c>
      <c r="C521" s="993"/>
      <c r="D521" s="729"/>
      <c r="E521" s="332"/>
      <c r="F521" s="333"/>
      <c r="G521" s="332"/>
      <c r="H521" s="605">
        <f>SUM(H507:H520)</f>
        <v>3505224.4</v>
      </c>
      <c r="I521" s="597">
        <f>SUM(I507:I520)</f>
        <v>13936689.760000002</v>
      </c>
      <c r="J521" s="355"/>
    </row>
    <row r="522" spans="1:10" ht="23.4" x14ac:dyDescent="0.3">
      <c r="A522" s="997"/>
      <c r="B522" s="727"/>
      <c r="C522" s="282" t="s">
        <v>301</v>
      </c>
      <c r="D522" s="440" t="s">
        <v>263</v>
      </c>
      <c r="E522" s="283">
        <v>8750</v>
      </c>
      <c r="F522" s="323">
        <f t="shared" ref="F522:F532" si="104">E522+F440</f>
        <v>49000</v>
      </c>
      <c r="G522" s="595">
        <v>160.44999999999999</v>
      </c>
      <c r="H522" s="611">
        <f t="shared" ref="H522:H532" si="105">E522*G522</f>
        <v>1403937.5</v>
      </c>
      <c r="I522" s="614">
        <f t="shared" ref="I522:I532" si="106">+G522*F522</f>
        <v>7862049.9999999991</v>
      </c>
      <c r="J522" s="379"/>
    </row>
    <row r="523" spans="1:10" ht="23.4" x14ac:dyDescent="0.3">
      <c r="A523" s="997"/>
      <c r="B523" s="727"/>
      <c r="C523" s="282" t="s">
        <v>317</v>
      </c>
      <c r="D523" s="440" t="s">
        <v>263</v>
      </c>
      <c r="E523" s="283">
        <v>0</v>
      </c>
      <c r="F523" s="323">
        <f t="shared" si="104"/>
        <v>875</v>
      </c>
      <c r="G523" s="595">
        <v>160.44999999999999</v>
      </c>
      <c r="H523" s="611">
        <f t="shared" si="105"/>
        <v>0</v>
      </c>
      <c r="I523" s="614">
        <f t="shared" si="106"/>
        <v>140393.75</v>
      </c>
      <c r="J523" s="379"/>
    </row>
    <row r="524" spans="1:10" ht="23.4" x14ac:dyDescent="0.3">
      <c r="A524" s="997"/>
      <c r="B524" s="727"/>
      <c r="C524" s="282" t="s">
        <v>318</v>
      </c>
      <c r="D524" s="440" t="s">
        <v>263</v>
      </c>
      <c r="E524" s="283">
        <v>3125</v>
      </c>
      <c r="F524" s="323">
        <f t="shared" si="104"/>
        <v>3125</v>
      </c>
      <c r="G524" s="595">
        <v>160.44999999999999</v>
      </c>
      <c r="H524" s="611">
        <f t="shared" si="105"/>
        <v>501406.24999999994</v>
      </c>
      <c r="I524" s="614">
        <f t="shared" si="106"/>
        <v>501406.24999999994</v>
      </c>
      <c r="J524" s="379"/>
    </row>
    <row r="525" spans="1:10" ht="23.4" x14ac:dyDescent="0.3">
      <c r="A525" s="997"/>
      <c r="B525" s="727"/>
      <c r="C525" s="282" t="s">
        <v>321</v>
      </c>
      <c r="D525" s="440" t="s">
        <v>100</v>
      </c>
      <c r="E525" s="283">
        <v>0</v>
      </c>
      <c r="F525" s="323">
        <f t="shared" si="104"/>
        <v>0</v>
      </c>
      <c r="G525" s="595">
        <v>27</v>
      </c>
      <c r="H525" s="611">
        <f t="shared" si="105"/>
        <v>0</v>
      </c>
      <c r="I525" s="614">
        <f t="shared" si="106"/>
        <v>0</v>
      </c>
      <c r="J525" s="379"/>
    </row>
    <row r="526" spans="1:10" ht="23.4" x14ac:dyDescent="0.3">
      <c r="A526" s="997"/>
      <c r="B526" s="727"/>
      <c r="C526" s="282" t="s">
        <v>321</v>
      </c>
      <c r="D526" s="440" t="s">
        <v>329</v>
      </c>
      <c r="E526" s="283">
        <v>0</v>
      </c>
      <c r="F526" s="323">
        <f t="shared" si="104"/>
        <v>0</v>
      </c>
      <c r="G526" s="595">
        <v>27.5</v>
      </c>
      <c r="H526" s="611">
        <f t="shared" si="105"/>
        <v>0</v>
      </c>
      <c r="I526" s="614">
        <f t="shared" si="106"/>
        <v>0</v>
      </c>
      <c r="J526" s="379"/>
    </row>
    <row r="527" spans="1:10" ht="23.4" x14ac:dyDescent="0.3">
      <c r="A527" s="997"/>
      <c r="B527" s="727"/>
      <c r="C527" s="282" t="s">
        <v>307</v>
      </c>
      <c r="D527" s="440" t="s">
        <v>329</v>
      </c>
      <c r="E527" s="283">
        <v>0</v>
      </c>
      <c r="F527" s="323">
        <f t="shared" si="104"/>
        <v>0</v>
      </c>
      <c r="G527" s="595">
        <v>34.5</v>
      </c>
      <c r="H527" s="611">
        <f t="shared" si="105"/>
        <v>0</v>
      </c>
      <c r="I527" s="614">
        <f t="shared" si="106"/>
        <v>0</v>
      </c>
      <c r="J527" s="379"/>
    </row>
    <row r="528" spans="1:10" ht="23.4" x14ac:dyDescent="0.3">
      <c r="A528" s="997"/>
      <c r="B528" s="727"/>
      <c r="C528" s="282" t="s">
        <v>342</v>
      </c>
      <c r="D528" s="440" t="s">
        <v>263</v>
      </c>
      <c r="E528" s="283">
        <v>0</v>
      </c>
      <c r="F528" s="323">
        <f t="shared" si="104"/>
        <v>6250</v>
      </c>
      <c r="G528" s="595">
        <v>160.44999999999999</v>
      </c>
      <c r="H528" s="611">
        <f t="shared" si="105"/>
        <v>0</v>
      </c>
      <c r="I528" s="614">
        <f t="shared" si="106"/>
        <v>1002812.4999999999</v>
      </c>
      <c r="J528" s="379"/>
    </row>
    <row r="529" spans="1:12" ht="23.4" x14ac:dyDescent="0.3">
      <c r="A529" s="997"/>
      <c r="B529" s="727"/>
      <c r="C529" s="282" t="s">
        <v>438</v>
      </c>
      <c r="D529" s="440" t="s">
        <v>263</v>
      </c>
      <c r="E529" s="283">
        <v>0</v>
      </c>
      <c r="F529" s="323">
        <f t="shared" si="104"/>
        <v>3500</v>
      </c>
      <c r="G529" s="595">
        <v>160.44999999999999</v>
      </c>
      <c r="H529" s="611">
        <f t="shared" si="105"/>
        <v>0</v>
      </c>
      <c r="I529" s="614">
        <f t="shared" si="106"/>
        <v>561575</v>
      </c>
      <c r="J529" s="379"/>
    </row>
    <row r="530" spans="1:12" ht="23.4" x14ac:dyDescent="0.3">
      <c r="A530" s="997"/>
      <c r="B530" s="727"/>
      <c r="C530" s="282" t="s">
        <v>357</v>
      </c>
      <c r="D530" s="440" t="s">
        <v>263</v>
      </c>
      <c r="E530" s="283">
        <v>0</v>
      </c>
      <c r="F530" s="323">
        <f t="shared" si="104"/>
        <v>11735</v>
      </c>
      <c r="G530" s="595">
        <v>160.44999999999999</v>
      </c>
      <c r="H530" s="611">
        <f t="shared" si="105"/>
        <v>0</v>
      </c>
      <c r="I530" s="614">
        <f t="shared" si="106"/>
        <v>1882880.7499999998</v>
      </c>
      <c r="J530" s="379"/>
    </row>
    <row r="531" spans="1:12" ht="23.4" x14ac:dyDescent="0.3">
      <c r="A531" s="997"/>
      <c r="B531" s="727"/>
      <c r="C531" s="282" t="s">
        <v>358</v>
      </c>
      <c r="D531" s="440" t="s">
        <v>263</v>
      </c>
      <c r="E531" s="283">
        <v>0</v>
      </c>
      <c r="F531" s="323">
        <f t="shared" si="104"/>
        <v>2625</v>
      </c>
      <c r="G531" s="595">
        <v>160.44999999999999</v>
      </c>
      <c r="H531" s="611">
        <f t="shared" si="105"/>
        <v>0</v>
      </c>
      <c r="I531" s="614">
        <f t="shared" si="106"/>
        <v>421181.24999999994</v>
      </c>
      <c r="J531" s="379"/>
    </row>
    <row r="532" spans="1:12" ht="24" thickBot="1" x14ac:dyDescent="0.35">
      <c r="A532" s="997"/>
      <c r="B532" s="727"/>
      <c r="C532" s="282" t="s">
        <v>353</v>
      </c>
      <c r="D532" s="440" t="s">
        <v>263</v>
      </c>
      <c r="E532" s="283">
        <v>0</v>
      </c>
      <c r="F532" s="323">
        <f t="shared" si="104"/>
        <v>875</v>
      </c>
      <c r="G532" s="595">
        <v>160.44999999999999</v>
      </c>
      <c r="H532" s="611">
        <f t="shared" si="105"/>
        <v>0</v>
      </c>
      <c r="I532" s="614">
        <f t="shared" si="106"/>
        <v>140393.75</v>
      </c>
      <c r="J532" s="379"/>
    </row>
    <row r="533" spans="1:12" ht="24" thickBot="1" x14ac:dyDescent="0.35">
      <c r="A533" s="997"/>
      <c r="B533" s="992" t="s">
        <v>296</v>
      </c>
      <c r="C533" s="993"/>
      <c r="D533" s="729"/>
      <c r="E533" s="332"/>
      <c r="F533" s="333"/>
      <c r="G533" s="332"/>
      <c r="H533" s="605">
        <f>SUM(H522:H532)</f>
        <v>1905343.75</v>
      </c>
      <c r="I533" s="597">
        <f>SUM(I522:I532)</f>
        <v>12512693.249999998</v>
      </c>
      <c r="J533" s="355"/>
    </row>
    <row r="534" spans="1:12" ht="23.4" x14ac:dyDescent="0.3">
      <c r="A534" s="997"/>
      <c r="B534" s="727"/>
      <c r="C534" s="282" t="s">
        <v>303</v>
      </c>
      <c r="D534" s="440"/>
      <c r="E534" s="283">
        <v>0</v>
      </c>
      <c r="F534" s="598">
        <f t="shared" ref="F534:F536" si="107">E534+F452</f>
        <v>0</v>
      </c>
      <c r="G534" s="595">
        <v>10</v>
      </c>
      <c r="H534" s="611">
        <f t="shared" ref="H534:H536" si="108">E534*G534</f>
        <v>0</v>
      </c>
      <c r="I534" s="614">
        <f t="shared" ref="I534" si="109">+G534*F534</f>
        <v>0</v>
      </c>
      <c r="J534" s="379"/>
    </row>
    <row r="535" spans="1:12" ht="23.4" x14ac:dyDescent="0.3">
      <c r="A535" s="997"/>
      <c r="B535" s="727"/>
      <c r="C535" s="282" t="s">
        <v>308</v>
      </c>
      <c r="D535" s="440" t="s">
        <v>309</v>
      </c>
      <c r="E535" s="283">
        <v>2</v>
      </c>
      <c r="F535" s="598">
        <f t="shared" si="107"/>
        <v>7</v>
      </c>
      <c r="G535" s="595">
        <v>2500</v>
      </c>
      <c r="H535" s="611">
        <f t="shared" si="108"/>
        <v>5000</v>
      </c>
      <c r="I535" s="614">
        <f>+G535*F535</f>
        <v>17500</v>
      </c>
      <c r="J535" s="379"/>
    </row>
    <row r="536" spans="1:12" ht="24" thickBot="1" x14ac:dyDescent="0.35">
      <c r="A536" s="997"/>
      <c r="B536" s="727"/>
      <c r="C536" s="282" t="s">
        <v>343</v>
      </c>
      <c r="D536" s="440" t="s">
        <v>344</v>
      </c>
      <c r="E536" s="283">
        <v>0</v>
      </c>
      <c r="F536" s="598">
        <f t="shared" si="107"/>
        <v>0</v>
      </c>
      <c r="G536" s="596">
        <v>360</v>
      </c>
      <c r="H536" s="611">
        <f t="shared" si="108"/>
        <v>0</v>
      </c>
      <c r="I536" s="614">
        <f t="shared" ref="I536" si="110">+G536*F536</f>
        <v>0</v>
      </c>
      <c r="J536" s="379"/>
    </row>
    <row r="537" spans="1:12" ht="24" thickBot="1" x14ac:dyDescent="0.35">
      <c r="A537" s="997"/>
      <c r="B537" s="992" t="s">
        <v>302</v>
      </c>
      <c r="C537" s="993"/>
      <c r="D537" s="729"/>
      <c r="E537" s="332"/>
      <c r="F537" s="333"/>
      <c r="G537" s="332"/>
      <c r="H537" s="605">
        <f>SUM(H534:H536)</f>
        <v>5000</v>
      </c>
      <c r="I537" s="597">
        <f>SUM(I534:I536)</f>
        <v>17500</v>
      </c>
      <c r="J537" s="379"/>
    </row>
    <row r="538" spans="1:12" ht="24" thickBot="1" x14ac:dyDescent="0.35">
      <c r="A538" s="997"/>
      <c r="B538" s="727"/>
      <c r="C538" s="282"/>
      <c r="D538" s="440"/>
      <c r="E538" s="283"/>
      <c r="F538" s="323"/>
      <c r="G538" s="596"/>
      <c r="H538" s="606"/>
      <c r="I538" s="285">
        <f t="shared" ref="I538" si="111">+G538*F538</f>
        <v>0</v>
      </c>
      <c r="J538" s="379"/>
    </row>
    <row r="539" spans="1:12" ht="24" thickBot="1" x14ac:dyDescent="0.35">
      <c r="A539" s="998"/>
      <c r="B539" s="992" t="s">
        <v>298</v>
      </c>
      <c r="C539" s="993"/>
      <c r="D539" s="725"/>
      <c r="E539" s="332"/>
      <c r="F539" s="333"/>
      <c r="G539" s="332"/>
      <c r="H539" s="597">
        <f>+H533+H521+H537</f>
        <v>5415568.1500000004</v>
      </c>
      <c r="I539" s="597">
        <f>+I533+I521+I537</f>
        <v>26466883.009999998</v>
      </c>
      <c r="J539" s="379"/>
      <c r="L539" s="620"/>
    </row>
    <row r="540" spans="1:12" ht="23.4" x14ac:dyDescent="0.3">
      <c r="A540" s="996" t="s">
        <v>109</v>
      </c>
      <c r="B540" s="727"/>
      <c r="C540" s="282" t="s">
        <v>312</v>
      </c>
      <c r="D540" s="440" t="s">
        <v>193</v>
      </c>
      <c r="E540" s="283">
        <v>0</v>
      </c>
      <c r="F540" s="323">
        <f t="shared" ref="F540:F559" si="112">E540+F458</f>
        <v>7956</v>
      </c>
      <c r="G540" s="621">
        <v>13.25</v>
      </c>
      <c r="H540" s="615">
        <f t="shared" ref="H540:H559" si="113">E540*G540</f>
        <v>0</v>
      </c>
      <c r="I540" s="614">
        <f t="shared" ref="I540:I559" si="114">+G540*F540</f>
        <v>105417</v>
      </c>
      <c r="J540" s="379"/>
    </row>
    <row r="541" spans="1:12" ht="23.4" x14ac:dyDescent="0.3">
      <c r="A541" s="997"/>
      <c r="B541" s="727"/>
      <c r="C541" s="282" t="s">
        <v>313</v>
      </c>
      <c r="D541" s="440"/>
      <c r="E541" s="283">
        <v>0</v>
      </c>
      <c r="F541" s="323">
        <f t="shared" si="112"/>
        <v>1</v>
      </c>
      <c r="G541" s="622">
        <v>10000</v>
      </c>
      <c r="H541" s="615">
        <f t="shared" si="113"/>
        <v>0</v>
      </c>
      <c r="I541" s="614">
        <f t="shared" si="114"/>
        <v>10000</v>
      </c>
      <c r="J541" s="379"/>
    </row>
    <row r="542" spans="1:12" ht="23.4" x14ac:dyDescent="0.3">
      <c r="A542" s="997"/>
      <c r="B542" s="727"/>
      <c r="C542" s="282" t="s">
        <v>313</v>
      </c>
      <c r="D542" s="440"/>
      <c r="E542" s="283">
        <v>0</v>
      </c>
      <c r="F542" s="323">
        <f t="shared" si="112"/>
        <v>0</v>
      </c>
      <c r="G542" s="622">
        <v>18000</v>
      </c>
      <c r="H542" s="615">
        <f t="shared" si="113"/>
        <v>0</v>
      </c>
      <c r="I542" s="614">
        <f t="shared" si="114"/>
        <v>0</v>
      </c>
      <c r="J542" s="379"/>
    </row>
    <row r="543" spans="1:12" ht="23.4" x14ac:dyDescent="0.3">
      <c r="A543" s="997"/>
      <c r="B543" s="727"/>
      <c r="C543" s="282" t="s">
        <v>328</v>
      </c>
      <c r="D543" s="440" t="s">
        <v>193</v>
      </c>
      <c r="E543" s="283">
        <v>0</v>
      </c>
      <c r="F543" s="323">
        <f t="shared" si="112"/>
        <v>0</v>
      </c>
      <c r="G543" s="621">
        <v>24.93</v>
      </c>
      <c r="H543" s="615">
        <f t="shared" si="113"/>
        <v>0</v>
      </c>
      <c r="I543" s="614">
        <f t="shared" si="114"/>
        <v>0</v>
      </c>
      <c r="J543" s="379"/>
    </row>
    <row r="544" spans="1:12" ht="23.4" x14ac:dyDescent="0.3">
      <c r="A544" s="997"/>
      <c r="B544" s="727"/>
      <c r="C544" s="282" t="s">
        <v>335</v>
      </c>
      <c r="D544" s="440" t="s">
        <v>99</v>
      </c>
      <c r="E544" s="283">
        <v>0</v>
      </c>
      <c r="F544" s="323">
        <f t="shared" si="112"/>
        <v>0</v>
      </c>
      <c r="G544" s="621">
        <v>26</v>
      </c>
      <c r="H544" s="615">
        <f t="shared" si="113"/>
        <v>0</v>
      </c>
      <c r="I544" s="614">
        <f t="shared" si="114"/>
        <v>0</v>
      </c>
      <c r="J544" s="379"/>
    </row>
    <row r="545" spans="1:10" ht="23.4" x14ac:dyDescent="0.3">
      <c r="A545" s="997"/>
      <c r="B545" s="727"/>
      <c r="C545" s="282" t="s">
        <v>336</v>
      </c>
      <c r="D545" s="440" t="s">
        <v>193</v>
      </c>
      <c r="E545" s="283">
        <v>0</v>
      </c>
      <c r="F545" s="323">
        <f t="shared" si="112"/>
        <v>0</v>
      </c>
      <c r="G545" s="621">
        <v>25.49</v>
      </c>
      <c r="H545" s="615">
        <f t="shared" si="113"/>
        <v>0</v>
      </c>
      <c r="I545" s="614">
        <f t="shared" si="114"/>
        <v>0</v>
      </c>
      <c r="J545" s="379"/>
    </row>
    <row r="546" spans="1:10" ht="23.4" x14ac:dyDescent="0.3">
      <c r="A546" s="997"/>
      <c r="B546" s="727"/>
      <c r="C546" s="282" t="s">
        <v>337</v>
      </c>
      <c r="D546" s="440" t="s">
        <v>115</v>
      </c>
      <c r="E546" s="283">
        <v>0</v>
      </c>
      <c r="F546" s="323">
        <f t="shared" si="112"/>
        <v>0</v>
      </c>
      <c r="G546" s="621">
        <v>24.93</v>
      </c>
      <c r="H546" s="615">
        <f t="shared" si="113"/>
        <v>0</v>
      </c>
      <c r="I546" s="614">
        <f t="shared" si="114"/>
        <v>0</v>
      </c>
      <c r="J546" s="379"/>
    </row>
    <row r="547" spans="1:10" ht="23.4" x14ac:dyDescent="0.3">
      <c r="A547" s="997"/>
      <c r="B547" s="727"/>
      <c r="C547" s="282" t="s">
        <v>338</v>
      </c>
      <c r="D547" s="440" t="s">
        <v>311</v>
      </c>
      <c r="E547" s="283">
        <v>0</v>
      </c>
      <c r="F547" s="323">
        <f t="shared" si="112"/>
        <v>0</v>
      </c>
      <c r="G547" s="621">
        <v>24.93</v>
      </c>
      <c r="H547" s="615">
        <f t="shared" si="113"/>
        <v>0</v>
      </c>
      <c r="I547" s="614">
        <f t="shared" si="114"/>
        <v>0</v>
      </c>
      <c r="J547" s="379"/>
    </row>
    <row r="548" spans="1:10" ht="23.4" x14ac:dyDescent="0.3">
      <c r="A548" s="997"/>
      <c r="B548" s="727"/>
      <c r="C548" s="282" t="s">
        <v>339</v>
      </c>
      <c r="D548" s="440" t="s">
        <v>99</v>
      </c>
      <c r="E548" s="283">
        <v>0</v>
      </c>
      <c r="F548" s="323">
        <f t="shared" si="112"/>
        <v>0</v>
      </c>
      <c r="G548" s="621">
        <v>20.89</v>
      </c>
      <c r="H548" s="615">
        <f t="shared" si="113"/>
        <v>0</v>
      </c>
      <c r="I548" s="614">
        <f t="shared" si="114"/>
        <v>0</v>
      </c>
      <c r="J548" s="379"/>
    </row>
    <row r="549" spans="1:10" ht="23.4" x14ac:dyDescent="0.3">
      <c r="A549" s="997"/>
      <c r="B549" s="727"/>
      <c r="C549" s="282" t="s">
        <v>445</v>
      </c>
      <c r="D549" s="440" t="s">
        <v>350</v>
      </c>
      <c r="E549" s="283">
        <v>56160</v>
      </c>
      <c r="F549" s="323">
        <f t="shared" si="112"/>
        <v>56160</v>
      </c>
      <c r="G549" s="621">
        <v>37.11</v>
      </c>
      <c r="H549" s="615">
        <f t="shared" si="113"/>
        <v>2084097.5999999999</v>
      </c>
      <c r="I549" s="614">
        <f t="shared" si="114"/>
        <v>2084097.5999999999</v>
      </c>
      <c r="J549" s="379"/>
    </row>
    <row r="550" spans="1:10" ht="23.4" x14ac:dyDescent="0.3">
      <c r="A550" s="997"/>
      <c r="B550" s="727"/>
      <c r="C550" s="282" t="s">
        <v>446</v>
      </c>
      <c r="D550" s="440" t="s">
        <v>350</v>
      </c>
      <c r="E550" s="283">
        <v>13104</v>
      </c>
      <c r="F550" s="323">
        <f t="shared" si="112"/>
        <v>13104</v>
      </c>
      <c r="G550" s="621">
        <v>37.89</v>
      </c>
      <c r="H550" s="615">
        <f t="shared" si="113"/>
        <v>496510.56</v>
      </c>
      <c r="I550" s="614">
        <f t="shared" si="114"/>
        <v>496510.56</v>
      </c>
      <c r="J550" s="379"/>
    </row>
    <row r="551" spans="1:10" ht="23.4" x14ac:dyDescent="0.3">
      <c r="A551" s="997"/>
      <c r="B551" s="727"/>
      <c r="C551" s="282" t="s">
        <v>337</v>
      </c>
      <c r="D551" s="440" t="s">
        <v>310</v>
      </c>
      <c r="E551" s="283">
        <v>0</v>
      </c>
      <c r="F551" s="323">
        <f t="shared" si="112"/>
        <v>0</v>
      </c>
      <c r="G551" s="621">
        <v>24.93</v>
      </c>
      <c r="H551" s="615">
        <f t="shared" si="113"/>
        <v>0</v>
      </c>
      <c r="I551" s="614">
        <f t="shared" si="114"/>
        <v>0</v>
      </c>
      <c r="J551" s="379"/>
    </row>
    <row r="552" spans="1:10" ht="23.4" x14ac:dyDescent="0.3">
      <c r="A552" s="997"/>
      <c r="B552" s="727"/>
      <c r="C552" s="282" t="s">
        <v>338</v>
      </c>
      <c r="D552" s="440" t="s">
        <v>310</v>
      </c>
      <c r="E552" s="283">
        <v>0</v>
      </c>
      <c r="F552" s="323">
        <f t="shared" si="112"/>
        <v>0</v>
      </c>
      <c r="G552" s="621">
        <v>24.93</v>
      </c>
      <c r="H552" s="615">
        <f t="shared" si="113"/>
        <v>0</v>
      </c>
      <c r="I552" s="614">
        <f t="shared" si="114"/>
        <v>0</v>
      </c>
      <c r="J552" s="379"/>
    </row>
    <row r="553" spans="1:10" ht="23.4" x14ac:dyDescent="0.3">
      <c r="A553" s="997"/>
      <c r="B553" s="727"/>
      <c r="C553" s="282" t="s">
        <v>369</v>
      </c>
      <c r="D553" s="440" t="s">
        <v>324</v>
      </c>
      <c r="E553" s="283">
        <v>0</v>
      </c>
      <c r="F553" s="323">
        <f t="shared" si="112"/>
        <v>1872</v>
      </c>
      <c r="G553" s="621">
        <v>34.26</v>
      </c>
      <c r="H553" s="615">
        <f t="shared" si="113"/>
        <v>0</v>
      </c>
      <c r="I553" s="614">
        <f t="shared" si="114"/>
        <v>64134.719999999994</v>
      </c>
      <c r="J553" s="379"/>
    </row>
    <row r="554" spans="1:10" ht="23.4" x14ac:dyDescent="0.3">
      <c r="A554" s="997"/>
      <c r="B554" s="727"/>
      <c r="C554" s="282" t="s">
        <v>385</v>
      </c>
      <c r="D554" s="440" t="s">
        <v>193</v>
      </c>
      <c r="E554" s="283">
        <v>0</v>
      </c>
      <c r="F554" s="323">
        <f t="shared" si="112"/>
        <v>0</v>
      </c>
      <c r="G554" s="621">
        <v>23.65</v>
      </c>
      <c r="H554" s="615">
        <f t="shared" si="113"/>
        <v>0</v>
      </c>
      <c r="I554" s="614">
        <f t="shared" si="114"/>
        <v>0</v>
      </c>
      <c r="J554" s="379"/>
    </row>
    <row r="555" spans="1:10" ht="23.4" x14ac:dyDescent="0.3">
      <c r="A555" s="997"/>
      <c r="B555" s="727"/>
      <c r="C555" s="282" t="s">
        <v>405</v>
      </c>
      <c r="D555" s="440" t="s">
        <v>192</v>
      </c>
      <c r="E555" s="283">
        <v>0</v>
      </c>
      <c r="F555" s="323">
        <f t="shared" si="112"/>
        <v>0</v>
      </c>
      <c r="G555" s="621">
        <v>20.76</v>
      </c>
      <c r="H555" s="615">
        <f t="shared" si="113"/>
        <v>0</v>
      </c>
      <c r="I555" s="614">
        <f t="shared" si="114"/>
        <v>0</v>
      </c>
      <c r="J555" s="379"/>
    </row>
    <row r="556" spans="1:10" ht="23.4" x14ac:dyDescent="0.3">
      <c r="A556" s="997"/>
      <c r="B556" s="727"/>
      <c r="C556" s="282" t="s">
        <v>338</v>
      </c>
      <c r="D556" s="440" t="s">
        <v>192</v>
      </c>
      <c r="E556" s="283">
        <v>0</v>
      </c>
      <c r="F556" s="323">
        <f t="shared" si="112"/>
        <v>0</v>
      </c>
      <c r="G556" s="621">
        <v>21.22</v>
      </c>
      <c r="H556" s="615">
        <f t="shared" si="113"/>
        <v>0</v>
      </c>
      <c r="I556" s="614">
        <f t="shared" si="114"/>
        <v>0</v>
      </c>
      <c r="J556" s="379"/>
    </row>
    <row r="557" spans="1:10" ht="23.4" x14ac:dyDescent="0.3">
      <c r="A557" s="997"/>
      <c r="B557" s="727"/>
      <c r="C557" s="282" t="s">
        <v>337</v>
      </c>
      <c r="D557" s="440" t="s">
        <v>192</v>
      </c>
      <c r="E557" s="283">
        <v>0</v>
      </c>
      <c r="F557" s="323">
        <f t="shared" si="112"/>
        <v>0</v>
      </c>
      <c r="G557" s="621">
        <v>21.22</v>
      </c>
      <c r="H557" s="615">
        <f t="shared" si="113"/>
        <v>0</v>
      </c>
      <c r="I557" s="614">
        <f t="shared" si="114"/>
        <v>0</v>
      </c>
      <c r="J557" s="379"/>
    </row>
    <row r="558" spans="1:10" ht="23.4" x14ac:dyDescent="0.3">
      <c r="A558" s="997"/>
      <c r="B558" s="727"/>
      <c r="C558" s="282" t="s">
        <v>406</v>
      </c>
      <c r="D558" s="440" t="s">
        <v>344</v>
      </c>
      <c r="E558" s="283">
        <v>0</v>
      </c>
      <c r="F558" s="323">
        <f t="shared" si="112"/>
        <v>0</v>
      </c>
      <c r="G558" s="621">
        <v>10000</v>
      </c>
      <c r="H558" s="615">
        <f t="shared" si="113"/>
        <v>0</v>
      </c>
      <c r="I558" s="614">
        <f t="shared" si="114"/>
        <v>0</v>
      </c>
      <c r="J558" s="379"/>
    </row>
    <row r="559" spans="1:10" ht="24" thickBot="1" x14ac:dyDescent="0.35">
      <c r="A559" s="997"/>
      <c r="B559" s="727"/>
      <c r="C559" s="282" t="s">
        <v>403</v>
      </c>
      <c r="D559" s="440" t="s">
        <v>404</v>
      </c>
      <c r="E559" s="283">
        <v>0</v>
      </c>
      <c r="F559" s="323">
        <f t="shared" si="112"/>
        <v>0</v>
      </c>
      <c r="G559" s="621">
        <v>39</v>
      </c>
      <c r="H559" s="615">
        <f t="shared" si="113"/>
        <v>0</v>
      </c>
      <c r="I559" s="614">
        <f t="shared" si="114"/>
        <v>0</v>
      </c>
      <c r="J559" s="379"/>
    </row>
    <row r="560" spans="1:10" ht="24" thickBot="1" x14ac:dyDescent="0.35">
      <c r="A560" s="998"/>
      <c r="B560" s="992" t="s">
        <v>297</v>
      </c>
      <c r="C560" s="993"/>
      <c r="D560" s="729"/>
      <c r="E560" s="332"/>
      <c r="F560" s="333"/>
      <c r="G560" s="332"/>
      <c r="H560" s="605"/>
      <c r="I560" s="597">
        <f>SUM(I540:I559)</f>
        <v>2760159.88</v>
      </c>
      <c r="J560" s="379"/>
    </row>
    <row r="561" spans="1:10" ht="23.4" x14ac:dyDescent="0.3">
      <c r="A561" s="996" t="s">
        <v>110</v>
      </c>
      <c r="B561" s="727"/>
      <c r="C561" s="282" t="s">
        <v>304</v>
      </c>
      <c r="D561" s="440" t="s">
        <v>263</v>
      </c>
      <c r="E561" s="283">
        <v>0</v>
      </c>
      <c r="F561" s="323">
        <f t="shared" ref="F561:F580" si="115">E561+F479</f>
        <v>2240</v>
      </c>
      <c r="G561" s="621">
        <v>430.02</v>
      </c>
      <c r="H561" s="611">
        <f>E561*G561</f>
        <v>0</v>
      </c>
      <c r="I561" s="614">
        <f t="shared" ref="I561:I580" si="116">+G561*F561</f>
        <v>963244.79999999993</v>
      </c>
      <c r="J561" s="379"/>
    </row>
    <row r="562" spans="1:10" ht="23.4" x14ac:dyDescent="0.3">
      <c r="A562" s="997"/>
      <c r="B562" s="727"/>
      <c r="C562" s="282" t="s">
        <v>305</v>
      </c>
      <c r="D562" s="440" t="s">
        <v>263</v>
      </c>
      <c r="E562" s="283">
        <v>0</v>
      </c>
      <c r="F562" s="323">
        <f t="shared" si="115"/>
        <v>0</v>
      </c>
      <c r="G562" s="621">
        <v>445.38</v>
      </c>
      <c r="H562" s="611">
        <f t="shared" ref="H562:H580" si="117">E562*G562</f>
        <v>0</v>
      </c>
      <c r="I562" s="614">
        <f t="shared" si="116"/>
        <v>0</v>
      </c>
      <c r="J562" s="379"/>
    </row>
    <row r="563" spans="1:10" ht="23.4" x14ac:dyDescent="0.3">
      <c r="A563" s="997"/>
      <c r="B563" s="727"/>
      <c r="C563" s="282" t="s">
        <v>341</v>
      </c>
      <c r="D563" s="440" t="s">
        <v>263</v>
      </c>
      <c r="E563" s="283">
        <v>0</v>
      </c>
      <c r="F563" s="323">
        <f t="shared" si="115"/>
        <v>0</v>
      </c>
      <c r="G563" s="621">
        <v>63.55</v>
      </c>
      <c r="H563" s="611">
        <f t="shared" si="117"/>
        <v>0</v>
      </c>
      <c r="I563" s="614">
        <f t="shared" si="116"/>
        <v>0</v>
      </c>
      <c r="J563" s="379"/>
    </row>
    <row r="564" spans="1:10" ht="23.4" x14ac:dyDescent="0.3">
      <c r="A564" s="997"/>
      <c r="B564" s="727"/>
      <c r="C564" s="282" t="s">
        <v>306</v>
      </c>
      <c r="D564" s="440" t="s">
        <v>263</v>
      </c>
      <c r="E564" s="283">
        <f>8400+5040</f>
        <v>13440</v>
      </c>
      <c r="F564" s="323">
        <f t="shared" si="115"/>
        <v>108084</v>
      </c>
      <c r="G564" s="621">
        <v>71.44</v>
      </c>
      <c r="H564" s="611">
        <f t="shared" si="117"/>
        <v>960153.59999999998</v>
      </c>
      <c r="I564" s="614">
        <f t="shared" si="116"/>
        <v>7721520.96</v>
      </c>
      <c r="J564" s="379"/>
    </row>
    <row r="565" spans="1:10" ht="23.4" x14ac:dyDescent="0.3">
      <c r="A565" s="997"/>
      <c r="B565" s="727"/>
      <c r="C565" s="282" t="s">
        <v>307</v>
      </c>
      <c r="D565" s="440" t="s">
        <v>263</v>
      </c>
      <c r="E565" s="283">
        <v>0</v>
      </c>
      <c r="F565" s="323">
        <f t="shared" si="115"/>
        <v>0</v>
      </c>
      <c r="G565" s="621">
        <v>36.5</v>
      </c>
      <c r="H565" s="611">
        <f t="shared" si="117"/>
        <v>0</v>
      </c>
      <c r="I565" s="614">
        <f t="shared" si="116"/>
        <v>0</v>
      </c>
      <c r="J565" s="379"/>
    </row>
    <row r="566" spans="1:10" ht="23.4" x14ac:dyDescent="0.3">
      <c r="A566" s="997"/>
      <c r="B566" s="727"/>
      <c r="C566" s="282" t="s">
        <v>316</v>
      </c>
      <c r="D566" s="440" t="s">
        <v>263</v>
      </c>
      <c r="E566" s="283">
        <v>0</v>
      </c>
      <c r="F566" s="323">
        <f t="shared" si="115"/>
        <v>0</v>
      </c>
      <c r="G566" s="621">
        <v>320.35000000000002</v>
      </c>
      <c r="H566" s="611">
        <f t="shared" si="117"/>
        <v>0</v>
      </c>
      <c r="I566" s="614">
        <f t="shared" si="116"/>
        <v>0</v>
      </c>
      <c r="J566" s="379"/>
    </row>
    <row r="567" spans="1:10" ht="23.4" x14ac:dyDescent="0.3">
      <c r="A567" s="997"/>
      <c r="B567" s="727"/>
      <c r="C567" s="282" t="s">
        <v>333</v>
      </c>
      <c r="D567" s="440" t="s">
        <v>263</v>
      </c>
      <c r="E567" s="283">
        <v>0</v>
      </c>
      <c r="F567" s="323">
        <f t="shared" si="115"/>
        <v>0</v>
      </c>
      <c r="G567" s="621">
        <v>434.41</v>
      </c>
      <c r="H567" s="611">
        <f t="shared" si="117"/>
        <v>0</v>
      </c>
      <c r="I567" s="614">
        <f t="shared" si="116"/>
        <v>0</v>
      </c>
      <c r="J567" s="379"/>
    </row>
    <row r="568" spans="1:10" ht="23.4" x14ac:dyDescent="0.3">
      <c r="A568" s="997"/>
      <c r="B568" s="727"/>
      <c r="C568" s="282" t="s">
        <v>313</v>
      </c>
      <c r="D568" s="440" t="s">
        <v>263</v>
      </c>
      <c r="E568" s="283">
        <v>0</v>
      </c>
      <c r="F568" s="323">
        <f t="shared" si="115"/>
        <v>5</v>
      </c>
      <c r="G568" s="621">
        <v>29690</v>
      </c>
      <c r="H568" s="611">
        <f t="shared" si="117"/>
        <v>0</v>
      </c>
      <c r="I568" s="614">
        <f t="shared" si="116"/>
        <v>148450</v>
      </c>
      <c r="J568" s="379"/>
    </row>
    <row r="569" spans="1:10" ht="23.4" x14ac:dyDescent="0.3">
      <c r="A569" s="997"/>
      <c r="B569" s="727"/>
      <c r="C569" s="282" t="s">
        <v>313</v>
      </c>
      <c r="D569" s="440" t="s">
        <v>263</v>
      </c>
      <c r="E569" s="283">
        <v>0</v>
      </c>
      <c r="F569" s="323">
        <f t="shared" si="115"/>
        <v>1</v>
      </c>
      <c r="G569" s="621">
        <v>26445</v>
      </c>
      <c r="H569" s="611">
        <f t="shared" si="117"/>
        <v>0</v>
      </c>
      <c r="I569" s="614">
        <f t="shared" si="116"/>
        <v>26445</v>
      </c>
      <c r="J569" s="379"/>
    </row>
    <row r="570" spans="1:10" ht="23.4" x14ac:dyDescent="0.3">
      <c r="A570" s="997"/>
      <c r="B570" s="727"/>
      <c r="C570" s="282" t="s">
        <v>354</v>
      </c>
      <c r="D570" s="440" t="s">
        <v>401</v>
      </c>
      <c r="E570" s="283">
        <v>0</v>
      </c>
      <c r="F570" s="323">
        <f t="shared" si="115"/>
        <v>1998</v>
      </c>
      <c r="G570" s="621">
        <v>50</v>
      </c>
      <c r="H570" s="611">
        <f t="shared" si="117"/>
        <v>0</v>
      </c>
      <c r="I570" s="614">
        <f t="shared" si="116"/>
        <v>99900</v>
      </c>
      <c r="J570" s="379"/>
    </row>
    <row r="571" spans="1:10" ht="23.4" x14ac:dyDescent="0.3">
      <c r="A571" s="997"/>
      <c r="B571" s="727"/>
      <c r="C571" s="282" t="s">
        <v>365</v>
      </c>
      <c r="D571" s="440" t="s">
        <v>350</v>
      </c>
      <c r="E571" s="283">
        <v>0</v>
      </c>
      <c r="F571" s="323">
        <f t="shared" si="115"/>
        <v>0</v>
      </c>
      <c r="G571" s="621">
        <v>309.88</v>
      </c>
      <c r="H571" s="611">
        <f t="shared" si="117"/>
        <v>0</v>
      </c>
      <c r="I571" s="614">
        <f t="shared" si="116"/>
        <v>0</v>
      </c>
      <c r="J571" s="379"/>
    </row>
    <row r="572" spans="1:10" ht="23.4" x14ac:dyDescent="0.3">
      <c r="A572" s="997"/>
      <c r="B572" s="727"/>
      <c r="C572" s="282" t="s">
        <v>366</v>
      </c>
      <c r="D572" s="440" t="s">
        <v>263</v>
      </c>
      <c r="E572" s="283">
        <v>0</v>
      </c>
      <c r="F572" s="323">
        <f t="shared" si="115"/>
        <v>0</v>
      </c>
      <c r="G572" s="621">
        <v>53.86</v>
      </c>
      <c r="H572" s="611">
        <f t="shared" si="117"/>
        <v>0</v>
      </c>
      <c r="I572" s="614">
        <f t="shared" si="116"/>
        <v>0</v>
      </c>
      <c r="J572" s="379"/>
    </row>
    <row r="573" spans="1:10" ht="23.4" x14ac:dyDescent="0.3">
      <c r="A573" s="997"/>
      <c r="B573" s="727"/>
      <c r="C573" s="282" t="s">
        <v>386</v>
      </c>
      <c r="D573" s="440" t="s">
        <v>387</v>
      </c>
      <c r="E573" s="283">
        <v>0</v>
      </c>
      <c r="F573" s="323">
        <f t="shared" si="115"/>
        <v>0</v>
      </c>
      <c r="G573" s="621">
        <v>57.64</v>
      </c>
      <c r="H573" s="611">
        <f t="shared" si="117"/>
        <v>0</v>
      </c>
      <c r="I573" s="614">
        <f t="shared" si="116"/>
        <v>0</v>
      </c>
      <c r="J573" s="379"/>
    </row>
    <row r="574" spans="1:10" ht="23.4" x14ac:dyDescent="0.3">
      <c r="A574" s="997"/>
      <c r="B574" s="727"/>
      <c r="C574" s="282" t="s">
        <v>388</v>
      </c>
      <c r="D574" s="440" t="s">
        <v>389</v>
      </c>
      <c r="E574" s="283">
        <v>0</v>
      </c>
      <c r="F574" s="284">
        <f t="shared" si="115"/>
        <v>960</v>
      </c>
      <c r="G574" s="621">
        <v>434.41</v>
      </c>
      <c r="H574" s="611">
        <f t="shared" si="117"/>
        <v>0</v>
      </c>
      <c r="I574" s="614">
        <f t="shared" si="116"/>
        <v>417033.60000000003</v>
      </c>
      <c r="J574" s="379"/>
    </row>
    <row r="575" spans="1:10" ht="23.4" x14ac:dyDescent="0.3">
      <c r="A575" s="997"/>
      <c r="B575" s="727"/>
      <c r="C575" s="282" t="s">
        <v>419</v>
      </c>
      <c r="D575" s="440" t="s">
        <v>263</v>
      </c>
      <c r="E575" s="283">
        <v>0</v>
      </c>
      <c r="F575" s="284">
        <f t="shared" si="115"/>
        <v>4260</v>
      </c>
      <c r="G575" s="621">
        <v>624.26</v>
      </c>
      <c r="H575" s="611">
        <f t="shared" si="117"/>
        <v>0</v>
      </c>
      <c r="I575" s="614">
        <f t="shared" si="116"/>
        <v>2659347.6</v>
      </c>
      <c r="J575" s="379"/>
    </row>
    <row r="576" spans="1:10" ht="23.4" x14ac:dyDescent="0.3">
      <c r="A576" s="997"/>
      <c r="B576" s="727"/>
      <c r="C576" s="282" t="s">
        <v>390</v>
      </c>
      <c r="D576" s="440" t="s">
        <v>389</v>
      </c>
      <c r="E576" s="283">
        <v>0</v>
      </c>
      <c r="F576" s="323">
        <f t="shared" si="115"/>
        <v>0</v>
      </c>
      <c r="G576" s="621">
        <v>63.55</v>
      </c>
      <c r="H576" s="611">
        <f t="shared" si="117"/>
        <v>0</v>
      </c>
      <c r="I576" s="614">
        <f t="shared" si="116"/>
        <v>0</v>
      </c>
      <c r="J576" s="379"/>
    </row>
    <row r="577" spans="1:10" ht="23.4" x14ac:dyDescent="0.3">
      <c r="A577" s="997"/>
      <c r="B577" s="727"/>
      <c r="C577" s="282" t="s">
        <v>391</v>
      </c>
      <c r="D577" s="440" t="s">
        <v>389</v>
      </c>
      <c r="E577" s="283">
        <v>0</v>
      </c>
      <c r="F577" s="323">
        <f t="shared" si="115"/>
        <v>0</v>
      </c>
      <c r="G577" s="621">
        <v>53.86</v>
      </c>
      <c r="H577" s="611">
        <f t="shared" si="117"/>
        <v>0</v>
      </c>
      <c r="I577" s="614">
        <f t="shared" si="116"/>
        <v>0</v>
      </c>
      <c r="J577" s="379"/>
    </row>
    <row r="578" spans="1:10" ht="23.4" x14ac:dyDescent="0.3">
      <c r="A578" s="997"/>
      <c r="B578" s="727"/>
      <c r="C578" s="282" t="s">
        <v>432</v>
      </c>
      <c r="D578" s="440" t="s">
        <v>401</v>
      </c>
      <c r="E578" s="283">
        <v>0</v>
      </c>
      <c r="F578" s="323">
        <f t="shared" si="115"/>
        <v>414</v>
      </c>
      <c r="G578" s="621">
        <v>45</v>
      </c>
      <c r="H578" s="611">
        <f t="shared" si="117"/>
        <v>0</v>
      </c>
      <c r="I578" s="614">
        <f t="shared" si="116"/>
        <v>18630</v>
      </c>
      <c r="J578" s="379"/>
    </row>
    <row r="579" spans="1:10" ht="23.4" x14ac:dyDescent="0.3">
      <c r="A579" s="997"/>
      <c r="B579" s="727"/>
      <c r="C579" s="282" t="s">
        <v>313</v>
      </c>
      <c r="D579" s="440"/>
      <c r="E579" s="283">
        <v>0</v>
      </c>
      <c r="F579" s="323">
        <f t="shared" si="115"/>
        <v>0</v>
      </c>
      <c r="G579" s="621">
        <v>39450</v>
      </c>
      <c r="H579" s="611">
        <f t="shared" si="117"/>
        <v>0</v>
      </c>
      <c r="I579" s="614">
        <f t="shared" si="116"/>
        <v>0</v>
      </c>
      <c r="J579" s="379"/>
    </row>
    <row r="580" spans="1:10" ht="24" thickBot="1" x14ac:dyDescent="0.35">
      <c r="A580" s="997"/>
      <c r="B580" s="727"/>
      <c r="C580" s="282" t="s">
        <v>388</v>
      </c>
      <c r="D580" s="440" t="s">
        <v>103</v>
      </c>
      <c r="E580" s="283">
        <v>0</v>
      </c>
      <c r="F580" s="323">
        <f t="shared" si="115"/>
        <v>0</v>
      </c>
      <c r="G580" s="621">
        <v>434.41</v>
      </c>
      <c r="H580" s="611">
        <f t="shared" si="117"/>
        <v>0</v>
      </c>
      <c r="I580" s="614">
        <f t="shared" si="116"/>
        <v>0</v>
      </c>
      <c r="J580" s="379"/>
    </row>
    <row r="581" spans="1:10" ht="24" thickBot="1" x14ac:dyDescent="0.35">
      <c r="A581" s="998"/>
      <c r="B581" s="992" t="s">
        <v>299</v>
      </c>
      <c r="C581" s="993"/>
      <c r="D581" s="729"/>
      <c r="E581" s="332"/>
      <c r="F581" s="333"/>
      <c r="G581" s="332"/>
      <c r="H581" s="608">
        <f>SUM(H561:H580)</f>
        <v>960153.59999999998</v>
      </c>
      <c r="I581" s="597">
        <f>SUM(I561:I580)</f>
        <v>12054571.959999999</v>
      </c>
      <c r="J581" s="378"/>
    </row>
    <row r="582" spans="1:10" ht="24" thickBot="1" x14ac:dyDescent="0.35">
      <c r="A582" s="732"/>
      <c r="B582" s="443"/>
      <c r="C582" s="282"/>
      <c r="D582" s="440"/>
      <c r="E582" s="283"/>
      <c r="F582" s="284"/>
      <c r="G582" s="340"/>
      <c r="H582" s="607"/>
      <c r="I582" s="285"/>
      <c r="J582" s="379"/>
    </row>
    <row r="583" spans="1:10" ht="24" thickBot="1" x14ac:dyDescent="0.35">
      <c r="A583" s="732"/>
      <c r="B583" s="992" t="s">
        <v>243</v>
      </c>
      <c r="C583" s="993"/>
      <c r="D583" s="725"/>
      <c r="E583" s="332"/>
      <c r="F583" s="333"/>
      <c r="G583" s="332"/>
      <c r="H583" s="605"/>
      <c r="I583" s="330"/>
      <c r="J583" s="355"/>
    </row>
    <row r="584" spans="1:10" ht="24.6" thickBot="1" x14ac:dyDescent="0.35">
      <c r="A584" s="325"/>
      <c r="B584" s="994" t="s">
        <v>183</v>
      </c>
      <c r="C584" s="995"/>
      <c r="D584" s="726"/>
      <c r="E584" s="380"/>
      <c r="F584" s="380"/>
      <c r="G584" s="380"/>
      <c r="H584" s="380"/>
      <c r="I584" s="380">
        <f>+I581+I560+I539</f>
        <v>41281614.849999994</v>
      </c>
      <c r="J584" s="381"/>
    </row>
    <row r="585" spans="1:10" ht="23.4" x14ac:dyDescent="0.3">
      <c r="A585" s="935" t="s">
        <v>1</v>
      </c>
      <c r="B585" s="938" t="s">
        <v>2</v>
      </c>
      <c r="C585" s="1001" t="s">
        <v>3</v>
      </c>
      <c r="D585" s="1005" t="s">
        <v>93</v>
      </c>
      <c r="E585" s="1008">
        <v>44511</v>
      </c>
      <c r="F585" s="945"/>
      <c r="G585" s="945"/>
      <c r="H585" s="945"/>
      <c r="I585" s="945"/>
      <c r="J585" s="946"/>
    </row>
    <row r="586" spans="1:10" ht="23.4" x14ac:dyDescent="0.3">
      <c r="A586" s="999"/>
      <c r="B586" s="1000"/>
      <c r="C586" s="1002"/>
      <c r="D586" s="1006"/>
      <c r="E586" s="1009" t="s">
        <v>94</v>
      </c>
      <c r="F586" s="1010"/>
      <c r="G586" s="1009" t="s">
        <v>252</v>
      </c>
      <c r="H586" s="1011"/>
      <c r="I586" s="1011"/>
      <c r="J586" s="1010"/>
    </row>
    <row r="587" spans="1:10" x14ac:dyDescent="0.3">
      <c r="A587" s="936"/>
      <c r="B587" s="939"/>
      <c r="C587" s="1003"/>
      <c r="D587" s="1006"/>
      <c r="E587" s="947" t="s">
        <v>95</v>
      </c>
      <c r="F587" s="949" t="s">
        <v>96</v>
      </c>
      <c r="G587" s="1012" t="s">
        <v>97</v>
      </c>
      <c r="H587" s="1014" t="s">
        <v>98</v>
      </c>
      <c r="I587" s="1014" t="s">
        <v>98</v>
      </c>
      <c r="J587" s="1016" t="s">
        <v>12</v>
      </c>
    </row>
    <row r="588" spans="1:10" ht="14.4" thickBot="1" x14ac:dyDescent="0.35">
      <c r="A588" s="937"/>
      <c r="B588" s="940"/>
      <c r="C588" s="1004"/>
      <c r="D588" s="1007"/>
      <c r="E588" s="948"/>
      <c r="F588" s="950"/>
      <c r="G588" s="1013"/>
      <c r="H588" s="1015"/>
      <c r="I588" s="1015"/>
      <c r="J588" s="1017"/>
    </row>
    <row r="589" spans="1:10" ht="23.4" x14ac:dyDescent="0.3">
      <c r="A589" s="996" t="s">
        <v>111</v>
      </c>
      <c r="B589" s="445"/>
      <c r="C589" s="592" t="s">
        <v>300</v>
      </c>
      <c r="D589" s="449" t="s">
        <v>292</v>
      </c>
      <c r="E589" s="273">
        <v>0</v>
      </c>
      <c r="F589" s="441">
        <f>E589+F507</f>
        <v>0</v>
      </c>
      <c r="G589" s="593">
        <v>111.09</v>
      </c>
      <c r="H589" s="609">
        <f t="shared" ref="H589:H602" si="118">E589*G589</f>
        <v>0</v>
      </c>
      <c r="I589" s="612">
        <f>+G589*F589</f>
        <v>0</v>
      </c>
      <c r="J589" s="357"/>
    </row>
    <row r="590" spans="1:10" ht="23.4" x14ac:dyDescent="0.3">
      <c r="A590" s="997"/>
      <c r="B590" s="444"/>
      <c r="C590" s="448" t="s">
        <v>293</v>
      </c>
      <c r="D590" s="447" t="s">
        <v>294</v>
      </c>
      <c r="E590" s="279">
        <v>0</v>
      </c>
      <c r="F590" s="441">
        <f t="shared" ref="F590:F602" si="119">E590+F508</f>
        <v>0</v>
      </c>
      <c r="G590" s="594">
        <v>11</v>
      </c>
      <c r="H590" s="610">
        <f t="shared" si="118"/>
        <v>0</v>
      </c>
      <c r="I590" s="613">
        <f>+G590*F590</f>
        <v>0</v>
      </c>
      <c r="J590" s="358"/>
    </row>
    <row r="591" spans="1:10" ht="23.4" x14ac:dyDescent="0.3">
      <c r="A591" s="997"/>
      <c r="B591" s="444"/>
      <c r="C591" s="448" t="s">
        <v>319</v>
      </c>
      <c r="D591" s="447" t="s">
        <v>320</v>
      </c>
      <c r="E591" s="279">
        <v>0</v>
      </c>
      <c r="F591" s="441">
        <f t="shared" si="119"/>
        <v>0</v>
      </c>
      <c r="G591" s="594">
        <v>10.57</v>
      </c>
      <c r="H591" s="610">
        <f t="shared" si="118"/>
        <v>0</v>
      </c>
      <c r="I591" s="613">
        <f t="shared" ref="I591:I602" si="120">+G591*F591</f>
        <v>0</v>
      </c>
      <c r="J591" s="358"/>
    </row>
    <row r="592" spans="1:10" ht="23.4" x14ac:dyDescent="0.3">
      <c r="A592" s="997"/>
      <c r="B592" s="444"/>
      <c r="C592" s="448" t="s">
        <v>449</v>
      </c>
      <c r="D592" s="447" t="s">
        <v>450</v>
      </c>
      <c r="E592" s="279">
        <v>122400</v>
      </c>
      <c r="F592" s="441">
        <f t="shared" si="119"/>
        <v>122400</v>
      </c>
      <c r="G592" s="594">
        <v>20.5</v>
      </c>
      <c r="H592" s="610">
        <f t="shared" si="118"/>
        <v>2509200</v>
      </c>
      <c r="I592" s="613">
        <f t="shared" si="120"/>
        <v>2509200</v>
      </c>
      <c r="J592" s="358"/>
    </row>
    <row r="593" spans="1:10" ht="23.4" x14ac:dyDescent="0.3">
      <c r="A593" s="997"/>
      <c r="B593" s="444"/>
      <c r="C593" s="448" t="s">
        <v>323</v>
      </c>
      <c r="D593" s="447" t="s">
        <v>192</v>
      </c>
      <c r="E593" s="279">
        <v>0</v>
      </c>
      <c r="F593" s="441">
        <f t="shared" si="119"/>
        <v>152064</v>
      </c>
      <c r="G593" s="594">
        <v>14.79</v>
      </c>
      <c r="H593" s="610">
        <f t="shared" si="118"/>
        <v>0</v>
      </c>
      <c r="I593" s="613">
        <f t="shared" si="120"/>
        <v>2249026.5600000001</v>
      </c>
      <c r="J593" s="358"/>
    </row>
    <row r="594" spans="1:10" ht="23.4" x14ac:dyDescent="0.3">
      <c r="A594" s="997"/>
      <c r="B594" s="444"/>
      <c r="C594" s="448" t="s">
        <v>332</v>
      </c>
      <c r="D594" s="447" t="s">
        <v>294</v>
      </c>
      <c r="E594" s="279">
        <v>0</v>
      </c>
      <c r="F594" s="441">
        <f t="shared" si="119"/>
        <v>960</v>
      </c>
      <c r="G594" s="594">
        <v>139.04</v>
      </c>
      <c r="H594" s="610">
        <f t="shared" si="118"/>
        <v>0</v>
      </c>
      <c r="I594" s="613">
        <f t="shared" si="120"/>
        <v>133478.39999999999</v>
      </c>
      <c r="J594" s="358"/>
    </row>
    <row r="595" spans="1:10" ht="23.4" x14ac:dyDescent="0.3">
      <c r="A595" s="997"/>
      <c r="B595" s="444"/>
      <c r="C595" s="448" t="s">
        <v>384</v>
      </c>
      <c r="D595" s="623" t="s">
        <v>447</v>
      </c>
      <c r="E595" s="279">
        <v>0</v>
      </c>
      <c r="F595" s="441">
        <f t="shared" si="119"/>
        <v>99364</v>
      </c>
      <c r="G595" s="594">
        <v>20.5</v>
      </c>
      <c r="H595" s="610">
        <f t="shared" si="118"/>
        <v>0</v>
      </c>
      <c r="I595" s="613">
        <f t="shared" si="120"/>
        <v>2036962</v>
      </c>
      <c r="J595" s="358"/>
    </row>
    <row r="596" spans="1:10" ht="23.4" x14ac:dyDescent="0.3">
      <c r="A596" s="997"/>
      <c r="B596" s="444"/>
      <c r="C596" s="448" t="s">
        <v>362</v>
      </c>
      <c r="D596" s="623" t="s">
        <v>294</v>
      </c>
      <c r="E596" s="279">
        <v>0</v>
      </c>
      <c r="F596" s="441">
        <f t="shared" si="119"/>
        <v>16524</v>
      </c>
      <c r="G596" s="594">
        <v>18.84</v>
      </c>
      <c r="H596" s="610">
        <f t="shared" si="118"/>
        <v>0</v>
      </c>
      <c r="I596" s="613">
        <f t="shared" si="120"/>
        <v>311312.15999999997</v>
      </c>
      <c r="J596" s="358"/>
    </row>
    <row r="597" spans="1:10" ht="23.4" x14ac:dyDescent="0.3">
      <c r="A597" s="997"/>
      <c r="B597" s="444"/>
      <c r="C597" s="448" t="s">
        <v>376</v>
      </c>
      <c r="D597" s="623" t="s">
        <v>257</v>
      </c>
      <c r="E597" s="279">
        <v>0</v>
      </c>
      <c r="F597" s="441">
        <f t="shared" si="119"/>
        <v>306000</v>
      </c>
      <c r="G597" s="594">
        <v>21.18</v>
      </c>
      <c r="H597" s="610">
        <f t="shared" si="118"/>
        <v>0</v>
      </c>
      <c r="I597" s="613">
        <f t="shared" si="120"/>
        <v>6481080</v>
      </c>
      <c r="J597" s="358"/>
    </row>
    <row r="598" spans="1:10" ht="23.4" x14ac:dyDescent="0.3">
      <c r="A598" s="997"/>
      <c r="B598" s="444"/>
      <c r="C598" s="448" t="s">
        <v>378</v>
      </c>
      <c r="D598" s="623" t="s">
        <v>379</v>
      </c>
      <c r="E598" s="279">
        <v>0</v>
      </c>
      <c r="F598" s="441">
        <f t="shared" si="119"/>
        <v>61200</v>
      </c>
      <c r="G598" s="594">
        <v>21.28</v>
      </c>
      <c r="H598" s="610">
        <f t="shared" si="118"/>
        <v>0</v>
      </c>
      <c r="I598" s="613">
        <f t="shared" si="120"/>
        <v>1302336</v>
      </c>
      <c r="J598" s="358"/>
    </row>
    <row r="599" spans="1:10" ht="23.4" x14ac:dyDescent="0.3">
      <c r="A599" s="997"/>
      <c r="B599" s="444"/>
      <c r="C599" s="448" t="s">
        <v>332</v>
      </c>
      <c r="D599" s="623" t="s">
        <v>447</v>
      </c>
      <c r="E599" s="279">
        <v>0</v>
      </c>
      <c r="F599" s="441">
        <f t="shared" si="119"/>
        <v>9920</v>
      </c>
      <c r="G599" s="594">
        <v>139.04</v>
      </c>
      <c r="H599" s="610">
        <f t="shared" si="118"/>
        <v>0</v>
      </c>
      <c r="I599" s="613">
        <f t="shared" si="120"/>
        <v>1379276.7999999998</v>
      </c>
      <c r="J599" s="358"/>
    </row>
    <row r="600" spans="1:10" ht="23.4" x14ac:dyDescent="0.3">
      <c r="A600" s="997"/>
      <c r="B600" s="444"/>
      <c r="C600" s="592" t="s">
        <v>383</v>
      </c>
      <c r="D600" s="623" t="s">
        <v>294</v>
      </c>
      <c r="E600" s="279">
        <v>0</v>
      </c>
      <c r="F600" s="441">
        <f t="shared" si="119"/>
        <v>0</v>
      </c>
      <c r="G600" s="594">
        <v>109.77</v>
      </c>
      <c r="H600" s="610">
        <f t="shared" si="118"/>
        <v>0</v>
      </c>
      <c r="I600" s="613">
        <f t="shared" si="120"/>
        <v>0</v>
      </c>
      <c r="J600" s="358"/>
    </row>
    <row r="601" spans="1:10" ht="23.4" x14ac:dyDescent="0.3">
      <c r="A601" s="997"/>
      <c r="B601" s="444"/>
      <c r="C601" s="448" t="s">
        <v>384</v>
      </c>
      <c r="D601" s="623" t="s">
        <v>206</v>
      </c>
      <c r="E601" s="279">
        <v>0</v>
      </c>
      <c r="F601" s="441">
        <f t="shared" si="119"/>
        <v>0</v>
      </c>
      <c r="G601" s="594">
        <v>21.28</v>
      </c>
      <c r="H601" s="610">
        <f t="shared" si="118"/>
        <v>0</v>
      </c>
      <c r="I601" s="613">
        <f t="shared" si="120"/>
        <v>0</v>
      </c>
      <c r="J601" s="358"/>
    </row>
    <row r="602" spans="1:10" ht="24" thickBot="1" x14ac:dyDescent="0.35">
      <c r="A602" s="997"/>
      <c r="B602" s="444"/>
      <c r="C602" s="448" t="s">
        <v>400</v>
      </c>
      <c r="D602" s="450" t="s">
        <v>193</v>
      </c>
      <c r="E602" s="279">
        <v>0</v>
      </c>
      <c r="F602" s="441">
        <f t="shared" si="119"/>
        <v>1186</v>
      </c>
      <c r="G602" s="594">
        <v>36.44</v>
      </c>
      <c r="H602" s="610">
        <f t="shared" si="118"/>
        <v>0</v>
      </c>
      <c r="I602" s="613">
        <f t="shared" si="120"/>
        <v>43217.84</v>
      </c>
      <c r="J602" s="358"/>
    </row>
    <row r="603" spans="1:10" ht="24" thickBot="1" x14ac:dyDescent="0.35">
      <c r="A603" s="997"/>
      <c r="B603" s="992" t="s">
        <v>295</v>
      </c>
      <c r="C603" s="993"/>
      <c r="D603" s="737"/>
      <c r="E603" s="332"/>
      <c r="F603" s="333"/>
      <c r="G603" s="332"/>
      <c r="H603" s="605">
        <f>SUM(H589:H602)</f>
        <v>2509200</v>
      </c>
      <c r="I603" s="597">
        <f>SUM(I589:I602)</f>
        <v>16445889.760000002</v>
      </c>
      <c r="J603" s="355"/>
    </row>
    <row r="604" spans="1:10" ht="23.4" x14ac:dyDescent="0.3">
      <c r="A604" s="997"/>
      <c r="B604" s="735"/>
      <c r="C604" s="282" t="s">
        <v>301</v>
      </c>
      <c r="D604" s="440" t="s">
        <v>263</v>
      </c>
      <c r="E604" s="283">
        <f>875+12250</f>
        <v>13125</v>
      </c>
      <c r="F604" s="323">
        <f t="shared" ref="F604:F614" si="121">E604+F522</f>
        <v>62125</v>
      </c>
      <c r="G604" s="595">
        <v>160.44999999999999</v>
      </c>
      <c r="H604" s="611">
        <f t="shared" ref="H604:H614" si="122">E604*G604</f>
        <v>2105906.25</v>
      </c>
      <c r="I604" s="614">
        <f t="shared" ref="I604:I614" si="123">+G604*F604</f>
        <v>9967956.25</v>
      </c>
      <c r="J604" s="379"/>
    </row>
    <row r="605" spans="1:10" ht="23.4" x14ac:dyDescent="0.3">
      <c r="A605" s="997"/>
      <c r="B605" s="735"/>
      <c r="C605" s="282" t="s">
        <v>317</v>
      </c>
      <c r="D605" s="440" t="s">
        <v>263</v>
      </c>
      <c r="E605" s="283">
        <v>625</v>
      </c>
      <c r="F605" s="323">
        <f t="shared" si="121"/>
        <v>1500</v>
      </c>
      <c r="G605" s="595">
        <v>160.44999999999999</v>
      </c>
      <c r="H605" s="611">
        <f t="shared" si="122"/>
        <v>100281.25</v>
      </c>
      <c r="I605" s="614">
        <f t="shared" si="123"/>
        <v>240674.99999999997</v>
      </c>
      <c r="J605" s="379"/>
    </row>
    <row r="606" spans="1:10" ht="23.4" x14ac:dyDescent="0.3">
      <c r="A606" s="997"/>
      <c r="B606" s="735"/>
      <c r="C606" s="282" t="s">
        <v>318</v>
      </c>
      <c r="D606" s="440" t="s">
        <v>263</v>
      </c>
      <c r="E606" s="283">
        <v>250</v>
      </c>
      <c r="F606" s="323">
        <f t="shared" si="121"/>
        <v>3375</v>
      </c>
      <c r="G606" s="595">
        <v>160.44999999999999</v>
      </c>
      <c r="H606" s="611">
        <f t="shared" si="122"/>
        <v>40112.5</v>
      </c>
      <c r="I606" s="614">
        <f t="shared" si="123"/>
        <v>541518.75</v>
      </c>
      <c r="J606" s="379"/>
    </row>
    <row r="607" spans="1:10" ht="23.4" x14ac:dyDescent="0.3">
      <c r="A607" s="997"/>
      <c r="B607" s="735"/>
      <c r="C607" s="282" t="s">
        <v>321</v>
      </c>
      <c r="D607" s="440" t="s">
        <v>100</v>
      </c>
      <c r="E607" s="283">
        <v>0</v>
      </c>
      <c r="F607" s="323">
        <f t="shared" si="121"/>
        <v>0</v>
      </c>
      <c r="G607" s="595">
        <v>27</v>
      </c>
      <c r="H607" s="611">
        <f t="shared" si="122"/>
        <v>0</v>
      </c>
      <c r="I607" s="614">
        <f t="shared" si="123"/>
        <v>0</v>
      </c>
      <c r="J607" s="379"/>
    </row>
    <row r="608" spans="1:10" ht="23.4" x14ac:dyDescent="0.3">
      <c r="A608" s="997"/>
      <c r="B608" s="735"/>
      <c r="C608" s="282" t="s">
        <v>321</v>
      </c>
      <c r="D608" s="440" t="s">
        <v>329</v>
      </c>
      <c r="E608" s="283">
        <v>0</v>
      </c>
      <c r="F608" s="323">
        <f t="shared" si="121"/>
        <v>0</v>
      </c>
      <c r="G608" s="595">
        <v>27.5</v>
      </c>
      <c r="H608" s="611">
        <f t="shared" si="122"/>
        <v>0</v>
      </c>
      <c r="I608" s="614">
        <f t="shared" si="123"/>
        <v>0</v>
      </c>
      <c r="J608" s="379"/>
    </row>
    <row r="609" spans="1:12" ht="23.4" x14ac:dyDescent="0.3">
      <c r="A609" s="997"/>
      <c r="B609" s="735"/>
      <c r="C609" s="282" t="s">
        <v>307</v>
      </c>
      <c r="D609" s="440" t="s">
        <v>329</v>
      </c>
      <c r="E609" s="283">
        <v>0</v>
      </c>
      <c r="F609" s="323">
        <f t="shared" si="121"/>
        <v>0</v>
      </c>
      <c r="G609" s="595">
        <v>34.5</v>
      </c>
      <c r="H609" s="611">
        <f t="shared" si="122"/>
        <v>0</v>
      </c>
      <c r="I609" s="614">
        <f t="shared" si="123"/>
        <v>0</v>
      </c>
      <c r="J609" s="379"/>
    </row>
    <row r="610" spans="1:12" ht="23.4" x14ac:dyDescent="0.3">
      <c r="A610" s="997"/>
      <c r="B610" s="735"/>
      <c r="C610" s="282" t="s">
        <v>342</v>
      </c>
      <c r="D610" s="440" t="s">
        <v>263</v>
      </c>
      <c r="E610" s="283">
        <v>0</v>
      </c>
      <c r="F610" s="323">
        <f t="shared" si="121"/>
        <v>6250</v>
      </c>
      <c r="G610" s="595">
        <v>160.44999999999999</v>
      </c>
      <c r="H610" s="611">
        <f t="shared" si="122"/>
        <v>0</v>
      </c>
      <c r="I610" s="614">
        <f t="shared" si="123"/>
        <v>1002812.4999999999</v>
      </c>
      <c r="J610" s="379"/>
    </row>
    <row r="611" spans="1:12" ht="23.4" x14ac:dyDescent="0.3">
      <c r="A611" s="997"/>
      <c r="B611" s="735"/>
      <c r="C611" s="282" t="s">
        <v>438</v>
      </c>
      <c r="D611" s="440" t="s">
        <v>263</v>
      </c>
      <c r="E611" s="283">
        <v>1750</v>
      </c>
      <c r="F611" s="323">
        <f t="shared" si="121"/>
        <v>5250</v>
      </c>
      <c r="G611" s="595">
        <v>160.44999999999999</v>
      </c>
      <c r="H611" s="611">
        <f t="shared" si="122"/>
        <v>280787.5</v>
      </c>
      <c r="I611" s="614">
        <f t="shared" si="123"/>
        <v>842362.49999999988</v>
      </c>
      <c r="J611" s="379"/>
    </row>
    <row r="612" spans="1:12" ht="23.4" x14ac:dyDescent="0.3">
      <c r="A612" s="997"/>
      <c r="B612" s="735"/>
      <c r="C612" s="282" t="s">
        <v>357</v>
      </c>
      <c r="D612" s="440" t="s">
        <v>263</v>
      </c>
      <c r="E612" s="283">
        <v>0</v>
      </c>
      <c r="F612" s="323">
        <f t="shared" si="121"/>
        <v>11735</v>
      </c>
      <c r="G612" s="595">
        <v>160.44999999999999</v>
      </c>
      <c r="H612" s="611">
        <f t="shared" si="122"/>
        <v>0</v>
      </c>
      <c r="I612" s="614">
        <f t="shared" si="123"/>
        <v>1882880.7499999998</v>
      </c>
      <c r="J612" s="379"/>
    </row>
    <row r="613" spans="1:12" ht="23.4" x14ac:dyDescent="0.3">
      <c r="A613" s="997"/>
      <c r="B613" s="735"/>
      <c r="C613" s="282" t="s">
        <v>358</v>
      </c>
      <c r="D613" s="440" t="s">
        <v>263</v>
      </c>
      <c r="E613" s="283">
        <v>0</v>
      </c>
      <c r="F613" s="323">
        <f t="shared" si="121"/>
        <v>2625</v>
      </c>
      <c r="G613" s="595">
        <v>160.44999999999999</v>
      </c>
      <c r="H613" s="611">
        <f t="shared" si="122"/>
        <v>0</v>
      </c>
      <c r="I613" s="614">
        <f t="shared" si="123"/>
        <v>421181.24999999994</v>
      </c>
      <c r="J613" s="379"/>
    </row>
    <row r="614" spans="1:12" ht="24" thickBot="1" x14ac:dyDescent="0.35">
      <c r="A614" s="997"/>
      <c r="B614" s="735"/>
      <c r="C614" s="282" t="s">
        <v>353</v>
      </c>
      <c r="D614" s="440" t="s">
        <v>263</v>
      </c>
      <c r="E614" s="283">
        <v>0</v>
      </c>
      <c r="F614" s="323">
        <f t="shared" si="121"/>
        <v>875</v>
      </c>
      <c r="G614" s="595">
        <v>160.44999999999999</v>
      </c>
      <c r="H614" s="611">
        <f t="shared" si="122"/>
        <v>0</v>
      </c>
      <c r="I614" s="614">
        <f t="shared" si="123"/>
        <v>140393.75</v>
      </c>
      <c r="J614" s="379"/>
    </row>
    <row r="615" spans="1:12" ht="24" thickBot="1" x14ac:dyDescent="0.35">
      <c r="A615" s="997"/>
      <c r="B615" s="992" t="s">
        <v>296</v>
      </c>
      <c r="C615" s="993"/>
      <c r="D615" s="737"/>
      <c r="E615" s="332"/>
      <c r="F615" s="333"/>
      <c r="G615" s="332"/>
      <c r="H615" s="605">
        <f>SUM(H604:H614)</f>
        <v>2527087.5</v>
      </c>
      <c r="I615" s="597">
        <f>SUM(I604:I614)</f>
        <v>15039780.75</v>
      </c>
      <c r="J615" s="355"/>
    </row>
    <row r="616" spans="1:12" ht="23.4" x14ac:dyDescent="0.3">
      <c r="A616" s="997"/>
      <c r="B616" s="735"/>
      <c r="C616" s="282" t="s">
        <v>303</v>
      </c>
      <c r="D616" s="440"/>
      <c r="E616" s="283">
        <v>0</v>
      </c>
      <c r="F616" s="598">
        <f t="shared" ref="F616:F618" si="124">E616+F534</f>
        <v>0</v>
      </c>
      <c r="G616" s="595">
        <v>10</v>
      </c>
      <c r="H616" s="611">
        <f t="shared" ref="H616:H618" si="125">E616*G616</f>
        <v>0</v>
      </c>
      <c r="I616" s="614">
        <f t="shared" ref="I616" si="126">+G616*F616</f>
        <v>0</v>
      </c>
      <c r="J616" s="379"/>
    </row>
    <row r="617" spans="1:12" ht="23.4" x14ac:dyDescent="0.3">
      <c r="A617" s="997"/>
      <c r="B617" s="735"/>
      <c r="C617" s="282" t="s">
        <v>308</v>
      </c>
      <c r="D617" s="440" t="s">
        <v>309</v>
      </c>
      <c r="E617" s="283">
        <v>2</v>
      </c>
      <c r="F617" s="598">
        <f t="shared" si="124"/>
        <v>9</v>
      </c>
      <c r="G617" s="595">
        <v>2500</v>
      </c>
      <c r="H617" s="611">
        <f t="shared" si="125"/>
        <v>5000</v>
      </c>
      <c r="I617" s="614">
        <f>+G617*F617</f>
        <v>22500</v>
      </c>
      <c r="J617" s="379"/>
    </row>
    <row r="618" spans="1:12" ht="24" thickBot="1" x14ac:dyDescent="0.35">
      <c r="A618" s="997"/>
      <c r="B618" s="735"/>
      <c r="C618" s="282" t="s">
        <v>343</v>
      </c>
      <c r="D618" s="440" t="s">
        <v>344</v>
      </c>
      <c r="E618" s="283">
        <v>0</v>
      </c>
      <c r="F618" s="598">
        <f t="shared" si="124"/>
        <v>0</v>
      </c>
      <c r="G618" s="596">
        <v>360</v>
      </c>
      <c r="H618" s="611">
        <f t="shared" si="125"/>
        <v>0</v>
      </c>
      <c r="I618" s="614">
        <f t="shared" ref="I618" si="127">+G618*F618</f>
        <v>0</v>
      </c>
      <c r="J618" s="379"/>
    </row>
    <row r="619" spans="1:12" ht="24" thickBot="1" x14ac:dyDescent="0.35">
      <c r="A619" s="997"/>
      <c r="B619" s="992" t="s">
        <v>302</v>
      </c>
      <c r="C619" s="993"/>
      <c r="D619" s="737"/>
      <c r="E619" s="332"/>
      <c r="F619" s="333"/>
      <c r="G619" s="332"/>
      <c r="H619" s="605">
        <f>SUM(H616:H618)</f>
        <v>5000</v>
      </c>
      <c r="I619" s="597">
        <f>SUM(I616:I618)</f>
        <v>22500</v>
      </c>
      <c r="J619" s="379"/>
    </row>
    <row r="620" spans="1:12" ht="24" thickBot="1" x14ac:dyDescent="0.35">
      <c r="A620" s="997"/>
      <c r="B620" s="735"/>
      <c r="C620" s="282"/>
      <c r="D620" s="440"/>
      <c r="E620" s="283"/>
      <c r="F620" s="323"/>
      <c r="G620" s="596"/>
      <c r="H620" s="606"/>
      <c r="I620" s="285">
        <f t="shared" ref="I620" si="128">+G620*F620</f>
        <v>0</v>
      </c>
      <c r="J620" s="379"/>
    </row>
    <row r="621" spans="1:12" ht="24" thickBot="1" x14ac:dyDescent="0.35">
      <c r="A621" s="998"/>
      <c r="B621" s="992" t="s">
        <v>298</v>
      </c>
      <c r="C621" s="993"/>
      <c r="D621" s="733"/>
      <c r="E621" s="332"/>
      <c r="F621" s="333"/>
      <c r="G621" s="332"/>
      <c r="H621" s="597">
        <f>+H615+H603+H619</f>
        <v>5041287.5</v>
      </c>
      <c r="I621" s="597">
        <f>+I615+I603+I619</f>
        <v>31508170.510000002</v>
      </c>
      <c r="J621" s="379"/>
      <c r="L621" s="620"/>
    </row>
    <row r="622" spans="1:12" ht="23.4" x14ac:dyDescent="0.3">
      <c r="A622" s="996" t="s">
        <v>109</v>
      </c>
      <c r="B622" s="735"/>
      <c r="C622" s="282" t="s">
        <v>312</v>
      </c>
      <c r="D622" s="440" t="s">
        <v>193</v>
      </c>
      <c r="E622" s="283">
        <v>0</v>
      </c>
      <c r="F622" s="323">
        <f t="shared" ref="F622:F641" si="129">E622+F540</f>
        <v>7956</v>
      </c>
      <c r="G622" s="621">
        <v>13.25</v>
      </c>
      <c r="H622" s="615">
        <f t="shared" ref="H622:H641" si="130">E622*G622</f>
        <v>0</v>
      </c>
      <c r="I622" s="614">
        <f t="shared" ref="I622:I641" si="131">+G622*F622</f>
        <v>105417</v>
      </c>
      <c r="J622" s="379"/>
    </row>
    <row r="623" spans="1:12" ht="23.4" x14ac:dyDescent="0.3">
      <c r="A623" s="997"/>
      <c r="B623" s="735"/>
      <c r="C623" s="282" t="s">
        <v>313</v>
      </c>
      <c r="D623" s="440"/>
      <c r="E623" s="283">
        <v>0</v>
      </c>
      <c r="F623" s="323">
        <f t="shared" si="129"/>
        <v>1</v>
      </c>
      <c r="G623" s="622">
        <v>10000</v>
      </c>
      <c r="H623" s="615">
        <f t="shared" si="130"/>
        <v>0</v>
      </c>
      <c r="I623" s="614">
        <f t="shared" si="131"/>
        <v>10000</v>
      </c>
      <c r="J623" s="379"/>
    </row>
    <row r="624" spans="1:12" ht="23.4" x14ac:dyDescent="0.3">
      <c r="A624" s="997"/>
      <c r="B624" s="735"/>
      <c r="C624" s="282" t="s">
        <v>313</v>
      </c>
      <c r="D624" s="440"/>
      <c r="E624" s="283">
        <v>0</v>
      </c>
      <c r="F624" s="323">
        <f t="shared" si="129"/>
        <v>0</v>
      </c>
      <c r="G624" s="622">
        <v>18000</v>
      </c>
      <c r="H624" s="615">
        <f t="shared" si="130"/>
        <v>0</v>
      </c>
      <c r="I624" s="614">
        <f t="shared" si="131"/>
        <v>0</v>
      </c>
      <c r="J624" s="379"/>
    </row>
    <row r="625" spans="1:10" ht="23.4" x14ac:dyDescent="0.3">
      <c r="A625" s="997"/>
      <c r="B625" s="735"/>
      <c r="C625" s="282" t="s">
        <v>328</v>
      </c>
      <c r="D625" s="440" t="s">
        <v>193</v>
      </c>
      <c r="E625" s="283">
        <v>0</v>
      </c>
      <c r="F625" s="323">
        <f t="shared" si="129"/>
        <v>0</v>
      </c>
      <c r="G625" s="621">
        <v>24.93</v>
      </c>
      <c r="H625" s="615">
        <f t="shared" si="130"/>
        <v>0</v>
      </c>
      <c r="I625" s="614">
        <f t="shared" si="131"/>
        <v>0</v>
      </c>
      <c r="J625" s="379"/>
    </row>
    <row r="626" spans="1:10" ht="23.4" x14ac:dyDescent="0.3">
      <c r="A626" s="997"/>
      <c r="B626" s="735"/>
      <c r="C626" s="282" t="s">
        <v>335</v>
      </c>
      <c r="D626" s="440" t="s">
        <v>99</v>
      </c>
      <c r="E626" s="283">
        <v>0</v>
      </c>
      <c r="F626" s="323">
        <f t="shared" si="129"/>
        <v>0</v>
      </c>
      <c r="G626" s="621">
        <v>26</v>
      </c>
      <c r="H626" s="615">
        <f t="shared" si="130"/>
        <v>0</v>
      </c>
      <c r="I626" s="614">
        <f t="shared" si="131"/>
        <v>0</v>
      </c>
      <c r="J626" s="379"/>
    </row>
    <row r="627" spans="1:10" ht="23.4" x14ac:dyDescent="0.3">
      <c r="A627" s="997"/>
      <c r="B627" s="735"/>
      <c r="C627" s="282" t="s">
        <v>336</v>
      </c>
      <c r="D627" s="440" t="s">
        <v>193</v>
      </c>
      <c r="E627" s="283">
        <v>0</v>
      </c>
      <c r="F627" s="323">
        <f t="shared" si="129"/>
        <v>0</v>
      </c>
      <c r="G627" s="621">
        <v>25.49</v>
      </c>
      <c r="H627" s="615">
        <f t="shared" si="130"/>
        <v>0</v>
      </c>
      <c r="I627" s="614">
        <f t="shared" si="131"/>
        <v>0</v>
      </c>
      <c r="J627" s="379"/>
    </row>
    <row r="628" spans="1:10" ht="23.4" x14ac:dyDescent="0.3">
      <c r="A628" s="997"/>
      <c r="B628" s="735"/>
      <c r="C628" s="282" t="s">
        <v>337</v>
      </c>
      <c r="D628" s="440" t="s">
        <v>115</v>
      </c>
      <c r="E628" s="283">
        <v>0</v>
      </c>
      <c r="F628" s="323">
        <f t="shared" si="129"/>
        <v>0</v>
      </c>
      <c r="G628" s="621">
        <v>24.93</v>
      </c>
      <c r="H628" s="615">
        <f t="shared" si="130"/>
        <v>0</v>
      </c>
      <c r="I628" s="614">
        <f t="shared" si="131"/>
        <v>0</v>
      </c>
      <c r="J628" s="379"/>
    </row>
    <row r="629" spans="1:10" ht="23.4" x14ac:dyDescent="0.3">
      <c r="A629" s="997"/>
      <c r="B629" s="735"/>
      <c r="C629" s="282" t="s">
        <v>338</v>
      </c>
      <c r="D629" s="440" t="s">
        <v>311</v>
      </c>
      <c r="E629" s="283">
        <v>0</v>
      </c>
      <c r="F629" s="323">
        <f t="shared" si="129"/>
        <v>0</v>
      </c>
      <c r="G629" s="621">
        <v>24.93</v>
      </c>
      <c r="H629" s="615">
        <f t="shared" si="130"/>
        <v>0</v>
      </c>
      <c r="I629" s="614">
        <f t="shared" si="131"/>
        <v>0</v>
      </c>
      <c r="J629" s="379"/>
    </row>
    <row r="630" spans="1:10" ht="23.4" x14ac:dyDescent="0.3">
      <c r="A630" s="997"/>
      <c r="B630" s="735"/>
      <c r="C630" s="282" t="s">
        <v>339</v>
      </c>
      <c r="D630" s="440" t="s">
        <v>99</v>
      </c>
      <c r="E630" s="283">
        <v>0</v>
      </c>
      <c r="F630" s="323">
        <f t="shared" si="129"/>
        <v>0</v>
      </c>
      <c r="G630" s="621">
        <v>20.89</v>
      </c>
      <c r="H630" s="615">
        <f t="shared" si="130"/>
        <v>0</v>
      </c>
      <c r="I630" s="614">
        <f t="shared" si="131"/>
        <v>0</v>
      </c>
      <c r="J630" s="379"/>
    </row>
    <row r="631" spans="1:10" ht="23.4" x14ac:dyDescent="0.3">
      <c r="A631" s="997"/>
      <c r="B631" s="735"/>
      <c r="C631" s="282" t="s">
        <v>445</v>
      </c>
      <c r="D631" s="440" t="s">
        <v>350</v>
      </c>
      <c r="E631" s="283">
        <v>0</v>
      </c>
      <c r="F631" s="323">
        <f t="shared" si="129"/>
        <v>56160</v>
      </c>
      <c r="G631" s="621">
        <v>37.11</v>
      </c>
      <c r="H631" s="615">
        <f t="shared" si="130"/>
        <v>0</v>
      </c>
      <c r="I631" s="614">
        <f t="shared" si="131"/>
        <v>2084097.5999999999</v>
      </c>
      <c r="J631" s="379"/>
    </row>
    <row r="632" spans="1:10" ht="23.4" x14ac:dyDescent="0.3">
      <c r="A632" s="997"/>
      <c r="B632" s="735"/>
      <c r="C632" s="282" t="s">
        <v>446</v>
      </c>
      <c r="D632" s="440" t="s">
        <v>350</v>
      </c>
      <c r="E632" s="283">
        <v>0</v>
      </c>
      <c r="F632" s="323">
        <f t="shared" si="129"/>
        <v>13104</v>
      </c>
      <c r="G632" s="621">
        <v>37.89</v>
      </c>
      <c r="H632" s="615">
        <f t="shared" si="130"/>
        <v>0</v>
      </c>
      <c r="I632" s="614">
        <f t="shared" si="131"/>
        <v>496510.56</v>
      </c>
      <c r="J632" s="379"/>
    </row>
    <row r="633" spans="1:10" ht="23.4" x14ac:dyDescent="0.3">
      <c r="A633" s="997"/>
      <c r="B633" s="735"/>
      <c r="C633" s="282" t="s">
        <v>337</v>
      </c>
      <c r="D633" s="440" t="s">
        <v>310</v>
      </c>
      <c r="E633" s="283">
        <v>0</v>
      </c>
      <c r="F633" s="323">
        <f t="shared" si="129"/>
        <v>0</v>
      </c>
      <c r="G633" s="621">
        <v>24.93</v>
      </c>
      <c r="H633" s="615">
        <f t="shared" si="130"/>
        <v>0</v>
      </c>
      <c r="I633" s="614">
        <f t="shared" si="131"/>
        <v>0</v>
      </c>
      <c r="J633" s="379"/>
    </row>
    <row r="634" spans="1:10" ht="23.4" x14ac:dyDescent="0.3">
      <c r="A634" s="997"/>
      <c r="B634" s="735"/>
      <c r="C634" s="282" t="s">
        <v>338</v>
      </c>
      <c r="D634" s="440" t="s">
        <v>310</v>
      </c>
      <c r="E634" s="283">
        <v>0</v>
      </c>
      <c r="F634" s="323">
        <f t="shared" si="129"/>
        <v>0</v>
      </c>
      <c r="G634" s="621">
        <v>24.93</v>
      </c>
      <c r="H634" s="615">
        <f t="shared" si="130"/>
        <v>0</v>
      </c>
      <c r="I634" s="614">
        <f t="shared" si="131"/>
        <v>0</v>
      </c>
      <c r="J634" s="379"/>
    </row>
    <row r="635" spans="1:10" ht="23.4" x14ac:dyDescent="0.3">
      <c r="A635" s="997"/>
      <c r="B635" s="735"/>
      <c r="C635" s="282" t="s">
        <v>369</v>
      </c>
      <c r="D635" s="440" t="s">
        <v>324</v>
      </c>
      <c r="E635" s="283">
        <v>0</v>
      </c>
      <c r="F635" s="323">
        <f t="shared" si="129"/>
        <v>1872</v>
      </c>
      <c r="G635" s="621">
        <v>34.26</v>
      </c>
      <c r="H635" s="615">
        <f t="shared" si="130"/>
        <v>0</v>
      </c>
      <c r="I635" s="614">
        <f t="shared" si="131"/>
        <v>64134.719999999994</v>
      </c>
      <c r="J635" s="379"/>
    </row>
    <row r="636" spans="1:10" ht="23.4" x14ac:dyDescent="0.3">
      <c r="A636" s="997"/>
      <c r="B636" s="735"/>
      <c r="C636" s="282" t="s">
        <v>385</v>
      </c>
      <c r="D636" s="440" t="s">
        <v>193</v>
      </c>
      <c r="E636" s="283">
        <v>0</v>
      </c>
      <c r="F636" s="323">
        <f t="shared" si="129"/>
        <v>0</v>
      </c>
      <c r="G636" s="621">
        <v>23.65</v>
      </c>
      <c r="H636" s="615">
        <f t="shared" si="130"/>
        <v>0</v>
      </c>
      <c r="I636" s="614">
        <f t="shared" si="131"/>
        <v>0</v>
      </c>
      <c r="J636" s="379"/>
    </row>
    <row r="637" spans="1:10" ht="23.4" x14ac:dyDescent="0.3">
      <c r="A637" s="997"/>
      <c r="B637" s="735"/>
      <c r="C637" s="282" t="s">
        <v>405</v>
      </c>
      <c r="D637" s="440" t="s">
        <v>192</v>
      </c>
      <c r="E637" s="283">
        <v>0</v>
      </c>
      <c r="F637" s="323">
        <f t="shared" si="129"/>
        <v>0</v>
      </c>
      <c r="G637" s="621">
        <v>20.76</v>
      </c>
      <c r="H637" s="615">
        <f t="shared" si="130"/>
        <v>0</v>
      </c>
      <c r="I637" s="614">
        <f t="shared" si="131"/>
        <v>0</v>
      </c>
      <c r="J637" s="379"/>
    </row>
    <row r="638" spans="1:10" ht="23.4" x14ac:dyDescent="0.3">
      <c r="A638" s="997"/>
      <c r="B638" s="735"/>
      <c r="C638" s="282" t="s">
        <v>338</v>
      </c>
      <c r="D638" s="440" t="s">
        <v>192</v>
      </c>
      <c r="E638" s="283">
        <v>0</v>
      </c>
      <c r="F638" s="323">
        <f t="shared" si="129"/>
        <v>0</v>
      </c>
      <c r="G638" s="621">
        <v>21.22</v>
      </c>
      <c r="H638" s="615">
        <f t="shared" si="130"/>
        <v>0</v>
      </c>
      <c r="I638" s="614">
        <f t="shared" si="131"/>
        <v>0</v>
      </c>
      <c r="J638" s="379"/>
    </row>
    <row r="639" spans="1:10" ht="23.4" x14ac:dyDescent="0.3">
      <c r="A639" s="997"/>
      <c r="B639" s="735"/>
      <c r="C639" s="282" t="s">
        <v>337</v>
      </c>
      <c r="D639" s="440" t="s">
        <v>192</v>
      </c>
      <c r="E639" s="283">
        <v>0</v>
      </c>
      <c r="F639" s="323">
        <f t="shared" si="129"/>
        <v>0</v>
      </c>
      <c r="G639" s="621">
        <v>21.22</v>
      </c>
      <c r="H639" s="615">
        <f t="shared" si="130"/>
        <v>0</v>
      </c>
      <c r="I639" s="614">
        <f t="shared" si="131"/>
        <v>0</v>
      </c>
      <c r="J639" s="379"/>
    </row>
    <row r="640" spans="1:10" ht="23.4" x14ac:dyDescent="0.3">
      <c r="A640" s="997"/>
      <c r="B640" s="735"/>
      <c r="C640" s="282" t="s">
        <v>406</v>
      </c>
      <c r="D640" s="440" t="s">
        <v>344</v>
      </c>
      <c r="E640" s="283">
        <v>0</v>
      </c>
      <c r="F640" s="323">
        <f t="shared" si="129"/>
        <v>0</v>
      </c>
      <c r="G640" s="621">
        <v>10000</v>
      </c>
      <c r="H640" s="615">
        <f t="shared" si="130"/>
        <v>0</v>
      </c>
      <c r="I640" s="614">
        <f t="shared" si="131"/>
        <v>0</v>
      </c>
      <c r="J640" s="379"/>
    </row>
    <row r="641" spans="1:10" ht="24" thickBot="1" x14ac:dyDescent="0.35">
      <c r="A641" s="997"/>
      <c r="B641" s="735"/>
      <c r="C641" s="282" t="s">
        <v>403</v>
      </c>
      <c r="D641" s="440" t="s">
        <v>404</v>
      </c>
      <c r="E641" s="283">
        <v>0</v>
      </c>
      <c r="F641" s="323">
        <f t="shared" si="129"/>
        <v>0</v>
      </c>
      <c r="G641" s="621">
        <v>39</v>
      </c>
      <c r="H641" s="615">
        <f t="shared" si="130"/>
        <v>0</v>
      </c>
      <c r="I641" s="614">
        <f t="shared" si="131"/>
        <v>0</v>
      </c>
      <c r="J641" s="379"/>
    </row>
    <row r="642" spans="1:10" ht="24" thickBot="1" x14ac:dyDescent="0.35">
      <c r="A642" s="998"/>
      <c r="B642" s="992" t="s">
        <v>297</v>
      </c>
      <c r="C642" s="993"/>
      <c r="D642" s="737"/>
      <c r="E642" s="332"/>
      <c r="F642" s="333"/>
      <c r="G642" s="332"/>
      <c r="H642" s="605"/>
      <c r="I642" s="597">
        <f>SUM(I622:I641)</f>
        <v>2760159.88</v>
      </c>
      <c r="J642" s="379"/>
    </row>
    <row r="643" spans="1:10" ht="23.4" x14ac:dyDescent="0.3">
      <c r="A643" s="996" t="s">
        <v>110</v>
      </c>
      <c r="B643" s="735"/>
      <c r="C643" s="282" t="s">
        <v>304</v>
      </c>
      <c r="D643" s="440" t="s">
        <v>263</v>
      </c>
      <c r="E643" s="283">
        <v>0</v>
      </c>
      <c r="F643" s="323">
        <f t="shared" ref="F643:F662" si="132">E643+F561</f>
        <v>2240</v>
      </c>
      <c r="G643" s="621">
        <v>430.02</v>
      </c>
      <c r="H643" s="611">
        <f>E643*G643</f>
        <v>0</v>
      </c>
      <c r="I643" s="614">
        <f t="shared" ref="I643:I662" si="133">+G643*F643</f>
        <v>963244.79999999993</v>
      </c>
      <c r="J643" s="379"/>
    </row>
    <row r="644" spans="1:10" ht="23.4" x14ac:dyDescent="0.3">
      <c r="A644" s="997"/>
      <c r="B644" s="735"/>
      <c r="C644" s="282" t="s">
        <v>305</v>
      </c>
      <c r="D644" s="440" t="s">
        <v>263</v>
      </c>
      <c r="E644" s="283">
        <v>0</v>
      </c>
      <c r="F644" s="323">
        <f t="shared" si="132"/>
        <v>0</v>
      </c>
      <c r="G644" s="621">
        <v>445.38</v>
      </c>
      <c r="H644" s="611">
        <f t="shared" ref="H644:H662" si="134">E644*G644</f>
        <v>0</v>
      </c>
      <c r="I644" s="614">
        <f t="shared" si="133"/>
        <v>0</v>
      </c>
      <c r="J644" s="379"/>
    </row>
    <row r="645" spans="1:10" ht="23.4" x14ac:dyDescent="0.3">
      <c r="A645" s="997"/>
      <c r="B645" s="735"/>
      <c r="C645" s="282" t="s">
        <v>341</v>
      </c>
      <c r="D645" s="440" t="s">
        <v>263</v>
      </c>
      <c r="E645" s="283">
        <v>0</v>
      </c>
      <c r="F645" s="323">
        <f t="shared" si="132"/>
        <v>0</v>
      </c>
      <c r="G645" s="621">
        <v>63.55</v>
      </c>
      <c r="H645" s="611">
        <f t="shared" si="134"/>
        <v>0</v>
      </c>
      <c r="I645" s="614">
        <f t="shared" si="133"/>
        <v>0</v>
      </c>
      <c r="J645" s="379"/>
    </row>
    <row r="646" spans="1:10" ht="23.4" x14ac:dyDescent="0.3">
      <c r="A646" s="997"/>
      <c r="B646" s="735"/>
      <c r="C646" s="282" t="s">
        <v>306</v>
      </c>
      <c r="D646" s="440" t="s">
        <v>263</v>
      </c>
      <c r="E646" s="283">
        <f>10824+6720+20124</f>
        <v>37668</v>
      </c>
      <c r="F646" s="323">
        <f t="shared" si="132"/>
        <v>145752</v>
      </c>
      <c r="G646" s="621">
        <v>71.44</v>
      </c>
      <c r="H646" s="611">
        <f t="shared" si="134"/>
        <v>2691001.92</v>
      </c>
      <c r="I646" s="614">
        <f t="shared" si="133"/>
        <v>10412522.879999999</v>
      </c>
      <c r="J646" s="379"/>
    </row>
    <row r="647" spans="1:10" ht="23.4" x14ac:dyDescent="0.3">
      <c r="A647" s="997"/>
      <c r="B647" s="735"/>
      <c r="C647" s="282" t="s">
        <v>307</v>
      </c>
      <c r="D647" s="440" t="s">
        <v>263</v>
      </c>
      <c r="E647" s="283">
        <v>0</v>
      </c>
      <c r="F647" s="323">
        <f t="shared" si="132"/>
        <v>0</v>
      </c>
      <c r="G647" s="621">
        <v>36.5</v>
      </c>
      <c r="H647" s="611">
        <f t="shared" si="134"/>
        <v>0</v>
      </c>
      <c r="I647" s="614">
        <f t="shared" si="133"/>
        <v>0</v>
      </c>
      <c r="J647" s="379"/>
    </row>
    <row r="648" spans="1:10" ht="23.4" x14ac:dyDescent="0.3">
      <c r="A648" s="997"/>
      <c r="B648" s="735"/>
      <c r="C648" s="282" t="s">
        <v>316</v>
      </c>
      <c r="D648" s="440" t="s">
        <v>263</v>
      </c>
      <c r="E648" s="283">
        <v>0</v>
      </c>
      <c r="F648" s="323">
        <f t="shared" si="132"/>
        <v>0</v>
      </c>
      <c r="G648" s="621">
        <v>320.35000000000002</v>
      </c>
      <c r="H648" s="611">
        <f t="shared" si="134"/>
        <v>0</v>
      </c>
      <c r="I648" s="614">
        <f t="shared" si="133"/>
        <v>0</v>
      </c>
      <c r="J648" s="379"/>
    </row>
    <row r="649" spans="1:10" ht="23.4" x14ac:dyDescent="0.3">
      <c r="A649" s="997"/>
      <c r="B649" s="735"/>
      <c r="C649" s="282" t="s">
        <v>333</v>
      </c>
      <c r="D649" s="440" t="s">
        <v>263</v>
      </c>
      <c r="E649" s="283">
        <v>0</v>
      </c>
      <c r="F649" s="323">
        <f t="shared" si="132"/>
        <v>0</v>
      </c>
      <c r="G649" s="621">
        <v>434.41</v>
      </c>
      <c r="H649" s="611">
        <f t="shared" si="134"/>
        <v>0</v>
      </c>
      <c r="I649" s="614">
        <f t="shared" si="133"/>
        <v>0</v>
      </c>
      <c r="J649" s="379"/>
    </row>
    <row r="650" spans="1:10" ht="23.4" x14ac:dyDescent="0.3">
      <c r="A650" s="997"/>
      <c r="B650" s="735"/>
      <c r="C650" s="282" t="s">
        <v>313</v>
      </c>
      <c r="D650" s="440" t="s">
        <v>263</v>
      </c>
      <c r="E650" s="283">
        <v>0</v>
      </c>
      <c r="F650" s="323">
        <f t="shared" si="132"/>
        <v>5</v>
      </c>
      <c r="G650" s="621">
        <v>29690</v>
      </c>
      <c r="H650" s="611">
        <f t="shared" si="134"/>
        <v>0</v>
      </c>
      <c r="I650" s="614">
        <f t="shared" si="133"/>
        <v>148450</v>
      </c>
      <c r="J650" s="379"/>
    </row>
    <row r="651" spans="1:10" ht="23.4" x14ac:dyDescent="0.3">
      <c r="A651" s="997"/>
      <c r="B651" s="735"/>
      <c r="C651" s="282" t="s">
        <v>313</v>
      </c>
      <c r="D651" s="440" t="s">
        <v>263</v>
      </c>
      <c r="E651" s="283">
        <v>1</v>
      </c>
      <c r="F651" s="323">
        <f t="shared" si="132"/>
        <v>2</v>
      </c>
      <c r="G651" s="621">
        <v>26445</v>
      </c>
      <c r="H651" s="611">
        <f t="shared" si="134"/>
        <v>26445</v>
      </c>
      <c r="I651" s="614">
        <f t="shared" si="133"/>
        <v>52890</v>
      </c>
      <c r="J651" s="379"/>
    </row>
    <row r="652" spans="1:10" ht="23.4" x14ac:dyDescent="0.3">
      <c r="A652" s="997"/>
      <c r="B652" s="735"/>
      <c r="C652" s="282" t="s">
        <v>354</v>
      </c>
      <c r="D652" s="440" t="s">
        <v>401</v>
      </c>
      <c r="E652" s="283">
        <v>0</v>
      </c>
      <c r="F652" s="323">
        <f t="shared" si="132"/>
        <v>1998</v>
      </c>
      <c r="G652" s="621">
        <v>50</v>
      </c>
      <c r="H652" s="611">
        <f t="shared" si="134"/>
        <v>0</v>
      </c>
      <c r="I652" s="614">
        <f t="shared" si="133"/>
        <v>99900</v>
      </c>
      <c r="J652" s="379"/>
    </row>
    <row r="653" spans="1:10" ht="23.4" x14ac:dyDescent="0.3">
      <c r="A653" s="997"/>
      <c r="B653" s="735"/>
      <c r="C653" s="282" t="s">
        <v>365</v>
      </c>
      <c r="D653" s="440" t="s">
        <v>350</v>
      </c>
      <c r="E653" s="283">
        <v>0</v>
      </c>
      <c r="F653" s="323">
        <f t="shared" si="132"/>
        <v>0</v>
      </c>
      <c r="G653" s="621">
        <v>309.88</v>
      </c>
      <c r="H653" s="611">
        <f t="shared" si="134"/>
        <v>0</v>
      </c>
      <c r="I653" s="614">
        <f t="shared" si="133"/>
        <v>0</v>
      </c>
      <c r="J653" s="379"/>
    </row>
    <row r="654" spans="1:10" ht="23.4" x14ac:dyDescent="0.3">
      <c r="A654" s="997"/>
      <c r="B654" s="735"/>
      <c r="C654" s="282" t="s">
        <v>366</v>
      </c>
      <c r="D654" s="440" t="s">
        <v>263</v>
      </c>
      <c r="E654" s="283">
        <v>0</v>
      </c>
      <c r="F654" s="323">
        <f t="shared" si="132"/>
        <v>0</v>
      </c>
      <c r="G654" s="621">
        <v>53.86</v>
      </c>
      <c r="H654" s="611">
        <f t="shared" si="134"/>
        <v>0</v>
      </c>
      <c r="I654" s="614">
        <f t="shared" si="133"/>
        <v>0</v>
      </c>
      <c r="J654" s="379"/>
    </row>
    <row r="655" spans="1:10" ht="23.4" x14ac:dyDescent="0.3">
      <c r="A655" s="997"/>
      <c r="B655" s="735"/>
      <c r="C655" s="282" t="s">
        <v>386</v>
      </c>
      <c r="D655" s="440" t="s">
        <v>387</v>
      </c>
      <c r="E655" s="283">
        <v>0</v>
      </c>
      <c r="F655" s="323">
        <f t="shared" si="132"/>
        <v>0</v>
      </c>
      <c r="G655" s="621">
        <v>57.64</v>
      </c>
      <c r="H655" s="611">
        <f t="shared" si="134"/>
        <v>0</v>
      </c>
      <c r="I655" s="614">
        <f t="shared" si="133"/>
        <v>0</v>
      </c>
      <c r="J655" s="379"/>
    </row>
    <row r="656" spans="1:10" ht="23.4" x14ac:dyDescent="0.3">
      <c r="A656" s="997"/>
      <c r="B656" s="735"/>
      <c r="C656" s="282" t="s">
        <v>388</v>
      </c>
      <c r="D656" s="440" t="s">
        <v>389</v>
      </c>
      <c r="E656" s="283">
        <v>0</v>
      </c>
      <c r="F656" s="284">
        <f t="shared" si="132"/>
        <v>960</v>
      </c>
      <c r="G656" s="621">
        <v>434.41</v>
      </c>
      <c r="H656" s="611">
        <f t="shared" si="134"/>
        <v>0</v>
      </c>
      <c r="I656" s="614">
        <f t="shared" si="133"/>
        <v>417033.60000000003</v>
      </c>
      <c r="J656" s="379"/>
    </row>
    <row r="657" spans="1:10" ht="23.4" x14ac:dyDescent="0.3">
      <c r="A657" s="997"/>
      <c r="B657" s="735"/>
      <c r="C657" s="282" t="s">
        <v>419</v>
      </c>
      <c r="D657" s="440" t="s">
        <v>263</v>
      </c>
      <c r="E657" s="283">
        <v>1600</v>
      </c>
      <c r="F657" s="284">
        <f t="shared" si="132"/>
        <v>5860</v>
      </c>
      <c r="G657" s="621">
        <v>624.26</v>
      </c>
      <c r="H657" s="611">
        <f t="shared" si="134"/>
        <v>998816</v>
      </c>
      <c r="I657" s="614">
        <f t="shared" si="133"/>
        <v>3658163.6</v>
      </c>
      <c r="J657" s="379"/>
    </row>
    <row r="658" spans="1:10" ht="23.4" x14ac:dyDescent="0.3">
      <c r="A658" s="997"/>
      <c r="B658" s="735"/>
      <c r="C658" s="282" t="s">
        <v>390</v>
      </c>
      <c r="D658" s="440" t="s">
        <v>389</v>
      </c>
      <c r="E658" s="283">
        <v>0</v>
      </c>
      <c r="F658" s="323">
        <f t="shared" si="132"/>
        <v>0</v>
      </c>
      <c r="G658" s="621">
        <v>63.55</v>
      </c>
      <c r="H658" s="611">
        <f t="shared" si="134"/>
        <v>0</v>
      </c>
      <c r="I658" s="614">
        <f t="shared" si="133"/>
        <v>0</v>
      </c>
      <c r="J658" s="379"/>
    </row>
    <row r="659" spans="1:10" ht="23.4" x14ac:dyDescent="0.3">
      <c r="A659" s="997"/>
      <c r="B659" s="735"/>
      <c r="C659" s="282" t="s">
        <v>391</v>
      </c>
      <c r="D659" s="440" t="s">
        <v>389</v>
      </c>
      <c r="E659" s="283">
        <v>0</v>
      </c>
      <c r="F659" s="323">
        <f t="shared" si="132"/>
        <v>0</v>
      </c>
      <c r="G659" s="621">
        <v>53.86</v>
      </c>
      <c r="H659" s="611">
        <f t="shared" si="134"/>
        <v>0</v>
      </c>
      <c r="I659" s="614">
        <f t="shared" si="133"/>
        <v>0</v>
      </c>
      <c r="J659" s="379"/>
    </row>
    <row r="660" spans="1:10" ht="23.4" x14ac:dyDescent="0.3">
      <c r="A660" s="997"/>
      <c r="B660" s="735"/>
      <c r="C660" s="282" t="s">
        <v>432</v>
      </c>
      <c r="D660" s="440" t="s">
        <v>401</v>
      </c>
      <c r="E660" s="283">
        <v>0</v>
      </c>
      <c r="F660" s="323">
        <f t="shared" si="132"/>
        <v>414</v>
      </c>
      <c r="G660" s="621">
        <v>45</v>
      </c>
      <c r="H660" s="611">
        <f t="shared" si="134"/>
        <v>0</v>
      </c>
      <c r="I660" s="614">
        <f t="shared" si="133"/>
        <v>18630</v>
      </c>
      <c r="J660" s="379"/>
    </row>
    <row r="661" spans="1:10" ht="23.4" x14ac:dyDescent="0.3">
      <c r="A661" s="997"/>
      <c r="B661" s="735"/>
      <c r="C661" s="282" t="s">
        <v>313</v>
      </c>
      <c r="D661" s="440"/>
      <c r="E661" s="283">
        <v>1</v>
      </c>
      <c r="F661" s="323">
        <f t="shared" si="132"/>
        <v>1</v>
      </c>
      <c r="G661" s="621">
        <v>39450</v>
      </c>
      <c r="H661" s="611">
        <f t="shared" si="134"/>
        <v>39450</v>
      </c>
      <c r="I661" s="614">
        <f t="shared" si="133"/>
        <v>39450</v>
      </c>
      <c r="J661" s="379"/>
    </row>
    <row r="662" spans="1:10" ht="24" thickBot="1" x14ac:dyDescent="0.35">
      <c r="A662" s="997"/>
      <c r="B662" s="735"/>
      <c r="C662" s="282" t="s">
        <v>388</v>
      </c>
      <c r="D662" s="440" t="s">
        <v>103</v>
      </c>
      <c r="E662" s="283">
        <v>0</v>
      </c>
      <c r="F662" s="323">
        <f t="shared" si="132"/>
        <v>0</v>
      </c>
      <c r="G662" s="621">
        <v>434.41</v>
      </c>
      <c r="H662" s="611">
        <f t="shared" si="134"/>
        <v>0</v>
      </c>
      <c r="I662" s="614">
        <f t="shared" si="133"/>
        <v>0</v>
      </c>
      <c r="J662" s="379"/>
    </row>
    <row r="663" spans="1:10" ht="24" thickBot="1" x14ac:dyDescent="0.35">
      <c r="A663" s="998"/>
      <c r="B663" s="992" t="s">
        <v>299</v>
      </c>
      <c r="C663" s="993"/>
      <c r="D663" s="737"/>
      <c r="E663" s="332"/>
      <c r="F663" s="333"/>
      <c r="G663" s="332"/>
      <c r="H663" s="608">
        <f>SUM(H643:H662)</f>
        <v>3755712.92</v>
      </c>
      <c r="I663" s="597">
        <f>SUM(I643:I662)</f>
        <v>15810284.879999999</v>
      </c>
      <c r="J663" s="378"/>
    </row>
    <row r="664" spans="1:10" ht="24" thickBot="1" x14ac:dyDescent="0.35">
      <c r="A664" s="740"/>
      <c r="B664" s="443"/>
      <c r="C664" s="282"/>
      <c r="D664" s="440"/>
      <c r="E664" s="283"/>
      <c r="F664" s="284"/>
      <c r="G664" s="340"/>
      <c r="H664" s="607"/>
      <c r="I664" s="285"/>
      <c r="J664" s="379"/>
    </row>
    <row r="665" spans="1:10" ht="24" thickBot="1" x14ac:dyDescent="0.35">
      <c r="A665" s="740"/>
      <c r="B665" s="992" t="s">
        <v>243</v>
      </c>
      <c r="C665" s="993"/>
      <c r="D665" s="733"/>
      <c r="E665" s="332"/>
      <c r="F665" s="333"/>
      <c r="G665" s="332"/>
      <c r="H665" s="605"/>
      <c r="I665" s="330"/>
      <c r="J665" s="355"/>
    </row>
    <row r="666" spans="1:10" ht="24.6" thickBot="1" x14ac:dyDescent="0.35">
      <c r="A666" s="325"/>
      <c r="B666" s="994" t="s">
        <v>183</v>
      </c>
      <c r="C666" s="995"/>
      <c r="D666" s="734"/>
      <c r="E666" s="380"/>
      <c r="F666" s="380"/>
      <c r="G666" s="380"/>
      <c r="H666" s="380"/>
      <c r="I666" s="380">
        <f>+I663+I642+I621</f>
        <v>50078615.269999996</v>
      </c>
      <c r="J666" s="381"/>
    </row>
    <row r="667" spans="1:10" ht="23.4" x14ac:dyDescent="0.3">
      <c r="A667" s="935" t="s">
        <v>1</v>
      </c>
      <c r="B667" s="938" t="s">
        <v>2</v>
      </c>
      <c r="C667" s="1001" t="s">
        <v>3</v>
      </c>
      <c r="D667" s="1005" t="s">
        <v>93</v>
      </c>
      <c r="E667" s="1008">
        <v>44514</v>
      </c>
      <c r="F667" s="945"/>
      <c r="G667" s="945"/>
      <c r="H667" s="945"/>
      <c r="I667" s="945"/>
      <c r="J667" s="946"/>
    </row>
    <row r="668" spans="1:10" ht="23.4" x14ac:dyDescent="0.3">
      <c r="A668" s="999"/>
      <c r="B668" s="1000"/>
      <c r="C668" s="1002"/>
      <c r="D668" s="1006"/>
      <c r="E668" s="1009" t="s">
        <v>94</v>
      </c>
      <c r="F668" s="1010"/>
      <c r="G668" s="1009" t="s">
        <v>252</v>
      </c>
      <c r="H668" s="1011"/>
      <c r="I668" s="1011"/>
      <c r="J668" s="1010"/>
    </row>
    <row r="669" spans="1:10" x14ac:dyDescent="0.3">
      <c r="A669" s="936"/>
      <c r="B669" s="939"/>
      <c r="C669" s="1003"/>
      <c r="D669" s="1006"/>
      <c r="E669" s="947" t="s">
        <v>95</v>
      </c>
      <c r="F669" s="949" t="s">
        <v>96</v>
      </c>
      <c r="G669" s="1012" t="s">
        <v>97</v>
      </c>
      <c r="H669" s="1014" t="s">
        <v>98</v>
      </c>
      <c r="I669" s="1014" t="s">
        <v>98</v>
      </c>
      <c r="J669" s="1016" t="s">
        <v>12</v>
      </c>
    </row>
    <row r="670" spans="1:10" ht="14.4" thickBot="1" x14ac:dyDescent="0.35">
      <c r="A670" s="937"/>
      <c r="B670" s="940"/>
      <c r="C670" s="1004"/>
      <c r="D670" s="1007"/>
      <c r="E670" s="948"/>
      <c r="F670" s="950"/>
      <c r="G670" s="1013"/>
      <c r="H670" s="1015"/>
      <c r="I670" s="1015"/>
      <c r="J670" s="1017"/>
    </row>
    <row r="671" spans="1:10" ht="23.4" x14ac:dyDescent="0.3">
      <c r="A671" s="996" t="s">
        <v>111</v>
      </c>
      <c r="B671" s="445"/>
      <c r="C671" s="592" t="s">
        <v>300</v>
      </c>
      <c r="D671" s="449" t="s">
        <v>292</v>
      </c>
      <c r="E671" s="273">
        <v>0</v>
      </c>
      <c r="F671" s="441">
        <f>E671+F589</f>
        <v>0</v>
      </c>
      <c r="G671" s="593">
        <v>111.09</v>
      </c>
      <c r="H671" s="609">
        <f t="shared" ref="H671:H684" si="135">E671*G671</f>
        <v>0</v>
      </c>
      <c r="I671" s="612">
        <f>+G671*F671</f>
        <v>0</v>
      </c>
      <c r="J671" s="357"/>
    </row>
    <row r="672" spans="1:10" ht="23.4" x14ac:dyDescent="0.3">
      <c r="A672" s="997"/>
      <c r="B672" s="444"/>
      <c r="C672" s="448" t="s">
        <v>293</v>
      </c>
      <c r="D672" s="447" t="s">
        <v>294</v>
      </c>
      <c r="E672" s="279">
        <v>0</v>
      </c>
      <c r="F672" s="441">
        <f t="shared" ref="F672:F684" si="136">E672+F590</f>
        <v>0</v>
      </c>
      <c r="G672" s="594">
        <v>11</v>
      </c>
      <c r="H672" s="610">
        <f t="shared" si="135"/>
        <v>0</v>
      </c>
      <c r="I672" s="613">
        <f>+G672*F672</f>
        <v>0</v>
      </c>
      <c r="J672" s="358"/>
    </row>
    <row r="673" spans="1:10" ht="23.4" x14ac:dyDescent="0.3">
      <c r="A673" s="997"/>
      <c r="B673" s="444"/>
      <c r="C673" s="448" t="s">
        <v>319</v>
      </c>
      <c r="D673" s="447" t="s">
        <v>320</v>
      </c>
      <c r="E673" s="279">
        <v>0</v>
      </c>
      <c r="F673" s="441">
        <f t="shared" si="136"/>
        <v>0</v>
      </c>
      <c r="G673" s="594">
        <v>10.57</v>
      </c>
      <c r="H673" s="610">
        <f t="shared" si="135"/>
        <v>0</v>
      </c>
      <c r="I673" s="613">
        <f t="shared" ref="I673:I684" si="137">+G673*F673</f>
        <v>0</v>
      </c>
      <c r="J673" s="358"/>
    </row>
    <row r="674" spans="1:10" ht="23.4" x14ac:dyDescent="0.3">
      <c r="A674" s="997"/>
      <c r="B674" s="444"/>
      <c r="C674" s="448" t="s">
        <v>449</v>
      </c>
      <c r="D674" s="447" t="s">
        <v>450</v>
      </c>
      <c r="E674" s="279">
        <v>0</v>
      </c>
      <c r="F674" s="441">
        <f t="shared" si="136"/>
        <v>122400</v>
      </c>
      <c r="G674" s="594">
        <v>20.5</v>
      </c>
      <c r="H674" s="610">
        <f t="shared" si="135"/>
        <v>0</v>
      </c>
      <c r="I674" s="613">
        <f t="shared" si="137"/>
        <v>2509200</v>
      </c>
      <c r="J674" s="358"/>
    </row>
    <row r="675" spans="1:10" ht="23.4" x14ac:dyDescent="0.3">
      <c r="A675" s="997"/>
      <c r="B675" s="444"/>
      <c r="C675" s="448" t="s">
        <v>323</v>
      </c>
      <c r="D675" s="447" t="s">
        <v>192</v>
      </c>
      <c r="E675" s="279">
        <v>0</v>
      </c>
      <c r="F675" s="441">
        <f t="shared" si="136"/>
        <v>152064</v>
      </c>
      <c r="G675" s="594">
        <v>14.79</v>
      </c>
      <c r="H675" s="610">
        <f t="shared" si="135"/>
        <v>0</v>
      </c>
      <c r="I675" s="613">
        <f t="shared" si="137"/>
        <v>2249026.5600000001</v>
      </c>
      <c r="J675" s="358"/>
    </row>
    <row r="676" spans="1:10" ht="23.4" x14ac:dyDescent="0.3">
      <c r="A676" s="997"/>
      <c r="B676" s="444"/>
      <c r="C676" s="448" t="s">
        <v>332</v>
      </c>
      <c r="D676" s="447" t="s">
        <v>294</v>
      </c>
      <c r="E676" s="279">
        <v>0</v>
      </c>
      <c r="F676" s="441">
        <f t="shared" si="136"/>
        <v>960</v>
      </c>
      <c r="G676" s="594">
        <v>139.04</v>
      </c>
      <c r="H676" s="610">
        <f t="shared" si="135"/>
        <v>0</v>
      </c>
      <c r="I676" s="613">
        <f t="shared" si="137"/>
        <v>133478.39999999999</v>
      </c>
      <c r="J676" s="358"/>
    </row>
    <row r="677" spans="1:10" ht="23.4" x14ac:dyDescent="0.3">
      <c r="A677" s="997"/>
      <c r="B677" s="444"/>
      <c r="C677" s="448" t="s">
        <v>384</v>
      </c>
      <c r="D677" s="623" t="s">
        <v>447</v>
      </c>
      <c r="E677" s="279">
        <v>0</v>
      </c>
      <c r="F677" s="441">
        <f t="shared" si="136"/>
        <v>99364</v>
      </c>
      <c r="G677" s="594">
        <v>20.5</v>
      </c>
      <c r="H677" s="610">
        <f t="shared" si="135"/>
        <v>0</v>
      </c>
      <c r="I677" s="613">
        <f t="shared" si="137"/>
        <v>2036962</v>
      </c>
      <c r="J677" s="358"/>
    </row>
    <row r="678" spans="1:10" ht="23.4" x14ac:dyDescent="0.3">
      <c r="A678" s="997"/>
      <c r="B678" s="444"/>
      <c r="C678" s="448" t="s">
        <v>362</v>
      </c>
      <c r="D678" s="623" t="s">
        <v>294</v>
      </c>
      <c r="E678" s="279">
        <v>0</v>
      </c>
      <c r="F678" s="441">
        <f t="shared" si="136"/>
        <v>16524</v>
      </c>
      <c r="G678" s="594">
        <v>18.84</v>
      </c>
      <c r="H678" s="610">
        <f t="shared" si="135"/>
        <v>0</v>
      </c>
      <c r="I678" s="613">
        <f t="shared" si="137"/>
        <v>311312.15999999997</v>
      </c>
      <c r="J678" s="358"/>
    </row>
    <row r="679" spans="1:10" ht="23.4" x14ac:dyDescent="0.3">
      <c r="A679" s="997"/>
      <c r="B679" s="444"/>
      <c r="C679" s="448" t="s">
        <v>376</v>
      </c>
      <c r="D679" s="623" t="s">
        <v>257</v>
      </c>
      <c r="E679" s="279">
        <v>0</v>
      </c>
      <c r="F679" s="441">
        <f t="shared" si="136"/>
        <v>306000</v>
      </c>
      <c r="G679" s="594">
        <v>21.18</v>
      </c>
      <c r="H679" s="610">
        <f t="shared" si="135"/>
        <v>0</v>
      </c>
      <c r="I679" s="613">
        <f t="shared" si="137"/>
        <v>6481080</v>
      </c>
      <c r="J679" s="358"/>
    </row>
    <row r="680" spans="1:10" ht="23.4" x14ac:dyDescent="0.3">
      <c r="A680" s="997"/>
      <c r="B680" s="444"/>
      <c r="C680" s="448" t="s">
        <v>378</v>
      </c>
      <c r="D680" s="623" t="s">
        <v>379</v>
      </c>
      <c r="E680" s="279">
        <v>0</v>
      </c>
      <c r="F680" s="441">
        <f t="shared" si="136"/>
        <v>61200</v>
      </c>
      <c r="G680" s="594">
        <v>21.28</v>
      </c>
      <c r="H680" s="610">
        <f t="shared" si="135"/>
        <v>0</v>
      </c>
      <c r="I680" s="613">
        <f t="shared" si="137"/>
        <v>1302336</v>
      </c>
      <c r="J680" s="358"/>
    </row>
    <row r="681" spans="1:10" ht="23.4" x14ac:dyDescent="0.3">
      <c r="A681" s="997"/>
      <c r="B681" s="444"/>
      <c r="C681" s="448" t="s">
        <v>332</v>
      </c>
      <c r="D681" s="623" t="s">
        <v>447</v>
      </c>
      <c r="E681" s="279">
        <v>0</v>
      </c>
      <c r="F681" s="441">
        <f t="shared" si="136"/>
        <v>9920</v>
      </c>
      <c r="G681" s="594">
        <v>139.04</v>
      </c>
      <c r="H681" s="610">
        <f t="shared" si="135"/>
        <v>0</v>
      </c>
      <c r="I681" s="613">
        <f t="shared" si="137"/>
        <v>1379276.7999999998</v>
      </c>
      <c r="J681" s="358"/>
    </row>
    <row r="682" spans="1:10" ht="23.4" x14ac:dyDescent="0.3">
      <c r="A682" s="997"/>
      <c r="B682" s="444"/>
      <c r="C682" s="592" t="s">
        <v>383</v>
      </c>
      <c r="D682" s="623" t="s">
        <v>294</v>
      </c>
      <c r="E682" s="279">
        <v>0</v>
      </c>
      <c r="F682" s="441">
        <f t="shared" si="136"/>
        <v>0</v>
      </c>
      <c r="G682" s="594">
        <v>109.77</v>
      </c>
      <c r="H682" s="610">
        <f t="shared" si="135"/>
        <v>0</v>
      </c>
      <c r="I682" s="613">
        <f t="shared" si="137"/>
        <v>0</v>
      </c>
      <c r="J682" s="358"/>
    </row>
    <row r="683" spans="1:10" ht="23.4" x14ac:dyDescent="0.3">
      <c r="A683" s="997"/>
      <c r="B683" s="444"/>
      <c r="C683" s="448" t="s">
        <v>384</v>
      </c>
      <c r="D683" s="623" t="s">
        <v>206</v>
      </c>
      <c r="E683" s="279">
        <v>0</v>
      </c>
      <c r="F683" s="441">
        <f t="shared" si="136"/>
        <v>0</v>
      </c>
      <c r="G683" s="594">
        <v>21.28</v>
      </c>
      <c r="H683" s="610">
        <f t="shared" si="135"/>
        <v>0</v>
      </c>
      <c r="I683" s="613">
        <f t="shared" si="137"/>
        <v>0</v>
      </c>
      <c r="J683" s="358"/>
    </row>
    <row r="684" spans="1:10" ht="24" thickBot="1" x14ac:dyDescent="0.35">
      <c r="A684" s="997"/>
      <c r="B684" s="444"/>
      <c r="C684" s="448" t="s">
        <v>400</v>
      </c>
      <c r="D684" s="450" t="s">
        <v>193</v>
      </c>
      <c r="E684" s="279">
        <v>0</v>
      </c>
      <c r="F684" s="441">
        <f t="shared" si="136"/>
        <v>1186</v>
      </c>
      <c r="G684" s="594">
        <v>36.44</v>
      </c>
      <c r="H684" s="610">
        <f t="shared" si="135"/>
        <v>0</v>
      </c>
      <c r="I684" s="613">
        <f t="shared" si="137"/>
        <v>43217.84</v>
      </c>
      <c r="J684" s="358"/>
    </row>
    <row r="685" spans="1:10" ht="24" thickBot="1" x14ac:dyDescent="0.35">
      <c r="A685" s="997"/>
      <c r="B685" s="992" t="s">
        <v>295</v>
      </c>
      <c r="C685" s="993"/>
      <c r="D685" s="745"/>
      <c r="E685" s="332"/>
      <c r="F685" s="333"/>
      <c r="G685" s="332"/>
      <c r="H685" s="605">
        <f>SUM(H671:H684)</f>
        <v>0</v>
      </c>
      <c r="I685" s="597">
        <f>SUM(I671:I684)</f>
        <v>16445889.760000002</v>
      </c>
      <c r="J685" s="355"/>
    </row>
    <row r="686" spans="1:10" ht="23.4" x14ac:dyDescent="0.3">
      <c r="A686" s="997"/>
      <c r="B686" s="743"/>
      <c r="C686" s="282" t="s">
        <v>301</v>
      </c>
      <c r="D686" s="440" t="s">
        <v>263</v>
      </c>
      <c r="E686" s="283">
        <v>0</v>
      </c>
      <c r="F686" s="323">
        <f t="shared" ref="F686:F696" si="138">E686+F604</f>
        <v>62125</v>
      </c>
      <c r="G686" s="595">
        <v>160.44999999999999</v>
      </c>
      <c r="H686" s="611">
        <f t="shared" ref="H686:H696" si="139">E686*G686</f>
        <v>0</v>
      </c>
      <c r="I686" s="614">
        <f t="shared" ref="I686:I696" si="140">+G686*F686</f>
        <v>9967956.25</v>
      </c>
      <c r="J686" s="379"/>
    </row>
    <row r="687" spans="1:10" ht="23.4" x14ac:dyDescent="0.3">
      <c r="A687" s="997"/>
      <c r="B687" s="743"/>
      <c r="C687" s="282" t="s">
        <v>317</v>
      </c>
      <c r="D687" s="440" t="s">
        <v>263</v>
      </c>
      <c r="E687" s="283">
        <v>0</v>
      </c>
      <c r="F687" s="323">
        <f t="shared" si="138"/>
        <v>1500</v>
      </c>
      <c r="G687" s="595">
        <v>160.44999999999999</v>
      </c>
      <c r="H687" s="611">
        <f t="shared" si="139"/>
        <v>0</v>
      </c>
      <c r="I687" s="614">
        <f t="shared" si="140"/>
        <v>240674.99999999997</v>
      </c>
      <c r="J687" s="379"/>
    </row>
    <row r="688" spans="1:10" ht="23.4" x14ac:dyDescent="0.3">
      <c r="A688" s="997"/>
      <c r="B688" s="743"/>
      <c r="C688" s="282" t="s">
        <v>318</v>
      </c>
      <c r="D688" s="440" t="s">
        <v>263</v>
      </c>
      <c r="E688" s="283">
        <v>0</v>
      </c>
      <c r="F688" s="323">
        <f t="shared" si="138"/>
        <v>3375</v>
      </c>
      <c r="G688" s="595">
        <v>160.44999999999999</v>
      </c>
      <c r="H688" s="611">
        <f t="shared" si="139"/>
        <v>0</v>
      </c>
      <c r="I688" s="614">
        <f t="shared" si="140"/>
        <v>541518.75</v>
      </c>
      <c r="J688" s="379"/>
    </row>
    <row r="689" spans="1:12" ht="23.4" x14ac:dyDescent="0.3">
      <c r="A689" s="997"/>
      <c r="B689" s="743"/>
      <c r="C689" s="282" t="s">
        <v>321</v>
      </c>
      <c r="D689" s="440" t="s">
        <v>100</v>
      </c>
      <c r="E689" s="283">
        <v>0</v>
      </c>
      <c r="F689" s="323">
        <f t="shared" si="138"/>
        <v>0</v>
      </c>
      <c r="G689" s="595">
        <v>27</v>
      </c>
      <c r="H689" s="611">
        <f t="shared" si="139"/>
        <v>0</v>
      </c>
      <c r="I689" s="614">
        <f t="shared" si="140"/>
        <v>0</v>
      </c>
      <c r="J689" s="379"/>
    </row>
    <row r="690" spans="1:12" ht="23.4" x14ac:dyDescent="0.3">
      <c r="A690" s="997"/>
      <c r="B690" s="743"/>
      <c r="C690" s="282" t="s">
        <v>321</v>
      </c>
      <c r="D690" s="440" t="s">
        <v>329</v>
      </c>
      <c r="E690" s="283">
        <v>0</v>
      </c>
      <c r="F690" s="323">
        <f t="shared" si="138"/>
        <v>0</v>
      </c>
      <c r="G690" s="595">
        <v>27.5</v>
      </c>
      <c r="H690" s="611">
        <f t="shared" si="139"/>
        <v>0</v>
      </c>
      <c r="I690" s="614">
        <f t="shared" si="140"/>
        <v>0</v>
      </c>
      <c r="J690" s="379"/>
    </row>
    <row r="691" spans="1:12" ht="23.4" x14ac:dyDescent="0.3">
      <c r="A691" s="997"/>
      <c r="B691" s="743"/>
      <c r="C691" s="282" t="s">
        <v>307</v>
      </c>
      <c r="D691" s="440" t="s">
        <v>329</v>
      </c>
      <c r="E691" s="283">
        <v>0</v>
      </c>
      <c r="F691" s="323">
        <f t="shared" si="138"/>
        <v>0</v>
      </c>
      <c r="G691" s="595">
        <v>34.5</v>
      </c>
      <c r="H691" s="611">
        <f t="shared" si="139"/>
        <v>0</v>
      </c>
      <c r="I691" s="614">
        <f t="shared" si="140"/>
        <v>0</v>
      </c>
      <c r="J691" s="379"/>
    </row>
    <row r="692" spans="1:12" ht="23.4" x14ac:dyDescent="0.3">
      <c r="A692" s="997"/>
      <c r="B692" s="743"/>
      <c r="C692" s="282" t="s">
        <v>342</v>
      </c>
      <c r="D692" s="440" t="s">
        <v>263</v>
      </c>
      <c r="E692" s="283">
        <v>1250</v>
      </c>
      <c r="F692" s="323">
        <f t="shared" si="138"/>
        <v>7500</v>
      </c>
      <c r="G692" s="595">
        <v>160.44999999999999</v>
      </c>
      <c r="H692" s="611">
        <f t="shared" si="139"/>
        <v>200562.5</v>
      </c>
      <c r="I692" s="614">
        <f t="shared" si="140"/>
        <v>1203375</v>
      </c>
      <c r="J692" s="379"/>
    </row>
    <row r="693" spans="1:12" ht="23.4" x14ac:dyDescent="0.3">
      <c r="A693" s="997"/>
      <c r="B693" s="743"/>
      <c r="C693" s="282" t="s">
        <v>438</v>
      </c>
      <c r="D693" s="440" t="s">
        <v>263</v>
      </c>
      <c r="E693" s="283">
        <v>0</v>
      </c>
      <c r="F693" s="323">
        <f t="shared" si="138"/>
        <v>5250</v>
      </c>
      <c r="G693" s="595">
        <v>160.44999999999999</v>
      </c>
      <c r="H693" s="611">
        <f t="shared" si="139"/>
        <v>0</v>
      </c>
      <c r="I693" s="614">
        <f t="shared" si="140"/>
        <v>842362.49999999988</v>
      </c>
      <c r="J693" s="379"/>
    </row>
    <row r="694" spans="1:12" ht="23.4" x14ac:dyDescent="0.3">
      <c r="A694" s="997"/>
      <c r="B694" s="743"/>
      <c r="C694" s="282" t="s">
        <v>357</v>
      </c>
      <c r="D694" s="440" t="s">
        <v>263</v>
      </c>
      <c r="E694" s="283">
        <v>0</v>
      </c>
      <c r="F694" s="323">
        <f t="shared" si="138"/>
        <v>11735</v>
      </c>
      <c r="G694" s="595">
        <v>160.44999999999999</v>
      </c>
      <c r="H694" s="611">
        <f t="shared" si="139"/>
        <v>0</v>
      </c>
      <c r="I694" s="614">
        <f t="shared" si="140"/>
        <v>1882880.7499999998</v>
      </c>
      <c r="J694" s="379"/>
    </row>
    <row r="695" spans="1:12" ht="23.4" x14ac:dyDescent="0.3">
      <c r="A695" s="997"/>
      <c r="B695" s="743"/>
      <c r="C695" s="282" t="s">
        <v>358</v>
      </c>
      <c r="D695" s="440" t="s">
        <v>263</v>
      </c>
      <c r="E695" s="283">
        <v>3000</v>
      </c>
      <c r="F695" s="323">
        <f t="shared" si="138"/>
        <v>5625</v>
      </c>
      <c r="G695" s="595">
        <v>160.44999999999999</v>
      </c>
      <c r="H695" s="611">
        <f t="shared" si="139"/>
        <v>481349.99999999994</v>
      </c>
      <c r="I695" s="614">
        <f t="shared" si="140"/>
        <v>902531.24999999988</v>
      </c>
      <c r="J695" s="379"/>
    </row>
    <row r="696" spans="1:12" ht="24" thickBot="1" x14ac:dyDescent="0.35">
      <c r="A696" s="997"/>
      <c r="B696" s="743"/>
      <c r="C696" s="282" t="s">
        <v>353</v>
      </c>
      <c r="D696" s="440" t="s">
        <v>263</v>
      </c>
      <c r="E696" s="283">
        <v>625</v>
      </c>
      <c r="F696" s="323">
        <f t="shared" si="138"/>
        <v>1500</v>
      </c>
      <c r="G696" s="595">
        <v>160.44999999999999</v>
      </c>
      <c r="H696" s="611">
        <f t="shared" si="139"/>
        <v>100281.25</v>
      </c>
      <c r="I696" s="614">
        <f t="shared" si="140"/>
        <v>240674.99999999997</v>
      </c>
      <c r="J696" s="379"/>
    </row>
    <row r="697" spans="1:12" ht="24" thickBot="1" x14ac:dyDescent="0.35">
      <c r="A697" s="997"/>
      <c r="B697" s="992" t="s">
        <v>296</v>
      </c>
      <c r="C697" s="993"/>
      <c r="D697" s="745"/>
      <c r="E697" s="332"/>
      <c r="F697" s="333"/>
      <c r="G697" s="332"/>
      <c r="H697" s="605">
        <f>SUM(H686:H696)</f>
        <v>782193.75</v>
      </c>
      <c r="I697" s="597">
        <f>SUM(I686:I696)</f>
        <v>15821974.5</v>
      </c>
      <c r="J697" s="355"/>
    </row>
    <row r="698" spans="1:12" ht="23.4" x14ac:dyDescent="0.3">
      <c r="A698" s="997"/>
      <c r="B698" s="743"/>
      <c r="C698" s="282" t="s">
        <v>303</v>
      </c>
      <c r="D698" s="440"/>
      <c r="E698" s="283">
        <v>0</v>
      </c>
      <c r="F698" s="598">
        <f t="shared" ref="F698:F700" si="141">E698+F616</f>
        <v>0</v>
      </c>
      <c r="G698" s="595">
        <v>10</v>
      </c>
      <c r="H698" s="611">
        <f t="shared" ref="H698:H700" si="142">E698*G698</f>
        <v>0</v>
      </c>
      <c r="I698" s="614">
        <f t="shared" ref="I698" si="143">+G698*F698</f>
        <v>0</v>
      </c>
      <c r="J698" s="379"/>
    </row>
    <row r="699" spans="1:12" ht="23.4" x14ac:dyDescent="0.3">
      <c r="A699" s="997"/>
      <c r="B699" s="743"/>
      <c r="C699" s="282" t="s">
        <v>308</v>
      </c>
      <c r="D699" s="440" t="s">
        <v>309</v>
      </c>
      <c r="E699" s="283">
        <v>0</v>
      </c>
      <c r="F699" s="598">
        <f t="shared" si="141"/>
        <v>9</v>
      </c>
      <c r="G699" s="595">
        <v>2500</v>
      </c>
      <c r="H699" s="611">
        <f t="shared" si="142"/>
        <v>0</v>
      </c>
      <c r="I699" s="614">
        <f>+G699*F699</f>
        <v>22500</v>
      </c>
      <c r="J699" s="379"/>
    </row>
    <row r="700" spans="1:12" ht="24" thickBot="1" x14ac:dyDescent="0.35">
      <c r="A700" s="997"/>
      <c r="B700" s="743"/>
      <c r="C700" s="282" t="s">
        <v>343</v>
      </c>
      <c r="D700" s="440" t="s">
        <v>344</v>
      </c>
      <c r="E700" s="283">
        <v>0</v>
      </c>
      <c r="F700" s="598">
        <f t="shared" si="141"/>
        <v>0</v>
      </c>
      <c r="G700" s="596">
        <v>360</v>
      </c>
      <c r="H700" s="611">
        <f t="shared" si="142"/>
        <v>0</v>
      </c>
      <c r="I700" s="614">
        <f t="shared" ref="I700" si="144">+G700*F700</f>
        <v>0</v>
      </c>
      <c r="J700" s="379"/>
    </row>
    <row r="701" spans="1:12" ht="24" thickBot="1" x14ac:dyDescent="0.35">
      <c r="A701" s="997"/>
      <c r="B701" s="992" t="s">
        <v>302</v>
      </c>
      <c r="C701" s="993"/>
      <c r="D701" s="745"/>
      <c r="E701" s="332"/>
      <c r="F701" s="333"/>
      <c r="G701" s="332"/>
      <c r="H701" s="605">
        <f>SUM(H698:H700)</f>
        <v>0</v>
      </c>
      <c r="I701" s="597">
        <f>SUM(I698:I700)</f>
        <v>22500</v>
      </c>
      <c r="J701" s="379"/>
    </row>
    <row r="702" spans="1:12" ht="24" thickBot="1" x14ac:dyDescent="0.35">
      <c r="A702" s="997"/>
      <c r="B702" s="743"/>
      <c r="C702" s="282"/>
      <c r="D702" s="440"/>
      <c r="E702" s="283"/>
      <c r="F702" s="323"/>
      <c r="G702" s="596"/>
      <c r="H702" s="606"/>
      <c r="I702" s="285">
        <f t="shared" ref="I702" si="145">+G702*F702</f>
        <v>0</v>
      </c>
      <c r="J702" s="379"/>
    </row>
    <row r="703" spans="1:12" ht="24" thickBot="1" x14ac:dyDescent="0.35">
      <c r="A703" s="998"/>
      <c r="B703" s="992" t="s">
        <v>298</v>
      </c>
      <c r="C703" s="993"/>
      <c r="D703" s="741"/>
      <c r="E703" s="332"/>
      <c r="F703" s="333"/>
      <c r="G703" s="332"/>
      <c r="H703" s="597">
        <f>+H697+H685+H701</f>
        <v>782193.75</v>
      </c>
      <c r="I703" s="597">
        <f>+I697+I685+I701</f>
        <v>32290364.260000002</v>
      </c>
      <c r="J703" s="379"/>
      <c r="L703" s="620"/>
    </row>
    <row r="704" spans="1:12" ht="23.4" x14ac:dyDescent="0.3">
      <c r="A704" s="996" t="s">
        <v>109</v>
      </c>
      <c r="B704" s="743"/>
      <c r="C704" s="282" t="s">
        <v>312</v>
      </c>
      <c r="D704" s="440" t="s">
        <v>193</v>
      </c>
      <c r="E704" s="283">
        <v>0</v>
      </c>
      <c r="F704" s="323">
        <f t="shared" ref="F704:F723" si="146">E704+F622</f>
        <v>7956</v>
      </c>
      <c r="G704" s="621">
        <v>13.25</v>
      </c>
      <c r="H704" s="615">
        <f t="shared" ref="H704:H723" si="147">E704*G704</f>
        <v>0</v>
      </c>
      <c r="I704" s="614">
        <f t="shared" ref="I704:I723" si="148">+G704*F704</f>
        <v>105417</v>
      </c>
      <c r="J704" s="379"/>
    </row>
    <row r="705" spans="1:10" ht="23.4" x14ac:dyDescent="0.3">
      <c r="A705" s="997"/>
      <c r="B705" s="743"/>
      <c r="C705" s="282" t="s">
        <v>313</v>
      </c>
      <c r="D705" s="440"/>
      <c r="E705" s="283">
        <v>0</v>
      </c>
      <c r="F705" s="323">
        <f t="shared" si="146"/>
        <v>1</v>
      </c>
      <c r="G705" s="622">
        <v>10000</v>
      </c>
      <c r="H705" s="615">
        <f t="shared" si="147"/>
        <v>0</v>
      </c>
      <c r="I705" s="614">
        <f t="shared" si="148"/>
        <v>10000</v>
      </c>
      <c r="J705" s="379"/>
    </row>
    <row r="706" spans="1:10" ht="23.4" x14ac:dyDescent="0.3">
      <c r="A706" s="997"/>
      <c r="B706" s="743"/>
      <c r="C706" s="282" t="s">
        <v>313</v>
      </c>
      <c r="D706" s="440"/>
      <c r="E706" s="283">
        <v>0</v>
      </c>
      <c r="F706" s="323">
        <f t="shared" si="146"/>
        <v>0</v>
      </c>
      <c r="G706" s="622">
        <v>18000</v>
      </c>
      <c r="H706" s="615">
        <f t="shared" si="147"/>
        <v>0</v>
      </c>
      <c r="I706" s="614">
        <f t="shared" si="148"/>
        <v>0</v>
      </c>
      <c r="J706" s="379"/>
    </row>
    <row r="707" spans="1:10" ht="23.4" x14ac:dyDescent="0.3">
      <c r="A707" s="997"/>
      <c r="B707" s="743"/>
      <c r="C707" s="282" t="s">
        <v>328</v>
      </c>
      <c r="D707" s="440" t="s">
        <v>193</v>
      </c>
      <c r="E707" s="283">
        <v>0</v>
      </c>
      <c r="F707" s="323">
        <f t="shared" si="146"/>
        <v>0</v>
      </c>
      <c r="G707" s="621">
        <v>24.93</v>
      </c>
      <c r="H707" s="615">
        <f t="shared" si="147"/>
        <v>0</v>
      </c>
      <c r="I707" s="614">
        <f t="shared" si="148"/>
        <v>0</v>
      </c>
      <c r="J707" s="379"/>
    </row>
    <row r="708" spans="1:10" ht="23.4" x14ac:dyDescent="0.3">
      <c r="A708" s="997"/>
      <c r="B708" s="743"/>
      <c r="C708" s="282" t="s">
        <v>335</v>
      </c>
      <c r="D708" s="440" t="s">
        <v>99</v>
      </c>
      <c r="E708" s="283">
        <v>0</v>
      </c>
      <c r="F708" s="323">
        <f t="shared" si="146"/>
        <v>0</v>
      </c>
      <c r="G708" s="621">
        <v>26</v>
      </c>
      <c r="H708" s="615">
        <f t="shared" si="147"/>
        <v>0</v>
      </c>
      <c r="I708" s="614">
        <f t="shared" si="148"/>
        <v>0</v>
      </c>
      <c r="J708" s="379"/>
    </row>
    <row r="709" spans="1:10" ht="23.4" x14ac:dyDescent="0.3">
      <c r="A709" s="997"/>
      <c r="B709" s="743"/>
      <c r="C709" s="282" t="s">
        <v>336</v>
      </c>
      <c r="D709" s="440" t="s">
        <v>193</v>
      </c>
      <c r="E709" s="283">
        <v>0</v>
      </c>
      <c r="F709" s="323">
        <f t="shared" si="146"/>
        <v>0</v>
      </c>
      <c r="G709" s="621">
        <v>25.49</v>
      </c>
      <c r="H709" s="615">
        <f t="shared" si="147"/>
        <v>0</v>
      </c>
      <c r="I709" s="614">
        <f t="shared" si="148"/>
        <v>0</v>
      </c>
      <c r="J709" s="379"/>
    </row>
    <row r="710" spans="1:10" ht="23.4" x14ac:dyDescent="0.3">
      <c r="A710" s="997"/>
      <c r="B710" s="743"/>
      <c r="C710" s="282" t="s">
        <v>337</v>
      </c>
      <c r="D710" s="440" t="s">
        <v>115</v>
      </c>
      <c r="E710" s="283">
        <v>0</v>
      </c>
      <c r="F710" s="323">
        <f t="shared" si="146"/>
        <v>0</v>
      </c>
      <c r="G710" s="621">
        <v>24.93</v>
      </c>
      <c r="H710" s="615">
        <f t="shared" si="147"/>
        <v>0</v>
      </c>
      <c r="I710" s="614">
        <f t="shared" si="148"/>
        <v>0</v>
      </c>
      <c r="J710" s="379"/>
    </row>
    <row r="711" spans="1:10" ht="23.4" x14ac:dyDescent="0.3">
      <c r="A711" s="997"/>
      <c r="B711" s="743"/>
      <c r="C711" s="282" t="s">
        <v>338</v>
      </c>
      <c r="D711" s="440" t="s">
        <v>311</v>
      </c>
      <c r="E711" s="283">
        <v>0</v>
      </c>
      <c r="F711" s="323">
        <f t="shared" si="146"/>
        <v>0</v>
      </c>
      <c r="G711" s="621">
        <v>24.93</v>
      </c>
      <c r="H711" s="615">
        <f t="shared" si="147"/>
        <v>0</v>
      </c>
      <c r="I711" s="614">
        <f t="shared" si="148"/>
        <v>0</v>
      </c>
      <c r="J711" s="379"/>
    </row>
    <row r="712" spans="1:10" ht="23.4" x14ac:dyDescent="0.3">
      <c r="A712" s="997"/>
      <c r="B712" s="743"/>
      <c r="C712" s="282" t="s">
        <v>339</v>
      </c>
      <c r="D712" s="440" t="s">
        <v>99</v>
      </c>
      <c r="E712" s="283">
        <v>0</v>
      </c>
      <c r="F712" s="323">
        <f t="shared" si="146"/>
        <v>0</v>
      </c>
      <c r="G712" s="621">
        <v>20.89</v>
      </c>
      <c r="H712" s="615">
        <f t="shared" si="147"/>
        <v>0</v>
      </c>
      <c r="I712" s="614">
        <f t="shared" si="148"/>
        <v>0</v>
      </c>
      <c r="J712" s="379"/>
    </row>
    <row r="713" spans="1:10" ht="23.4" x14ac:dyDescent="0.3">
      <c r="A713" s="997"/>
      <c r="B713" s="743"/>
      <c r="C713" s="282" t="s">
        <v>445</v>
      </c>
      <c r="D713" s="440" t="s">
        <v>350</v>
      </c>
      <c r="E713" s="283">
        <v>0</v>
      </c>
      <c r="F713" s="323">
        <f t="shared" si="146"/>
        <v>56160</v>
      </c>
      <c r="G713" s="621">
        <v>37.11</v>
      </c>
      <c r="H713" s="615">
        <f t="shared" si="147"/>
        <v>0</v>
      </c>
      <c r="I713" s="614">
        <f t="shared" si="148"/>
        <v>2084097.5999999999</v>
      </c>
      <c r="J713" s="379"/>
    </row>
    <row r="714" spans="1:10" ht="23.4" x14ac:dyDescent="0.3">
      <c r="A714" s="997"/>
      <c r="B714" s="743"/>
      <c r="C714" s="282" t="s">
        <v>446</v>
      </c>
      <c r="D714" s="440" t="s">
        <v>350</v>
      </c>
      <c r="E714" s="283">
        <v>0</v>
      </c>
      <c r="F714" s="323">
        <f t="shared" si="146"/>
        <v>13104</v>
      </c>
      <c r="G714" s="621">
        <v>37.89</v>
      </c>
      <c r="H714" s="615">
        <f t="shared" si="147"/>
        <v>0</v>
      </c>
      <c r="I714" s="614">
        <f t="shared" si="148"/>
        <v>496510.56</v>
      </c>
      <c r="J714" s="379"/>
    </row>
    <row r="715" spans="1:10" ht="23.4" x14ac:dyDescent="0.3">
      <c r="A715" s="997"/>
      <c r="B715" s="743"/>
      <c r="C715" s="282" t="s">
        <v>337</v>
      </c>
      <c r="D715" s="440" t="s">
        <v>310</v>
      </c>
      <c r="E715" s="283">
        <v>0</v>
      </c>
      <c r="F715" s="323">
        <f t="shared" si="146"/>
        <v>0</v>
      </c>
      <c r="G715" s="621">
        <v>24.93</v>
      </c>
      <c r="H715" s="615">
        <f t="shared" si="147"/>
        <v>0</v>
      </c>
      <c r="I715" s="614">
        <f t="shared" si="148"/>
        <v>0</v>
      </c>
      <c r="J715" s="379"/>
    </row>
    <row r="716" spans="1:10" ht="23.4" x14ac:dyDescent="0.3">
      <c r="A716" s="997"/>
      <c r="B716" s="743"/>
      <c r="C716" s="282" t="s">
        <v>338</v>
      </c>
      <c r="D716" s="440" t="s">
        <v>310</v>
      </c>
      <c r="E716" s="283">
        <v>0</v>
      </c>
      <c r="F716" s="323">
        <f t="shared" si="146"/>
        <v>0</v>
      </c>
      <c r="G716" s="621">
        <v>24.93</v>
      </c>
      <c r="H716" s="615">
        <f t="shared" si="147"/>
        <v>0</v>
      </c>
      <c r="I716" s="614">
        <f t="shared" si="148"/>
        <v>0</v>
      </c>
      <c r="J716" s="379"/>
    </row>
    <row r="717" spans="1:10" ht="23.4" x14ac:dyDescent="0.3">
      <c r="A717" s="997"/>
      <c r="B717" s="743"/>
      <c r="C717" s="282" t="s">
        <v>369</v>
      </c>
      <c r="D717" s="440" t="s">
        <v>324</v>
      </c>
      <c r="E717" s="283">
        <v>0</v>
      </c>
      <c r="F717" s="323">
        <f t="shared" si="146"/>
        <v>1872</v>
      </c>
      <c r="G717" s="621">
        <v>34.26</v>
      </c>
      <c r="H717" s="615">
        <f t="shared" si="147"/>
        <v>0</v>
      </c>
      <c r="I717" s="614">
        <f t="shared" si="148"/>
        <v>64134.719999999994</v>
      </c>
      <c r="J717" s="379"/>
    </row>
    <row r="718" spans="1:10" ht="23.4" x14ac:dyDescent="0.3">
      <c r="A718" s="997"/>
      <c r="B718" s="743"/>
      <c r="C718" s="282" t="s">
        <v>385</v>
      </c>
      <c r="D718" s="440" t="s">
        <v>193</v>
      </c>
      <c r="E718" s="283">
        <v>0</v>
      </c>
      <c r="F718" s="323">
        <f t="shared" si="146"/>
        <v>0</v>
      </c>
      <c r="G718" s="621">
        <v>23.65</v>
      </c>
      <c r="H718" s="615">
        <f t="shared" si="147"/>
        <v>0</v>
      </c>
      <c r="I718" s="614">
        <f t="shared" si="148"/>
        <v>0</v>
      </c>
      <c r="J718" s="379"/>
    </row>
    <row r="719" spans="1:10" ht="23.4" x14ac:dyDescent="0.3">
      <c r="A719" s="997"/>
      <c r="B719" s="743"/>
      <c r="C719" s="282" t="s">
        <v>405</v>
      </c>
      <c r="D719" s="440" t="s">
        <v>192</v>
      </c>
      <c r="E719" s="283">
        <v>0</v>
      </c>
      <c r="F719" s="323">
        <f t="shared" si="146"/>
        <v>0</v>
      </c>
      <c r="G719" s="621">
        <v>20.76</v>
      </c>
      <c r="H719" s="615">
        <f t="shared" si="147"/>
        <v>0</v>
      </c>
      <c r="I719" s="614">
        <f t="shared" si="148"/>
        <v>0</v>
      </c>
      <c r="J719" s="379"/>
    </row>
    <row r="720" spans="1:10" ht="23.4" x14ac:dyDescent="0.3">
      <c r="A720" s="997"/>
      <c r="B720" s="743"/>
      <c r="C720" s="282" t="s">
        <v>338</v>
      </c>
      <c r="D720" s="440" t="s">
        <v>192</v>
      </c>
      <c r="E720" s="283">
        <v>0</v>
      </c>
      <c r="F720" s="323">
        <f t="shared" si="146"/>
        <v>0</v>
      </c>
      <c r="G720" s="621">
        <v>21.22</v>
      </c>
      <c r="H720" s="615">
        <f t="shared" si="147"/>
        <v>0</v>
      </c>
      <c r="I720" s="614">
        <f t="shared" si="148"/>
        <v>0</v>
      </c>
      <c r="J720" s="379"/>
    </row>
    <row r="721" spans="1:10" ht="23.4" x14ac:dyDescent="0.3">
      <c r="A721" s="997"/>
      <c r="B721" s="743"/>
      <c r="C721" s="282" t="s">
        <v>337</v>
      </c>
      <c r="D721" s="440" t="s">
        <v>192</v>
      </c>
      <c r="E721" s="283">
        <v>0</v>
      </c>
      <c r="F721" s="323">
        <f t="shared" si="146"/>
        <v>0</v>
      </c>
      <c r="G721" s="621">
        <v>21.22</v>
      </c>
      <c r="H721" s="615">
        <f t="shared" si="147"/>
        <v>0</v>
      </c>
      <c r="I721" s="614">
        <f t="shared" si="148"/>
        <v>0</v>
      </c>
      <c r="J721" s="379"/>
    </row>
    <row r="722" spans="1:10" ht="23.4" x14ac:dyDescent="0.3">
      <c r="A722" s="997"/>
      <c r="B722" s="743"/>
      <c r="C722" s="282" t="s">
        <v>406</v>
      </c>
      <c r="D722" s="440" t="s">
        <v>344</v>
      </c>
      <c r="E722" s="283">
        <v>0</v>
      </c>
      <c r="F722" s="323">
        <f t="shared" si="146"/>
        <v>0</v>
      </c>
      <c r="G722" s="621">
        <v>10000</v>
      </c>
      <c r="H722" s="615">
        <f t="shared" si="147"/>
        <v>0</v>
      </c>
      <c r="I722" s="614">
        <f t="shared" si="148"/>
        <v>0</v>
      </c>
      <c r="J722" s="379"/>
    </row>
    <row r="723" spans="1:10" ht="24" thickBot="1" x14ac:dyDescent="0.35">
      <c r="A723" s="997"/>
      <c r="B723" s="743"/>
      <c r="C723" s="282" t="s">
        <v>343</v>
      </c>
      <c r="D723" s="440" t="s">
        <v>344</v>
      </c>
      <c r="E723" s="283">
        <v>24234</v>
      </c>
      <c r="F723" s="323">
        <f t="shared" si="146"/>
        <v>24234</v>
      </c>
      <c r="G723" s="621">
        <v>360</v>
      </c>
      <c r="H723" s="615">
        <f t="shared" si="147"/>
        <v>8724240</v>
      </c>
      <c r="I723" s="614">
        <f t="shared" si="148"/>
        <v>8724240</v>
      </c>
      <c r="J723" s="379"/>
    </row>
    <row r="724" spans="1:10" ht="24" thickBot="1" x14ac:dyDescent="0.35">
      <c r="A724" s="998"/>
      <c r="B724" s="992" t="s">
        <v>297</v>
      </c>
      <c r="C724" s="993"/>
      <c r="D724" s="745"/>
      <c r="E724" s="332"/>
      <c r="F724" s="333"/>
      <c r="G724" s="332"/>
      <c r="H724" s="605"/>
      <c r="I724" s="597">
        <f>SUM(I704:I723)</f>
        <v>11484399.879999999</v>
      </c>
      <c r="J724" s="379"/>
    </row>
    <row r="725" spans="1:10" ht="23.4" x14ac:dyDescent="0.3">
      <c r="A725" s="996" t="s">
        <v>110</v>
      </c>
      <c r="B725" s="743"/>
      <c r="C725" s="282" t="s">
        <v>304</v>
      </c>
      <c r="D725" s="440" t="s">
        <v>263</v>
      </c>
      <c r="E725" s="283">
        <v>0</v>
      </c>
      <c r="F725" s="323">
        <f t="shared" ref="F725:F744" si="149">E725+F643</f>
        <v>2240</v>
      </c>
      <c r="G725" s="621">
        <v>430.02</v>
      </c>
      <c r="H725" s="611">
        <f>E725*G725</f>
        <v>0</v>
      </c>
      <c r="I725" s="614">
        <f t="shared" ref="I725:I744" si="150">+G725*F725</f>
        <v>963244.79999999993</v>
      </c>
      <c r="J725" s="379"/>
    </row>
    <row r="726" spans="1:10" ht="23.4" x14ac:dyDescent="0.3">
      <c r="A726" s="997"/>
      <c r="B726" s="743"/>
      <c r="C726" s="282" t="s">
        <v>305</v>
      </c>
      <c r="D726" s="440" t="s">
        <v>263</v>
      </c>
      <c r="E726" s="283">
        <v>0</v>
      </c>
      <c r="F726" s="323">
        <f t="shared" si="149"/>
        <v>0</v>
      </c>
      <c r="G726" s="621">
        <v>445.38</v>
      </c>
      <c r="H726" s="611">
        <f t="shared" ref="H726:H744" si="151">E726*G726</f>
        <v>0</v>
      </c>
      <c r="I726" s="614">
        <f t="shared" si="150"/>
        <v>0</v>
      </c>
      <c r="J726" s="379"/>
    </row>
    <row r="727" spans="1:10" ht="23.4" x14ac:dyDescent="0.3">
      <c r="A727" s="997"/>
      <c r="B727" s="743"/>
      <c r="C727" s="282" t="s">
        <v>341</v>
      </c>
      <c r="D727" s="440" t="s">
        <v>263</v>
      </c>
      <c r="E727" s="283">
        <v>0</v>
      </c>
      <c r="F727" s="323">
        <f t="shared" si="149"/>
        <v>0</v>
      </c>
      <c r="G727" s="621">
        <v>63.55</v>
      </c>
      <c r="H727" s="611">
        <f t="shared" si="151"/>
        <v>0</v>
      </c>
      <c r="I727" s="614">
        <f t="shared" si="150"/>
        <v>0</v>
      </c>
      <c r="J727" s="379"/>
    </row>
    <row r="728" spans="1:10" ht="23.4" x14ac:dyDescent="0.3">
      <c r="A728" s="997"/>
      <c r="B728" s="743"/>
      <c r="C728" s="282" t="s">
        <v>306</v>
      </c>
      <c r="D728" s="440" t="s">
        <v>263</v>
      </c>
      <c r="E728" s="283">
        <f>1680+5040+6720+25200</f>
        <v>38640</v>
      </c>
      <c r="F728" s="323">
        <f t="shared" si="149"/>
        <v>184392</v>
      </c>
      <c r="G728" s="621">
        <v>71.44</v>
      </c>
      <c r="H728" s="611">
        <f t="shared" si="151"/>
        <v>2760441.6</v>
      </c>
      <c r="I728" s="614">
        <f t="shared" si="150"/>
        <v>13172964.48</v>
      </c>
      <c r="J728" s="379"/>
    </row>
    <row r="729" spans="1:10" ht="23.4" x14ac:dyDescent="0.3">
      <c r="A729" s="997"/>
      <c r="B729" s="743"/>
      <c r="C729" s="282" t="s">
        <v>307</v>
      </c>
      <c r="D729" s="440" t="s">
        <v>263</v>
      </c>
      <c r="E729" s="283">
        <v>0</v>
      </c>
      <c r="F729" s="323">
        <f t="shared" si="149"/>
        <v>0</v>
      </c>
      <c r="G729" s="621">
        <v>36.5</v>
      </c>
      <c r="H729" s="611">
        <f t="shared" si="151"/>
        <v>0</v>
      </c>
      <c r="I729" s="614">
        <f t="shared" si="150"/>
        <v>0</v>
      </c>
      <c r="J729" s="379"/>
    </row>
    <row r="730" spans="1:10" ht="23.4" x14ac:dyDescent="0.3">
      <c r="A730" s="997"/>
      <c r="B730" s="743"/>
      <c r="C730" s="282" t="s">
        <v>316</v>
      </c>
      <c r="D730" s="440" t="s">
        <v>263</v>
      </c>
      <c r="E730" s="283">
        <v>0</v>
      </c>
      <c r="F730" s="323">
        <f t="shared" si="149"/>
        <v>0</v>
      </c>
      <c r="G730" s="621">
        <v>320.35000000000002</v>
      </c>
      <c r="H730" s="611">
        <f t="shared" si="151"/>
        <v>0</v>
      </c>
      <c r="I730" s="614">
        <f t="shared" si="150"/>
        <v>0</v>
      </c>
      <c r="J730" s="379"/>
    </row>
    <row r="731" spans="1:10" ht="23.4" x14ac:dyDescent="0.3">
      <c r="A731" s="997"/>
      <c r="B731" s="743"/>
      <c r="C731" s="282" t="s">
        <v>333</v>
      </c>
      <c r="D731" s="440" t="s">
        <v>263</v>
      </c>
      <c r="E731" s="283">
        <v>0</v>
      </c>
      <c r="F731" s="323">
        <f t="shared" si="149"/>
        <v>0</v>
      </c>
      <c r="G731" s="621">
        <v>434.41</v>
      </c>
      <c r="H731" s="611">
        <f t="shared" si="151"/>
        <v>0</v>
      </c>
      <c r="I731" s="614">
        <f t="shared" si="150"/>
        <v>0</v>
      </c>
      <c r="J731" s="379"/>
    </row>
    <row r="732" spans="1:10" ht="23.4" x14ac:dyDescent="0.3">
      <c r="A732" s="997"/>
      <c r="B732" s="743"/>
      <c r="C732" s="282" t="s">
        <v>313</v>
      </c>
      <c r="D732" s="440" t="s">
        <v>263</v>
      </c>
      <c r="E732" s="283">
        <v>0</v>
      </c>
      <c r="F732" s="323">
        <f t="shared" si="149"/>
        <v>5</v>
      </c>
      <c r="G732" s="621">
        <v>29690</v>
      </c>
      <c r="H732" s="611">
        <f t="shared" si="151"/>
        <v>0</v>
      </c>
      <c r="I732" s="614">
        <f t="shared" si="150"/>
        <v>148450</v>
      </c>
      <c r="J732" s="379"/>
    </row>
    <row r="733" spans="1:10" ht="23.4" x14ac:dyDescent="0.3">
      <c r="A733" s="997"/>
      <c r="B733" s="743"/>
      <c r="C733" s="282" t="s">
        <v>313</v>
      </c>
      <c r="D733" s="440" t="s">
        <v>263</v>
      </c>
      <c r="E733" s="283">
        <v>0</v>
      </c>
      <c r="F733" s="323">
        <f t="shared" si="149"/>
        <v>2</v>
      </c>
      <c r="G733" s="621">
        <v>26445</v>
      </c>
      <c r="H733" s="611">
        <f t="shared" si="151"/>
        <v>0</v>
      </c>
      <c r="I733" s="614">
        <f t="shared" si="150"/>
        <v>52890</v>
      </c>
      <c r="J733" s="379"/>
    </row>
    <row r="734" spans="1:10" ht="23.4" x14ac:dyDescent="0.3">
      <c r="A734" s="997"/>
      <c r="B734" s="743"/>
      <c r="C734" s="282" t="s">
        <v>354</v>
      </c>
      <c r="D734" s="440" t="s">
        <v>401</v>
      </c>
      <c r="E734" s="283">
        <v>0</v>
      </c>
      <c r="F734" s="323">
        <f t="shared" si="149"/>
        <v>1998</v>
      </c>
      <c r="G734" s="621">
        <v>50</v>
      </c>
      <c r="H734" s="611">
        <f t="shared" si="151"/>
        <v>0</v>
      </c>
      <c r="I734" s="614">
        <f t="shared" si="150"/>
        <v>99900</v>
      </c>
      <c r="J734" s="379"/>
    </row>
    <row r="735" spans="1:10" ht="23.4" x14ac:dyDescent="0.3">
      <c r="A735" s="997"/>
      <c r="B735" s="743"/>
      <c r="C735" s="282" t="s">
        <v>365</v>
      </c>
      <c r="D735" s="440" t="s">
        <v>350</v>
      </c>
      <c r="E735" s="283">
        <v>0</v>
      </c>
      <c r="F735" s="323">
        <f t="shared" si="149"/>
        <v>0</v>
      </c>
      <c r="G735" s="621">
        <v>309.88</v>
      </c>
      <c r="H735" s="611">
        <f t="shared" si="151"/>
        <v>0</v>
      </c>
      <c r="I735" s="614">
        <f t="shared" si="150"/>
        <v>0</v>
      </c>
      <c r="J735" s="379"/>
    </row>
    <row r="736" spans="1:10" ht="23.4" x14ac:dyDescent="0.3">
      <c r="A736" s="997"/>
      <c r="B736" s="743"/>
      <c r="C736" s="282" t="s">
        <v>366</v>
      </c>
      <c r="D736" s="440" t="s">
        <v>263</v>
      </c>
      <c r="E736" s="283">
        <v>0</v>
      </c>
      <c r="F736" s="323">
        <f t="shared" si="149"/>
        <v>0</v>
      </c>
      <c r="G736" s="621">
        <v>53.86</v>
      </c>
      <c r="H736" s="611">
        <f t="shared" si="151"/>
        <v>0</v>
      </c>
      <c r="I736" s="614">
        <f t="shared" si="150"/>
        <v>0</v>
      </c>
      <c r="J736" s="379"/>
    </row>
    <row r="737" spans="1:10" ht="23.4" x14ac:dyDescent="0.3">
      <c r="A737" s="997"/>
      <c r="B737" s="743"/>
      <c r="C737" s="282" t="s">
        <v>386</v>
      </c>
      <c r="D737" s="440" t="s">
        <v>387</v>
      </c>
      <c r="E737" s="283">
        <v>0</v>
      </c>
      <c r="F737" s="323">
        <f t="shared" si="149"/>
        <v>0</v>
      </c>
      <c r="G737" s="621">
        <v>57.64</v>
      </c>
      <c r="H737" s="611">
        <f t="shared" si="151"/>
        <v>0</v>
      </c>
      <c r="I737" s="614">
        <f t="shared" si="150"/>
        <v>0</v>
      </c>
      <c r="J737" s="379"/>
    </row>
    <row r="738" spans="1:10" ht="23.4" x14ac:dyDescent="0.3">
      <c r="A738" s="997"/>
      <c r="B738" s="743"/>
      <c r="C738" s="282" t="s">
        <v>388</v>
      </c>
      <c r="D738" s="440" t="s">
        <v>389</v>
      </c>
      <c r="E738" s="283">
        <v>0</v>
      </c>
      <c r="F738" s="284">
        <f t="shared" si="149"/>
        <v>960</v>
      </c>
      <c r="G738" s="621">
        <v>434.41</v>
      </c>
      <c r="H738" s="611">
        <f t="shared" si="151"/>
        <v>0</v>
      </c>
      <c r="I738" s="614">
        <f t="shared" si="150"/>
        <v>417033.60000000003</v>
      </c>
      <c r="J738" s="379"/>
    </row>
    <row r="739" spans="1:10" ht="23.4" x14ac:dyDescent="0.3">
      <c r="A739" s="997"/>
      <c r="B739" s="743"/>
      <c r="C739" s="282" t="s">
        <v>419</v>
      </c>
      <c r="D739" s="440" t="s">
        <v>263</v>
      </c>
      <c r="E739" s="283">
        <v>1620</v>
      </c>
      <c r="F739" s="284">
        <f t="shared" si="149"/>
        <v>7480</v>
      </c>
      <c r="G739" s="621">
        <v>624.26</v>
      </c>
      <c r="H739" s="611">
        <f t="shared" si="151"/>
        <v>1011301.2</v>
      </c>
      <c r="I739" s="614">
        <f t="shared" si="150"/>
        <v>4669464.8</v>
      </c>
      <c r="J739" s="379"/>
    </row>
    <row r="740" spans="1:10" ht="23.4" x14ac:dyDescent="0.3">
      <c r="A740" s="997"/>
      <c r="B740" s="743"/>
      <c r="C740" s="282" t="s">
        <v>390</v>
      </c>
      <c r="D740" s="440" t="s">
        <v>389</v>
      </c>
      <c r="E740" s="283">
        <v>0</v>
      </c>
      <c r="F740" s="323">
        <f t="shared" si="149"/>
        <v>0</v>
      </c>
      <c r="G740" s="621">
        <v>63.55</v>
      </c>
      <c r="H740" s="611">
        <f t="shared" si="151"/>
        <v>0</v>
      </c>
      <c r="I740" s="614">
        <f t="shared" si="150"/>
        <v>0</v>
      </c>
      <c r="J740" s="379"/>
    </row>
    <row r="741" spans="1:10" ht="23.4" x14ac:dyDescent="0.3">
      <c r="A741" s="997"/>
      <c r="B741" s="743"/>
      <c r="C741" s="282" t="s">
        <v>391</v>
      </c>
      <c r="D741" s="440" t="s">
        <v>389</v>
      </c>
      <c r="E741" s="283">
        <v>0</v>
      </c>
      <c r="F741" s="323">
        <f t="shared" si="149"/>
        <v>0</v>
      </c>
      <c r="G741" s="621">
        <v>53.86</v>
      </c>
      <c r="H741" s="611">
        <f t="shared" si="151"/>
        <v>0</v>
      </c>
      <c r="I741" s="614">
        <f t="shared" si="150"/>
        <v>0</v>
      </c>
      <c r="J741" s="379"/>
    </row>
    <row r="742" spans="1:10" ht="23.4" x14ac:dyDescent="0.3">
      <c r="A742" s="997"/>
      <c r="B742" s="743"/>
      <c r="C742" s="282" t="s">
        <v>432</v>
      </c>
      <c r="D742" s="440" t="s">
        <v>401</v>
      </c>
      <c r="E742" s="283">
        <v>0</v>
      </c>
      <c r="F742" s="323">
        <f t="shared" si="149"/>
        <v>414</v>
      </c>
      <c r="G742" s="621">
        <v>45</v>
      </c>
      <c r="H742" s="611">
        <f t="shared" si="151"/>
        <v>0</v>
      </c>
      <c r="I742" s="614">
        <f t="shared" si="150"/>
        <v>18630</v>
      </c>
      <c r="J742" s="379"/>
    </row>
    <row r="743" spans="1:10" ht="23.4" x14ac:dyDescent="0.3">
      <c r="A743" s="997"/>
      <c r="B743" s="743"/>
      <c r="C743" s="282" t="s">
        <v>313</v>
      </c>
      <c r="D743" s="440"/>
      <c r="E743" s="283">
        <v>0</v>
      </c>
      <c r="F743" s="323">
        <f t="shared" si="149"/>
        <v>1</v>
      </c>
      <c r="G743" s="621">
        <v>39450</v>
      </c>
      <c r="H743" s="611">
        <f t="shared" si="151"/>
        <v>0</v>
      </c>
      <c r="I743" s="614">
        <f t="shared" si="150"/>
        <v>39450</v>
      </c>
      <c r="J743" s="379"/>
    </row>
    <row r="744" spans="1:10" ht="24" thickBot="1" x14ac:dyDescent="0.35">
      <c r="A744" s="997"/>
      <c r="B744" s="743"/>
      <c r="C744" s="282" t="s">
        <v>388</v>
      </c>
      <c r="D744" s="440" t="s">
        <v>103</v>
      </c>
      <c r="E744" s="283">
        <v>0</v>
      </c>
      <c r="F744" s="323">
        <f t="shared" si="149"/>
        <v>0</v>
      </c>
      <c r="G744" s="621">
        <v>434.41</v>
      </c>
      <c r="H744" s="611">
        <f t="shared" si="151"/>
        <v>0</v>
      </c>
      <c r="I744" s="614">
        <f t="shared" si="150"/>
        <v>0</v>
      </c>
      <c r="J744" s="379"/>
    </row>
    <row r="745" spans="1:10" ht="24" thickBot="1" x14ac:dyDescent="0.35">
      <c r="A745" s="998"/>
      <c r="B745" s="992" t="s">
        <v>299</v>
      </c>
      <c r="C745" s="993"/>
      <c r="D745" s="745"/>
      <c r="E745" s="332"/>
      <c r="F745" s="333"/>
      <c r="G745" s="332"/>
      <c r="H745" s="608">
        <f>SUM(H725:H744)</f>
        <v>3771742.8</v>
      </c>
      <c r="I745" s="597">
        <f>SUM(I725:I744)</f>
        <v>19582027.68</v>
      </c>
      <c r="J745" s="378"/>
    </row>
    <row r="746" spans="1:10" ht="24" thickBot="1" x14ac:dyDescent="0.35">
      <c r="A746" s="748"/>
      <c r="B746" s="443"/>
      <c r="C746" s="282"/>
      <c r="D746" s="440"/>
      <c r="E746" s="283"/>
      <c r="F746" s="284"/>
      <c r="G746" s="340"/>
      <c r="H746" s="607"/>
      <c r="I746" s="285"/>
      <c r="J746" s="379"/>
    </row>
    <row r="747" spans="1:10" ht="24" thickBot="1" x14ac:dyDescent="0.35">
      <c r="A747" s="748"/>
      <c r="B747" s="992" t="s">
        <v>243</v>
      </c>
      <c r="C747" s="993"/>
      <c r="D747" s="741"/>
      <c r="E747" s="332"/>
      <c r="F747" s="333"/>
      <c r="G747" s="332"/>
      <c r="H747" s="605"/>
      <c r="I747" s="330"/>
      <c r="J747" s="355"/>
    </row>
    <row r="748" spans="1:10" ht="24.6" thickBot="1" x14ac:dyDescent="0.35">
      <c r="A748" s="325"/>
      <c r="B748" s="994" t="s">
        <v>183</v>
      </c>
      <c r="C748" s="995"/>
      <c r="D748" s="742"/>
      <c r="E748" s="380"/>
      <c r="F748" s="380"/>
      <c r="G748" s="380"/>
      <c r="H748" s="380"/>
      <c r="I748" s="380">
        <f>+I745+I724+I703</f>
        <v>63356791.82</v>
      </c>
      <c r="J748" s="381"/>
    </row>
    <row r="749" spans="1:10" ht="23.4" x14ac:dyDescent="0.3">
      <c r="A749" s="935" t="s">
        <v>1</v>
      </c>
      <c r="B749" s="938" t="s">
        <v>2</v>
      </c>
      <c r="C749" s="1001" t="s">
        <v>3</v>
      </c>
      <c r="D749" s="1005" t="s">
        <v>93</v>
      </c>
      <c r="E749" s="1008">
        <v>44515</v>
      </c>
      <c r="F749" s="945"/>
      <c r="G749" s="945"/>
      <c r="H749" s="945"/>
      <c r="I749" s="945"/>
      <c r="J749" s="946"/>
    </row>
    <row r="750" spans="1:10" ht="23.4" x14ac:dyDescent="0.3">
      <c r="A750" s="999"/>
      <c r="B750" s="1000"/>
      <c r="C750" s="1002"/>
      <c r="D750" s="1006"/>
      <c r="E750" s="1009" t="s">
        <v>94</v>
      </c>
      <c r="F750" s="1010"/>
      <c r="G750" s="1009" t="s">
        <v>252</v>
      </c>
      <c r="H750" s="1011"/>
      <c r="I750" s="1011"/>
      <c r="J750" s="1010"/>
    </row>
    <row r="751" spans="1:10" x14ac:dyDescent="0.3">
      <c r="A751" s="936"/>
      <c r="B751" s="939"/>
      <c r="C751" s="1003"/>
      <c r="D751" s="1006"/>
      <c r="E751" s="947" t="s">
        <v>95</v>
      </c>
      <c r="F751" s="949" t="s">
        <v>96</v>
      </c>
      <c r="G751" s="1012" t="s">
        <v>97</v>
      </c>
      <c r="H751" s="1014" t="s">
        <v>98</v>
      </c>
      <c r="I751" s="1014" t="s">
        <v>98</v>
      </c>
      <c r="J751" s="1016" t="s">
        <v>12</v>
      </c>
    </row>
    <row r="752" spans="1:10" ht="14.4" thickBot="1" x14ac:dyDescent="0.35">
      <c r="A752" s="937"/>
      <c r="B752" s="940"/>
      <c r="C752" s="1004"/>
      <c r="D752" s="1007"/>
      <c r="E752" s="948"/>
      <c r="F752" s="950"/>
      <c r="G752" s="1013"/>
      <c r="H752" s="1015"/>
      <c r="I752" s="1015"/>
      <c r="J752" s="1017"/>
    </row>
    <row r="753" spans="1:10" ht="23.4" x14ac:dyDescent="0.3">
      <c r="A753" s="996" t="s">
        <v>111</v>
      </c>
      <c r="B753" s="445"/>
      <c r="C753" s="592" t="s">
        <v>300</v>
      </c>
      <c r="D753" s="449" t="s">
        <v>292</v>
      </c>
      <c r="E753" s="273">
        <v>0</v>
      </c>
      <c r="F753" s="441">
        <f>E753+F671</f>
        <v>0</v>
      </c>
      <c r="G753" s="593">
        <v>111.09</v>
      </c>
      <c r="H753" s="609">
        <f t="shared" ref="H753:H766" si="152">E753*G753</f>
        <v>0</v>
      </c>
      <c r="I753" s="612">
        <f>+G753*F753</f>
        <v>0</v>
      </c>
      <c r="J753" s="357"/>
    </row>
    <row r="754" spans="1:10" ht="23.4" x14ac:dyDescent="0.3">
      <c r="A754" s="997"/>
      <c r="B754" s="444"/>
      <c r="C754" s="448" t="s">
        <v>293</v>
      </c>
      <c r="D754" s="447" t="s">
        <v>294</v>
      </c>
      <c r="E754" s="279">
        <v>0</v>
      </c>
      <c r="F754" s="441">
        <f t="shared" ref="F754:F766" si="153">E754+F672</f>
        <v>0</v>
      </c>
      <c r="G754" s="594">
        <v>11</v>
      </c>
      <c r="H754" s="610">
        <f t="shared" si="152"/>
        <v>0</v>
      </c>
      <c r="I754" s="613">
        <f>+G754*F754</f>
        <v>0</v>
      </c>
      <c r="J754" s="358"/>
    </row>
    <row r="755" spans="1:10" ht="23.4" x14ac:dyDescent="0.3">
      <c r="A755" s="997"/>
      <c r="B755" s="444"/>
      <c r="C755" s="448" t="s">
        <v>319</v>
      </c>
      <c r="D755" s="447" t="s">
        <v>320</v>
      </c>
      <c r="E755" s="279">
        <v>0</v>
      </c>
      <c r="F755" s="441">
        <f t="shared" si="153"/>
        <v>0</v>
      </c>
      <c r="G755" s="594">
        <v>10.57</v>
      </c>
      <c r="H755" s="610">
        <f t="shared" si="152"/>
        <v>0</v>
      </c>
      <c r="I755" s="613">
        <f t="shared" ref="I755:I766" si="154">+G755*F755</f>
        <v>0</v>
      </c>
      <c r="J755" s="358"/>
    </row>
    <row r="756" spans="1:10" ht="23.4" x14ac:dyDescent="0.3">
      <c r="A756" s="997"/>
      <c r="B756" s="444"/>
      <c r="C756" s="448" t="s">
        <v>449</v>
      </c>
      <c r="D756" s="447" t="s">
        <v>450</v>
      </c>
      <c r="E756" s="279">
        <v>97920</v>
      </c>
      <c r="F756" s="441">
        <f t="shared" si="153"/>
        <v>220320</v>
      </c>
      <c r="G756" s="594">
        <v>20.5</v>
      </c>
      <c r="H756" s="610">
        <f t="shared" si="152"/>
        <v>2007360</v>
      </c>
      <c r="I756" s="613">
        <f t="shared" si="154"/>
        <v>4516560</v>
      </c>
      <c r="J756" s="358"/>
    </row>
    <row r="757" spans="1:10" ht="23.4" x14ac:dyDescent="0.3">
      <c r="A757" s="997"/>
      <c r="B757" s="444"/>
      <c r="C757" s="448" t="s">
        <v>323</v>
      </c>
      <c r="D757" s="447" t="s">
        <v>192</v>
      </c>
      <c r="E757" s="279">
        <v>0</v>
      </c>
      <c r="F757" s="441">
        <f t="shared" si="153"/>
        <v>152064</v>
      </c>
      <c r="G757" s="594">
        <v>14.79</v>
      </c>
      <c r="H757" s="610">
        <f t="shared" si="152"/>
        <v>0</v>
      </c>
      <c r="I757" s="613">
        <f t="shared" si="154"/>
        <v>2249026.5600000001</v>
      </c>
      <c r="J757" s="358"/>
    </row>
    <row r="758" spans="1:10" ht="23.4" x14ac:dyDescent="0.3">
      <c r="A758" s="997"/>
      <c r="B758" s="444"/>
      <c r="C758" s="448" t="s">
        <v>332</v>
      </c>
      <c r="D758" s="447" t="s">
        <v>294</v>
      </c>
      <c r="E758" s="279">
        <v>0</v>
      </c>
      <c r="F758" s="441">
        <f t="shared" si="153"/>
        <v>960</v>
      </c>
      <c r="G758" s="594">
        <v>139.04</v>
      </c>
      <c r="H758" s="610">
        <f t="shared" si="152"/>
        <v>0</v>
      </c>
      <c r="I758" s="613">
        <f t="shared" si="154"/>
        <v>133478.39999999999</v>
      </c>
      <c r="J758" s="358"/>
    </row>
    <row r="759" spans="1:10" ht="23.4" x14ac:dyDescent="0.3">
      <c r="A759" s="997"/>
      <c r="B759" s="444"/>
      <c r="C759" s="448" t="s">
        <v>384</v>
      </c>
      <c r="D759" s="623" t="s">
        <v>447</v>
      </c>
      <c r="E759" s="279">
        <v>0</v>
      </c>
      <c r="F759" s="441">
        <f t="shared" si="153"/>
        <v>99364</v>
      </c>
      <c r="G759" s="594">
        <v>20.5</v>
      </c>
      <c r="H759" s="610">
        <f t="shared" si="152"/>
        <v>0</v>
      </c>
      <c r="I759" s="613">
        <f t="shared" si="154"/>
        <v>2036962</v>
      </c>
      <c r="J759" s="358"/>
    </row>
    <row r="760" spans="1:10" ht="23.4" x14ac:dyDescent="0.3">
      <c r="A760" s="997"/>
      <c r="B760" s="444"/>
      <c r="C760" s="448" t="s">
        <v>362</v>
      </c>
      <c r="D760" s="623" t="s">
        <v>294</v>
      </c>
      <c r="E760" s="279">
        <v>0</v>
      </c>
      <c r="F760" s="441">
        <f t="shared" si="153"/>
        <v>16524</v>
      </c>
      <c r="G760" s="594">
        <v>18.84</v>
      </c>
      <c r="H760" s="610">
        <f t="shared" si="152"/>
        <v>0</v>
      </c>
      <c r="I760" s="613">
        <f t="shared" si="154"/>
        <v>311312.15999999997</v>
      </c>
      <c r="J760" s="358"/>
    </row>
    <row r="761" spans="1:10" ht="23.4" x14ac:dyDescent="0.3">
      <c r="A761" s="997"/>
      <c r="B761" s="444"/>
      <c r="C761" s="448" t="s">
        <v>376</v>
      </c>
      <c r="D761" s="623" t="s">
        <v>257</v>
      </c>
      <c r="E761" s="279">
        <v>45143</v>
      </c>
      <c r="F761" s="441">
        <f t="shared" si="153"/>
        <v>351143</v>
      </c>
      <c r="G761" s="594">
        <v>21.18</v>
      </c>
      <c r="H761" s="610">
        <f t="shared" si="152"/>
        <v>956128.74</v>
      </c>
      <c r="I761" s="613">
        <f t="shared" si="154"/>
        <v>7437208.7400000002</v>
      </c>
      <c r="J761" s="358"/>
    </row>
    <row r="762" spans="1:10" ht="23.4" x14ac:dyDescent="0.3">
      <c r="A762" s="997"/>
      <c r="B762" s="444"/>
      <c r="C762" s="448" t="s">
        <v>378</v>
      </c>
      <c r="D762" s="623" t="s">
        <v>379</v>
      </c>
      <c r="E762" s="279">
        <v>4490</v>
      </c>
      <c r="F762" s="441">
        <f t="shared" si="153"/>
        <v>65690</v>
      </c>
      <c r="G762" s="594">
        <v>21.28</v>
      </c>
      <c r="H762" s="610">
        <f t="shared" si="152"/>
        <v>95547.200000000012</v>
      </c>
      <c r="I762" s="613">
        <f t="shared" si="154"/>
        <v>1397883.2000000002</v>
      </c>
      <c r="J762" s="358"/>
    </row>
    <row r="763" spans="1:10" ht="23.4" x14ac:dyDescent="0.3">
      <c r="A763" s="997"/>
      <c r="B763" s="444"/>
      <c r="C763" s="448" t="s">
        <v>332</v>
      </c>
      <c r="D763" s="623" t="s">
        <v>447</v>
      </c>
      <c r="E763" s="279">
        <v>0</v>
      </c>
      <c r="F763" s="441">
        <f t="shared" si="153"/>
        <v>9920</v>
      </c>
      <c r="G763" s="594">
        <v>139.04</v>
      </c>
      <c r="H763" s="610">
        <f t="shared" si="152"/>
        <v>0</v>
      </c>
      <c r="I763" s="613">
        <f t="shared" si="154"/>
        <v>1379276.7999999998</v>
      </c>
      <c r="J763" s="358"/>
    </row>
    <row r="764" spans="1:10" ht="23.4" x14ac:dyDescent="0.3">
      <c r="A764" s="997"/>
      <c r="B764" s="444"/>
      <c r="C764" s="592" t="s">
        <v>383</v>
      </c>
      <c r="D764" s="623" t="s">
        <v>294</v>
      </c>
      <c r="E764" s="279">
        <v>0</v>
      </c>
      <c r="F764" s="441">
        <f t="shared" si="153"/>
        <v>0</v>
      </c>
      <c r="G764" s="594">
        <v>109.77</v>
      </c>
      <c r="H764" s="610">
        <f t="shared" si="152"/>
        <v>0</v>
      </c>
      <c r="I764" s="613">
        <f t="shared" si="154"/>
        <v>0</v>
      </c>
      <c r="J764" s="358"/>
    </row>
    <row r="765" spans="1:10" ht="23.4" x14ac:dyDescent="0.3">
      <c r="A765" s="997"/>
      <c r="B765" s="444"/>
      <c r="C765" s="448" t="s">
        <v>384</v>
      </c>
      <c r="D765" s="623" t="s">
        <v>206</v>
      </c>
      <c r="E765" s="279">
        <v>0</v>
      </c>
      <c r="F765" s="441">
        <f t="shared" si="153"/>
        <v>0</v>
      </c>
      <c r="G765" s="594">
        <v>21.28</v>
      </c>
      <c r="H765" s="610">
        <f t="shared" si="152"/>
        <v>0</v>
      </c>
      <c r="I765" s="613">
        <f t="shared" si="154"/>
        <v>0</v>
      </c>
      <c r="J765" s="358"/>
    </row>
    <row r="766" spans="1:10" ht="24" thickBot="1" x14ac:dyDescent="0.35">
      <c r="A766" s="997"/>
      <c r="B766" s="444"/>
      <c r="C766" s="448" t="s">
        <v>400</v>
      </c>
      <c r="D766" s="450" t="s">
        <v>193</v>
      </c>
      <c r="E766" s="279">
        <v>0</v>
      </c>
      <c r="F766" s="441">
        <f t="shared" si="153"/>
        <v>1186</v>
      </c>
      <c r="G766" s="594">
        <v>36.44</v>
      </c>
      <c r="H766" s="610">
        <f t="shared" si="152"/>
        <v>0</v>
      </c>
      <c r="I766" s="613">
        <f t="shared" si="154"/>
        <v>43217.84</v>
      </c>
      <c r="J766" s="358"/>
    </row>
    <row r="767" spans="1:10" ht="24" thickBot="1" x14ac:dyDescent="0.35">
      <c r="A767" s="997"/>
      <c r="B767" s="992" t="s">
        <v>295</v>
      </c>
      <c r="C767" s="993"/>
      <c r="D767" s="768"/>
      <c r="E767" s="332"/>
      <c r="F767" s="333"/>
      <c r="G767" s="332"/>
      <c r="H767" s="605">
        <f>SUM(H753:H766)</f>
        <v>3059035.9400000004</v>
      </c>
      <c r="I767" s="597">
        <f>SUM(I753:I766)</f>
        <v>19504925.700000003</v>
      </c>
      <c r="J767" s="355"/>
    </row>
    <row r="768" spans="1:10" ht="23.4" x14ac:dyDescent="0.3">
      <c r="A768" s="997"/>
      <c r="B768" s="767"/>
      <c r="C768" s="282" t="s">
        <v>301</v>
      </c>
      <c r="D768" s="440" t="s">
        <v>263</v>
      </c>
      <c r="E768" s="283">
        <v>2625</v>
      </c>
      <c r="F768" s="323">
        <f t="shared" ref="F768:F778" si="155">E768+F686</f>
        <v>64750</v>
      </c>
      <c r="G768" s="595">
        <v>160.44999999999999</v>
      </c>
      <c r="H768" s="611">
        <f t="shared" ref="H768:H778" si="156">E768*G768</f>
        <v>421181.24999999994</v>
      </c>
      <c r="I768" s="614">
        <f t="shared" ref="I768:I778" si="157">+G768*F768</f>
        <v>10389137.5</v>
      </c>
      <c r="J768" s="379"/>
    </row>
    <row r="769" spans="1:10" ht="23.4" x14ac:dyDescent="0.3">
      <c r="A769" s="997"/>
      <c r="B769" s="767"/>
      <c r="C769" s="282" t="s">
        <v>317</v>
      </c>
      <c r="D769" s="440" t="s">
        <v>263</v>
      </c>
      <c r="E769" s="283">
        <v>0</v>
      </c>
      <c r="F769" s="323">
        <f t="shared" si="155"/>
        <v>1500</v>
      </c>
      <c r="G769" s="595">
        <v>160.44999999999999</v>
      </c>
      <c r="H769" s="611">
        <f t="shared" si="156"/>
        <v>0</v>
      </c>
      <c r="I769" s="614">
        <f t="shared" si="157"/>
        <v>240674.99999999997</v>
      </c>
      <c r="J769" s="379"/>
    </row>
    <row r="770" spans="1:10" ht="23.4" x14ac:dyDescent="0.3">
      <c r="A770" s="997"/>
      <c r="B770" s="767"/>
      <c r="C770" s="282" t="s">
        <v>318</v>
      </c>
      <c r="D770" s="440" t="s">
        <v>263</v>
      </c>
      <c r="E770" s="283">
        <v>0</v>
      </c>
      <c r="F770" s="323">
        <f t="shared" si="155"/>
        <v>3375</v>
      </c>
      <c r="G770" s="595">
        <v>160.44999999999999</v>
      </c>
      <c r="H770" s="611">
        <f t="shared" si="156"/>
        <v>0</v>
      </c>
      <c r="I770" s="614">
        <f t="shared" si="157"/>
        <v>541518.75</v>
      </c>
      <c r="J770" s="379"/>
    </row>
    <row r="771" spans="1:10" ht="23.4" x14ac:dyDescent="0.3">
      <c r="A771" s="997"/>
      <c r="B771" s="767"/>
      <c r="C771" s="282" t="s">
        <v>321</v>
      </c>
      <c r="D771" s="440" t="s">
        <v>100</v>
      </c>
      <c r="E771" s="283">
        <v>0</v>
      </c>
      <c r="F771" s="323">
        <f t="shared" si="155"/>
        <v>0</v>
      </c>
      <c r="G771" s="595">
        <v>27</v>
      </c>
      <c r="H771" s="611">
        <f t="shared" si="156"/>
        <v>0</v>
      </c>
      <c r="I771" s="614">
        <f t="shared" si="157"/>
        <v>0</v>
      </c>
      <c r="J771" s="379"/>
    </row>
    <row r="772" spans="1:10" ht="23.4" x14ac:dyDescent="0.3">
      <c r="A772" s="997"/>
      <c r="B772" s="767"/>
      <c r="C772" s="282" t="s">
        <v>321</v>
      </c>
      <c r="D772" s="440" t="s">
        <v>329</v>
      </c>
      <c r="E772" s="283">
        <v>0</v>
      </c>
      <c r="F772" s="323">
        <f t="shared" si="155"/>
        <v>0</v>
      </c>
      <c r="G772" s="595">
        <v>27.5</v>
      </c>
      <c r="H772" s="611">
        <f t="shared" si="156"/>
        <v>0</v>
      </c>
      <c r="I772" s="614">
        <f t="shared" si="157"/>
        <v>0</v>
      </c>
      <c r="J772" s="379"/>
    </row>
    <row r="773" spans="1:10" ht="23.4" x14ac:dyDescent="0.3">
      <c r="A773" s="997"/>
      <c r="B773" s="767"/>
      <c r="C773" s="282" t="s">
        <v>307</v>
      </c>
      <c r="D773" s="440" t="s">
        <v>329</v>
      </c>
      <c r="E773" s="283">
        <v>0</v>
      </c>
      <c r="F773" s="323">
        <f t="shared" si="155"/>
        <v>0</v>
      </c>
      <c r="G773" s="595">
        <v>34.5</v>
      </c>
      <c r="H773" s="611">
        <f t="shared" si="156"/>
        <v>0</v>
      </c>
      <c r="I773" s="614">
        <f t="shared" si="157"/>
        <v>0</v>
      </c>
      <c r="J773" s="379"/>
    </row>
    <row r="774" spans="1:10" ht="23.4" x14ac:dyDescent="0.3">
      <c r="A774" s="997"/>
      <c r="B774" s="767"/>
      <c r="C774" s="282" t="s">
        <v>342</v>
      </c>
      <c r="D774" s="440" t="s">
        <v>263</v>
      </c>
      <c r="E774" s="283">
        <v>5250</v>
      </c>
      <c r="F774" s="323">
        <f t="shared" si="155"/>
        <v>12750</v>
      </c>
      <c r="G774" s="595">
        <v>160.44999999999999</v>
      </c>
      <c r="H774" s="611">
        <f t="shared" si="156"/>
        <v>842362.49999999988</v>
      </c>
      <c r="I774" s="614">
        <f t="shared" si="157"/>
        <v>2045737.4999999998</v>
      </c>
      <c r="J774" s="379"/>
    </row>
    <row r="775" spans="1:10" ht="23.4" x14ac:dyDescent="0.3">
      <c r="A775" s="997"/>
      <c r="B775" s="767"/>
      <c r="C775" s="282" t="s">
        <v>438</v>
      </c>
      <c r="D775" s="440" t="s">
        <v>263</v>
      </c>
      <c r="E775" s="283">
        <v>1750</v>
      </c>
      <c r="F775" s="323">
        <f t="shared" si="155"/>
        <v>7000</v>
      </c>
      <c r="G775" s="595">
        <v>160.44999999999999</v>
      </c>
      <c r="H775" s="611">
        <f t="shared" si="156"/>
        <v>280787.5</v>
      </c>
      <c r="I775" s="614">
        <f t="shared" si="157"/>
        <v>1123150</v>
      </c>
      <c r="J775" s="379"/>
    </row>
    <row r="776" spans="1:10" ht="23.4" x14ac:dyDescent="0.3">
      <c r="A776" s="997"/>
      <c r="B776" s="767"/>
      <c r="C776" s="282" t="s">
        <v>357</v>
      </c>
      <c r="D776" s="440" t="s">
        <v>263</v>
      </c>
      <c r="E776" s="283">
        <v>0</v>
      </c>
      <c r="F776" s="323">
        <f t="shared" si="155"/>
        <v>11735</v>
      </c>
      <c r="G776" s="595">
        <v>160.44999999999999</v>
      </c>
      <c r="H776" s="611">
        <f t="shared" si="156"/>
        <v>0</v>
      </c>
      <c r="I776" s="614">
        <f t="shared" si="157"/>
        <v>1882880.7499999998</v>
      </c>
      <c r="J776" s="379"/>
    </row>
    <row r="777" spans="1:10" ht="23.4" x14ac:dyDescent="0.3">
      <c r="A777" s="997"/>
      <c r="B777" s="767"/>
      <c r="C777" s="282" t="s">
        <v>358</v>
      </c>
      <c r="D777" s="440" t="s">
        <v>263</v>
      </c>
      <c r="E777" s="283">
        <v>2625</v>
      </c>
      <c r="F777" s="323">
        <f t="shared" si="155"/>
        <v>8250</v>
      </c>
      <c r="G777" s="595">
        <v>160.44999999999999</v>
      </c>
      <c r="H777" s="611">
        <f t="shared" si="156"/>
        <v>421181.24999999994</v>
      </c>
      <c r="I777" s="614">
        <f t="shared" si="157"/>
        <v>1323712.5</v>
      </c>
      <c r="J777" s="379"/>
    </row>
    <row r="778" spans="1:10" ht="24" thickBot="1" x14ac:dyDescent="0.35">
      <c r="A778" s="997"/>
      <c r="B778" s="767"/>
      <c r="C778" s="282" t="s">
        <v>353</v>
      </c>
      <c r="D778" s="440" t="s">
        <v>263</v>
      </c>
      <c r="E778" s="283">
        <v>0</v>
      </c>
      <c r="F778" s="323">
        <f t="shared" si="155"/>
        <v>1500</v>
      </c>
      <c r="G778" s="595">
        <v>160.44999999999999</v>
      </c>
      <c r="H778" s="611">
        <f t="shared" si="156"/>
        <v>0</v>
      </c>
      <c r="I778" s="614">
        <f t="shared" si="157"/>
        <v>240674.99999999997</v>
      </c>
      <c r="J778" s="379"/>
    </row>
    <row r="779" spans="1:10" ht="24" thickBot="1" x14ac:dyDescent="0.35">
      <c r="A779" s="997"/>
      <c r="B779" s="992" t="s">
        <v>296</v>
      </c>
      <c r="C779" s="993"/>
      <c r="D779" s="768"/>
      <c r="E779" s="332"/>
      <c r="F779" s="333"/>
      <c r="G779" s="332"/>
      <c r="H779" s="605">
        <f>SUM(H768:H778)</f>
        <v>1965512.4999999998</v>
      </c>
      <c r="I779" s="597">
        <f>SUM(I768:I778)</f>
        <v>17787487</v>
      </c>
      <c r="J779" s="355"/>
    </row>
    <row r="780" spans="1:10" ht="23.4" x14ac:dyDescent="0.3">
      <c r="A780" s="997"/>
      <c r="B780" s="767"/>
      <c r="C780" s="282" t="s">
        <v>303</v>
      </c>
      <c r="D780" s="440"/>
      <c r="E780" s="283">
        <v>0</v>
      </c>
      <c r="F780" s="598">
        <f t="shared" ref="F780:F782" si="158">E780+F698</f>
        <v>0</v>
      </c>
      <c r="G780" s="595">
        <v>10</v>
      </c>
      <c r="H780" s="611">
        <f t="shared" ref="H780:H782" si="159">E780*G780</f>
        <v>0</v>
      </c>
      <c r="I780" s="614">
        <f t="shared" ref="I780" si="160">+G780*F780</f>
        <v>0</v>
      </c>
      <c r="J780" s="379"/>
    </row>
    <row r="781" spans="1:10" ht="23.4" x14ac:dyDescent="0.3">
      <c r="A781" s="997"/>
      <c r="B781" s="767"/>
      <c r="C781" s="282" t="s">
        <v>308</v>
      </c>
      <c r="D781" s="440" t="s">
        <v>309</v>
      </c>
      <c r="E781" s="283">
        <v>0</v>
      </c>
      <c r="F781" s="598">
        <f t="shared" si="158"/>
        <v>9</v>
      </c>
      <c r="G781" s="595">
        <v>2500</v>
      </c>
      <c r="H781" s="611">
        <f t="shared" si="159"/>
        <v>0</v>
      </c>
      <c r="I781" s="614">
        <f>+G781*F781</f>
        <v>22500</v>
      </c>
      <c r="J781" s="379"/>
    </row>
    <row r="782" spans="1:10" ht="24" thickBot="1" x14ac:dyDescent="0.35">
      <c r="A782" s="997"/>
      <c r="B782" s="767"/>
      <c r="C782" s="282" t="s">
        <v>343</v>
      </c>
      <c r="D782" s="440" t="s">
        <v>344</v>
      </c>
      <c r="E782" s="283">
        <v>0</v>
      </c>
      <c r="F782" s="598">
        <f t="shared" si="158"/>
        <v>0</v>
      </c>
      <c r="G782" s="596">
        <v>360</v>
      </c>
      <c r="H782" s="611">
        <f t="shared" si="159"/>
        <v>0</v>
      </c>
      <c r="I782" s="614">
        <f t="shared" ref="I782" si="161">+G782*F782</f>
        <v>0</v>
      </c>
      <c r="J782" s="379"/>
    </row>
    <row r="783" spans="1:10" ht="24" thickBot="1" x14ac:dyDescent="0.35">
      <c r="A783" s="997"/>
      <c r="B783" s="992" t="s">
        <v>302</v>
      </c>
      <c r="C783" s="993"/>
      <c r="D783" s="768"/>
      <c r="E783" s="332"/>
      <c r="F783" s="333"/>
      <c r="G783" s="332"/>
      <c r="H783" s="605">
        <f>SUM(H780:H782)</f>
        <v>0</v>
      </c>
      <c r="I783" s="597">
        <f>SUM(I780:I782)</f>
        <v>22500</v>
      </c>
      <c r="J783" s="379"/>
    </row>
    <row r="784" spans="1:10" ht="24" thickBot="1" x14ac:dyDescent="0.35">
      <c r="A784" s="997"/>
      <c r="B784" s="767"/>
      <c r="C784" s="282"/>
      <c r="D784" s="440"/>
      <c r="E784" s="283"/>
      <c r="F784" s="323"/>
      <c r="G784" s="596"/>
      <c r="H784" s="606"/>
      <c r="I784" s="285">
        <f t="shared" ref="I784" si="162">+G784*F784</f>
        <v>0</v>
      </c>
      <c r="J784" s="379"/>
    </row>
    <row r="785" spans="1:12" ht="24" thickBot="1" x14ac:dyDescent="0.35">
      <c r="A785" s="998"/>
      <c r="B785" s="992" t="s">
        <v>298</v>
      </c>
      <c r="C785" s="993"/>
      <c r="D785" s="765"/>
      <c r="E785" s="332"/>
      <c r="F785" s="333"/>
      <c r="G785" s="332"/>
      <c r="H785" s="597">
        <f>+H779+H767+H783</f>
        <v>5024548.4400000004</v>
      </c>
      <c r="I785" s="597">
        <f>+I779+I767+I783</f>
        <v>37314912.700000003</v>
      </c>
      <c r="J785" s="379"/>
      <c r="L785" s="620"/>
    </row>
    <row r="786" spans="1:12" ht="23.4" x14ac:dyDescent="0.3">
      <c r="A786" s="996" t="s">
        <v>109</v>
      </c>
      <c r="B786" s="767"/>
      <c r="C786" s="282" t="s">
        <v>312</v>
      </c>
      <c r="D786" s="440" t="s">
        <v>193</v>
      </c>
      <c r="E786" s="283">
        <v>0</v>
      </c>
      <c r="F786" s="323">
        <f t="shared" ref="F786:F805" si="163">E786+F704</f>
        <v>7956</v>
      </c>
      <c r="G786" s="621">
        <v>13.25</v>
      </c>
      <c r="H786" s="615">
        <f t="shared" ref="H786:H805" si="164">E786*G786</f>
        <v>0</v>
      </c>
      <c r="I786" s="614">
        <f t="shared" ref="I786:I805" si="165">+G786*F786</f>
        <v>105417</v>
      </c>
      <c r="J786" s="379"/>
    </row>
    <row r="787" spans="1:12" ht="23.4" x14ac:dyDescent="0.3">
      <c r="A787" s="997"/>
      <c r="B787" s="767"/>
      <c r="C787" s="282" t="s">
        <v>313</v>
      </c>
      <c r="D787" s="440"/>
      <c r="E787" s="283">
        <v>0</v>
      </c>
      <c r="F787" s="323">
        <f t="shared" si="163"/>
        <v>1</v>
      </c>
      <c r="G787" s="622">
        <v>10000</v>
      </c>
      <c r="H787" s="615">
        <f t="shared" si="164"/>
        <v>0</v>
      </c>
      <c r="I787" s="614">
        <f t="shared" si="165"/>
        <v>10000</v>
      </c>
      <c r="J787" s="379"/>
    </row>
    <row r="788" spans="1:12" ht="23.4" x14ac:dyDescent="0.3">
      <c r="A788" s="997"/>
      <c r="B788" s="767"/>
      <c r="C788" s="282" t="s">
        <v>313</v>
      </c>
      <c r="D788" s="440"/>
      <c r="E788" s="283">
        <v>0</v>
      </c>
      <c r="F788" s="323">
        <f t="shared" si="163"/>
        <v>0</v>
      </c>
      <c r="G788" s="622">
        <v>18000</v>
      </c>
      <c r="H788" s="615">
        <f t="shared" si="164"/>
        <v>0</v>
      </c>
      <c r="I788" s="614">
        <f t="shared" si="165"/>
        <v>0</v>
      </c>
      <c r="J788" s="379"/>
    </row>
    <row r="789" spans="1:12" ht="23.4" x14ac:dyDescent="0.3">
      <c r="A789" s="997"/>
      <c r="B789" s="767"/>
      <c r="C789" s="282" t="s">
        <v>328</v>
      </c>
      <c r="D789" s="440" t="s">
        <v>193</v>
      </c>
      <c r="E789" s="283">
        <v>0</v>
      </c>
      <c r="F789" s="323">
        <f t="shared" si="163"/>
        <v>0</v>
      </c>
      <c r="G789" s="621">
        <v>24.93</v>
      </c>
      <c r="H789" s="615">
        <f t="shared" si="164"/>
        <v>0</v>
      </c>
      <c r="I789" s="614">
        <f t="shared" si="165"/>
        <v>0</v>
      </c>
      <c r="J789" s="379"/>
    </row>
    <row r="790" spans="1:12" ht="23.4" x14ac:dyDescent="0.3">
      <c r="A790" s="997"/>
      <c r="B790" s="767"/>
      <c r="C790" s="282" t="s">
        <v>335</v>
      </c>
      <c r="D790" s="440" t="s">
        <v>99</v>
      </c>
      <c r="E790" s="283">
        <v>0</v>
      </c>
      <c r="F790" s="323">
        <f t="shared" si="163"/>
        <v>0</v>
      </c>
      <c r="G790" s="621">
        <v>26</v>
      </c>
      <c r="H790" s="615">
        <f t="shared" si="164"/>
        <v>0</v>
      </c>
      <c r="I790" s="614">
        <f t="shared" si="165"/>
        <v>0</v>
      </c>
      <c r="J790" s="379"/>
    </row>
    <row r="791" spans="1:12" ht="23.4" x14ac:dyDescent="0.3">
      <c r="A791" s="997"/>
      <c r="B791" s="767"/>
      <c r="C791" s="282" t="s">
        <v>336</v>
      </c>
      <c r="D791" s="440" t="s">
        <v>193</v>
      </c>
      <c r="E791" s="283">
        <v>0</v>
      </c>
      <c r="F791" s="323">
        <f t="shared" si="163"/>
        <v>0</v>
      </c>
      <c r="G791" s="621">
        <v>25.49</v>
      </c>
      <c r="H791" s="615">
        <f t="shared" si="164"/>
        <v>0</v>
      </c>
      <c r="I791" s="614">
        <f t="shared" si="165"/>
        <v>0</v>
      </c>
      <c r="J791" s="379"/>
    </row>
    <row r="792" spans="1:12" ht="23.4" x14ac:dyDescent="0.3">
      <c r="A792" s="997"/>
      <c r="B792" s="767"/>
      <c r="C792" s="282" t="s">
        <v>337</v>
      </c>
      <c r="D792" s="440" t="s">
        <v>115</v>
      </c>
      <c r="E792" s="283">
        <v>0</v>
      </c>
      <c r="F792" s="323">
        <f t="shared" si="163"/>
        <v>0</v>
      </c>
      <c r="G792" s="621">
        <v>24.93</v>
      </c>
      <c r="H792" s="615">
        <f t="shared" si="164"/>
        <v>0</v>
      </c>
      <c r="I792" s="614">
        <f t="shared" si="165"/>
        <v>0</v>
      </c>
      <c r="J792" s="379"/>
    </row>
    <row r="793" spans="1:12" ht="23.4" x14ac:dyDescent="0.3">
      <c r="A793" s="997"/>
      <c r="B793" s="767"/>
      <c r="C793" s="282" t="s">
        <v>338</v>
      </c>
      <c r="D793" s="440" t="s">
        <v>311</v>
      </c>
      <c r="E793" s="283">
        <v>0</v>
      </c>
      <c r="F793" s="323">
        <f t="shared" si="163"/>
        <v>0</v>
      </c>
      <c r="G793" s="621">
        <v>24.93</v>
      </c>
      <c r="H793" s="615">
        <f t="shared" si="164"/>
        <v>0</v>
      </c>
      <c r="I793" s="614">
        <f t="shared" si="165"/>
        <v>0</v>
      </c>
      <c r="J793" s="379"/>
    </row>
    <row r="794" spans="1:12" ht="23.4" x14ac:dyDescent="0.3">
      <c r="A794" s="997"/>
      <c r="B794" s="767"/>
      <c r="C794" s="282" t="s">
        <v>339</v>
      </c>
      <c r="D794" s="440" t="s">
        <v>99</v>
      </c>
      <c r="E794" s="283">
        <v>0</v>
      </c>
      <c r="F794" s="323">
        <f t="shared" si="163"/>
        <v>0</v>
      </c>
      <c r="G794" s="621">
        <v>20.89</v>
      </c>
      <c r="H794" s="615">
        <f t="shared" si="164"/>
        <v>0</v>
      </c>
      <c r="I794" s="614">
        <f t="shared" si="165"/>
        <v>0</v>
      </c>
      <c r="J794" s="379"/>
    </row>
    <row r="795" spans="1:12" ht="23.4" x14ac:dyDescent="0.3">
      <c r="A795" s="997"/>
      <c r="B795" s="767"/>
      <c r="C795" s="282" t="s">
        <v>445</v>
      </c>
      <c r="D795" s="440" t="s">
        <v>350</v>
      </c>
      <c r="E795" s="283">
        <v>0</v>
      </c>
      <c r="F795" s="323">
        <f t="shared" si="163"/>
        <v>56160</v>
      </c>
      <c r="G795" s="621">
        <v>37.11</v>
      </c>
      <c r="H795" s="615">
        <f t="shared" si="164"/>
        <v>0</v>
      </c>
      <c r="I795" s="614">
        <f t="shared" si="165"/>
        <v>2084097.5999999999</v>
      </c>
      <c r="J795" s="379"/>
    </row>
    <row r="796" spans="1:12" ht="23.4" x14ac:dyDescent="0.3">
      <c r="A796" s="997"/>
      <c r="B796" s="767"/>
      <c r="C796" s="282" t="s">
        <v>446</v>
      </c>
      <c r="D796" s="440" t="s">
        <v>350</v>
      </c>
      <c r="E796" s="283">
        <v>0</v>
      </c>
      <c r="F796" s="323">
        <f t="shared" si="163"/>
        <v>13104</v>
      </c>
      <c r="G796" s="621">
        <v>37.89</v>
      </c>
      <c r="H796" s="615">
        <f t="shared" si="164"/>
        <v>0</v>
      </c>
      <c r="I796" s="614">
        <f t="shared" si="165"/>
        <v>496510.56</v>
      </c>
      <c r="J796" s="379"/>
    </row>
    <row r="797" spans="1:12" ht="23.4" x14ac:dyDescent="0.3">
      <c r="A797" s="997"/>
      <c r="B797" s="767"/>
      <c r="C797" s="282" t="s">
        <v>337</v>
      </c>
      <c r="D797" s="440" t="s">
        <v>310</v>
      </c>
      <c r="E797" s="283">
        <v>0</v>
      </c>
      <c r="F797" s="323">
        <f t="shared" si="163"/>
        <v>0</v>
      </c>
      <c r="G797" s="621">
        <v>24.93</v>
      </c>
      <c r="H797" s="615">
        <f t="shared" si="164"/>
        <v>0</v>
      </c>
      <c r="I797" s="614">
        <f t="shared" si="165"/>
        <v>0</v>
      </c>
      <c r="J797" s="379"/>
    </row>
    <row r="798" spans="1:12" ht="23.4" x14ac:dyDescent="0.3">
      <c r="A798" s="997"/>
      <c r="B798" s="767"/>
      <c r="C798" s="282" t="s">
        <v>338</v>
      </c>
      <c r="D798" s="440" t="s">
        <v>310</v>
      </c>
      <c r="E798" s="283">
        <v>0</v>
      </c>
      <c r="F798" s="323">
        <f t="shared" si="163"/>
        <v>0</v>
      </c>
      <c r="G798" s="621">
        <v>24.93</v>
      </c>
      <c r="H798" s="615">
        <f t="shared" si="164"/>
        <v>0</v>
      </c>
      <c r="I798" s="614">
        <f t="shared" si="165"/>
        <v>0</v>
      </c>
      <c r="J798" s="379"/>
    </row>
    <row r="799" spans="1:12" ht="23.4" x14ac:dyDescent="0.3">
      <c r="A799" s="997"/>
      <c r="B799" s="767"/>
      <c r="C799" s="282" t="s">
        <v>369</v>
      </c>
      <c r="D799" s="440" t="s">
        <v>324</v>
      </c>
      <c r="E799" s="283">
        <v>0</v>
      </c>
      <c r="F799" s="323">
        <f t="shared" si="163"/>
        <v>1872</v>
      </c>
      <c r="G799" s="621">
        <v>34.26</v>
      </c>
      <c r="H799" s="615">
        <f t="shared" si="164"/>
        <v>0</v>
      </c>
      <c r="I799" s="614">
        <f t="shared" si="165"/>
        <v>64134.719999999994</v>
      </c>
      <c r="J799" s="379"/>
    </row>
    <row r="800" spans="1:12" ht="23.4" x14ac:dyDescent="0.3">
      <c r="A800" s="997"/>
      <c r="B800" s="767"/>
      <c r="C800" s="282" t="s">
        <v>385</v>
      </c>
      <c r="D800" s="440" t="s">
        <v>193</v>
      </c>
      <c r="E800" s="283">
        <v>0</v>
      </c>
      <c r="F800" s="323">
        <f t="shared" si="163"/>
        <v>0</v>
      </c>
      <c r="G800" s="621">
        <v>23.65</v>
      </c>
      <c r="H800" s="615">
        <f t="shared" si="164"/>
        <v>0</v>
      </c>
      <c r="I800" s="614">
        <f t="shared" si="165"/>
        <v>0</v>
      </c>
      <c r="J800" s="379"/>
    </row>
    <row r="801" spans="1:10" ht="23.4" x14ac:dyDescent="0.3">
      <c r="A801" s="997"/>
      <c r="B801" s="767"/>
      <c r="C801" s="282" t="s">
        <v>405</v>
      </c>
      <c r="D801" s="440" t="s">
        <v>192</v>
      </c>
      <c r="E801" s="283">
        <v>0</v>
      </c>
      <c r="F801" s="323">
        <f t="shared" si="163"/>
        <v>0</v>
      </c>
      <c r="G801" s="621">
        <v>20.76</v>
      </c>
      <c r="H801" s="615">
        <f t="shared" si="164"/>
        <v>0</v>
      </c>
      <c r="I801" s="614">
        <f t="shared" si="165"/>
        <v>0</v>
      </c>
      <c r="J801" s="379"/>
    </row>
    <row r="802" spans="1:10" ht="23.4" x14ac:dyDescent="0.3">
      <c r="A802" s="997"/>
      <c r="B802" s="767"/>
      <c r="C802" s="282" t="s">
        <v>338</v>
      </c>
      <c r="D802" s="440" t="s">
        <v>192</v>
      </c>
      <c r="E802" s="283">
        <v>0</v>
      </c>
      <c r="F802" s="323">
        <f t="shared" si="163"/>
        <v>0</v>
      </c>
      <c r="G802" s="621">
        <v>21.22</v>
      </c>
      <c r="H802" s="615">
        <f t="shared" si="164"/>
        <v>0</v>
      </c>
      <c r="I802" s="614">
        <f t="shared" si="165"/>
        <v>0</v>
      </c>
      <c r="J802" s="379"/>
    </row>
    <row r="803" spans="1:10" ht="23.4" x14ac:dyDescent="0.3">
      <c r="A803" s="997"/>
      <c r="B803" s="767"/>
      <c r="C803" s="282" t="s">
        <v>337</v>
      </c>
      <c r="D803" s="440" t="s">
        <v>192</v>
      </c>
      <c r="E803" s="283">
        <v>0</v>
      </c>
      <c r="F803" s="323">
        <f t="shared" si="163"/>
        <v>0</v>
      </c>
      <c r="G803" s="621">
        <v>21.22</v>
      </c>
      <c r="H803" s="615">
        <f t="shared" si="164"/>
        <v>0</v>
      </c>
      <c r="I803" s="614">
        <f t="shared" si="165"/>
        <v>0</v>
      </c>
      <c r="J803" s="379"/>
    </row>
    <row r="804" spans="1:10" ht="23.4" x14ac:dyDescent="0.3">
      <c r="A804" s="997"/>
      <c r="B804" s="767"/>
      <c r="C804" s="282" t="s">
        <v>406</v>
      </c>
      <c r="D804" s="440" t="s">
        <v>344</v>
      </c>
      <c r="E804" s="283">
        <v>0</v>
      </c>
      <c r="F804" s="323">
        <f t="shared" si="163"/>
        <v>0</v>
      </c>
      <c r="G804" s="621">
        <v>10000</v>
      </c>
      <c r="H804" s="615">
        <f t="shared" si="164"/>
        <v>0</v>
      </c>
      <c r="I804" s="614">
        <f t="shared" si="165"/>
        <v>0</v>
      </c>
      <c r="J804" s="379"/>
    </row>
    <row r="805" spans="1:10" ht="24" thickBot="1" x14ac:dyDescent="0.35">
      <c r="A805" s="997"/>
      <c r="B805" s="767"/>
      <c r="C805" s="282" t="s">
        <v>343</v>
      </c>
      <c r="D805" s="440" t="s">
        <v>344</v>
      </c>
      <c r="E805" s="283">
        <v>0</v>
      </c>
      <c r="F805" s="323">
        <f t="shared" si="163"/>
        <v>24234</v>
      </c>
      <c r="G805" s="621">
        <v>360</v>
      </c>
      <c r="H805" s="615">
        <f t="shared" si="164"/>
        <v>0</v>
      </c>
      <c r="I805" s="614">
        <f t="shared" si="165"/>
        <v>8724240</v>
      </c>
      <c r="J805" s="379"/>
    </row>
    <row r="806" spans="1:10" ht="24" thickBot="1" x14ac:dyDescent="0.35">
      <c r="A806" s="998"/>
      <c r="B806" s="992" t="s">
        <v>297</v>
      </c>
      <c r="C806" s="993"/>
      <c r="D806" s="768"/>
      <c r="E806" s="332"/>
      <c r="F806" s="333"/>
      <c r="G806" s="332"/>
      <c r="H806" s="605"/>
      <c r="I806" s="597">
        <f>SUM(I786:I805)</f>
        <v>11484399.879999999</v>
      </c>
      <c r="J806" s="379"/>
    </row>
    <row r="807" spans="1:10" ht="23.4" x14ac:dyDescent="0.3">
      <c r="A807" s="996" t="s">
        <v>110</v>
      </c>
      <c r="B807" s="767"/>
      <c r="C807" s="282" t="s">
        <v>304</v>
      </c>
      <c r="D807" s="440" t="s">
        <v>263</v>
      </c>
      <c r="E807" s="283">
        <v>2560</v>
      </c>
      <c r="F807" s="323">
        <f t="shared" ref="F807:F826" si="166">E807+F725</f>
        <v>4800</v>
      </c>
      <c r="G807" s="621">
        <v>430.02</v>
      </c>
      <c r="H807" s="611">
        <f>E807*G807</f>
        <v>1100851.2</v>
      </c>
      <c r="I807" s="614">
        <f t="shared" ref="I807:I826" si="167">+G807*F807</f>
        <v>2064096</v>
      </c>
      <c r="J807" s="379"/>
    </row>
    <row r="808" spans="1:10" ht="23.4" x14ac:dyDescent="0.3">
      <c r="A808" s="997"/>
      <c r="B808" s="767"/>
      <c r="C808" s="282" t="s">
        <v>305</v>
      </c>
      <c r="D808" s="440" t="s">
        <v>263</v>
      </c>
      <c r="E808" s="283">
        <v>0</v>
      </c>
      <c r="F808" s="323">
        <f t="shared" si="166"/>
        <v>0</v>
      </c>
      <c r="G808" s="621">
        <v>445.38</v>
      </c>
      <c r="H808" s="611">
        <f t="shared" ref="H808:H826" si="168">E808*G808</f>
        <v>0</v>
      </c>
      <c r="I808" s="614">
        <f t="shared" si="167"/>
        <v>0</v>
      </c>
      <c r="J808" s="379"/>
    </row>
    <row r="809" spans="1:10" ht="23.4" x14ac:dyDescent="0.3">
      <c r="A809" s="997"/>
      <c r="B809" s="767"/>
      <c r="C809" s="282" t="s">
        <v>341</v>
      </c>
      <c r="D809" s="440" t="s">
        <v>263</v>
      </c>
      <c r="E809" s="283">
        <v>0</v>
      </c>
      <c r="F809" s="323">
        <f t="shared" si="166"/>
        <v>0</v>
      </c>
      <c r="G809" s="621">
        <v>63.55</v>
      </c>
      <c r="H809" s="611">
        <f t="shared" si="168"/>
        <v>0</v>
      </c>
      <c r="I809" s="614">
        <f t="shared" si="167"/>
        <v>0</v>
      </c>
      <c r="J809" s="379"/>
    </row>
    <row r="810" spans="1:10" ht="23.4" x14ac:dyDescent="0.3">
      <c r="A810" s="997"/>
      <c r="B810" s="767"/>
      <c r="C810" s="282" t="s">
        <v>306</v>
      </c>
      <c r="D810" s="440" t="s">
        <v>263</v>
      </c>
      <c r="E810" s="283">
        <v>36960</v>
      </c>
      <c r="F810" s="323">
        <f t="shared" si="166"/>
        <v>221352</v>
      </c>
      <c r="G810" s="621">
        <v>71.44</v>
      </c>
      <c r="H810" s="611">
        <f t="shared" si="168"/>
        <v>2640422.4</v>
      </c>
      <c r="I810" s="614">
        <f t="shared" si="167"/>
        <v>15813386.879999999</v>
      </c>
      <c r="J810" s="379"/>
    </row>
    <row r="811" spans="1:10" ht="23.4" x14ac:dyDescent="0.3">
      <c r="A811" s="997"/>
      <c r="B811" s="767"/>
      <c r="C811" s="282" t="s">
        <v>307</v>
      </c>
      <c r="D811" s="440" t="s">
        <v>263</v>
      </c>
      <c r="E811" s="283">
        <v>0</v>
      </c>
      <c r="F811" s="323">
        <f t="shared" si="166"/>
        <v>0</v>
      </c>
      <c r="G811" s="621">
        <v>36.5</v>
      </c>
      <c r="H811" s="611">
        <f t="shared" si="168"/>
        <v>0</v>
      </c>
      <c r="I811" s="614">
        <f t="shared" si="167"/>
        <v>0</v>
      </c>
      <c r="J811" s="379"/>
    </row>
    <row r="812" spans="1:10" ht="23.4" x14ac:dyDescent="0.3">
      <c r="A812" s="997"/>
      <c r="B812" s="767"/>
      <c r="C812" s="282" t="s">
        <v>316</v>
      </c>
      <c r="D812" s="440" t="s">
        <v>263</v>
      </c>
      <c r="E812" s="283">
        <v>0</v>
      </c>
      <c r="F812" s="323">
        <f t="shared" si="166"/>
        <v>0</v>
      </c>
      <c r="G812" s="621">
        <v>320.35000000000002</v>
      </c>
      <c r="H812" s="611">
        <f t="shared" si="168"/>
        <v>0</v>
      </c>
      <c r="I812" s="614">
        <f t="shared" si="167"/>
        <v>0</v>
      </c>
      <c r="J812" s="379"/>
    </row>
    <row r="813" spans="1:10" ht="23.4" x14ac:dyDescent="0.3">
      <c r="A813" s="997"/>
      <c r="B813" s="767"/>
      <c r="C813" s="282" t="s">
        <v>333</v>
      </c>
      <c r="D813" s="440" t="s">
        <v>263</v>
      </c>
      <c r="E813" s="283">
        <v>0</v>
      </c>
      <c r="F813" s="323">
        <f t="shared" si="166"/>
        <v>0</v>
      </c>
      <c r="G813" s="621">
        <v>434.41</v>
      </c>
      <c r="H813" s="611">
        <f t="shared" si="168"/>
        <v>0</v>
      </c>
      <c r="I813" s="614">
        <f t="shared" si="167"/>
        <v>0</v>
      </c>
      <c r="J813" s="379"/>
    </row>
    <row r="814" spans="1:10" ht="23.4" x14ac:dyDescent="0.3">
      <c r="A814" s="997"/>
      <c r="B814" s="767"/>
      <c r="C814" s="282" t="s">
        <v>313</v>
      </c>
      <c r="D814" s="440" t="s">
        <v>263</v>
      </c>
      <c r="E814" s="283">
        <v>0</v>
      </c>
      <c r="F814" s="323">
        <f t="shared" si="166"/>
        <v>5</v>
      </c>
      <c r="G814" s="621">
        <v>29690</v>
      </c>
      <c r="H814" s="611">
        <f t="shared" si="168"/>
        <v>0</v>
      </c>
      <c r="I814" s="614">
        <f t="shared" si="167"/>
        <v>148450</v>
      </c>
      <c r="J814" s="379"/>
    </row>
    <row r="815" spans="1:10" ht="23.4" x14ac:dyDescent="0.3">
      <c r="A815" s="997"/>
      <c r="B815" s="767"/>
      <c r="C815" s="282" t="s">
        <v>313</v>
      </c>
      <c r="D815" s="440" t="s">
        <v>263</v>
      </c>
      <c r="E815" s="283">
        <v>0</v>
      </c>
      <c r="F815" s="323">
        <f t="shared" si="166"/>
        <v>2</v>
      </c>
      <c r="G815" s="621">
        <v>26445</v>
      </c>
      <c r="H815" s="611">
        <f t="shared" si="168"/>
        <v>0</v>
      </c>
      <c r="I815" s="614">
        <f t="shared" si="167"/>
        <v>52890</v>
      </c>
      <c r="J815" s="379"/>
    </row>
    <row r="816" spans="1:10" ht="23.4" x14ac:dyDescent="0.3">
      <c r="A816" s="997"/>
      <c r="B816" s="767"/>
      <c r="C816" s="282" t="s">
        <v>354</v>
      </c>
      <c r="D816" s="440" t="s">
        <v>401</v>
      </c>
      <c r="E816" s="283">
        <v>0</v>
      </c>
      <c r="F816" s="323">
        <f t="shared" si="166"/>
        <v>1998</v>
      </c>
      <c r="G816" s="621">
        <v>50</v>
      </c>
      <c r="H816" s="611">
        <f t="shared" si="168"/>
        <v>0</v>
      </c>
      <c r="I816" s="614">
        <f t="shared" si="167"/>
        <v>99900</v>
      </c>
      <c r="J816" s="379"/>
    </row>
    <row r="817" spans="1:10" ht="23.4" x14ac:dyDescent="0.3">
      <c r="A817" s="997"/>
      <c r="B817" s="767"/>
      <c r="C817" s="282" t="s">
        <v>365</v>
      </c>
      <c r="D817" s="440" t="s">
        <v>350</v>
      </c>
      <c r="E817" s="283">
        <v>0</v>
      </c>
      <c r="F817" s="323">
        <f t="shared" si="166"/>
        <v>0</v>
      </c>
      <c r="G817" s="621">
        <v>309.88</v>
      </c>
      <c r="H817" s="611">
        <f t="shared" si="168"/>
        <v>0</v>
      </c>
      <c r="I817" s="614">
        <f t="shared" si="167"/>
        <v>0</v>
      </c>
      <c r="J817" s="379"/>
    </row>
    <row r="818" spans="1:10" ht="23.4" x14ac:dyDescent="0.3">
      <c r="A818" s="997"/>
      <c r="B818" s="767"/>
      <c r="C818" s="282" t="s">
        <v>366</v>
      </c>
      <c r="D818" s="440" t="s">
        <v>263</v>
      </c>
      <c r="E818" s="283">
        <v>0</v>
      </c>
      <c r="F818" s="323">
        <f t="shared" si="166"/>
        <v>0</v>
      </c>
      <c r="G818" s="621">
        <v>53.86</v>
      </c>
      <c r="H818" s="611">
        <f t="shared" si="168"/>
        <v>0</v>
      </c>
      <c r="I818" s="614">
        <f t="shared" si="167"/>
        <v>0</v>
      </c>
      <c r="J818" s="379"/>
    </row>
    <row r="819" spans="1:10" ht="23.4" x14ac:dyDescent="0.3">
      <c r="A819" s="997"/>
      <c r="B819" s="767"/>
      <c r="C819" s="282" t="s">
        <v>386</v>
      </c>
      <c r="D819" s="440" t="s">
        <v>387</v>
      </c>
      <c r="E819" s="283">
        <v>0</v>
      </c>
      <c r="F819" s="323">
        <f t="shared" si="166"/>
        <v>0</v>
      </c>
      <c r="G819" s="621">
        <v>57.64</v>
      </c>
      <c r="H819" s="611">
        <f t="shared" si="168"/>
        <v>0</v>
      </c>
      <c r="I819" s="614">
        <f t="shared" si="167"/>
        <v>0</v>
      </c>
      <c r="J819" s="379"/>
    </row>
    <row r="820" spans="1:10" ht="23.4" x14ac:dyDescent="0.3">
      <c r="A820" s="997"/>
      <c r="B820" s="767"/>
      <c r="C820" s="282" t="s">
        <v>388</v>
      </c>
      <c r="D820" s="440" t="s">
        <v>389</v>
      </c>
      <c r="E820" s="283">
        <v>0</v>
      </c>
      <c r="F820" s="284">
        <f t="shared" si="166"/>
        <v>960</v>
      </c>
      <c r="G820" s="621">
        <v>434.41</v>
      </c>
      <c r="H820" s="611">
        <f t="shared" si="168"/>
        <v>0</v>
      </c>
      <c r="I820" s="614">
        <f t="shared" si="167"/>
        <v>417033.60000000003</v>
      </c>
      <c r="J820" s="379"/>
    </row>
    <row r="821" spans="1:10" ht="23.4" x14ac:dyDescent="0.3">
      <c r="A821" s="997"/>
      <c r="B821" s="767"/>
      <c r="C821" s="282" t="s">
        <v>419</v>
      </c>
      <c r="D821" s="440" t="s">
        <v>263</v>
      </c>
      <c r="E821" s="283">
        <v>0</v>
      </c>
      <c r="F821" s="284">
        <f t="shared" si="166"/>
        <v>7480</v>
      </c>
      <c r="G821" s="621">
        <v>624.26</v>
      </c>
      <c r="H821" s="611">
        <f t="shared" si="168"/>
        <v>0</v>
      </c>
      <c r="I821" s="614">
        <f t="shared" si="167"/>
        <v>4669464.8</v>
      </c>
      <c r="J821" s="379"/>
    </row>
    <row r="822" spans="1:10" ht="23.4" x14ac:dyDescent="0.3">
      <c r="A822" s="997"/>
      <c r="B822" s="767"/>
      <c r="C822" s="282" t="s">
        <v>390</v>
      </c>
      <c r="D822" s="440" t="s">
        <v>389</v>
      </c>
      <c r="E822" s="283">
        <v>0</v>
      </c>
      <c r="F822" s="323">
        <f t="shared" si="166"/>
        <v>0</v>
      </c>
      <c r="G822" s="621">
        <v>63.55</v>
      </c>
      <c r="H822" s="611">
        <f t="shared" si="168"/>
        <v>0</v>
      </c>
      <c r="I822" s="614">
        <f t="shared" si="167"/>
        <v>0</v>
      </c>
      <c r="J822" s="379"/>
    </row>
    <row r="823" spans="1:10" ht="23.4" x14ac:dyDescent="0.3">
      <c r="A823" s="997"/>
      <c r="B823" s="767"/>
      <c r="C823" s="282" t="s">
        <v>391</v>
      </c>
      <c r="D823" s="440" t="s">
        <v>389</v>
      </c>
      <c r="E823" s="283">
        <v>0</v>
      </c>
      <c r="F823" s="323">
        <f t="shared" si="166"/>
        <v>0</v>
      </c>
      <c r="G823" s="621">
        <v>53.86</v>
      </c>
      <c r="H823" s="611">
        <f t="shared" si="168"/>
        <v>0</v>
      </c>
      <c r="I823" s="614">
        <f t="shared" si="167"/>
        <v>0</v>
      </c>
      <c r="J823" s="379"/>
    </row>
    <row r="824" spans="1:10" ht="23.4" x14ac:dyDescent="0.3">
      <c r="A824" s="997"/>
      <c r="B824" s="767"/>
      <c r="C824" s="282" t="s">
        <v>432</v>
      </c>
      <c r="D824" s="440" t="s">
        <v>401</v>
      </c>
      <c r="E824" s="283">
        <v>0</v>
      </c>
      <c r="F824" s="323">
        <f t="shared" si="166"/>
        <v>414</v>
      </c>
      <c r="G824" s="621">
        <v>45</v>
      </c>
      <c r="H824" s="611">
        <f t="shared" si="168"/>
        <v>0</v>
      </c>
      <c r="I824" s="614">
        <f t="shared" si="167"/>
        <v>18630</v>
      </c>
      <c r="J824" s="379"/>
    </row>
    <row r="825" spans="1:10" ht="23.4" x14ac:dyDescent="0.3">
      <c r="A825" s="997"/>
      <c r="B825" s="767"/>
      <c r="C825" s="282" t="s">
        <v>313</v>
      </c>
      <c r="D825" s="440"/>
      <c r="E825" s="283">
        <v>0</v>
      </c>
      <c r="F825" s="323">
        <f t="shared" si="166"/>
        <v>1</v>
      </c>
      <c r="G825" s="621">
        <v>39450</v>
      </c>
      <c r="H825" s="611">
        <f t="shared" si="168"/>
        <v>0</v>
      </c>
      <c r="I825" s="614">
        <f t="shared" si="167"/>
        <v>39450</v>
      </c>
      <c r="J825" s="379"/>
    </row>
    <row r="826" spans="1:10" ht="24" thickBot="1" x14ac:dyDescent="0.35">
      <c r="A826" s="997"/>
      <c r="B826" s="767"/>
      <c r="C826" s="282" t="s">
        <v>388</v>
      </c>
      <c r="D826" s="440" t="s">
        <v>103</v>
      </c>
      <c r="E826" s="283">
        <v>0</v>
      </c>
      <c r="F826" s="323">
        <f t="shared" si="166"/>
        <v>0</v>
      </c>
      <c r="G826" s="621">
        <v>434.41</v>
      </c>
      <c r="H826" s="611">
        <f t="shared" si="168"/>
        <v>0</v>
      </c>
      <c r="I826" s="614">
        <f t="shared" si="167"/>
        <v>0</v>
      </c>
      <c r="J826" s="379"/>
    </row>
    <row r="827" spans="1:10" ht="24" thickBot="1" x14ac:dyDescent="0.35">
      <c r="A827" s="998"/>
      <c r="B827" s="992" t="s">
        <v>299</v>
      </c>
      <c r="C827" s="993"/>
      <c r="D827" s="768"/>
      <c r="E827" s="332"/>
      <c r="F827" s="333"/>
      <c r="G827" s="332"/>
      <c r="H827" s="608">
        <f>SUM(H807:H826)</f>
        <v>3741273.5999999996</v>
      </c>
      <c r="I827" s="597">
        <f>SUM(I807:I826)</f>
        <v>23323301.280000001</v>
      </c>
      <c r="J827" s="378"/>
    </row>
    <row r="828" spans="1:10" ht="24" thickBot="1" x14ac:dyDescent="0.35">
      <c r="A828" s="769"/>
      <c r="B828" s="443"/>
      <c r="C828" s="282"/>
      <c r="D828" s="440"/>
      <c r="E828" s="283"/>
      <c r="F828" s="284"/>
      <c r="G828" s="340"/>
      <c r="H828" s="607"/>
      <c r="I828" s="285"/>
      <c r="J828" s="379"/>
    </row>
    <row r="829" spans="1:10" ht="24" thickBot="1" x14ac:dyDescent="0.35">
      <c r="A829" s="769"/>
      <c r="B829" s="992" t="s">
        <v>243</v>
      </c>
      <c r="C829" s="993"/>
      <c r="D829" s="765"/>
      <c r="E829" s="332"/>
      <c r="F829" s="333"/>
      <c r="G829" s="332"/>
      <c r="H829" s="605"/>
      <c r="I829" s="330"/>
      <c r="J829" s="355"/>
    </row>
    <row r="830" spans="1:10" ht="24.6" thickBot="1" x14ac:dyDescent="0.35">
      <c r="A830" s="325"/>
      <c r="B830" s="994" t="s">
        <v>183</v>
      </c>
      <c r="C830" s="995"/>
      <c r="D830" s="766"/>
      <c r="E830" s="380"/>
      <c r="F830" s="380"/>
      <c r="G830" s="380"/>
      <c r="H830" s="380"/>
      <c r="I830" s="380">
        <f>+I827+I806+I785</f>
        <v>72122613.859999999</v>
      </c>
      <c r="J830" s="381"/>
    </row>
    <row r="831" spans="1:10" ht="23.4" x14ac:dyDescent="0.3">
      <c r="A831" s="935" t="s">
        <v>1</v>
      </c>
      <c r="B831" s="938" t="s">
        <v>2</v>
      </c>
      <c r="C831" s="1001" t="s">
        <v>3</v>
      </c>
      <c r="D831" s="1005" t="s">
        <v>93</v>
      </c>
      <c r="E831" s="1008">
        <v>44516</v>
      </c>
      <c r="F831" s="945"/>
      <c r="G831" s="945"/>
      <c r="H831" s="945"/>
      <c r="I831" s="945"/>
      <c r="J831" s="946"/>
    </row>
    <row r="832" spans="1:10" ht="23.4" x14ac:dyDescent="0.3">
      <c r="A832" s="999"/>
      <c r="B832" s="1000"/>
      <c r="C832" s="1002"/>
      <c r="D832" s="1006"/>
      <c r="E832" s="1009" t="s">
        <v>94</v>
      </c>
      <c r="F832" s="1010"/>
      <c r="G832" s="1009" t="s">
        <v>252</v>
      </c>
      <c r="H832" s="1011"/>
      <c r="I832" s="1011"/>
      <c r="J832" s="1010"/>
    </row>
    <row r="833" spans="1:10" x14ac:dyDescent="0.3">
      <c r="A833" s="936"/>
      <c r="B833" s="939"/>
      <c r="C833" s="1003"/>
      <c r="D833" s="1006"/>
      <c r="E833" s="947" t="s">
        <v>95</v>
      </c>
      <c r="F833" s="949" t="s">
        <v>96</v>
      </c>
      <c r="G833" s="1012" t="s">
        <v>97</v>
      </c>
      <c r="H833" s="1014" t="s">
        <v>98</v>
      </c>
      <c r="I833" s="1014" t="s">
        <v>98</v>
      </c>
      <c r="J833" s="1016" t="s">
        <v>12</v>
      </c>
    </row>
    <row r="834" spans="1:10" ht="14.4" thickBot="1" x14ac:dyDescent="0.35">
      <c r="A834" s="937"/>
      <c r="B834" s="940"/>
      <c r="C834" s="1004"/>
      <c r="D834" s="1007"/>
      <c r="E834" s="948"/>
      <c r="F834" s="950"/>
      <c r="G834" s="1013"/>
      <c r="H834" s="1015"/>
      <c r="I834" s="1015"/>
      <c r="J834" s="1017"/>
    </row>
    <row r="835" spans="1:10" ht="23.4" x14ac:dyDescent="0.3">
      <c r="A835" s="996" t="s">
        <v>111</v>
      </c>
      <c r="B835" s="445"/>
      <c r="C835" s="592" t="s">
        <v>300</v>
      </c>
      <c r="D835" s="449" t="s">
        <v>292</v>
      </c>
      <c r="E835" s="273">
        <v>0</v>
      </c>
      <c r="F835" s="441">
        <f>E835+F753</f>
        <v>0</v>
      </c>
      <c r="G835" s="593">
        <v>111.09</v>
      </c>
      <c r="H835" s="609">
        <f t="shared" ref="H835:H848" si="169">E835*G835</f>
        <v>0</v>
      </c>
      <c r="I835" s="612">
        <f>+G835*F835</f>
        <v>0</v>
      </c>
      <c r="J835" s="357"/>
    </row>
    <row r="836" spans="1:10" ht="23.4" x14ac:dyDescent="0.3">
      <c r="A836" s="997"/>
      <c r="B836" s="444"/>
      <c r="C836" s="448" t="s">
        <v>293</v>
      </c>
      <c r="D836" s="447" t="s">
        <v>294</v>
      </c>
      <c r="E836" s="279">
        <v>0</v>
      </c>
      <c r="F836" s="441">
        <f t="shared" ref="F836:F848" si="170">E836+F754</f>
        <v>0</v>
      </c>
      <c r="G836" s="594">
        <v>11</v>
      </c>
      <c r="H836" s="610">
        <f t="shared" si="169"/>
        <v>0</v>
      </c>
      <c r="I836" s="613">
        <f>+G836*F836</f>
        <v>0</v>
      </c>
      <c r="J836" s="358"/>
    </row>
    <row r="837" spans="1:10" ht="23.4" x14ac:dyDescent="0.3">
      <c r="A837" s="997"/>
      <c r="B837" s="444"/>
      <c r="C837" s="448" t="s">
        <v>319</v>
      </c>
      <c r="D837" s="447" t="s">
        <v>320</v>
      </c>
      <c r="E837" s="279">
        <v>0</v>
      </c>
      <c r="F837" s="441">
        <f t="shared" si="170"/>
        <v>0</v>
      </c>
      <c r="G837" s="594">
        <v>10.57</v>
      </c>
      <c r="H837" s="610">
        <f t="shared" si="169"/>
        <v>0</v>
      </c>
      <c r="I837" s="613">
        <f t="shared" ref="I837:I848" si="171">+G837*F837</f>
        <v>0</v>
      </c>
      <c r="J837" s="358"/>
    </row>
    <row r="838" spans="1:10" ht="23.4" x14ac:dyDescent="0.3">
      <c r="A838" s="997"/>
      <c r="B838" s="444"/>
      <c r="C838" s="448" t="s">
        <v>449</v>
      </c>
      <c r="D838" s="447" t="s">
        <v>450</v>
      </c>
      <c r="E838" s="279">
        <v>91800</v>
      </c>
      <c r="F838" s="441">
        <f t="shared" si="170"/>
        <v>312120</v>
      </c>
      <c r="G838" s="594">
        <v>20.5</v>
      </c>
      <c r="H838" s="610">
        <f t="shared" si="169"/>
        <v>1881900</v>
      </c>
      <c r="I838" s="613">
        <f t="shared" si="171"/>
        <v>6398460</v>
      </c>
      <c r="J838" s="358"/>
    </row>
    <row r="839" spans="1:10" ht="23.4" x14ac:dyDescent="0.3">
      <c r="A839" s="997"/>
      <c r="B839" s="444"/>
      <c r="C839" s="448" t="s">
        <v>323</v>
      </c>
      <c r="D839" s="447" t="s">
        <v>192</v>
      </c>
      <c r="E839" s="279">
        <v>0</v>
      </c>
      <c r="F839" s="441">
        <f t="shared" si="170"/>
        <v>152064</v>
      </c>
      <c r="G839" s="594">
        <v>14.79</v>
      </c>
      <c r="H839" s="610">
        <f t="shared" si="169"/>
        <v>0</v>
      </c>
      <c r="I839" s="613">
        <f t="shared" si="171"/>
        <v>2249026.5600000001</v>
      </c>
      <c r="J839" s="358"/>
    </row>
    <row r="840" spans="1:10" ht="23.4" x14ac:dyDescent="0.3">
      <c r="A840" s="997"/>
      <c r="B840" s="444"/>
      <c r="C840" s="448" t="s">
        <v>332</v>
      </c>
      <c r="D840" s="447" t="s">
        <v>294</v>
      </c>
      <c r="E840" s="279">
        <v>0</v>
      </c>
      <c r="F840" s="441">
        <f t="shared" si="170"/>
        <v>960</v>
      </c>
      <c r="G840" s="594">
        <v>139.04</v>
      </c>
      <c r="H840" s="610">
        <f t="shared" si="169"/>
        <v>0</v>
      </c>
      <c r="I840" s="613">
        <f t="shared" si="171"/>
        <v>133478.39999999999</v>
      </c>
      <c r="J840" s="358"/>
    </row>
    <row r="841" spans="1:10" ht="23.4" x14ac:dyDescent="0.3">
      <c r="A841" s="997"/>
      <c r="B841" s="444"/>
      <c r="C841" s="448" t="s">
        <v>384</v>
      </c>
      <c r="D841" s="623" t="s">
        <v>447</v>
      </c>
      <c r="E841" s="279">
        <v>0</v>
      </c>
      <c r="F841" s="441">
        <f t="shared" si="170"/>
        <v>99364</v>
      </c>
      <c r="G841" s="594">
        <v>20.5</v>
      </c>
      <c r="H841" s="610">
        <f t="shared" si="169"/>
        <v>0</v>
      </c>
      <c r="I841" s="613">
        <f t="shared" si="171"/>
        <v>2036962</v>
      </c>
      <c r="J841" s="358"/>
    </row>
    <row r="842" spans="1:10" ht="23.4" x14ac:dyDescent="0.3">
      <c r="A842" s="997"/>
      <c r="B842" s="444"/>
      <c r="C842" s="448" t="s">
        <v>362</v>
      </c>
      <c r="D842" s="623" t="s">
        <v>294</v>
      </c>
      <c r="E842" s="279">
        <v>0</v>
      </c>
      <c r="F842" s="441">
        <f t="shared" si="170"/>
        <v>16524</v>
      </c>
      <c r="G842" s="594">
        <v>18.84</v>
      </c>
      <c r="H842" s="610">
        <f t="shared" si="169"/>
        <v>0</v>
      </c>
      <c r="I842" s="613">
        <f t="shared" si="171"/>
        <v>311312.15999999997</v>
      </c>
      <c r="J842" s="358"/>
    </row>
    <row r="843" spans="1:10" ht="23.4" x14ac:dyDescent="0.3">
      <c r="A843" s="997"/>
      <c r="B843" s="444"/>
      <c r="C843" s="448" t="s">
        <v>376</v>
      </c>
      <c r="D843" s="623" t="s">
        <v>257</v>
      </c>
      <c r="E843" s="279">
        <v>0</v>
      </c>
      <c r="F843" s="441">
        <f t="shared" si="170"/>
        <v>351143</v>
      </c>
      <c r="G843" s="594">
        <v>21.18</v>
      </c>
      <c r="H843" s="610">
        <f t="shared" si="169"/>
        <v>0</v>
      </c>
      <c r="I843" s="613">
        <f t="shared" si="171"/>
        <v>7437208.7400000002</v>
      </c>
      <c r="J843" s="358"/>
    </row>
    <row r="844" spans="1:10" ht="23.4" x14ac:dyDescent="0.3">
      <c r="A844" s="997"/>
      <c r="B844" s="444"/>
      <c r="C844" s="448" t="s">
        <v>378</v>
      </c>
      <c r="D844" s="623" t="s">
        <v>379</v>
      </c>
      <c r="E844" s="279">
        <v>0</v>
      </c>
      <c r="F844" s="441">
        <f t="shared" si="170"/>
        <v>65690</v>
      </c>
      <c r="G844" s="594">
        <v>21.28</v>
      </c>
      <c r="H844" s="610">
        <f t="shared" si="169"/>
        <v>0</v>
      </c>
      <c r="I844" s="613">
        <f t="shared" si="171"/>
        <v>1397883.2000000002</v>
      </c>
      <c r="J844" s="358"/>
    </row>
    <row r="845" spans="1:10" ht="23.4" x14ac:dyDescent="0.3">
      <c r="A845" s="997"/>
      <c r="B845" s="444"/>
      <c r="C845" s="448" t="s">
        <v>332</v>
      </c>
      <c r="D845" s="623" t="s">
        <v>447</v>
      </c>
      <c r="E845" s="279">
        <v>0</v>
      </c>
      <c r="F845" s="441">
        <f t="shared" si="170"/>
        <v>9920</v>
      </c>
      <c r="G845" s="594">
        <v>139.04</v>
      </c>
      <c r="H845" s="610">
        <f t="shared" si="169"/>
        <v>0</v>
      </c>
      <c r="I845" s="613">
        <f t="shared" si="171"/>
        <v>1379276.7999999998</v>
      </c>
      <c r="J845" s="358"/>
    </row>
    <row r="846" spans="1:10" ht="23.4" x14ac:dyDescent="0.3">
      <c r="A846" s="997"/>
      <c r="B846" s="444"/>
      <c r="C846" s="592" t="s">
        <v>383</v>
      </c>
      <c r="D846" s="623" t="s">
        <v>294</v>
      </c>
      <c r="E846" s="279">
        <v>0</v>
      </c>
      <c r="F846" s="441">
        <f t="shared" si="170"/>
        <v>0</v>
      </c>
      <c r="G846" s="594">
        <v>109.77</v>
      </c>
      <c r="H846" s="610">
        <f t="shared" si="169"/>
        <v>0</v>
      </c>
      <c r="I846" s="613">
        <f t="shared" si="171"/>
        <v>0</v>
      </c>
      <c r="J846" s="358"/>
    </row>
    <row r="847" spans="1:10" ht="23.4" x14ac:dyDescent="0.3">
      <c r="A847" s="997"/>
      <c r="B847" s="444"/>
      <c r="C847" s="448" t="s">
        <v>384</v>
      </c>
      <c r="D847" s="623" t="s">
        <v>206</v>
      </c>
      <c r="E847" s="279">
        <v>0</v>
      </c>
      <c r="F847" s="441">
        <f t="shared" si="170"/>
        <v>0</v>
      </c>
      <c r="G847" s="594">
        <v>21.28</v>
      </c>
      <c r="H847" s="610">
        <f t="shared" si="169"/>
        <v>0</v>
      </c>
      <c r="I847" s="613">
        <f t="shared" si="171"/>
        <v>0</v>
      </c>
      <c r="J847" s="358"/>
    </row>
    <row r="848" spans="1:10" ht="24" thickBot="1" x14ac:dyDescent="0.35">
      <c r="A848" s="997"/>
      <c r="B848" s="444"/>
      <c r="C848" s="448" t="s">
        <v>400</v>
      </c>
      <c r="D848" s="450" t="s">
        <v>193</v>
      </c>
      <c r="E848" s="279">
        <v>0</v>
      </c>
      <c r="F848" s="441">
        <f t="shared" si="170"/>
        <v>1186</v>
      </c>
      <c r="G848" s="594">
        <v>36.44</v>
      </c>
      <c r="H848" s="610">
        <f t="shared" si="169"/>
        <v>0</v>
      </c>
      <c r="I848" s="613">
        <f t="shared" si="171"/>
        <v>43217.84</v>
      </c>
      <c r="J848" s="358"/>
    </row>
    <row r="849" spans="1:10" ht="24" thickBot="1" x14ac:dyDescent="0.35">
      <c r="A849" s="997"/>
      <c r="B849" s="992" t="s">
        <v>295</v>
      </c>
      <c r="C849" s="993"/>
      <c r="D849" s="798"/>
      <c r="E849" s="332"/>
      <c r="F849" s="333"/>
      <c r="G849" s="332"/>
      <c r="H849" s="605">
        <f>SUM(H835:H848)</f>
        <v>1881900</v>
      </c>
      <c r="I849" s="597">
        <f>SUM(I835:I848)</f>
        <v>21386825.699999999</v>
      </c>
      <c r="J849" s="355"/>
    </row>
    <row r="850" spans="1:10" ht="23.4" x14ac:dyDescent="0.3">
      <c r="A850" s="997"/>
      <c r="B850" s="796"/>
      <c r="C850" s="282" t="s">
        <v>301</v>
      </c>
      <c r="D850" s="440" t="s">
        <v>263</v>
      </c>
      <c r="E850" s="283">
        <v>0</v>
      </c>
      <c r="F850" s="323">
        <f t="shared" ref="F850:F860" si="172">E850+F768</f>
        <v>64750</v>
      </c>
      <c r="G850" s="595">
        <v>160.44999999999999</v>
      </c>
      <c r="H850" s="611">
        <f t="shared" ref="H850:H860" si="173">E850*G850</f>
        <v>0</v>
      </c>
      <c r="I850" s="614">
        <f t="shared" ref="I850:I860" si="174">+G850*F850</f>
        <v>10389137.5</v>
      </c>
      <c r="J850" s="379"/>
    </row>
    <row r="851" spans="1:10" ht="23.4" x14ac:dyDescent="0.3">
      <c r="A851" s="997"/>
      <c r="B851" s="796"/>
      <c r="C851" s="282" t="s">
        <v>317</v>
      </c>
      <c r="D851" s="440" t="s">
        <v>263</v>
      </c>
      <c r="E851" s="283">
        <v>0</v>
      </c>
      <c r="F851" s="323">
        <f t="shared" si="172"/>
        <v>1500</v>
      </c>
      <c r="G851" s="595">
        <v>160.44999999999999</v>
      </c>
      <c r="H851" s="611">
        <f t="shared" si="173"/>
        <v>0</v>
      </c>
      <c r="I851" s="614">
        <f t="shared" si="174"/>
        <v>240674.99999999997</v>
      </c>
      <c r="J851" s="379"/>
    </row>
    <row r="852" spans="1:10" ht="23.4" x14ac:dyDescent="0.3">
      <c r="A852" s="997"/>
      <c r="B852" s="796"/>
      <c r="C852" s="282" t="s">
        <v>318</v>
      </c>
      <c r="D852" s="440" t="s">
        <v>263</v>
      </c>
      <c r="E852" s="283">
        <v>0</v>
      </c>
      <c r="F852" s="323">
        <f t="shared" si="172"/>
        <v>3375</v>
      </c>
      <c r="G852" s="595">
        <v>160.44999999999999</v>
      </c>
      <c r="H852" s="611">
        <f t="shared" si="173"/>
        <v>0</v>
      </c>
      <c r="I852" s="614">
        <f t="shared" si="174"/>
        <v>541518.75</v>
      </c>
      <c r="J852" s="379"/>
    </row>
    <row r="853" spans="1:10" ht="23.4" x14ac:dyDescent="0.3">
      <c r="A853" s="997"/>
      <c r="B853" s="796"/>
      <c r="C853" s="282" t="s">
        <v>321</v>
      </c>
      <c r="D853" s="440" t="s">
        <v>100</v>
      </c>
      <c r="E853" s="283">
        <v>0</v>
      </c>
      <c r="F853" s="323">
        <f t="shared" si="172"/>
        <v>0</v>
      </c>
      <c r="G853" s="595">
        <v>27</v>
      </c>
      <c r="H853" s="611">
        <f t="shared" si="173"/>
        <v>0</v>
      </c>
      <c r="I853" s="614">
        <f t="shared" si="174"/>
        <v>0</v>
      </c>
      <c r="J853" s="379"/>
    </row>
    <row r="854" spans="1:10" ht="23.4" x14ac:dyDescent="0.3">
      <c r="A854" s="997"/>
      <c r="B854" s="796"/>
      <c r="C854" s="282" t="s">
        <v>321</v>
      </c>
      <c r="D854" s="440" t="s">
        <v>329</v>
      </c>
      <c r="E854" s="283">
        <v>0</v>
      </c>
      <c r="F854" s="323">
        <f t="shared" si="172"/>
        <v>0</v>
      </c>
      <c r="G854" s="595">
        <v>27.5</v>
      </c>
      <c r="H854" s="611">
        <f t="shared" si="173"/>
        <v>0</v>
      </c>
      <c r="I854" s="614">
        <f t="shared" si="174"/>
        <v>0</v>
      </c>
      <c r="J854" s="379"/>
    </row>
    <row r="855" spans="1:10" ht="23.4" x14ac:dyDescent="0.3">
      <c r="A855" s="997"/>
      <c r="B855" s="796"/>
      <c r="C855" s="282" t="s">
        <v>307</v>
      </c>
      <c r="D855" s="440" t="s">
        <v>329</v>
      </c>
      <c r="E855" s="283">
        <v>0</v>
      </c>
      <c r="F855" s="323">
        <f t="shared" si="172"/>
        <v>0</v>
      </c>
      <c r="G855" s="595">
        <v>34.5</v>
      </c>
      <c r="H855" s="611">
        <f t="shared" si="173"/>
        <v>0</v>
      </c>
      <c r="I855" s="614">
        <f t="shared" si="174"/>
        <v>0</v>
      </c>
      <c r="J855" s="379"/>
    </row>
    <row r="856" spans="1:10" ht="23.4" x14ac:dyDescent="0.3">
      <c r="A856" s="997"/>
      <c r="B856" s="796"/>
      <c r="C856" s="282" t="s">
        <v>342</v>
      </c>
      <c r="D856" s="440" t="s">
        <v>263</v>
      </c>
      <c r="E856" s="283">
        <v>0</v>
      </c>
      <c r="F856" s="323">
        <f t="shared" si="172"/>
        <v>12750</v>
      </c>
      <c r="G856" s="595">
        <v>160.44999999999999</v>
      </c>
      <c r="H856" s="611">
        <f t="shared" si="173"/>
        <v>0</v>
      </c>
      <c r="I856" s="614">
        <f t="shared" si="174"/>
        <v>2045737.4999999998</v>
      </c>
      <c r="J856" s="379"/>
    </row>
    <row r="857" spans="1:10" ht="23.4" x14ac:dyDescent="0.3">
      <c r="A857" s="997"/>
      <c r="B857" s="796"/>
      <c r="C857" s="282" t="s">
        <v>438</v>
      </c>
      <c r="D857" s="440" t="s">
        <v>263</v>
      </c>
      <c r="E857" s="283">
        <v>0</v>
      </c>
      <c r="F857" s="323">
        <f t="shared" si="172"/>
        <v>7000</v>
      </c>
      <c r="G857" s="595">
        <v>160.44999999999999</v>
      </c>
      <c r="H857" s="611">
        <f t="shared" si="173"/>
        <v>0</v>
      </c>
      <c r="I857" s="614">
        <f t="shared" si="174"/>
        <v>1123150</v>
      </c>
      <c r="J857" s="379"/>
    </row>
    <row r="858" spans="1:10" ht="23.4" x14ac:dyDescent="0.3">
      <c r="A858" s="997"/>
      <c r="B858" s="796"/>
      <c r="C858" s="282" t="s">
        <v>357</v>
      </c>
      <c r="D858" s="440" t="s">
        <v>263</v>
      </c>
      <c r="E858" s="283">
        <v>0</v>
      </c>
      <c r="F858" s="323">
        <f t="shared" si="172"/>
        <v>11735</v>
      </c>
      <c r="G858" s="595">
        <v>160.44999999999999</v>
      </c>
      <c r="H858" s="611">
        <f t="shared" si="173"/>
        <v>0</v>
      </c>
      <c r="I858" s="614">
        <f t="shared" si="174"/>
        <v>1882880.7499999998</v>
      </c>
      <c r="J858" s="379"/>
    </row>
    <row r="859" spans="1:10" ht="23.4" x14ac:dyDescent="0.3">
      <c r="A859" s="997"/>
      <c r="B859" s="796"/>
      <c r="C859" s="282" t="s">
        <v>358</v>
      </c>
      <c r="D859" s="440" t="s">
        <v>263</v>
      </c>
      <c r="E859" s="283">
        <v>0</v>
      </c>
      <c r="F859" s="323">
        <f t="shared" si="172"/>
        <v>8250</v>
      </c>
      <c r="G859" s="595">
        <v>160.44999999999999</v>
      </c>
      <c r="H859" s="611">
        <f t="shared" si="173"/>
        <v>0</v>
      </c>
      <c r="I859" s="614">
        <f t="shared" si="174"/>
        <v>1323712.5</v>
      </c>
      <c r="J859" s="379"/>
    </row>
    <row r="860" spans="1:10" ht="24" thickBot="1" x14ac:dyDescent="0.35">
      <c r="A860" s="997"/>
      <c r="B860" s="796"/>
      <c r="C860" s="282" t="s">
        <v>353</v>
      </c>
      <c r="D860" s="440" t="s">
        <v>263</v>
      </c>
      <c r="E860" s="283">
        <v>0</v>
      </c>
      <c r="F860" s="323">
        <f t="shared" si="172"/>
        <v>1500</v>
      </c>
      <c r="G860" s="595">
        <v>160.44999999999999</v>
      </c>
      <c r="H860" s="611">
        <f t="shared" si="173"/>
        <v>0</v>
      </c>
      <c r="I860" s="614">
        <f t="shared" si="174"/>
        <v>240674.99999999997</v>
      </c>
      <c r="J860" s="379"/>
    </row>
    <row r="861" spans="1:10" ht="24" thickBot="1" x14ac:dyDescent="0.35">
      <c r="A861" s="997"/>
      <c r="B861" s="992" t="s">
        <v>296</v>
      </c>
      <c r="C861" s="993"/>
      <c r="D861" s="798"/>
      <c r="E861" s="332"/>
      <c r="F861" s="333"/>
      <c r="G861" s="332"/>
      <c r="H861" s="605">
        <f>SUM(H850:H860)</f>
        <v>0</v>
      </c>
      <c r="I861" s="597">
        <f>SUM(I850:I860)</f>
        <v>17787487</v>
      </c>
      <c r="J861" s="355"/>
    </row>
    <row r="862" spans="1:10" ht="23.4" x14ac:dyDescent="0.3">
      <c r="A862" s="997"/>
      <c r="B862" s="796"/>
      <c r="C862" s="282" t="s">
        <v>303</v>
      </c>
      <c r="D862" s="440"/>
      <c r="E862" s="283">
        <v>0</v>
      </c>
      <c r="F862" s="598">
        <f t="shared" ref="F862:F864" si="175">E862+F780</f>
        <v>0</v>
      </c>
      <c r="G862" s="595">
        <v>10</v>
      </c>
      <c r="H862" s="611">
        <f t="shared" ref="H862:H864" si="176">E862*G862</f>
        <v>0</v>
      </c>
      <c r="I862" s="614">
        <f t="shared" ref="I862" si="177">+G862*F862</f>
        <v>0</v>
      </c>
      <c r="J862" s="379"/>
    </row>
    <row r="863" spans="1:10" ht="23.4" x14ac:dyDescent="0.3">
      <c r="A863" s="997"/>
      <c r="B863" s="796"/>
      <c r="C863" s="282" t="s">
        <v>308</v>
      </c>
      <c r="D863" s="440" t="s">
        <v>309</v>
      </c>
      <c r="E863" s="283">
        <v>0</v>
      </c>
      <c r="F863" s="598">
        <f t="shared" si="175"/>
        <v>9</v>
      </c>
      <c r="G863" s="595">
        <v>2500</v>
      </c>
      <c r="H863" s="611">
        <f t="shared" si="176"/>
        <v>0</v>
      </c>
      <c r="I863" s="614">
        <f>+G863*F863</f>
        <v>22500</v>
      </c>
      <c r="J863" s="379"/>
    </row>
    <row r="864" spans="1:10" ht="24" thickBot="1" x14ac:dyDescent="0.35">
      <c r="A864" s="997"/>
      <c r="B864" s="796"/>
      <c r="C864" s="282" t="s">
        <v>343</v>
      </c>
      <c r="D864" s="440" t="s">
        <v>344</v>
      </c>
      <c r="E864" s="283">
        <v>0</v>
      </c>
      <c r="F864" s="598">
        <f t="shared" si="175"/>
        <v>0</v>
      </c>
      <c r="G864" s="596">
        <v>360</v>
      </c>
      <c r="H864" s="611">
        <f t="shared" si="176"/>
        <v>0</v>
      </c>
      <c r="I864" s="614">
        <f t="shared" ref="I864" si="178">+G864*F864</f>
        <v>0</v>
      </c>
      <c r="J864" s="379"/>
    </row>
    <row r="865" spans="1:11" ht="24" thickBot="1" x14ac:dyDescent="0.35">
      <c r="A865" s="997"/>
      <c r="B865" s="992" t="s">
        <v>302</v>
      </c>
      <c r="C865" s="993"/>
      <c r="D865" s="798"/>
      <c r="E865" s="332"/>
      <c r="F865" s="333"/>
      <c r="G865" s="332"/>
      <c r="H865" s="605">
        <f>SUM(H862:H864)</f>
        <v>0</v>
      </c>
      <c r="I865" s="597">
        <f>SUM(I862:I864)</f>
        <v>22500</v>
      </c>
      <c r="J865" s="379"/>
    </row>
    <row r="866" spans="1:11" ht="24" thickBot="1" x14ac:dyDescent="0.35">
      <c r="A866" s="997"/>
      <c r="B866" s="796"/>
      <c r="C866" s="282"/>
      <c r="D866" s="440"/>
      <c r="E866" s="283"/>
      <c r="F866" s="323"/>
      <c r="G866" s="596"/>
      <c r="H866" s="606"/>
      <c r="I866" s="285">
        <f t="shared" ref="I866" si="179">+G866*F866</f>
        <v>0</v>
      </c>
      <c r="J866" s="379"/>
    </row>
    <row r="867" spans="1:11" ht="24" thickBot="1" x14ac:dyDescent="0.35">
      <c r="A867" s="998"/>
      <c r="B867" s="992" t="s">
        <v>298</v>
      </c>
      <c r="C867" s="993"/>
      <c r="D867" s="794"/>
      <c r="E867" s="332"/>
      <c r="F867" s="333"/>
      <c r="G867" s="332"/>
      <c r="H867" s="597">
        <f>+H861+H849+H865</f>
        <v>1881900</v>
      </c>
      <c r="I867" s="597">
        <f>+I861+I849+I865</f>
        <v>39196812.700000003</v>
      </c>
      <c r="J867" s="379"/>
      <c r="K867" s="620"/>
    </row>
    <row r="868" spans="1:11" ht="23.4" x14ac:dyDescent="0.3">
      <c r="A868" s="996" t="s">
        <v>109</v>
      </c>
      <c r="B868" s="796"/>
      <c r="C868" s="282" t="s">
        <v>312</v>
      </c>
      <c r="D868" s="440" t="s">
        <v>193</v>
      </c>
      <c r="E868" s="283">
        <v>0</v>
      </c>
      <c r="F868" s="323">
        <f t="shared" ref="F868:F887" si="180">E868+F786</f>
        <v>7956</v>
      </c>
      <c r="G868" s="621">
        <v>13.25</v>
      </c>
      <c r="H868" s="615">
        <f t="shared" ref="H868:H887" si="181">E868*G868</f>
        <v>0</v>
      </c>
      <c r="I868" s="614">
        <f t="shared" ref="I868:I887" si="182">+G868*F868</f>
        <v>105417</v>
      </c>
      <c r="J868" s="379"/>
    </row>
    <row r="869" spans="1:11" ht="23.4" x14ac:dyDescent="0.3">
      <c r="A869" s="997"/>
      <c r="B869" s="796"/>
      <c r="C869" s="282" t="s">
        <v>313</v>
      </c>
      <c r="D869" s="440"/>
      <c r="E869" s="283">
        <v>0</v>
      </c>
      <c r="F869" s="323">
        <f t="shared" si="180"/>
        <v>1</v>
      </c>
      <c r="G869" s="622">
        <v>10000</v>
      </c>
      <c r="H869" s="615">
        <f t="shared" si="181"/>
        <v>0</v>
      </c>
      <c r="I869" s="614">
        <f t="shared" si="182"/>
        <v>10000</v>
      </c>
      <c r="J869" s="379"/>
    </row>
    <row r="870" spans="1:11" ht="23.4" x14ac:dyDescent="0.3">
      <c r="A870" s="997"/>
      <c r="B870" s="796"/>
      <c r="C870" s="282" t="s">
        <v>313</v>
      </c>
      <c r="D870" s="440"/>
      <c r="E870" s="283">
        <v>0</v>
      </c>
      <c r="F870" s="323">
        <f t="shared" si="180"/>
        <v>0</v>
      </c>
      <c r="G870" s="622">
        <v>18000</v>
      </c>
      <c r="H870" s="615">
        <f t="shared" si="181"/>
        <v>0</v>
      </c>
      <c r="I870" s="614">
        <f t="shared" si="182"/>
        <v>0</v>
      </c>
      <c r="J870" s="379"/>
    </row>
    <row r="871" spans="1:11" ht="23.4" x14ac:dyDescent="0.3">
      <c r="A871" s="997"/>
      <c r="B871" s="796"/>
      <c r="C871" s="282" t="s">
        <v>328</v>
      </c>
      <c r="D871" s="440" t="s">
        <v>193</v>
      </c>
      <c r="E871" s="283">
        <v>0</v>
      </c>
      <c r="F871" s="323">
        <f t="shared" si="180"/>
        <v>0</v>
      </c>
      <c r="G871" s="621">
        <v>24.93</v>
      </c>
      <c r="H871" s="615">
        <f t="shared" si="181"/>
        <v>0</v>
      </c>
      <c r="I871" s="614">
        <f t="shared" si="182"/>
        <v>0</v>
      </c>
      <c r="J871" s="379"/>
    </row>
    <row r="872" spans="1:11" ht="23.4" x14ac:dyDescent="0.3">
      <c r="A872" s="997"/>
      <c r="B872" s="796"/>
      <c r="C872" s="282" t="s">
        <v>335</v>
      </c>
      <c r="D872" s="440" t="s">
        <v>99</v>
      </c>
      <c r="E872" s="283">
        <v>0</v>
      </c>
      <c r="F872" s="323">
        <f t="shared" si="180"/>
        <v>0</v>
      </c>
      <c r="G872" s="621">
        <v>26</v>
      </c>
      <c r="H872" s="615">
        <f t="shared" si="181"/>
        <v>0</v>
      </c>
      <c r="I872" s="614">
        <f t="shared" si="182"/>
        <v>0</v>
      </c>
      <c r="J872" s="379"/>
    </row>
    <row r="873" spans="1:11" ht="23.4" x14ac:dyDescent="0.3">
      <c r="A873" s="997"/>
      <c r="B873" s="796"/>
      <c r="C873" s="282" t="s">
        <v>336</v>
      </c>
      <c r="D873" s="440" t="s">
        <v>193</v>
      </c>
      <c r="E873" s="283">
        <v>0</v>
      </c>
      <c r="F873" s="323">
        <f t="shared" si="180"/>
        <v>0</v>
      </c>
      <c r="G873" s="621">
        <v>25.49</v>
      </c>
      <c r="H873" s="615">
        <f t="shared" si="181"/>
        <v>0</v>
      </c>
      <c r="I873" s="614">
        <f t="shared" si="182"/>
        <v>0</v>
      </c>
      <c r="J873" s="379"/>
    </row>
    <row r="874" spans="1:11" ht="23.4" x14ac:dyDescent="0.3">
      <c r="A874" s="997"/>
      <c r="B874" s="796"/>
      <c r="C874" s="282" t="s">
        <v>337</v>
      </c>
      <c r="D874" s="440" t="s">
        <v>115</v>
      </c>
      <c r="E874" s="283">
        <v>0</v>
      </c>
      <c r="F874" s="323">
        <f t="shared" si="180"/>
        <v>0</v>
      </c>
      <c r="G874" s="621">
        <v>24.93</v>
      </c>
      <c r="H874" s="615">
        <f t="shared" si="181"/>
        <v>0</v>
      </c>
      <c r="I874" s="614">
        <f t="shared" si="182"/>
        <v>0</v>
      </c>
      <c r="J874" s="379"/>
    </row>
    <row r="875" spans="1:11" ht="23.4" x14ac:dyDescent="0.3">
      <c r="A875" s="997"/>
      <c r="B875" s="796"/>
      <c r="C875" s="282" t="s">
        <v>338</v>
      </c>
      <c r="D875" s="440" t="s">
        <v>311</v>
      </c>
      <c r="E875" s="283">
        <v>0</v>
      </c>
      <c r="F875" s="323">
        <f t="shared" si="180"/>
        <v>0</v>
      </c>
      <c r="G875" s="621">
        <v>24.93</v>
      </c>
      <c r="H875" s="615">
        <f t="shared" si="181"/>
        <v>0</v>
      </c>
      <c r="I875" s="614">
        <f t="shared" si="182"/>
        <v>0</v>
      </c>
      <c r="J875" s="379"/>
    </row>
    <row r="876" spans="1:11" ht="23.4" x14ac:dyDescent="0.3">
      <c r="A876" s="997"/>
      <c r="B876" s="796"/>
      <c r="C876" s="282" t="s">
        <v>339</v>
      </c>
      <c r="D876" s="440" t="s">
        <v>99</v>
      </c>
      <c r="E876" s="283">
        <v>0</v>
      </c>
      <c r="F876" s="323">
        <f t="shared" si="180"/>
        <v>0</v>
      </c>
      <c r="G876" s="621">
        <v>20.89</v>
      </c>
      <c r="H876" s="615">
        <f t="shared" si="181"/>
        <v>0</v>
      </c>
      <c r="I876" s="614">
        <f t="shared" si="182"/>
        <v>0</v>
      </c>
      <c r="J876" s="379"/>
    </row>
    <row r="877" spans="1:11" ht="23.4" x14ac:dyDescent="0.3">
      <c r="A877" s="997"/>
      <c r="B877" s="796"/>
      <c r="C877" s="282" t="s">
        <v>445</v>
      </c>
      <c r="D877" s="440" t="s">
        <v>350</v>
      </c>
      <c r="E877" s="283">
        <v>0</v>
      </c>
      <c r="F877" s="323">
        <f t="shared" si="180"/>
        <v>56160</v>
      </c>
      <c r="G877" s="621">
        <v>37.11</v>
      </c>
      <c r="H877" s="615">
        <f t="shared" si="181"/>
        <v>0</v>
      </c>
      <c r="I877" s="614">
        <f t="shared" si="182"/>
        <v>2084097.5999999999</v>
      </c>
      <c r="J877" s="379"/>
    </row>
    <row r="878" spans="1:11" ht="23.4" x14ac:dyDescent="0.3">
      <c r="A878" s="997"/>
      <c r="B878" s="796"/>
      <c r="C878" s="282" t="s">
        <v>446</v>
      </c>
      <c r="D878" s="440" t="s">
        <v>350</v>
      </c>
      <c r="E878" s="283">
        <v>0</v>
      </c>
      <c r="F878" s="323">
        <f t="shared" si="180"/>
        <v>13104</v>
      </c>
      <c r="G878" s="621">
        <v>37.89</v>
      </c>
      <c r="H878" s="615">
        <f t="shared" si="181"/>
        <v>0</v>
      </c>
      <c r="I878" s="614">
        <f t="shared" si="182"/>
        <v>496510.56</v>
      </c>
      <c r="J878" s="379"/>
    </row>
    <row r="879" spans="1:11" ht="23.4" x14ac:dyDescent="0.3">
      <c r="A879" s="997"/>
      <c r="B879" s="796"/>
      <c r="C879" s="282" t="s">
        <v>337</v>
      </c>
      <c r="D879" s="440" t="s">
        <v>310</v>
      </c>
      <c r="E879" s="283">
        <v>0</v>
      </c>
      <c r="F879" s="323">
        <f t="shared" si="180"/>
        <v>0</v>
      </c>
      <c r="G879" s="621">
        <v>24.93</v>
      </c>
      <c r="H879" s="615">
        <f t="shared" si="181"/>
        <v>0</v>
      </c>
      <c r="I879" s="614">
        <f t="shared" si="182"/>
        <v>0</v>
      </c>
      <c r="J879" s="379"/>
    </row>
    <row r="880" spans="1:11" ht="23.4" x14ac:dyDescent="0.3">
      <c r="A880" s="997"/>
      <c r="B880" s="796"/>
      <c r="C880" s="282" t="s">
        <v>338</v>
      </c>
      <c r="D880" s="440" t="s">
        <v>310</v>
      </c>
      <c r="E880" s="283">
        <v>0</v>
      </c>
      <c r="F880" s="323">
        <f t="shared" si="180"/>
        <v>0</v>
      </c>
      <c r="G880" s="621">
        <v>24.93</v>
      </c>
      <c r="H880" s="615">
        <f t="shared" si="181"/>
        <v>0</v>
      </c>
      <c r="I880" s="614">
        <f t="shared" si="182"/>
        <v>0</v>
      </c>
      <c r="J880" s="379"/>
    </row>
    <row r="881" spans="1:10" ht="23.4" x14ac:dyDescent="0.3">
      <c r="A881" s="997"/>
      <c r="B881" s="796"/>
      <c r="C881" s="282" t="s">
        <v>369</v>
      </c>
      <c r="D881" s="440" t="s">
        <v>324</v>
      </c>
      <c r="E881" s="283">
        <v>0</v>
      </c>
      <c r="F881" s="323">
        <f t="shared" si="180"/>
        <v>1872</v>
      </c>
      <c r="G881" s="621">
        <v>34.26</v>
      </c>
      <c r="H881" s="615">
        <f t="shared" si="181"/>
        <v>0</v>
      </c>
      <c r="I881" s="614">
        <f t="shared" si="182"/>
        <v>64134.719999999994</v>
      </c>
      <c r="J881" s="379"/>
    </row>
    <row r="882" spans="1:10" ht="23.4" x14ac:dyDescent="0.3">
      <c r="A882" s="997"/>
      <c r="B882" s="796"/>
      <c r="C882" s="282" t="s">
        <v>385</v>
      </c>
      <c r="D882" s="440" t="s">
        <v>193</v>
      </c>
      <c r="E882" s="283">
        <v>0</v>
      </c>
      <c r="F882" s="323">
        <f t="shared" si="180"/>
        <v>0</v>
      </c>
      <c r="G882" s="621">
        <v>23.65</v>
      </c>
      <c r="H882" s="615">
        <f t="shared" si="181"/>
        <v>0</v>
      </c>
      <c r="I882" s="614">
        <f t="shared" si="182"/>
        <v>0</v>
      </c>
      <c r="J882" s="379"/>
    </row>
    <row r="883" spans="1:10" ht="23.4" x14ac:dyDescent="0.3">
      <c r="A883" s="997"/>
      <c r="B883" s="796"/>
      <c r="C883" s="282" t="s">
        <v>405</v>
      </c>
      <c r="D883" s="440" t="s">
        <v>192</v>
      </c>
      <c r="E883" s="283">
        <v>0</v>
      </c>
      <c r="F883" s="323">
        <f t="shared" si="180"/>
        <v>0</v>
      </c>
      <c r="G883" s="621">
        <v>20.76</v>
      </c>
      <c r="H883" s="615">
        <f t="shared" si="181"/>
        <v>0</v>
      </c>
      <c r="I883" s="614">
        <f t="shared" si="182"/>
        <v>0</v>
      </c>
      <c r="J883" s="379"/>
    </row>
    <row r="884" spans="1:10" ht="23.4" x14ac:dyDescent="0.3">
      <c r="A884" s="997"/>
      <c r="B884" s="796"/>
      <c r="C884" s="282" t="s">
        <v>338</v>
      </c>
      <c r="D884" s="440" t="s">
        <v>192</v>
      </c>
      <c r="E884" s="283">
        <v>0</v>
      </c>
      <c r="F884" s="323">
        <f t="shared" si="180"/>
        <v>0</v>
      </c>
      <c r="G884" s="621">
        <v>21.22</v>
      </c>
      <c r="H884" s="615">
        <f t="shared" si="181"/>
        <v>0</v>
      </c>
      <c r="I884" s="614">
        <f t="shared" si="182"/>
        <v>0</v>
      </c>
      <c r="J884" s="379"/>
    </row>
    <row r="885" spans="1:10" ht="23.4" x14ac:dyDescent="0.3">
      <c r="A885" s="997"/>
      <c r="B885" s="796"/>
      <c r="C885" s="282" t="s">
        <v>337</v>
      </c>
      <c r="D885" s="440" t="s">
        <v>192</v>
      </c>
      <c r="E885" s="283">
        <v>0</v>
      </c>
      <c r="F885" s="323">
        <f t="shared" si="180"/>
        <v>0</v>
      </c>
      <c r="G885" s="621">
        <v>21.22</v>
      </c>
      <c r="H885" s="615">
        <f t="shared" si="181"/>
        <v>0</v>
      </c>
      <c r="I885" s="614">
        <f t="shared" si="182"/>
        <v>0</v>
      </c>
      <c r="J885" s="379"/>
    </row>
    <row r="886" spans="1:10" ht="23.4" x14ac:dyDescent="0.3">
      <c r="A886" s="997"/>
      <c r="B886" s="796"/>
      <c r="C886" s="282" t="s">
        <v>406</v>
      </c>
      <c r="D886" s="440" t="s">
        <v>344</v>
      </c>
      <c r="E886" s="283">
        <v>0</v>
      </c>
      <c r="F886" s="323">
        <f t="shared" si="180"/>
        <v>0</v>
      </c>
      <c r="G886" s="621">
        <v>10000</v>
      </c>
      <c r="H886" s="615">
        <f t="shared" si="181"/>
        <v>0</v>
      </c>
      <c r="I886" s="614">
        <f t="shared" si="182"/>
        <v>0</v>
      </c>
      <c r="J886" s="379"/>
    </row>
    <row r="887" spans="1:10" ht="24" thickBot="1" x14ac:dyDescent="0.35">
      <c r="A887" s="997"/>
      <c r="B887" s="796"/>
      <c r="C887" s="282" t="s">
        <v>343</v>
      </c>
      <c r="D887" s="440" t="s">
        <v>344</v>
      </c>
      <c r="E887" s="283">
        <v>0</v>
      </c>
      <c r="F887" s="323">
        <f t="shared" si="180"/>
        <v>24234</v>
      </c>
      <c r="G887" s="621">
        <v>360</v>
      </c>
      <c r="H887" s="615">
        <f t="shared" si="181"/>
        <v>0</v>
      </c>
      <c r="I887" s="614">
        <f t="shared" si="182"/>
        <v>8724240</v>
      </c>
      <c r="J887" s="379"/>
    </row>
    <row r="888" spans="1:10" ht="24" thickBot="1" x14ac:dyDescent="0.35">
      <c r="A888" s="998"/>
      <c r="B888" s="992" t="s">
        <v>297</v>
      </c>
      <c r="C888" s="993"/>
      <c r="D888" s="798"/>
      <c r="E888" s="332"/>
      <c r="F888" s="333"/>
      <c r="G888" s="332"/>
      <c r="H888" s="605"/>
      <c r="I888" s="597">
        <f>SUM(I868:I887)</f>
        <v>11484399.879999999</v>
      </c>
      <c r="J888" s="379"/>
    </row>
    <row r="889" spans="1:10" ht="23.4" x14ac:dyDescent="0.3">
      <c r="A889" s="996" t="s">
        <v>110</v>
      </c>
      <c r="B889" s="796"/>
      <c r="C889" s="282" t="s">
        <v>304</v>
      </c>
      <c r="D889" s="440" t="s">
        <v>263</v>
      </c>
      <c r="E889" s="283">
        <v>640</v>
      </c>
      <c r="F889" s="323">
        <f t="shared" ref="F889:F908" si="183">E889+F807</f>
        <v>5440</v>
      </c>
      <c r="G889" s="621">
        <v>430.02</v>
      </c>
      <c r="H889" s="611">
        <f>E889*G889</f>
        <v>275212.79999999999</v>
      </c>
      <c r="I889" s="614">
        <f t="shared" ref="I889:I908" si="184">+G889*F889</f>
        <v>2339308.7999999998</v>
      </c>
      <c r="J889" s="379"/>
    </row>
    <row r="890" spans="1:10" ht="23.4" x14ac:dyDescent="0.3">
      <c r="A890" s="997"/>
      <c r="B890" s="796"/>
      <c r="C890" s="282" t="s">
        <v>305</v>
      </c>
      <c r="D890" s="440" t="s">
        <v>263</v>
      </c>
      <c r="E890" s="283">
        <v>0</v>
      </c>
      <c r="F890" s="323">
        <f t="shared" si="183"/>
        <v>0</v>
      </c>
      <c r="G890" s="621">
        <v>445.38</v>
      </c>
      <c r="H890" s="611">
        <f t="shared" ref="H890:H908" si="185">E890*G890</f>
        <v>0</v>
      </c>
      <c r="I890" s="614">
        <f t="shared" si="184"/>
        <v>0</v>
      </c>
      <c r="J890" s="379"/>
    </row>
    <row r="891" spans="1:10" ht="23.4" x14ac:dyDescent="0.3">
      <c r="A891" s="997"/>
      <c r="B891" s="796"/>
      <c r="C891" s="282" t="s">
        <v>341</v>
      </c>
      <c r="D891" s="440" t="s">
        <v>263</v>
      </c>
      <c r="E891" s="283">
        <v>0</v>
      </c>
      <c r="F891" s="323">
        <f t="shared" si="183"/>
        <v>0</v>
      </c>
      <c r="G891" s="621">
        <v>63.55</v>
      </c>
      <c r="H891" s="611">
        <f t="shared" si="185"/>
        <v>0</v>
      </c>
      <c r="I891" s="614">
        <f t="shared" si="184"/>
        <v>0</v>
      </c>
      <c r="J891" s="379"/>
    </row>
    <row r="892" spans="1:10" ht="23.4" x14ac:dyDescent="0.3">
      <c r="A892" s="997"/>
      <c r="B892" s="796"/>
      <c r="C892" s="282" t="s">
        <v>306</v>
      </c>
      <c r="D892" s="440" t="s">
        <v>263</v>
      </c>
      <c r="E892" s="283">
        <f>18480+3360+10080+21840+6720</f>
        <v>60480</v>
      </c>
      <c r="F892" s="323">
        <f t="shared" si="183"/>
        <v>281832</v>
      </c>
      <c r="G892" s="621">
        <v>71.44</v>
      </c>
      <c r="H892" s="611">
        <f t="shared" si="185"/>
        <v>4320691.2</v>
      </c>
      <c r="I892" s="614">
        <f t="shared" si="184"/>
        <v>20134078.079999998</v>
      </c>
      <c r="J892" s="379"/>
    </row>
    <row r="893" spans="1:10" ht="23.4" x14ac:dyDescent="0.3">
      <c r="A893" s="997"/>
      <c r="B893" s="796"/>
      <c r="C893" s="282" t="s">
        <v>307</v>
      </c>
      <c r="D893" s="440" t="s">
        <v>263</v>
      </c>
      <c r="E893" s="283">
        <v>0</v>
      </c>
      <c r="F893" s="323">
        <f t="shared" si="183"/>
        <v>0</v>
      </c>
      <c r="G893" s="621">
        <v>36.5</v>
      </c>
      <c r="H893" s="611">
        <f t="shared" si="185"/>
        <v>0</v>
      </c>
      <c r="I893" s="614">
        <f t="shared" si="184"/>
        <v>0</v>
      </c>
      <c r="J893" s="379"/>
    </row>
    <row r="894" spans="1:10" ht="23.4" x14ac:dyDescent="0.3">
      <c r="A894" s="997"/>
      <c r="B894" s="796"/>
      <c r="C894" s="282" t="s">
        <v>316</v>
      </c>
      <c r="D894" s="440" t="s">
        <v>263</v>
      </c>
      <c r="E894" s="283">
        <v>0</v>
      </c>
      <c r="F894" s="323">
        <f t="shared" si="183"/>
        <v>0</v>
      </c>
      <c r="G894" s="621">
        <v>320.35000000000002</v>
      </c>
      <c r="H894" s="611">
        <f t="shared" si="185"/>
        <v>0</v>
      </c>
      <c r="I894" s="614">
        <f t="shared" si="184"/>
        <v>0</v>
      </c>
      <c r="J894" s="379"/>
    </row>
    <row r="895" spans="1:10" ht="23.4" x14ac:dyDescent="0.3">
      <c r="A895" s="997"/>
      <c r="B895" s="796"/>
      <c r="C895" s="282" t="s">
        <v>333</v>
      </c>
      <c r="D895" s="440" t="s">
        <v>263</v>
      </c>
      <c r="E895" s="283">
        <v>0</v>
      </c>
      <c r="F895" s="323">
        <f t="shared" si="183"/>
        <v>0</v>
      </c>
      <c r="G895" s="621">
        <v>434.41</v>
      </c>
      <c r="H895" s="611">
        <f t="shared" si="185"/>
        <v>0</v>
      </c>
      <c r="I895" s="614">
        <f t="shared" si="184"/>
        <v>0</v>
      </c>
      <c r="J895" s="379"/>
    </row>
    <row r="896" spans="1:10" ht="23.4" x14ac:dyDescent="0.3">
      <c r="A896" s="997"/>
      <c r="B896" s="796"/>
      <c r="C896" s="282" t="s">
        <v>313</v>
      </c>
      <c r="D896" s="440" t="s">
        <v>263</v>
      </c>
      <c r="E896" s="283">
        <v>0</v>
      </c>
      <c r="F896" s="323">
        <f t="shared" si="183"/>
        <v>5</v>
      </c>
      <c r="G896" s="621">
        <v>29690</v>
      </c>
      <c r="H896" s="611">
        <f t="shared" si="185"/>
        <v>0</v>
      </c>
      <c r="I896" s="614">
        <f t="shared" si="184"/>
        <v>148450</v>
      </c>
      <c r="J896" s="379"/>
    </row>
    <row r="897" spans="1:10" ht="23.4" x14ac:dyDescent="0.3">
      <c r="A897" s="997"/>
      <c r="B897" s="796"/>
      <c r="C897" s="282" t="s">
        <v>313</v>
      </c>
      <c r="D897" s="440" t="s">
        <v>263</v>
      </c>
      <c r="E897" s="283">
        <v>0</v>
      </c>
      <c r="F897" s="323">
        <f t="shared" si="183"/>
        <v>2</v>
      </c>
      <c r="G897" s="621">
        <v>26445</v>
      </c>
      <c r="H897" s="611">
        <f t="shared" si="185"/>
        <v>0</v>
      </c>
      <c r="I897" s="614">
        <f t="shared" si="184"/>
        <v>52890</v>
      </c>
      <c r="J897" s="379"/>
    </row>
    <row r="898" spans="1:10" ht="23.4" x14ac:dyDescent="0.3">
      <c r="A898" s="997"/>
      <c r="B898" s="796"/>
      <c r="C898" s="282" t="s">
        <v>354</v>
      </c>
      <c r="D898" s="440" t="s">
        <v>401</v>
      </c>
      <c r="E898" s="283">
        <v>0</v>
      </c>
      <c r="F898" s="323">
        <f t="shared" si="183"/>
        <v>1998</v>
      </c>
      <c r="G898" s="621">
        <v>50</v>
      </c>
      <c r="H898" s="611">
        <f t="shared" si="185"/>
        <v>0</v>
      </c>
      <c r="I898" s="614">
        <f t="shared" si="184"/>
        <v>99900</v>
      </c>
      <c r="J898" s="379"/>
    </row>
    <row r="899" spans="1:10" ht="23.4" x14ac:dyDescent="0.3">
      <c r="A899" s="997"/>
      <c r="B899" s="796"/>
      <c r="C899" s="282" t="s">
        <v>365</v>
      </c>
      <c r="D899" s="440" t="s">
        <v>350</v>
      </c>
      <c r="E899" s="283">
        <v>0</v>
      </c>
      <c r="F899" s="323">
        <f t="shared" si="183"/>
        <v>0</v>
      </c>
      <c r="G899" s="621">
        <v>309.88</v>
      </c>
      <c r="H899" s="611">
        <f t="shared" si="185"/>
        <v>0</v>
      </c>
      <c r="I899" s="614">
        <f t="shared" si="184"/>
        <v>0</v>
      </c>
      <c r="J899" s="379"/>
    </row>
    <row r="900" spans="1:10" ht="23.4" x14ac:dyDescent="0.3">
      <c r="A900" s="997"/>
      <c r="B900" s="796"/>
      <c r="C900" s="282" t="s">
        <v>366</v>
      </c>
      <c r="D900" s="440" t="s">
        <v>263</v>
      </c>
      <c r="E900" s="283">
        <v>0</v>
      </c>
      <c r="F900" s="323">
        <f t="shared" si="183"/>
        <v>0</v>
      </c>
      <c r="G900" s="621">
        <v>53.86</v>
      </c>
      <c r="H900" s="611">
        <f t="shared" si="185"/>
        <v>0</v>
      </c>
      <c r="I900" s="614">
        <f t="shared" si="184"/>
        <v>0</v>
      </c>
      <c r="J900" s="379"/>
    </row>
    <row r="901" spans="1:10" ht="23.4" x14ac:dyDescent="0.3">
      <c r="A901" s="997"/>
      <c r="B901" s="796"/>
      <c r="C901" s="282" t="s">
        <v>386</v>
      </c>
      <c r="D901" s="440" t="s">
        <v>387</v>
      </c>
      <c r="E901" s="283">
        <v>0</v>
      </c>
      <c r="F901" s="323">
        <f t="shared" si="183"/>
        <v>0</v>
      </c>
      <c r="G901" s="621">
        <v>57.64</v>
      </c>
      <c r="H901" s="611">
        <f t="shared" si="185"/>
        <v>0</v>
      </c>
      <c r="I901" s="614">
        <f t="shared" si="184"/>
        <v>0</v>
      </c>
      <c r="J901" s="379"/>
    </row>
    <row r="902" spans="1:10" ht="23.4" x14ac:dyDescent="0.3">
      <c r="A902" s="997"/>
      <c r="B902" s="796"/>
      <c r="C902" s="282" t="s">
        <v>388</v>
      </c>
      <c r="D902" s="440" t="s">
        <v>389</v>
      </c>
      <c r="E902" s="283">
        <v>0</v>
      </c>
      <c r="F902" s="284">
        <f t="shared" si="183"/>
        <v>960</v>
      </c>
      <c r="G902" s="621">
        <v>434.41</v>
      </c>
      <c r="H902" s="611">
        <f t="shared" si="185"/>
        <v>0</v>
      </c>
      <c r="I902" s="614">
        <f t="shared" si="184"/>
        <v>417033.60000000003</v>
      </c>
      <c r="J902" s="379"/>
    </row>
    <row r="903" spans="1:10" ht="23.4" x14ac:dyDescent="0.3">
      <c r="A903" s="997"/>
      <c r="B903" s="796"/>
      <c r="C903" s="282" t="s">
        <v>419</v>
      </c>
      <c r="D903" s="440" t="s">
        <v>263</v>
      </c>
      <c r="E903" s="283">
        <v>0</v>
      </c>
      <c r="F903" s="284">
        <f t="shared" si="183"/>
        <v>7480</v>
      </c>
      <c r="G903" s="621">
        <v>624.26</v>
      </c>
      <c r="H903" s="611">
        <f t="shared" si="185"/>
        <v>0</v>
      </c>
      <c r="I903" s="614">
        <f t="shared" si="184"/>
        <v>4669464.8</v>
      </c>
      <c r="J903" s="379"/>
    </row>
    <row r="904" spans="1:10" ht="23.4" x14ac:dyDescent="0.3">
      <c r="A904" s="997"/>
      <c r="B904" s="796"/>
      <c r="C904" s="282" t="s">
        <v>390</v>
      </c>
      <c r="D904" s="440" t="s">
        <v>389</v>
      </c>
      <c r="E904" s="283">
        <v>0</v>
      </c>
      <c r="F904" s="323">
        <f t="shared" si="183"/>
        <v>0</v>
      </c>
      <c r="G904" s="621">
        <v>63.55</v>
      </c>
      <c r="H904" s="611">
        <f t="shared" si="185"/>
        <v>0</v>
      </c>
      <c r="I904" s="614">
        <f t="shared" si="184"/>
        <v>0</v>
      </c>
      <c r="J904" s="379"/>
    </row>
    <row r="905" spans="1:10" ht="23.4" x14ac:dyDescent="0.3">
      <c r="A905" s="997"/>
      <c r="B905" s="796"/>
      <c r="C905" s="282" t="s">
        <v>391</v>
      </c>
      <c r="D905" s="440" t="s">
        <v>389</v>
      </c>
      <c r="E905" s="283">
        <v>0</v>
      </c>
      <c r="F905" s="323">
        <f t="shared" si="183"/>
        <v>0</v>
      </c>
      <c r="G905" s="621">
        <v>53.86</v>
      </c>
      <c r="H905" s="611">
        <f t="shared" si="185"/>
        <v>0</v>
      </c>
      <c r="I905" s="614">
        <f t="shared" si="184"/>
        <v>0</v>
      </c>
      <c r="J905" s="379"/>
    </row>
    <row r="906" spans="1:10" ht="23.4" x14ac:dyDescent="0.3">
      <c r="A906" s="997"/>
      <c r="B906" s="796"/>
      <c r="C906" s="282" t="s">
        <v>432</v>
      </c>
      <c r="D906" s="440" t="s">
        <v>401</v>
      </c>
      <c r="E906" s="283">
        <v>0</v>
      </c>
      <c r="F906" s="323">
        <f t="shared" si="183"/>
        <v>414</v>
      </c>
      <c r="G906" s="621">
        <v>45</v>
      </c>
      <c r="H906" s="611">
        <f t="shared" si="185"/>
        <v>0</v>
      </c>
      <c r="I906" s="614">
        <f t="shared" si="184"/>
        <v>18630</v>
      </c>
      <c r="J906" s="379"/>
    </row>
    <row r="907" spans="1:10" ht="23.4" x14ac:dyDescent="0.3">
      <c r="A907" s="997"/>
      <c r="B907" s="796"/>
      <c r="C907" s="282" t="s">
        <v>313</v>
      </c>
      <c r="D907" s="440"/>
      <c r="E907" s="283">
        <v>0</v>
      </c>
      <c r="F907" s="323">
        <f t="shared" si="183"/>
        <v>1</v>
      </c>
      <c r="G907" s="621">
        <v>39450</v>
      </c>
      <c r="H907" s="611">
        <f t="shared" si="185"/>
        <v>0</v>
      </c>
      <c r="I907" s="614">
        <f t="shared" si="184"/>
        <v>39450</v>
      </c>
      <c r="J907" s="379"/>
    </row>
    <row r="908" spans="1:10" ht="24" thickBot="1" x14ac:dyDescent="0.35">
      <c r="A908" s="997"/>
      <c r="B908" s="796"/>
      <c r="C908" s="282" t="s">
        <v>388</v>
      </c>
      <c r="D908" s="440" t="s">
        <v>103</v>
      </c>
      <c r="E908" s="283">
        <v>0</v>
      </c>
      <c r="F908" s="323">
        <f t="shared" si="183"/>
        <v>0</v>
      </c>
      <c r="G908" s="621">
        <v>434.41</v>
      </c>
      <c r="H908" s="611">
        <f t="shared" si="185"/>
        <v>0</v>
      </c>
      <c r="I908" s="614">
        <f t="shared" si="184"/>
        <v>0</v>
      </c>
      <c r="J908" s="379"/>
    </row>
    <row r="909" spans="1:10" ht="24" thickBot="1" x14ac:dyDescent="0.35">
      <c r="A909" s="998"/>
      <c r="B909" s="992" t="s">
        <v>299</v>
      </c>
      <c r="C909" s="993"/>
      <c r="D909" s="798"/>
      <c r="E909" s="332"/>
      <c r="F909" s="333"/>
      <c r="G909" s="332"/>
      <c r="H909" s="608">
        <f>SUM(H889:H908)</f>
        <v>4595904</v>
      </c>
      <c r="I909" s="597">
        <f>SUM(I889:I908)</f>
        <v>27919205.280000001</v>
      </c>
      <c r="J909" s="378"/>
    </row>
    <row r="910" spans="1:10" ht="24" thickBot="1" x14ac:dyDescent="0.35">
      <c r="A910" s="801"/>
      <c r="B910" s="443"/>
      <c r="C910" s="282"/>
      <c r="D910" s="440"/>
      <c r="E910" s="283"/>
      <c r="F910" s="284"/>
      <c r="G910" s="340"/>
      <c r="H910" s="607"/>
      <c r="I910" s="285"/>
      <c r="J910" s="379"/>
    </row>
    <row r="911" spans="1:10" ht="24" thickBot="1" x14ac:dyDescent="0.35">
      <c r="A911" s="801"/>
      <c r="B911" s="992" t="s">
        <v>243</v>
      </c>
      <c r="C911" s="993"/>
      <c r="D911" s="794"/>
      <c r="E911" s="332"/>
      <c r="F911" s="333"/>
      <c r="G911" s="332"/>
      <c r="H911" s="605"/>
      <c r="I911" s="330"/>
      <c r="J911" s="355"/>
    </row>
    <row r="912" spans="1:10" ht="24.6" thickBot="1" x14ac:dyDescent="0.35">
      <c r="A912" s="325"/>
      <c r="B912" s="994" t="s">
        <v>183</v>
      </c>
      <c r="C912" s="995"/>
      <c r="D912" s="795"/>
      <c r="E912" s="380"/>
      <c r="F912" s="380"/>
      <c r="G912" s="380"/>
      <c r="H912" s="380"/>
      <c r="I912" s="380">
        <f>+I909+I888+I867</f>
        <v>78600417.859999999</v>
      </c>
      <c r="J912" s="381"/>
    </row>
    <row r="913" spans="1:10" ht="23.4" x14ac:dyDescent="0.3">
      <c r="A913" s="935" t="s">
        <v>1</v>
      </c>
      <c r="B913" s="938" t="s">
        <v>2</v>
      </c>
      <c r="C913" s="1001" t="s">
        <v>3</v>
      </c>
      <c r="D913" s="1005" t="s">
        <v>93</v>
      </c>
      <c r="E913" s="1008">
        <v>44517</v>
      </c>
      <c r="F913" s="945"/>
      <c r="G913" s="945"/>
      <c r="H913" s="945"/>
      <c r="I913" s="945"/>
      <c r="J913" s="946"/>
    </row>
    <row r="914" spans="1:10" ht="23.4" x14ac:dyDescent="0.3">
      <c r="A914" s="999"/>
      <c r="B914" s="1000"/>
      <c r="C914" s="1002"/>
      <c r="D914" s="1006"/>
      <c r="E914" s="1009" t="s">
        <v>94</v>
      </c>
      <c r="F914" s="1010"/>
      <c r="G914" s="1009" t="s">
        <v>252</v>
      </c>
      <c r="H914" s="1011"/>
      <c r="I914" s="1011"/>
      <c r="J914" s="1010"/>
    </row>
    <row r="915" spans="1:10" x14ac:dyDescent="0.3">
      <c r="A915" s="936"/>
      <c r="B915" s="939"/>
      <c r="C915" s="1003"/>
      <c r="D915" s="1006"/>
      <c r="E915" s="947" t="s">
        <v>95</v>
      </c>
      <c r="F915" s="949" t="s">
        <v>96</v>
      </c>
      <c r="G915" s="1012" t="s">
        <v>97</v>
      </c>
      <c r="H915" s="1014" t="s">
        <v>98</v>
      </c>
      <c r="I915" s="1014" t="s">
        <v>98</v>
      </c>
      <c r="J915" s="1016" t="s">
        <v>12</v>
      </c>
    </row>
    <row r="916" spans="1:10" ht="14.4" thickBot="1" x14ac:dyDescent="0.35">
      <c r="A916" s="937"/>
      <c r="B916" s="940"/>
      <c r="C916" s="1004"/>
      <c r="D916" s="1007"/>
      <c r="E916" s="948"/>
      <c r="F916" s="950"/>
      <c r="G916" s="1013"/>
      <c r="H916" s="1015"/>
      <c r="I916" s="1015"/>
      <c r="J916" s="1017"/>
    </row>
    <row r="917" spans="1:10" ht="23.4" x14ac:dyDescent="0.3">
      <c r="A917" s="996" t="s">
        <v>111</v>
      </c>
      <c r="B917" s="445"/>
      <c r="C917" s="592" t="s">
        <v>300</v>
      </c>
      <c r="D917" s="449" t="s">
        <v>292</v>
      </c>
      <c r="E917" s="273">
        <v>0</v>
      </c>
      <c r="F917" s="441">
        <f>E917+F835</f>
        <v>0</v>
      </c>
      <c r="G917" s="593">
        <v>111.09</v>
      </c>
      <c r="H917" s="609">
        <f t="shared" ref="H917:H930" si="186">E917*G917</f>
        <v>0</v>
      </c>
      <c r="I917" s="612">
        <f>+G917*F917</f>
        <v>0</v>
      </c>
      <c r="J917" s="357"/>
    </row>
    <row r="918" spans="1:10" ht="23.4" x14ac:dyDescent="0.3">
      <c r="A918" s="997"/>
      <c r="B918" s="444"/>
      <c r="C918" s="448" t="s">
        <v>293</v>
      </c>
      <c r="D918" s="447" t="s">
        <v>294</v>
      </c>
      <c r="E918" s="279">
        <v>0</v>
      </c>
      <c r="F918" s="441">
        <f t="shared" ref="F918:F930" si="187">E918+F836</f>
        <v>0</v>
      </c>
      <c r="G918" s="594">
        <v>11</v>
      </c>
      <c r="H918" s="610">
        <f t="shared" si="186"/>
        <v>0</v>
      </c>
      <c r="I918" s="613">
        <f>+G918*F918</f>
        <v>0</v>
      </c>
      <c r="J918" s="358"/>
    </row>
    <row r="919" spans="1:10" ht="23.4" x14ac:dyDescent="0.3">
      <c r="A919" s="997"/>
      <c r="B919" s="444"/>
      <c r="C919" s="448" t="s">
        <v>332</v>
      </c>
      <c r="D919" s="447" t="s">
        <v>466</v>
      </c>
      <c r="E919" s="279">
        <v>640</v>
      </c>
      <c r="F919" s="441">
        <f t="shared" si="187"/>
        <v>640</v>
      </c>
      <c r="G919" s="594">
        <v>139.04</v>
      </c>
      <c r="H919" s="610">
        <f t="shared" si="186"/>
        <v>88985.599999999991</v>
      </c>
      <c r="I919" s="613">
        <f t="shared" ref="I919:I930" si="188">+G919*F919</f>
        <v>88985.599999999991</v>
      </c>
      <c r="J919" s="358"/>
    </row>
    <row r="920" spans="1:10" ht="23.4" x14ac:dyDescent="0.3">
      <c r="A920" s="997"/>
      <c r="B920" s="444"/>
      <c r="C920" s="448" t="s">
        <v>449</v>
      </c>
      <c r="D920" s="447" t="s">
        <v>450</v>
      </c>
      <c r="E920" s="279">
        <v>24480</v>
      </c>
      <c r="F920" s="441">
        <f t="shared" si="187"/>
        <v>336600</v>
      </c>
      <c r="G920" s="594">
        <v>20.5</v>
      </c>
      <c r="H920" s="610">
        <f t="shared" si="186"/>
        <v>501840</v>
      </c>
      <c r="I920" s="613">
        <f t="shared" si="188"/>
        <v>6900300</v>
      </c>
      <c r="J920" s="358"/>
    </row>
    <row r="921" spans="1:10" ht="23.4" x14ac:dyDescent="0.3">
      <c r="A921" s="997"/>
      <c r="B921" s="444"/>
      <c r="C921" s="448" t="s">
        <v>323</v>
      </c>
      <c r="D921" s="447" t="s">
        <v>192</v>
      </c>
      <c r="E921" s="279">
        <v>0</v>
      </c>
      <c r="F921" s="441">
        <f t="shared" si="187"/>
        <v>152064</v>
      </c>
      <c r="G921" s="594">
        <v>14.79</v>
      </c>
      <c r="H921" s="610">
        <f t="shared" si="186"/>
        <v>0</v>
      </c>
      <c r="I921" s="613">
        <f t="shared" si="188"/>
        <v>2249026.5600000001</v>
      </c>
      <c r="J921" s="358"/>
    </row>
    <row r="922" spans="1:10" ht="23.4" x14ac:dyDescent="0.3">
      <c r="A922" s="997"/>
      <c r="B922" s="444"/>
      <c r="C922" s="448" t="s">
        <v>332</v>
      </c>
      <c r="D922" s="447" t="s">
        <v>294</v>
      </c>
      <c r="E922" s="279">
        <v>0</v>
      </c>
      <c r="F922" s="441">
        <f t="shared" si="187"/>
        <v>960</v>
      </c>
      <c r="G922" s="594">
        <v>139.04</v>
      </c>
      <c r="H922" s="610">
        <f t="shared" si="186"/>
        <v>0</v>
      </c>
      <c r="I922" s="613">
        <f t="shared" si="188"/>
        <v>133478.39999999999</v>
      </c>
      <c r="J922" s="358"/>
    </row>
    <row r="923" spans="1:10" ht="23.4" x14ac:dyDescent="0.3">
      <c r="A923" s="997"/>
      <c r="B923" s="444"/>
      <c r="C923" s="448" t="s">
        <v>384</v>
      </c>
      <c r="D923" s="623" t="s">
        <v>447</v>
      </c>
      <c r="E923" s="279">
        <v>0</v>
      </c>
      <c r="F923" s="441">
        <f t="shared" si="187"/>
        <v>99364</v>
      </c>
      <c r="G923" s="594">
        <v>20.5</v>
      </c>
      <c r="H923" s="610">
        <f t="shared" si="186"/>
        <v>0</v>
      </c>
      <c r="I923" s="613">
        <f t="shared" si="188"/>
        <v>2036962</v>
      </c>
      <c r="J923" s="358"/>
    </row>
    <row r="924" spans="1:10" ht="23.4" x14ac:dyDescent="0.3">
      <c r="A924" s="997"/>
      <c r="B924" s="444"/>
      <c r="C924" s="448" t="s">
        <v>362</v>
      </c>
      <c r="D924" s="623" t="s">
        <v>294</v>
      </c>
      <c r="E924" s="279">
        <v>0</v>
      </c>
      <c r="F924" s="441">
        <f t="shared" si="187"/>
        <v>16524</v>
      </c>
      <c r="G924" s="594">
        <v>18.84</v>
      </c>
      <c r="H924" s="610">
        <f t="shared" si="186"/>
        <v>0</v>
      </c>
      <c r="I924" s="613">
        <f t="shared" si="188"/>
        <v>311312.15999999997</v>
      </c>
      <c r="J924" s="358"/>
    </row>
    <row r="925" spans="1:10" ht="23.4" x14ac:dyDescent="0.3">
      <c r="A925" s="997"/>
      <c r="B925" s="444"/>
      <c r="C925" s="448" t="s">
        <v>376</v>
      </c>
      <c r="D925" s="623" t="s">
        <v>257</v>
      </c>
      <c r="E925" s="279">
        <v>0</v>
      </c>
      <c r="F925" s="441">
        <f t="shared" si="187"/>
        <v>351143</v>
      </c>
      <c r="G925" s="594">
        <v>21.18</v>
      </c>
      <c r="H925" s="610">
        <f t="shared" si="186"/>
        <v>0</v>
      </c>
      <c r="I925" s="613">
        <f t="shared" si="188"/>
        <v>7437208.7400000002</v>
      </c>
      <c r="J925" s="358"/>
    </row>
    <row r="926" spans="1:10" ht="23.4" x14ac:dyDescent="0.3">
      <c r="A926" s="997"/>
      <c r="B926" s="444"/>
      <c r="C926" s="448" t="s">
        <v>378</v>
      </c>
      <c r="D926" s="623" t="s">
        <v>379</v>
      </c>
      <c r="E926" s="279">
        <v>0</v>
      </c>
      <c r="F926" s="441">
        <f t="shared" si="187"/>
        <v>65690</v>
      </c>
      <c r="G926" s="594">
        <v>21.28</v>
      </c>
      <c r="H926" s="610">
        <f t="shared" si="186"/>
        <v>0</v>
      </c>
      <c r="I926" s="613">
        <f t="shared" si="188"/>
        <v>1397883.2000000002</v>
      </c>
      <c r="J926" s="358"/>
    </row>
    <row r="927" spans="1:10" ht="23.4" x14ac:dyDescent="0.3">
      <c r="A927" s="997"/>
      <c r="B927" s="444"/>
      <c r="C927" s="448" t="s">
        <v>332</v>
      </c>
      <c r="D927" s="623" t="s">
        <v>447</v>
      </c>
      <c r="E927" s="279">
        <v>0</v>
      </c>
      <c r="F927" s="441">
        <f t="shared" si="187"/>
        <v>9920</v>
      </c>
      <c r="G927" s="594">
        <v>139.04</v>
      </c>
      <c r="H927" s="610">
        <f t="shared" si="186"/>
        <v>0</v>
      </c>
      <c r="I927" s="613">
        <f t="shared" si="188"/>
        <v>1379276.7999999998</v>
      </c>
      <c r="J927" s="358"/>
    </row>
    <row r="928" spans="1:10" ht="23.4" x14ac:dyDescent="0.3">
      <c r="A928" s="997"/>
      <c r="B928" s="444"/>
      <c r="C928" s="592" t="s">
        <v>383</v>
      </c>
      <c r="D928" s="623" t="s">
        <v>294</v>
      </c>
      <c r="E928" s="279">
        <v>0</v>
      </c>
      <c r="F928" s="441">
        <f t="shared" si="187"/>
        <v>0</v>
      </c>
      <c r="G928" s="594">
        <v>109.77</v>
      </c>
      <c r="H928" s="610">
        <f t="shared" si="186"/>
        <v>0</v>
      </c>
      <c r="I928" s="613">
        <f t="shared" si="188"/>
        <v>0</v>
      </c>
      <c r="J928" s="358"/>
    </row>
    <row r="929" spans="1:10" ht="23.4" x14ac:dyDescent="0.3">
      <c r="A929" s="997"/>
      <c r="B929" s="444"/>
      <c r="C929" s="448" t="s">
        <v>384</v>
      </c>
      <c r="D929" s="623" t="s">
        <v>206</v>
      </c>
      <c r="E929" s="279">
        <v>0</v>
      </c>
      <c r="F929" s="441">
        <f t="shared" si="187"/>
        <v>0</v>
      </c>
      <c r="G929" s="594">
        <v>21.28</v>
      </c>
      <c r="H929" s="610">
        <f t="shared" si="186"/>
        <v>0</v>
      </c>
      <c r="I929" s="613">
        <f t="shared" si="188"/>
        <v>0</v>
      </c>
      <c r="J929" s="358"/>
    </row>
    <row r="930" spans="1:10" ht="24" thickBot="1" x14ac:dyDescent="0.35">
      <c r="A930" s="997"/>
      <c r="B930" s="444"/>
      <c r="C930" s="448" t="s">
        <v>400</v>
      </c>
      <c r="D930" s="450" t="s">
        <v>193</v>
      </c>
      <c r="E930" s="279">
        <v>0</v>
      </c>
      <c r="F930" s="441">
        <f t="shared" si="187"/>
        <v>1186</v>
      </c>
      <c r="G930" s="594">
        <v>36.44</v>
      </c>
      <c r="H930" s="610">
        <f t="shared" si="186"/>
        <v>0</v>
      </c>
      <c r="I930" s="613">
        <f t="shared" si="188"/>
        <v>43217.84</v>
      </c>
      <c r="J930" s="358"/>
    </row>
    <row r="931" spans="1:10" ht="24" thickBot="1" x14ac:dyDescent="0.35">
      <c r="A931" s="997"/>
      <c r="B931" s="992" t="s">
        <v>295</v>
      </c>
      <c r="C931" s="993"/>
      <c r="D931" s="806"/>
      <c r="E931" s="332"/>
      <c r="F931" s="333"/>
      <c r="G931" s="332"/>
      <c r="H931" s="605">
        <f>SUM(H917:H930)</f>
        <v>590825.6</v>
      </c>
      <c r="I931" s="597">
        <f>SUM(I917:I930)</f>
        <v>21977651.300000001</v>
      </c>
      <c r="J931" s="355"/>
    </row>
    <row r="932" spans="1:10" ht="23.4" x14ac:dyDescent="0.3">
      <c r="A932" s="997"/>
      <c r="B932" s="804"/>
      <c r="C932" s="282" t="s">
        <v>301</v>
      </c>
      <c r="D932" s="440" t="s">
        <v>263</v>
      </c>
      <c r="E932" s="283">
        <v>1750</v>
      </c>
      <c r="F932" s="323">
        <f t="shared" ref="F932:F942" si="189">E932+F850</f>
        <v>66500</v>
      </c>
      <c r="G932" s="595">
        <v>160.44999999999999</v>
      </c>
      <c r="H932" s="611">
        <f t="shared" ref="H932:H942" si="190">E932*G932</f>
        <v>280787.5</v>
      </c>
      <c r="I932" s="614">
        <f t="shared" ref="I932:I942" si="191">+G932*F932</f>
        <v>10669925</v>
      </c>
      <c r="J932" s="379"/>
    </row>
    <row r="933" spans="1:10" ht="23.4" x14ac:dyDescent="0.3">
      <c r="A933" s="997"/>
      <c r="B933" s="804"/>
      <c r="C933" s="282" t="s">
        <v>317</v>
      </c>
      <c r="D933" s="440" t="s">
        <v>263</v>
      </c>
      <c r="E933" s="283">
        <v>0</v>
      </c>
      <c r="F933" s="323">
        <f t="shared" si="189"/>
        <v>1500</v>
      </c>
      <c r="G933" s="595">
        <v>160.44999999999999</v>
      </c>
      <c r="H933" s="611">
        <f t="shared" si="190"/>
        <v>0</v>
      </c>
      <c r="I933" s="614">
        <f t="shared" si="191"/>
        <v>240674.99999999997</v>
      </c>
      <c r="J933" s="379"/>
    </row>
    <row r="934" spans="1:10" ht="23.4" x14ac:dyDescent="0.3">
      <c r="A934" s="997"/>
      <c r="B934" s="804"/>
      <c r="C934" s="282" t="s">
        <v>318</v>
      </c>
      <c r="D934" s="440" t="s">
        <v>263</v>
      </c>
      <c r="E934" s="283">
        <v>0</v>
      </c>
      <c r="F934" s="323">
        <f t="shared" si="189"/>
        <v>3375</v>
      </c>
      <c r="G934" s="595">
        <v>160.44999999999999</v>
      </c>
      <c r="H934" s="611">
        <f t="shared" si="190"/>
        <v>0</v>
      </c>
      <c r="I934" s="614">
        <f t="shared" si="191"/>
        <v>541518.75</v>
      </c>
      <c r="J934" s="379"/>
    </row>
    <row r="935" spans="1:10" ht="23.4" x14ac:dyDescent="0.3">
      <c r="A935" s="997"/>
      <c r="B935" s="804"/>
      <c r="C935" s="282" t="s">
        <v>321</v>
      </c>
      <c r="D935" s="440" t="s">
        <v>100</v>
      </c>
      <c r="E935" s="283">
        <v>0</v>
      </c>
      <c r="F935" s="323">
        <f t="shared" si="189"/>
        <v>0</v>
      </c>
      <c r="G935" s="595">
        <v>27</v>
      </c>
      <c r="H935" s="611">
        <f t="shared" si="190"/>
        <v>0</v>
      </c>
      <c r="I935" s="614">
        <f t="shared" si="191"/>
        <v>0</v>
      </c>
      <c r="J935" s="379"/>
    </row>
    <row r="936" spans="1:10" ht="23.4" x14ac:dyDescent="0.3">
      <c r="A936" s="997"/>
      <c r="B936" s="804"/>
      <c r="C936" s="282" t="s">
        <v>321</v>
      </c>
      <c r="D936" s="440" t="s">
        <v>329</v>
      </c>
      <c r="E936" s="283">
        <v>0</v>
      </c>
      <c r="F936" s="323">
        <f t="shared" si="189"/>
        <v>0</v>
      </c>
      <c r="G936" s="595">
        <v>27.5</v>
      </c>
      <c r="H936" s="611">
        <f t="shared" si="190"/>
        <v>0</v>
      </c>
      <c r="I936" s="614">
        <f t="shared" si="191"/>
        <v>0</v>
      </c>
      <c r="J936" s="379"/>
    </row>
    <row r="937" spans="1:10" ht="23.4" x14ac:dyDescent="0.3">
      <c r="A937" s="997"/>
      <c r="B937" s="804"/>
      <c r="C937" s="282" t="s">
        <v>307</v>
      </c>
      <c r="D937" s="440" t="s">
        <v>329</v>
      </c>
      <c r="E937" s="283">
        <v>0</v>
      </c>
      <c r="F937" s="323">
        <f t="shared" si="189"/>
        <v>0</v>
      </c>
      <c r="G937" s="595">
        <v>34.5</v>
      </c>
      <c r="H937" s="611">
        <f t="shared" si="190"/>
        <v>0</v>
      </c>
      <c r="I937" s="614">
        <f t="shared" si="191"/>
        <v>0</v>
      </c>
      <c r="J937" s="379"/>
    </row>
    <row r="938" spans="1:10" ht="23.4" x14ac:dyDescent="0.3">
      <c r="A938" s="997"/>
      <c r="B938" s="804"/>
      <c r="C938" s="282" t="s">
        <v>342</v>
      </c>
      <c r="D938" s="440" t="s">
        <v>263</v>
      </c>
      <c r="E938" s="283">
        <v>0</v>
      </c>
      <c r="F938" s="323">
        <f t="shared" si="189"/>
        <v>12750</v>
      </c>
      <c r="G938" s="595">
        <v>160.44999999999999</v>
      </c>
      <c r="H938" s="611">
        <f t="shared" si="190"/>
        <v>0</v>
      </c>
      <c r="I938" s="614">
        <f t="shared" si="191"/>
        <v>2045737.4999999998</v>
      </c>
      <c r="J938" s="379"/>
    </row>
    <row r="939" spans="1:10" ht="23.4" x14ac:dyDescent="0.3">
      <c r="A939" s="997"/>
      <c r="B939" s="804"/>
      <c r="C939" s="282" t="s">
        <v>438</v>
      </c>
      <c r="D939" s="440" t="s">
        <v>263</v>
      </c>
      <c r="E939" s="283">
        <v>0</v>
      </c>
      <c r="F939" s="323">
        <f t="shared" si="189"/>
        <v>7000</v>
      </c>
      <c r="G939" s="595">
        <v>160.44999999999999</v>
      </c>
      <c r="H939" s="611">
        <f t="shared" si="190"/>
        <v>0</v>
      </c>
      <c r="I939" s="614">
        <f t="shared" si="191"/>
        <v>1123150</v>
      </c>
      <c r="J939" s="379"/>
    </row>
    <row r="940" spans="1:10" ht="23.4" x14ac:dyDescent="0.3">
      <c r="A940" s="997"/>
      <c r="B940" s="804"/>
      <c r="C940" s="282" t="s">
        <v>357</v>
      </c>
      <c r="D940" s="440" t="s">
        <v>263</v>
      </c>
      <c r="E940" s="283">
        <v>7890</v>
      </c>
      <c r="F940" s="323">
        <f t="shared" si="189"/>
        <v>19625</v>
      </c>
      <c r="G940" s="595">
        <v>160.44999999999999</v>
      </c>
      <c r="H940" s="611">
        <f t="shared" si="190"/>
        <v>1265950.5</v>
      </c>
      <c r="I940" s="614">
        <f t="shared" si="191"/>
        <v>3148831.25</v>
      </c>
      <c r="J940" s="379"/>
    </row>
    <row r="941" spans="1:10" ht="23.4" x14ac:dyDescent="0.3">
      <c r="A941" s="997"/>
      <c r="B941" s="804"/>
      <c r="C941" s="282" t="s">
        <v>358</v>
      </c>
      <c r="D941" s="440" t="s">
        <v>263</v>
      </c>
      <c r="E941" s="283">
        <v>3500</v>
      </c>
      <c r="F941" s="323">
        <f t="shared" si="189"/>
        <v>11750</v>
      </c>
      <c r="G941" s="595">
        <v>160.44999999999999</v>
      </c>
      <c r="H941" s="611">
        <f t="shared" si="190"/>
        <v>561575</v>
      </c>
      <c r="I941" s="614">
        <f t="shared" si="191"/>
        <v>1885287.4999999998</v>
      </c>
      <c r="J941" s="379"/>
    </row>
    <row r="942" spans="1:10" ht="24" thickBot="1" x14ac:dyDescent="0.35">
      <c r="A942" s="997"/>
      <c r="B942" s="804"/>
      <c r="C942" s="282" t="s">
        <v>353</v>
      </c>
      <c r="D942" s="440" t="s">
        <v>263</v>
      </c>
      <c r="E942" s="283">
        <v>700</v>
      </c>
      <c r="F942" s="323">
        <f t="shared" si="189"/>
        <v>2200</v>
      </c>
      <c r="G942" s="595">
        <v>160.44999999999999</v>
      </c>
      <c r="H942" s="611">
        <f t="shared" si="190"/>
        <v>112314.99999999999</v>
      </c>
      <c r="I942" s="614">
        <f t="shared" si="191"/>
        <v>352990</v>
      </c>
      <c r="J942" s="379"/>
    </row>
    <row r="943" spans="1:10" ht="24" thickBot="1" x14ac:dyDescent="0.35">
      <c r="A943" s="997"/>
      <c r="B943" s="992" t="s">
        <v>296</v>
      </c>
      <c r="C943" s="993"/>
      <c r="D943" s="806"/>
      <c r="E943" s="332"/>
      <c r="F943" s="333"/>
      <c r="G943" s="332"/>
      <c r="H943" s="605">
        <f>SUM(H932:H942)</f>
        <v>2220628</v>
      </c>
      <c r="I943" s="597">
        <f>SUM(I932:I942)</f>
        <v>20008115</v>
      </c>
      <c r="J943" s="355"/>
    </row>
    <row r="944" spans="1:10" ht="23.4" x14ac:dyDescent="0.3">
      <c r="A944" s="997"/>
      <c r="B944" s="804"/>
      <c r="C944" s="282" t="s">
        <v>303</v>
      </c>
      <c r="D944" s="440"/>
      <c r="E944" s="283">
        <v>0</v>
      </c>
      <c r="F944" s="598">
        <f t="shared" ref="F944:F946" si="192">E944+F862</f>
        <v>0</v>
      </c>
      <c r="G944" s="595">
        <v>10</v>
      </c>
      <c r="H944" s="611">
        <f t="shared" ref="H944:H946" si="193">E944*G944</f>
        <v>0</v>
      </c>
      <c r="I944" s="614">
        <f t="shared" ref="I944" si="194">+G944*F944</f>
        <v>0</v>
      </c>
      <c r="J944" s="379"/>
    </row>
    <row r="945" spans="1:11" ht="23.4" x14ac:dyDescent="0.3">
      <c r="A945" s="997"/>
      <c r="B945" s="804"/>
      <c r="C945" s="282" t="s">
        <v>308</v>
      </c>
      <c r="D945" s="440" t="s">
        <v>309</v>
      </c>
      <c r="E945" s="283">
        <v>0</v>
      </c>
      <c r="F945" s="598">
        <f t="shared" si="192"/>
        <v>9</v>
      </c>
      <c r="G945" s="595">
        <v>2500</v>
      </c>
      <c r="H945" s="611">
        <f t="shared" si="193"/>
        <v>0</v>
      </c>
      <c r="I945" s="614">
        <f>+G945*F945</f>
        <v>22500</v>
      </c>
      <c r="J945" s="379"/>
    </row>
    <row r="946" spans="1:11" ht="24" thickBot="1" x14ac:dyDescent="0.35">
      <c r="A946" s="997"/>
      <c r="B946" s="804"/>
      <c r="C946" s="282" t="s">
        <v>343</v>
      </c>
      <c r="D946" s="440" t="s">
        <v>344</v>
      </c>
      <c r="E946" s="283">
        <v>0</v>
      </c>
      <c r="F946" s="598">
        <f t="shared" si="192"/>
        <v>0</v>
      </c>
      <c r="G946" s="596">
        <v>360</v>
      </c>
      <c r="H946" s="611">
        <f t="shared" si="193"/>
        <v>0</v>
      </c>
      <c r="I946" s="614">
        <f t="shared" ref="I946" si="195">+G946*F946</f>
        <v>0</v>
      </c>
      <c r="J946" s="379"/>
    </row>
    <row r="947" spans="1:11" ht="24" thickBot="1" x14ac:dyDescent="0.35">
      <c r="A947" s="997"/>
      <c r="B947" s="992" t="s">
        <v>302</v>
      </c>
      <c r="C947" s="993"/>
      <c r="D947" s="806"/>
      <c r="E947" s="332"/>
      <c r="F947" s="333"/>
      <c r="G947" s="332"/>
      <c r="H947" s="605">
        <f>SUM(H944:H946)</f>
        <v>0</v>
      </c>
      <c r="I947" s="597">
        <f>SUM(I944:I946)</f>
        <v>22500</v>
      </c>
      <c r="J947" s="379"/>
    </row>
    <row r="948" spans="1:11" ht="24" thickBot="1" x14ac:dyDescent="0.35">
      <c r="A948" s="997"/>
      <c r="B948" s="804"/>
      <c r="C948" s="282"/>
      <c r="D948" s="440"/>
      <c r="E948" s="283"/>
      <c r="F948" s="323"/>
      <c r="G948" s="596"/>
      <c r="H948" s="606"/>
      <c r="I948" s="285">
        <f t="shared" ref="I948" si="196">+G948*F948</f>
        <v>0</v>
      </c>
      <c r="J948" s="379"/>
    </row>
    <row r="949" spans="1:11" ht="24" thickBot="1" x14ac:dyDescent="0.35">
      <c r="A949" s="998"/>
      <c r="B949" s="992" t="s">
        <v>298</v>
      </c>
      <c r="C949" s="993"/>
      <c r="D949" s="802"/>
      <c r="E949" s="332"/>
      <c r="F949" s="333"/>
      <c r="G949" s="332"/>
      <c r="H949" s="597">
        <f>+H943+H931+H947</f>
        <v>2811453.6</v>
      </c>
      <c r="I949" s="597">
        <f>+I943+I931+I947</f>
        <v>42008266.299999997</v>
      </c>
      <c r="J949" s="379"/>
      <c r="K949" s="620"/>
    </row>
    <row r="950" spans="1:11" ht="23.4" x14ac:dyDescent="0.3">
      <c r="A950" s="996" t="s">
        <v>109</v>
      </c>
      <c r="B950" s="804"/>
      <c r="C950" s="282" t="s">
        <v>312</v>
      </c>
      <c r="D950" s="440" t="s">
        <v>193</v>
      </c>
      <c r="E950" s="283">
        <v>0</v>
      </c>
      <c r="F950" s="323">
        <f t="shared" ref="F950:F969" si="197">E950+F868</f>
        <v>7956</v>
      </c>
      <c r="G950" s="621">
        <v>13.25</v>
      </c>
      <c r="H950" s="615">
        <f t="shared" ref="H950:H969" si="198">E950*G950</f>
        <v>0</v>
      </c>
      <c r="I950" s="614">
        <f t="shared" ref="I950:I969" si="199">+G950*F950</f>
        <v>105417</v>
      </c>
      <c r="J950" s="379"/>
    </row>
    <row r="951" spans="1:11" ht="23.4" x14ac:dyDescent="0.3">
      <c r="A951" s="997"/>
      <c r="B951" s="804"/>
      <c r="C951" s="282" t="s">
        <v>313</v>
      </c>
      <c r="D951" s="440"/>
      <c r="E951" s="283">
        <v>0</v>
      </c>
      <c r="F951" s="323">
        <f t="shared" si="197"/>
        <v>1</v>
      </c>
      <c r="G951" s="622">
        <v>10000</v>
      </c>
      <c r="H951" s="615">
        <f t="shared" si="198"/>
        <v>0</v>
      </c>
      <c r="I951" s="614">
        <f t="shared" si="199"/>
        <v>10000</v>
      </c>
      <c r="J951" s="379"/>
    </row>
    <row r="952" spans="1:11" ht="23.4" x14ac:dyDescent="0.3">
      <c r="A952" s="997"/>
      <c r="B952" s="804"/>
      <c r="C952" s="282" t="s">
        <v>313</v>
      </c>
      <c r="D952" s="440"/>
      <c r="E952" s="283">
        <v>0</v>
      </c>
      <c r="F952" s="323">
        <f t="shared" si="197"/>
        <v>0</v>
      </c>
      <c r="G952" s="622">
        <v>18000</v>
      </c>
      <c r="H952" s="615">
        <f t="shared" si="198"/>
        <v>0</v>
      </c>
      <c r="I952" s="614">
        <f t="shared" si="199"/>
        <v>0</v>
      </c>
      <c r="J952" s="379"/>
    </row>
    <row r="953" spans="1:11" ht="23.4" x14ac:dyDescent="0.3">
      <c r="A953" s="997"/>
      <c r="B953" s="804"/>
      <c r="C953" s="282" t="s">
        <v>328</v>
      </c>
      <c r="D953" s="440" t="s">
        <v>193</v>
      </c>
      <c r="E953" s="283">
        <v>0</v>
      </c>
      <c r="F953" s="323">
        <f t="shared" si="197"/>
        <v>0</v>
      </c>
      <c r="G953" s="621">
        <v>24.93</v>
      </c>
      <c r="H953" s="615">
        <f t="shared" si="198"/>
        <v>0</v>
      </c>
      <c r="I953" s="614">
        <f t="shared" si="199"/>
        <v>0</v>
      </c>
      <c r="J953" s="379"/>
    </row>
    <row r="954" spans="1:11" ht="23.4" x14ac:dyDescent="0.3">
      <c r="A954" s="997"/>
      <c r="B954" s="804"/>
      <c r="C954" s="282" t="s">
        <v>335</v>
      </c>
      <c r="D954" s="440" t="s">
        <v>99</v>
      </c>
      <c r="E954" s="283">
        <v>0</v>
      </c>
      <c r="F954" s="323">
        <f t="shared" si="197"/>
        <v>0</v>
      </c>
      <c r="G954" s="621">
        <v>26</v>
      </c>
      <c r="H954" s="615">
        <f t="shared" si="198"/>
        <v>0</v>
      </c>
      <c r="I954" s="614">
        <f t="shared" si="199"/>
        <v>0</v>
      </c>
      <c r="J954" s="379"/>
    </row>
    <row r="955" spans="1:11" ht="23.4" x14ac:dyDescent="0.3">
      <c r="A955" s="997"/>
      <c r="B955" s="804"/>
      <c r="C955" s="282" t="s">
        <v>336</v>
      </c>
      <c r="D955" s="440" t="s">
        <v>193</v>
      </c>
      <c r="E955" s="283">
        <v>0</v>
      </c>
      <c r="F955" s="323">
        <f t="shared" si="197"/>
        <v>0</v>
      </c>
      <c r="G955" s="621">
        <v>25.49</v>
      </c>
      <c r="H955" s="615">
        <f t="shared" si="198"/>
        <v>0</v>
      </c>
      <c r="I955" s="614">
        <f t="shared" si="199"/>
        <v>0</v>
      </c>
      <c r="J955" s="379"/>
    </row>
    <row r="956" spans="1:11" ht="23.4" x14ac:dyDescent="0.3">
      <c r="A956" s="997"/>
      <c r="B956" s="804"/>
      <c r="C956" s="282" t="s">
        <v>337</v>
      </c>
      <c r="D956" s="440" t="s">
        <v>115</v>
      </c>
      <c r="E956" s="283">
        <v>0</v>
      </c>
      <c r="F956" s="323">
        <f t="shared" si="197"/>
        <v>0</v>
      </c>
      <c r="G956" s="621">
        <v>24.93</v>
      </c>
      <c r="H956" s="615">
        <f t="shared" si="198"/>
        <v>0</v>
      </c>
      <c r="I956" s="614">
        <f t="shared" si="199"/>
        <v>0</v>
      </c>
      <c r="J956" s="379"/>
    </row>
    <row r="957" spans="1:11" ht="23.4" x14ac:dyDescent="0.3">
      <c r="A957" s="997"/>
      <c r="B957" s="804"/>
      <c r="C957" s="282" t="s">
        <v>338</v>
      </c>
      <c r="D957" s="440" t="s">
        <v>311</v>
      </c>
      <c r="E957" s="283">
        <v>0</v>
      </c>
      <c r="F957" s="323">
        <f t="shared" si="197"/>
        <v>0</v>
      </c>
      <c r="G957" s="621">
        <v>24.93</v>
      </c>
      <c r="H957" s="615">
        <f t="shared" si="198"/>
        <v>0</v>
      </c>
      <c r="I957" s="614">
        <f t="shared" si="199"/>
        <v>0</v>
      </c>
      <c r="J957" s="379"/>
    </row>
    <row r="958" spans="1:11" ht="23.4" x14ac:dyDescent="0.3">
      <c r="A958" s="997"/>
      <c r="B958" s="804"/>
      <c r="C958" s="282" t="s">
        <v>339</v>
      </c>
      <c r="D958" s="440" t="s">
        <v>99</v>
      </c>
      <c r="E958" s="283">
        <v>0</v>
      </c>
      <c r="F958" s="323">
        <f t="shared" si="197"/>
        <v>0</v>
      </c>
      <c r="G958" s="621">
        <v>20.89</v>
      </c>
      <c r="H958" s="615">
        <f t="shared" si="198"/>
        <v>0</v>
      </c>
      <c r="I958" s="614">
        <f t="shared" si="199"/>
        <v>0</v>
      </c>
      <c r="J958" s="379"/>
    </row>
    <row r="959" spans="1:11" ht="23.4" x14ac:dyDescent="0.3">
      <c r="A959" s="997"/>
      <c r="B959" s="804"/>
      <c r="C959" s="282" t="s">
        <v>445</v>
      </c>
      <c r="D959" s="440" t="s">
        <v>350</v>
      </c>
      <c r="E959" s="283">
        <v>0</v>
      </c>
      <c r="F959" s="323">
        <f t="shared" si="197"/>
        <v>56160</v>
      </c>
      <c r="G959" s="621">
        <v>37.11</v>
      </c>
      <c r="H959" s="615">
        <f t="shared" si="198"/>
        <v>0</v>
      </c>
      <c r="I959" s="614">
        <f t="shared" si="199"/>
        <v>2084097.5999999999</v>
      </c>
      <c r="J959" s="379"/>
    </row>
    <row r="960" spans="1:11" ht="23.4" x14ac:dyDescent="0.3">
      <c r="A960" s="997"/>
      <c r="B960" s="804"/>
      <c r="C960" s="282" t="s">
        <v>446</v>
      </c>
      <c r="D960" s="440" t="s">
        <v>350</v>
      </c>
      <c r="E960" s="283">
        <v>0</v>
      </c>
      <c r="F960" s="323">
        <f t="shared" si="197"/>
        <v>13104</v>
      </c>
      <c r="G960" s="621">
        <v>37.89</v>
      </c>
      <c r="H960" s="615">
        <f t="shared" si="198"/>
        <v>0</v>
      </c>
      <c r="I960" s="614">
        <f t="shared" si="199"/>
        <v>496510.56</v>
      </c>
      <c r="J960" s="379"/>
    </row>
    <row r="961" spans="1:10" ht="23.4" x14ac:dyDescent="0.3">
      <c r="A961" s="997"/>
      <c r="B961" s="804"/>
      <c r="C961" s="282" t="s">
        <v>337</v>
      </c>
      <c r="D961" s="440" t="s">
        <v>310</v>
      </c>
      <c r="E961" s="283">
        <v>0</v>
      </c>
      <c r="F961" s="323">
        <f t="shared" si="197"/>
        <v>0</v>
      </c>
      <c r="G961" s="621">
        <v>24.93</v>
      </c>
      <c r="H961" s="615">
        <f t="shared" si="198"/>
        <v>0</v>
      </c>
      <c r="I961" s="614">
        <f t="shared" si="199"/>
        <v>0</v>
      </c>
      <c r="J961" s="379"/>
    </row>
    <row r="962" spans="1:10" ht="23.4" x14ac:dyDescent="0.3">
      <c r="A962" s="997"/>
      <c r="B962" s="804"/>
      <c r="C962" s="282" t="s">
        <v>338</v>
      </c>
      <c r="D962" s="440" t="s">
        <v>310</v>
      </c>
      <c r="E962" s="283">
        <v>0</v>
      </c>
      <c r="F962" s="323">
        <f t="shared" si="197"/>
        <v>0</v>
      </c>
      <c r="G962" s="621">
        <v>24.93</v>
      </c>
      <c r="H962" s="615">
        <f t="shared" si="198"/>
        <v>0</v>
      </c>
      <c r="I962" s="614">
        <f t="shared" si="199"/>
        <v>0</v>
      </c>
      <c r="J962" s="379"/>
    </row>
    <row r="963" spans="1:10" ht="23.4" x14ac:dyDescent="0.3">
      <c r="A963" s="997"/>
      <c r="B963" s="804"/>
      <c r="C963" s="282" t="s">
        <v>369</v>
      </c>
      <c r="D963" s="440" t="s">
        <v>324</v>
      </c>
      <c r="E963" s="283">
        <v>0</v>
      </c>
      <c r="F963" s="323">
        <f t="shared" si="197"/>
        <v>1872</v>
      </c>
      <c r="G963" s="621">
        <v>34.26</v>
      </c>
      <c r="H963" s="615">
        <f t="shared" si="198"/>
        <v>0</v>
      </c>
      <c r="I963" s="614">
        <f t="shared" si="199"/>
        <v>64134.719999999994</v>
      </c>
      <c r="J963" s="379"/>
    </row>
    <row r="964" spans="1:10" ht="23.4" x14ac:dyDescent="0.3">
      <c r="A964" s="997"/>
      <c r="B964" s="804"/>
      <c r="C964" s="282" t="s">
        <v>385</v>
      </c>
      <c r="D964" s="440" t="s">
        <v>467</v>
      </c>
      <c r="E964" s="283">
        <v>44928</v>
      </c>
      <c r="F964" s="323">
        <f t="shared" si="197"/>
        <v>44928</v>
      </c>
      <c r="G964" s="621">
        <v>37.89</v>
      </c>
      <c r="H964" s="615">
        <f t="shared" si="198"/>
        <v>1702321.92</v>
      </c>
      <c r="I964" s="614">
        <f t="shared" si="199"/>
        <v>1702321.92</v>
      </c>
      <c r="J964" s="379"/>
    </row>
    <row r="965" spans="1:10" ht="23.4" x14ac:dyDescent="0.3">
      <c r="A965" s="997"/>
      <c r="B965" s="804"/>
      <c r="C965" s="282" t="s">
        <v>405</v>
      </c>
      <c r="D965" s="440" t="s">
        <v>192</v>
      </c>
      <c r="E965" s="283">
        <v>0</v>
      </c>
      <c r="F965" s="323">
        <f t="shared" si="197"/>
        <v>0</v>
      </c>
      <c r="G965" s="621">
        <v>20.76</v>
      </c>
      <c r="H965" s="615">
        <f t="shared" si="198"/>
        <v>0</v>
      </c>
      <c r="I965" s="614">
        <f t="shared" si="199"/>
        <v>0</v>
      </c>
      <c r="J965" s="379"/>
    </row>
    <row r="966" spans="1:10" ht="23.4" x14ac:dyDescent="0.3">
      <c r="A966" s="997"/>
      <c r="B966" s="804"/>
      <c r="C966" s="282" t="s">
        <v>338</v>
      </c>
      <c r="D966" s="440" t="s">
        <v>192</v>
      </c>
      <c r="E966" s="283">
        <v>0</v>
      </c>
      <c r="F966" s="323">
        <f t="shared" si="197"/>
        <v>0</v>
      </c>
      <c r="G966" s="621">
        <v>21.22</v>
      </c>
      <c r="H966" s="615">
        <f t="shared" si="198"/>
        <v>0</v>
      </c>
      <c r="I966" s="614">
        <f t="shared" si="199"/>
        <v>0</v>
      </c>
      <c r="J966" s="379"/>
    </row>
    <row r="967" spans="1:10" ht="23.4" x14ac:dyDescent="0.3">
      <c r="A967" s="997"/>
      <c r="B967" s="804"/>
      <c r="C967" s="282" t="s">
        <v>337</v>
      </c>
      <c r="D967" s="440" t="s">
        <v>192</v>
      </c>
      <c r="E967" s="283">
        <v>0</v>
      </c>
      <c r="F967" s="323">
        <f t="shared" si="197"/>
        <v>0</v>
      </c>
      <c r="G967" s="621">
        <v>21.22</v>
      </c>
      <c r="H967" s="615">
        <f t="shared" si="198"/>
        <v>0</v>
      </c>
      <c r="I967" s="614">
        <f t="shared" si="199"/>
        <v>0</v>
      </c>
      <c r="J967" s="379"/>
    </row>
    <row r="968" spans="1:10" ht="23.4" x14ac:dyDescent="0.3">
      <c r="A968" s="997"/>
      <c r="B968" s="804"/>
      <c r="C968" s="282" t="s">
        <v>406</v>
      </c>
      <c r="D968" s="440" t="s">
        <v>344</v>
      </c>
      <c r="E968" s="283">
        <v>0</v>
      </c>
      <c r="F968" s="323">
        <f t="shared" si="197"/>
        <v>0</v>
      </c>
      <c r="G968" s="621">
        <v>10000</v>
      </c>
      <c r="H968" s="615">
        <f t="shared" si="198"/>
        <v>0</v>
      </c>
      <c r="I968" s="614">
        <f t="shared" si="199"/>
        <v>0</v>
      </c>
      <c r="J968" s="379"/>
    </row>
    <row r="969" spans="1:10" ht="24" thickBot="1" x14ac:dyDescent="0.35">
      <c r="A969" s="997"/>
      <c r="B969" s="804"/>
      <c r="C969" s="282" t="s">
        <v>343</v>
      </c>
      <c r="D969" s="440" t="s">
        <v>344</v>
      </c>
      <c r="E969" s="283">
        <v>0</v>
      </c>
      <c r="F969" s="323">
        <f t="shared" si="197"/>
        <v>24234</v>
      </c>
      <c r="G969" s="621">
        <v>360</v>
      </c>
      <c r="H969" s="615">
        <f t="shared" si="198"/>
        <v>0</v>
      </c>
      <c r="I969" s="614">
        <f t="shared" si="199"/>
        <v>8724240</v>
      </c>
      <c r="J969" s="379"/>
    </row>
    <row r="970" spans="1:10" ht="24" thickBot="1" x14ac:dyDescent="0.35">
      <c r="A970" s="998"/>
      <c r="B970" s="992" t="s">
        <v>297</v>
      </c>
      <c r="C970" s="993"/>
      <c r="D970" s="806"/>
      <c r="E970" s="332"/>
      <c r="F970" s="333"/>
      <c r="G970" s="332"/>
      <c r="H970" s="605"/>
      <c r="I970" s="597">
        <f>SUM(I950:I969)</f>
        <v>13186721.800000001</v>
      </c>
      <c r="J970" s="379"/>
    </row>
    <row r="971" spans="1:10" ht="23.4" x14ac:dyDescent="0.3">
      <c r="A971" s="996" t="s">
        <v>110</v>
      </c>
      <c r="B971" s="804"/>
      <c r="C971" s="282" t="s">
        <v>304</v>
      </c>
      <c r="D971" s="440" t="s">
        <v>263</v>
      </c>
      <c r="E971" s="283">
        <v>5120</v>
      </c>
      <c r="F971" s="323">
        <f t="shared" ref="F971:F990" si="200">E971+F889</f>
        <v>10560</v>
      </c>
      <c r="G971" s="621">
        <v>430.02</v>
      </c>
      <c r="H971" s="611">
        <f>E971*G971</f>
        <v>2201702.3999999999</v>
      </c>
      <c r="I971" s="614">
        <f t="shared" ref="I971:I990" si="201">+G971*F971</f>
        <v>4541011.2</v>
      </c>
      <c r="J971" s="379"/>
    </row>
    <row r="972" spans="1:10" ht="23.4" x14ac:dyDescent="0.3">
      <c r="A972" s="997"/>
      <c r="B972" s="804"/>
      <c r="C972" s="282" t="s">
        <v>305</v>
      </c>
      <c r="D972" s="440" t="s">
        <v>263</v>
      </c>
      <c r="E972" s="283">
        <v>0</v>
      </c>
      <c r="F972" s="323">
        <f t="shared" si="200"/>
        <v>0</v>
      </c>
      <c r="G972" s="621">
        <v>445.38</v>
      </c>
      <c r="H972" s="611">
        <f t="shared" ref="H972:H990" si="202">E972*G972</f>
        <v>0</v>
      </c>
      <c r="I972" s="614">
        <f t="shared" si="201"/>
        <v>0</v>
      </c>
      <c r="J972" s="379"/>
    </row>
    <row r="973" spans="1:10" ht="23.4" x14ac:dyDescent="0.3">
      <c r="A973" s="997"/>
      <c r="B973" s="804"/>
      <c r="C973" s="282" t="s">
        <v>341</v>
      </c>
      <c r="D973" s="440" t="s">
        <v>263</v>
      </c>
      <c r="E973" s="283">
        <v>0</v>
      </c>
      <c r="F973" s="323">
        <f t="shared" si="200"/>
        <v>0</v>
      </c>
      <c r="G973" s="621">
        <v>63.55</v>
      </c>
      <c r="H973" s="611">
        <f t="shared" si="202"/>
        <v>0</v>
      </c>
      <c r="I973" s="614">
        <f t="shared" si="201"/>
        <v>0</v>
      </c>
      <c r="J973" s="379"/>
    </row>
    <row r="974" spans="1:10" ht="23.4" x14ac:dyDescent="0.3">
      <c r="A974" s="997"/>
      <c r="B974" s="804"/>
      <c r="C974" s="282" t="s">
        <v>306</v>
      </c>
      <c r="D974" s="440" t="s">
        <v>263</v>
      </c>
      <c r="E974" s="283">
        <f>10080+16800</f>
        <v>26880</v>
      </c>
      <c r="F974" s="323">
        <f t="shared" si="200"/>
        <v>308712</v>
      </c>
      <c r="G974" s="621">
        <v>71.44</v>
      </c>
      <c r="H974" s="611">
        <f t="shared" si="202"/>
        <v>1920307.2</v>
      </c>
      <c r="I974" s="614">
        <f t="shared" si="201"/>
        <v>22054385.279999997</v>
      </c>
      <c r="J974" s="379"/>
    </row>
    <row r="975" spans="1:10" ht="23.4" x14ac:dyDescent="0.3">
      <c r="A975" s="997"/>
      <c r="B975" s="804"/>
      <c r="C975" s="282" t="s">
        <v>307</v>
      </c>
      <c r="D975" s="440" t="s">
        <v>263</v>
      </c>
      <c r="E975" s="283">
        <v>0</v>
      </c>
      <c r="F975" s="323">
        <f t="shared" si="200"/>
        <v>0</v>
      </c>
      <c r="G975" s="621">
        <v>36.5</v>
      </c>
      <c r="H975" s="611">
        <f t="shared" si="202"/>
        <v>0</v>
      </c>
      <c r="I975" s="614">
        <f t="shared" si="201"/>
        <v>0</v>
      </c>
      <c r="J975" s="379"/>
    </row>
    <row r="976" spans="1:10" ht="23.4" x14ac:dyDescent="0.3">
      <c r="A976" s="997"/>
      <c r="B976" s="804"/>
      <c r="C976" s="282" t="s">
        <v>316</v>
      </c>
      <c r="D976" s="440" t="s">
        <v>263</v>
      </c>
      <c r="E976" s="283">
        <v>0</v>
      </c>
      <c r="F976" s="323">
        <f t="shared" si="200"/>
        <v>0</v>
      </c>
      <c r="G976" s="621">
        <v>320.35000000000002</v>
      </c>
      <c r="H976" s="611">
        <f t="shared" si="202"/>
        <v>0</v>
      </c>
      <c r="I976" s="614">
        <f t="shared" si="201"/>
        <v>0</v>
      </c>
      <c r="J976" s="379"/>
    </row>
    <row r="977" spans="1:10" ht="23.4" x14ac:dyDescent="0.3">
      <c r="A977" s="997"/>
      <c r="B977" s="804"/>
      <c r="C977" s="282" t="s">
        <v>333</v>
      </c>
      <c r="D977" s="440" t="s">
        <v>263</v>
      </c>
      <c r="E977" s="283">
        <v>0</v>
      </c>
      <c r="F977" s="323">
        <f t="shared" si="200"/>
        <v>0</v>
      </c>
      <c r="G977" s="621">
        <v>434.41</v>
      </c>
      <c r="H977" s="611">
        <f t="shared" si="202"/>
        <v>0</v>
      </c>
      <c r="I977" s="614">
        <f t="shared" si="201"/>
        <v>0</v>
      </c>
      <c r="J977" s="379"/>
    </row>
    <row r="978" spans="1:10" ht="23.4" x14ac:dyDescent="0.3">
      <c r="A978" s="997"/>
      <c r="B978" s="804"/>
      <c r="C978" s="282" t="s">
        <v>313</v>
      </c>
      <c r="D978" s="440" t="s">
        <v>263</v>
      </c>
      <c r="E978" s="283">
        <v>0</v>
      </c>
      <c r="F978" s="323">
        <f t="shared" si="200"/>
        <v>5</v>
      </c>
      <c r="G978" s="621">
        <v>29690</v>
      </c>
      <c r="H978" s="611">
        <f t="shared" si="202"/>
        <v>0</v>
      </c>
      <c r="I978" s="614">
        <f t="shared" si="201"/>
        <v>148450</v>
      </c>
      <c r="J978" s="379"/>
    </row>
    <row r="979" spans="1:10" ht="23.4" x14ac:dyDescent="0.3">
      <c r="A979" s="997"/>
      <c r="B979" s="804"/>
      <c r="C979" s="282" t="s">
        <v>313</v>
      </c>
      <c r="D979" s="440" t="s">
        <v>263</v>
      </c>
      <c r="E979" s="283">
        <v>0</v>
      </c>
      <c r="F979" s="323">
        <f t="shared" si="200"/>
        <v>2</v>
      </c>
      <c r="G979" s="621">
        <v>26445</v>
      </c>
      <c r="H979" s="611">
        <f t="shared" si="202"/>
        <v>0</v>
      </c>
      <c r="I979" s="614">
        <f t="shared" si="201"/>
        <v>52890</v>
      </c>
      <c r="J979" s="379"/>
    </row>
    <row r="980" spans="1:10" ht="23.4" x14ac:dyDescent="0.3">
      <c r="A980" s="997"/>
      <c r="B980" s="804"/>
      <c r="C980" s="282" t="s">
        <v>354</v>
      </c>
      <c r="D980" s="440" t="s">
        <v>401</v>
      </c>
      <c r="E980" s="283">
        <v>0</v>
      </c>
      <c r="F980" s="323">
        <f t="shared" si="200"/>
        <v>1998</v>
      </c>
      <c r="G980" s="621">
        <v>50</v>
      </c>
      <c r="H980" s="611">
        <f t="shared" si="202"/>
        <v>0</v>
      </c>
      <c r="I980" s="614">
        <f t="shared" si="201"/>
        <v>99900</v>
      </c>
      <c r="J980" s="379"/>
    </row>
    <row r="981" spans="1:10" ht="23.4" x14ac:dyDescent="0.3">
      <c r="A981" s="997"/>
      <c r="B981" s="804"/>
      <c r="C981" s="282" t="s">
        <v>365</v>
      </c>
      <c r="D981" s="440" t="s">
        <v>350</v>
      </c>
      <c r="E981" s="283">
        <v>0</v>
      </c>
      <c r="F981" s="323">
        <f t="shared" si="200"/>
        <v>0</v>
      </c>
      <c r="G981" s="621">
        <v>309.88</v>
      </c>
      <c r="H981" s="611">
        <f t="shared" si="202"/>
        <v>0</v>
      </c>
      <c r="I981" s="614">
        <f t="shared" si="201"/>
        <v>0</v>
      </c>
      <c r="J981" s="379"/>
    </row>
    <row r="982" spans="1:10" ht="23.4" x14ac:dyDescent="0.3">
      <c r="A982" s="997"/>
      <c r="B982" s="804"/>
      <c r="C982" s="282" t="s">
        <v>366</v>
      </c>
      <c r="D982" s="440" t="s">
        <v>263</v>
      </c>
      <c r="E982" s="283">
        <v>0</v>
      </c>
      <c r="F982" s="323">
        <f t="shared" si="200"/>
        <v>0</v>
      </c>
      <c r="G982" s="621">
        <v>53.86</v>
      </c>
      <c r="H982" s="611">
        <f t="shared" si="202"/>
        <v>0</v>
      </c>
      <c r="I982" s="614">
        <f t="shared" si="201"/>
        <v>0</v>
      </c>
      <c r="J982" s="379"/>
    </row>
    <row r="983" spans="1:10" ht="23.4" x14ac:dyDescent="0.3">
      <c r="A983" s="997"/>
      <c r="B983" s="804"/>
      <c r="C983" s="282" t="s">
        <v>386</v>
      </c>
      <c r="D983" s="440" t="s">
        <v>387</v>
      </c>
      <c r="E983" s="283">
        <v>0</v>
      </c>
      <c r="F983" s="323">
        <f t="shared" si="200"/>
        <v>0</v>
      </c>
      <c r="G983" s="621">
        <v>57.64</v>
      </c>
      <c r="H983" s="611">
        <f t="shared" si="202"/>
        <v>0</v>
      </c>
      <c r="I983" s="614">
        <f t="shared" si="201"/>
        <v>0</v>
      </c>
      <c r="J983" s="379"/>
    </row>
    <row r="984" spans="1:10" ht="23.4" x14ac:dyDescent="0.3">
      <c r="A984" s="997"/>
      <c r="B984" s="804"/>
      <c r="C984" s="282" t="s">
        <v>388</v>
      </c>
      <c r="D984" s="440" t="s">
        <v>389</v>
      </c>
      <c r="E984" s="283">
        <v>0</v>
      </c>
      <c r="F984" s="284">
        <f t="shared" si="200"/>
        <v>960</v>
      </c>
      <c r="G984" s="621">
        <v>434.41</v>
      </c>
      <c r="H984" s="611">
        <f t="shared" si="202"/>
        <v>0</v>
      </c>
      <c r="I984" s="614">
        <f t="shared" si="201"/>
        <v>417033.60000000003</v>
      </c>
      <c r="J984" s="379"/>
    </row>
    <row r="985" spans="1:10" ht="23.4" x14ac:dyDescent="0.3">
      <c r="A985" s="997"/>
      <c r="B985" s="804"/>
      <c r="C985" s="282" t="s">
        <v>419</v>
      </c>
      <c r="D985" s="440" t="s">
        <v>263</v>
      </c>
      <c r="E985" s="283">
        <v>0</v>
      </c>
      <c r="F985" s="284">
        <f t="shared" si="200"/>
        <v>7480</v>
      </c>
      <c r="G985" s="621">
        <v>624.26</v>
      </c>
      <c r="H985" s="611">
        <f t="shared" si="202"/>
        <v>0</v>
      </c>
      <c r="I985" s="614">
        <f t="shared" si="201"/>
        <v>4669464.8</v>
      </c>
      <c r="J985" s="379"/>
    </row>
    <row r="986" spans="1:10" ht="23.4" x14ac:dyDescent="0.3">
      <c r="A986" s="997"/>
      <c r="B986" s="804"/>
      <c r="C986" s="282" t="s">
        <v>390</v>
      </c>
      <c r="D986" s="440" t="s">
        <v>389</v>
      </c>
      <c r="E986" s="283">
        <v>0</v>
      </c>
      <c r="F986" s="323">
        <f t="shared" si="200"/>
        <v>0</v>
      </c>
      <c r="G986" s="621">
        <v>63.55</v>
      </c>
      <c r="H986" s="611">
        <f t="shared" si="202"/>
        <v>0</v>
      </c>
      <c r="I986" s="614">
        <f t="shared" si="201"/>
        <v>0</v>
      </c>
      <c r="J986" s="379"/>
    </row>
    <row r="987" spans="1:10" ht="23.4" x14ac:dyDescent="0.3">
      <c r="A987" s="997"/>
      <c r="B987" s="804"/>
      <c r="C987" s="282" t="s">
        <v>391</v>
      </c>
      <c r="D987" s="440" t="s">
        <v>389</v>
      </c>
      <c r="E987" s="283">
        <v>0</v>
      </c>
      <c r="F987" s="323">
        <f t="shared" si="200"/>
        <v>0</v>
      </c>
      <c r="G987" s="621">
        <v>53.86</v>
      </c>
      <c r="H987" s="611">
        <f t="shared" si="202"/>
        <v>0</v>
      </c>
      <c r="I987" s="614">
        <f t="shared" si="201"/>
        <v>0</v>
      </c>
      <c r="J987" s="379"/>
    </row>
    <row r="988" spans="1:10" ht="23.4" x14ac:dyDescent="0.3">
      <c r="A988" s="997"/>
      <c r="B988" s="804"/>
      <c r="C988" s="282" t="s">
        <v>432</v>
      </c>
      <c r="D988" s="440" t="s">
        <v>401</v>
      </c>
      <c r="E988" s="283">
        <v>0</v>
      </c>
      <c r="F988" s="323">
        <f t="shared" si="200"/>
        <v>414</v>
      </c>
      <c r="G988" s="621">
        <v>45</v>
      </c>
      <c r="H988" s="611">
        <f t="shared" si="202"/>
        <v>0</v>
      </c>
      <c r="I988" s="614">
        <f t="shared" si="201"/>
        <v>18630</v>
      </c>
      <c r="J988" s="379"/>
    </row>
    <row r="989" spans="1:10" ht="23.4" x14ac:dyDescent="0.3">
      <c r="A989" s="997"/>
      <c r="B989" s="804"/>
      <c r="C989" s="282" t="s">
        <v>313</v>
      </c>
      <c r="D989" s="440"/>
      <c r="E989" s="283">
        <v>0</v>
      </c>
      <c r="F989" s="323">
        <f t="shared" si="200"/>
        <v>1</v>
      </c>
      <c r="G989" s="621">
        <v>39450</v>
      </c>
      <c r="H989" s="611">
        <f t="shared" si="202"/>
        <v>0</v>
      </c>
      <c r="I989" s="614">
        <f t="shared" si="201"/>
        <v>39450</v>
      </c>
      <c r="J989" s="379"/>
    </row>
    <row r="990" spans="1:10" ht="24" thickBot="1" x14ac:dyDescent="0.35">
      <c r="A990" s="997"/>
      <c r="B990" s="804"/>
      <c r="C990" s="282" t="s">
        <v>388</v>
      </c>
      <c r="D990" s="440" t="s">
        <v>103</v>
      </c>
      <c r="E990" s="283">
        <v>0</v>
      </c>
      <c r="F990" s="323">
        <f t="shared" si="200"/>
        <v>0</v>
      </c>
      <c r="G990" s="621">
        <v>434.41</v>
      </c>
      <c r="H990" s="611">
        <f t="shared" si="202"/>
        <v>0</v>
      </c>
      <c r="I990" s="614">
        <f t="shared" si="201"/>
        <v>0</v>
      </c>
      <c r="J990" s="379"/>
    </row>
    <row r="991" spans="1:10" ht="24" thickBot="1" x14ac:dyDescent="0.35">
      <c r="A991" s="998"/>
      <c r="B991" s="992" t="s">
        <v>299</v>
      </c>
      <c r="C991" s="993"/>
      <c r="D991" s="806"/>
      <c r="E991" s="332"/>
      <c r="F991" s="333"/>
      <c r="G991" s="332"/>
      <c r="H991" s="608">
        <f>SUM(H971:H990)</f>
        <v>4122009.5999999996</v>
      </c>
      <c r="I991" s="597">
        <f>SUM(I971:I990)</f>
        <v>32041214.879999999</v>
      </c>
      <c r="J991" s="378"/>
    </row>
    <row r="992" spans="1:10" ht="24" thickBot="1" x14ac:dyDescent="0.35">
      <c r="A992" s="809"/>
      <c r="B992" s="443"/>
      <c r="C992" s="282"/>
      <c r="D992" s="440"/>
      <c r="E992" s="283"/>
      <c r="F992" s="284"/>
      <c r="G992" s="340"/>
      <c r="H992" s="607"/>
      <c r="I992" s="285"/>
      <c r="J992" s="379"/>
    </row>
    <row r="993" spans="1:10" ht="24" thickBot="1" x14ac:dyDescent="0.35">
      <c r="A993" s="809"/>
      <c r="B993" s="992" t="s">
        <v>243</v>
      </c>
      <c r="C993" s="993"/>
      <c r="D993" s="802"/>
      <c r="E993" s="332"/>
      <c r="F993" s="333"/>
      <c r="G993" s="332"/>
      <c r="H993" s="605"/>
      <c r="I993" s="330"/>
      <c r="J993" s="355"/>
    </row>
    <row r="994" spans="1:10" ht="24.6" thickBot="1" x14ac:dyDescent="0.35">
      <c r="A994" s="325"/>
      <c r="B994" s="994" t="s">
        <v>183</v>
      </c>
      <c r="C994" s="995"/>
      <c r="D994" s="803"/>
      <c r="E994" s="380"/>
      <c r="F994" s="380"/>
      <c r="G994" s="380"/>
      <c r="H994" s="380"/>
      <c r="I994" s="380">
        <f>+I991+I970+I949</f>
        <v>87236202.979999989</v>
      </c>
      <c r="J994" s="381"/>
    </row>
    <row r="995" spans="1:10" ht="23.4" x14ac:dyDescent="0.3">
      <c r="A995" s="935" t="s">
        <v>1</v>
      </c>
      <c r="B995" s="938" t="s">
        <v>2</v>
      </c>
      <c r="C995" s="1001" t="s">
        <v>3</v>
      </c>
      <c r="D995" s="1005" t="s">
        <v>93</v>
      </c>
      <c r="E995" s="1008">
        <v>44518</v>
      </c>
      <c r="F995" s="945"/>
      <c r="G995" s="945"/>
      <c r="H995" s="945"/>
      <c r="I995" s="945"/>
      <c r="J995" s="946"/>
    </row>
    <row r="996" spans="1:10" ht="23.4" x14ac:dyDescent="0.3">
      <c r="A996" s="999"/>
      <c r="B996" s="1000"/>
      <c r="C996" s="1002"/>
      <c r="D996" s="1006"/>
      <c r="E996" s="1009" t="s">
        <v>94</v>
      </c>
      <c r="F996" s="1010"/>
      <c r="G996" s="1009" t="s">
        <v>252</v>
      </c>
      <c r="H996" s="1011"/>
      <c r="I996" s="1011"/>
      <c r="J996" s="1010"/>
    </row>
    <row r="997" spans="1:10" x14ac:dyDescent="0.3">
      <c r="A997" s="936"/>
      <c r="B997" s="939"/>
      <c r="C997" s="1003"/>
      <c r="D997" s="1006"/>
      <c r="E997" s="947" t="s">
        <v>95</v>
      </c>
      <c r="F997" s="949" t="s">
        <v>96</v>
      </c>
      <c r="G997" s="1012" t="s">
        <v>97</v>
      </c>
      <c r="H997" s="1014" t="s">
        <v>98</v>
      </c>
      <c r="I997" s="1014" t="s">
        <v>98</v>
      </c>
      <c r="J997" s="1016" t="s">
        <v>12</v>
      </c>
    </row>
    <row r="998" spans="1:10" ht="14.4" thickBot="1" x14ac:dyDescent="0.35">
      <c r="A998" s="937"/>
      <c r="B998" s="940"/>
      <c r="C998" s="1004"/>
      <c r="D998" s="1007"/>
      <c r="E998" s="948"/>
      <c r="F998" s="950"/>
      <c r="G998" s="1013"/>
      <c r="H998" s="1015"/>
      <c r="I998" s="1015"/>
      <c r="J998" s="1017"/>
    </row>
    <row r="999" spans="1:10" ht="23.4" x14ac:dyDescent="0.3">
      <c r="A999" s="996" t="s">
        <v>111</v>
      </c>
      <c r="B999" s="445"/>
      <c r="C999" s="592" t="s">
        <v>300</v>
      </c>
      <c r="D999" s="449" t="s">
        <v>292</v>
      </c>
      <c r="E999" s="273">
        <v>0</v>
      </c>
      <c r="F999" s="441">
        <f>E999+F917</f>
        <v>0</v>
      </c>
      <c r="G999" s="593">
        <v>111.09</v>
      </c>
      <c r="H999" s="609">
        <f t="shared" ref="H999:H1012" si="203">E999*G999</f>
        <v>0</v>
      </c>
      <c r="I999" s="612">
        <f>+G999*F999</f>
        <v>0</v>
      </c>
      <c r="J999" s="357"/>
    </row>
    <row r="1000" spans="1:10" ht="23.4" x14ac:dyDescent="0.3">
      <c r="A1000" s="997"/>
      <c r="B1000" s="444"/>
      <c r="C1000" s="448" t="s">
        <v>293</v>
      </c>
      <c r="D1000" s="447" t="s">
        <v>294</v>
      </c>
      <c r="E1000" s="279">
        <v>0</v>
      </c>
      <c r="F1000" s="441">
        <f t="shared" ref="F1000:F1012" si="204">E1000+F918</f>
        <v>0</v>
      </c>
      <c r="G1000" s="594">
        <v>11</v>
      </c>
      <c r="H1000" s="610">
        <f t="shared" si="203"/>
        <v>0</v>
      </c>
      <c r="I1000" s="613">
        <f>+G1000*F1000</f>
        <v>0</v>
      </c>
      <c r="J1000" s="358"/>
    </row>
    <row r="1001" spans="1:10" ht="23.4" x14ac:dyDescent="0.3">
      <c r="A1001" s="997"/>
      <c r="B1001" s="444"/>
      <c r="C1001" s="448" t="s">
        <v>332</v>
      </c>
      <c r="D1001" s="447" t="s">
        <v>466</v>
      </c>
      <c r="E1001" s="279">
        <v>320</v>
      </c>
      <c r="F1001" s="441">
        <f t="shared" si="204"/>
        <v>960</v>
      </c>
      <c r="G1001" s="594">
        <v>139.04</v>
      </c>
      <c r="H1001" s="610">
        <f t="shared" si="203"/>
        <v>44492.799999999996</v>
      </c>
      <c r="I1001" s="613">
        <f t="shared" ref="I1001:I1012" si="205">+G1001*F1001</f>
        <v>133478.39999999999</v>
      </c>
      <c r="J1001" s="358"/>
    </row>
    <row r="1002" spans="1:10" ht="23.4" x14ac:dyDescent="0.3">
      <c r="A1002" s="997"/>
      <c r="B1002" s="444"/>
      <c r="C1002" s="448" t="s">
        <v>449</v>
      </c>
      <c r="D1002" s="447" t="s">
        <v>450</v>
      </c>
      <c r="E1002" s="279">
        <v>0</v>
      </c>
      <c r="F1002" s="441">
        <f t="shared" si="204"/>
        <v>336600</v>
      </c>
      <c r="G1002" s="594">
        <v>20.5</v>
      </c>
      <c r="H1002" s="610">
        <f t="shared" si="203"/>
        <v>0</v>
      </c>
      <c r="I1002" s="613">
        <f t="shared" si="205"/>
        <v>6900300</v>
      </c>
      <c r="J1002" s="358"/>
    </row>
    <row r="1003" spans="1:10" ht="23.4" x14ac:dyDescent="0.3">
      <c r="A1003" s="997"/>
      <c r="B1003" s="444"/>
      <c r="C1003" s="448" t="s">
        <v>323</v>
      </c>
      <c r="D1003" s="447" t="s">
        <v>192</v>
      </c>
      <c r="E1003" s="279">
        <v>67584</v>
      </c>
      <c r="F1003" s="441">
        <f t="shared" si="204"/>
        <v>219648</v>
      </c>
      <c r="G1003" s="594">
        <v>14.79</v>
      </c>
      <c r="H1003" s="610">
        <f t="shared" si="203"/>
        <v>999567.35999999999</v>
      </c>
      <c r="I1003" s="613">
        <f t="shared" si="205"/>
        <v>3248593.92</v>
      </c>
      <c r="J1003" s="358"/>
    </row>
    <row r="1004" spans="1:10" ht="23.4" x14ac:dyDescent="0.3">
      <c r="A1004" s="997"/>
      <c r="B1004" s="444"/>
      <c r="C1004" s="448" t="s">
        <v>332</v>
      </c>
      <c r="D1004" s="447" t="s">
        <v>294</v>
      </c>
      <c r="E1004" s="279">
        <v>0</v>
      </c>
      <c r="F1004" s="441">
        <f t="shared" si="204"/>
        <v>960</v>
      </c>
      <c r="G1004" s="594">
        <v>139.04</v>
      </c>
      <c r="H1004" s="610">
        <f t="shared" si="203"/>
        <v>0</v>
      </c>
      <c r="I1004" s="613">
        <f t="shared" si="205"/>
        <v>133478.39999999999</v>
      </c>
      <c r="J1004" s="358"/>
    </row>
    <row r="1005" spans="1:10" ht="23.4" x14ac:dyDescent="0.3">
      <c r="A1005" s="997"/>
      <c r="B1005" s="444"/>
      <c r="C1005" s="448" t="s">
        <v>384</v>
      </c>
      <c r="D1005" s="623" t="s">
        <v>447</v>
      </c>
      <c r="E1005" s="279">
        <v>0</v>
      </c>
      <c r="F1005" s="441">
        <f t="shared" si="204"/>
        <v>99364</v>
      </c>
      <c r="G1005" s="594">
        <v>20.5</v>
      </c>
      <c r="H1005" s="610">
        <f t="shared" si="203"/>
        <v>0</v>
      </c>
      <c r="I1005" s="613">
        <f t="shared" si="205"/>
        <v>2036962</v>
      </c>
      <c r="J1005" s="358"/>
    </row>
    <row r="1006" spans="1:10" ht="23.4" x14ac:dyDescent="0.3">
      <c r="A1006" s="997"/>
      <c r="B1006" s="444"/>
      <c r="C1006" s="448" t="s">
        <v>362</v>
      </c>
      <c r="D1006" s="623" t="s">
        <v>294</v>
      </c>
      <c r="E1006" s="279">
        <v>0</v>
      </c>
      <c r="F1006" s="441">
        <f t="shared" si="204"/>
        <v>16524</v>
      </c>
      <c r="G1006" s="594">
        <v>18.84</v>
      </c>
      <c r="H1006" s="610">
        <f t="shared" si="203"/>
        <v>0</v>
      </c>
      <c r="I1006" s="613">
        <f t="shared" si="205"/>
        <v>311312.15999999997</v>
      </c>
      <c r="J1006" s="358"/>
    </row>
    <row r="1007" spans="1:10" ht="23.4" x14ac:dyDescent="0.3">
      <c r="A1007" s="997"/>
      <c r="B1007" s="444"/>
      <c r="C1007" s="448" t="s">
        <v>376</v>
      </c>
      <c r="D1007" s="623" t="s">
        <v>257</v>
      </c>
      <c r="E1007" s="279">
        <v>177480</v>
      </c>
      <c r="F1007" s="441">
        <f t="shared" si="204"/>
        <v>528623</v>
      </c>
      <c r="G1007" s="594">
        <v>21.18</v>
      </c>
      <c r="H1007" s="610">
        <f t="shared" si="203"/>
        <v>3759026.4</v>
      </c>
      <c r="I1007" s="613">
        <f t="shared" si="205"/>
        <v>11196235.140000001</v>
      </c>
      <c r="J1007" s="358"/>
    </row>
    <row r="1008" spans="1:10" ht="23.4" x14ac:dyDescent="0.3">
      <c r="A1008" s="997"/>
      <c r="B1008" s="444"/>
      <c r="C1008" s="448" t="s">
        <v>378</v>
      </c>
      <c r="D1008" s="623" t="s">
        <v>379</v>
      </c>
      <c r="E1008" s="279">
        <v>0</v>
      </c>
      <c r="F1008" s="441">
        <f t="shared" si="204"/>
        <v>65690</v>
      </c>
      <c r="G1008" s="594">
        <v>21.28</v>
      </c>
      <c r="H1008" s="610">
        <f t="shared" si="203"/>
        <v>0</v>
      </c>
      <c r="I1008" s="613">
        <f t="shared" si="205"/>
        <v>1397883.2000000002</v>
      </c>
      <c r="J1008" s="358"/>
    </row>
    <row r="1009" spans="1:10" ht="23.4" x14ac:dyDescent="0.3">
      <c r="A1009" s="997"/>
      <c r="B1009" s="444"/>
      <c r="C1009" s="448" t="s">
        <v>332</v>
      </c>
      <c r="D1009" s="623" t="s">
        <v>447</v>
      </c>
      <c r="E1009" s="279">
        <v>0</v>
      </c>
      <c r="F1009" s="441">
        <f t="shared" si="204"/>
        <v>9920</v>
      </c>
      <c r="G1009" s="594">
        <v>139.04</v>
      </c>
      <c r="H1009" s="610">
        <f t="shared" si="203"/>
        <v>0</v>
      </c>
      <c r="I1009" s="613">
        <f t="shared" si="205"/>
        <v>1379276.7999999998</v>
      </c>
      <c r="J1009" s="358"/>
    </row>
    <row r="1010" spans="1:10" ht="23.4" x14ac:dyDescent="0.3">
      <c r="A1010" s="997"/>
      <c r="B1010" s="444"/>
      <c r="C1010" s="448" t="s">
        <v>470</v>
      </c>
      <c r="D1010" s="447" t="s">
        <v>192</v>
      </c>
      <c r="E1010" s="279">
        <v>194304</v>
      </c>
      <c r="F1010" s="441">
        <f t="shared" si="204"/>
        <v>194304</v>
      </c>
      <c r="G1010" s="594">
        <v>14.55</v>
      </c>
      <c r="H1010" s="610">
        <f t="shared" si="203"/>
        <v>2827123.2</v>
      </c>
      <c r="I1010" s="613">
        <f t="shared" si="205"/>
        <v>2827123.2</v>
      </c>
      <c r="J1010" s="358"/>
    </row>
    <row r="1011" spans="1:10" ht="23.4" x14ac:dyDescent="0.3">
      <c r="A1011" s="997"/>
      <c r="B1011" s="444"/>
      <c r="C1011" s="448" t="s">
        <v>384</v>
      </c>
      <c r="D1011" s="623" t="s">
        <v>206</v>
      </c>
      <c r="E1011" s="279">
        <v>0</v>
      </c>
      <c r="F1011" s="441">
        <f t="shared" si="204"/>
        <v>0</v>
      </c>
      <c r="G1011" s="594">
        <v>21.28</v>
      </c>
      <c r="H1011" s="610">
        <f t="shared" si="203"/>
        <v>0</v>
      </c>
      <c r="I1011" s="613">
        <f t="shared" si="205"/>
        <v>0</v>
      </c>
      <c r="J1011" s="358"/>
    </row>
    <row r="1012" spans="1:10" ht="24" thickBot="1" x14ac:dyDescent="0.35">
      <c r="A1012" s="997"/>
      <c r="B1012" s="444"/>
      <c r="C1012" s="448" t="s">
        <v>400</v>
      </c>
      <c r="D1012" s="450" t="s">
        <v>193</v>
      </c>
      <c r="E1012" s="279">
        <v>0</v>
      </c>
      <c r="F1012" s="441">
        <f t="shared" si="204"/>
        <v>1186</v>
      </c>
      <c r="G1012" s="594">
        <v>36.44</v>
      </c>
      <c r="H1012" s="610">
        <f t="shared" si="203"/>
        <v>0</v>
      </c>
      <c r="I1012" s="613">
        <f t="shared" si="205"/>
        <v>43217.84</v>
      </c>
      <c r="J1012" s="358"/>
    </row>
    <row r="1013" spans="1:10" ht="24" thickBot="1" x14ac:dyDescent="0.35">
      <c r="A1013" s="997"/>
      <c r="B1013" s="992" t="s">
        <v>295</v>
      </c>
      <c r="C1013" s="993"/>
      <c r="D1013" s="818"/>
      <c r="E1013" s="332"/>
      <c r="F1013" s="333"/>
      <c r="G1013" s="332"/>
      <c r="H1013" s="605">
        <f>SUM(H999:H1012)</f>
        <v>7630209.7599999998</v>
      </c>
      <c r="I1013" s="597">
        <f>SUM(I999:I1012)</f>
        <v>29607861.060000002</v>
      </c>
      <c r="J1013" s="355"/>
    </row>
    <row r="1014" spans="1:10" ht="23.4" x14ac:dyDescent="0.3">
      <c r="A1014" s="997"/>
      <c r="B1014" s="816"/>
      <c r="C1014" s="282" t="s">
        <v>301</v>
      </c>
      <c r="D1014" s="440" t="s">
        <v>263</v>
      </c>
      <c r="E1014" s="283">
        <f>1875+6125</f>
        <v>8000</v>
      </c>
      <c r="F1014" s="323">
        <f t="shared" ref="F1014:F1024" si="206">E1014+F932</f>
        <v>74500</v>
      </c>
      <c r="G1014" s="595">
        <v>160.44999999999999</v>
      </c>
      <c r="H1014" s="611">
        <f t="shared" ref="H1014:H1024" si="207">E1014*G1014</f>
        <v>1283600</v>
      </c>
      <c r="I1014" s="614">
        <f t="shared" ref="I1014:I1024" si="208">+G1014*F1014</f>
        <v>11953525</v>
      </c>
      <c r="J1014" s="379"/>
    </row>
    <row r="1015" spans="1:10" ht="23.4" x14ac:dyDescent="0.3">
      <c r="A1015" s="997"/>
      <c r="B1015" s="816"/>
      <c r="C1015" s="282" t="s">
        <v>317</v>
      </c>
      <c r="D1015" s="440" t="s">
        <v>263</v>
      </c>
      <c r="E1015" s="283">
        <v>0</v>
      </c>
      <c r="F1015" s="323">
        <f t="shared" si="206"/>
        <v>1500</v>
      </c>
      <c r="G1015" s="595">
        <v>160.44999999999999</v>
      </c>
      <c r="H1015" s="611">
        <f t="shared" si="207"/>
        <v>0</v>
      </c>
      <c r="I1015" s="614">
        <f t="shared" si="208"/>
        <v>240674.99999999997</v>
      </c>
      <c r="J1015" s="379"/>
    </row>
    <row r="1016" spans="1:10" ht="23.4" x14ac:dyDescent="0.3">
      <c r="A1016" s="997"/>
      <c r="B1016" s="816"/>
      <c r="C1016" s="282" t="s">
        <v>318</v>
      </c>
      <c r="D1016" s="440" t="s">
        <v>263</v>
      </c>
      <c r="E1016" s="283">
        <v>0</v>
      </c>
      <c r="F1016" s="323">
        <f t="shared" si="206"/>
        <v>3375</v>
      </c>
      <c r="G1016" s="595">
        <v>160.44999999999999</v>
      </c>
      <c r="H1016" s="611">
        <f t="shared" si="207"/>
        <v>0</v>
      </c>
      <c r="I1016" s="614">
        <f t="shared" si="208"/>
        <v>541518.75</v>
      </c>
      <c r="J1016" s="379"/>
    </row>
    <row r="1017" spans="1:10" ht="23.4" x14ac:dyDescent="0.3">
      <c r="A1017" s="997"/>
      <c r="B1017" s="816"/>
      <c r="C1017" s="282" t="s">
        <v>321</v>
      </c>
      <c r="D1017" s="440" t="s">
        <v>100</v>
      </c>
      <c r="E1017" s="283">
        <v>0</v>
      </c>
      <c r="F1017" s="323">
        <f t="shared" si="206"/>
        <v>0</v>
      </c>
      <c r="G1017" s="595">
        <v>27</v>
      </c>
      <c r="H1017" s="611">
        <f t="shared" si="207"/>
        <v>0</v>
      </c>
      <c r="I1017" s="614">
        <f t="shared" si="208"/>
        <v>0</v>
      </c>
      <c r="J1017" s="379"/>
    </row>
    <row r="1018" spans="1:10" ht="23.4" x14ac:dyDescent="0.3">
      <c r="A1018" s="997"/>
      <c r="B1018" s="816"/>
      <c r="C1018" s="282" t="s">
        <v>321</v>
      </c>
      <c r="D1018" s="440" t="s">
        <v>329</v>
      </c>
      <c r="E1018" s="283">
        <v>0</v>
      </c>
      <c r="F1018" s="323">
        <f t="shared" si="206"/>
        <v>0</v>
      </c>
      <c r="G1018" s="595">
        <v>27.5</v>
      </c>
      <c r="H1018" s="611">
        <f t="shared" si="207"/>
        <v>0</v>
      </c>
      <c r="I1018" s="614">
        <f t="shared" si="208"/>
        <v>0</v>
      </c>
      <c r="J1018" s="379"/>
    </row>
    <row r="1019" spans="1:10" ht="23.4" x14ac:dyDescent="0.3">
      <c r="A1019" s="997"/>
      <c r="B1019" s="816"/>
      <c r="C1019" s="282" t="s">
        <v>307</v>
      </c>
      <c r="D1019" s="440" t="s">
        <v>329</v>
      </c>
      <c r="E1019" s="283">
        <v>0</v>
      </c>
      <c r="F1019" s="323">
        <f t="shared" si="206"/>
        <v>0</v>
      </c>
      <c r="G1019" s="595">
        <v>34.5</v>
      </c>
      <c r="H1019" s="611">
        <f t="shared" si="207"/>
        <v>0</v>
      </c>
      <c r="I1019" s="614">
        <f t="shared" si="208"/>
        <v>0</v>
      </c>
      <c r="J1019" s="379"/>
    </row>
    <row r="1020" spans="1:10" ht="23.4" x14ac:dyDescent="0.3">
      <c r="A1020" s="997"/>
      <c r="B1020" s="816"/>
      <c r="C1020" s="282" t="s">
        <v>342</v>
      </c>
      <c r="D1020" s="440" t="s">
        <v>263</v>
      </c>
      <c r="E1020" s="283">
        <v>0</v>
      </c>
      <c r="F1020" s="323">
        <f t="shared" si="206"/>
        <v>12750</v>
      </c>
      <c r="G1020" s="595">
        <v>160.44999999999999</v>
      </c>
      <c r="H1020" s="611">
        <f t="shared" si="207"/>
        <v>0</v>
      </c>
      <c r="I1020" s="614">
        <f t="shared" si="208"/>
        <v>2045737.4999999998</v>
      </c>
      <c r="J1020" s="379"/>
    </row>
    <row r="1021" spans="1:10" ht="23.4" x14ac:dyDescent="0.3">
      <c r="A1021" s="997"/>
      <c r="B1021" s="816"/>
      <c r="C1021" s="282" t="s">
        <v>438</v>
      </c>
      <c r="D1021" s="440" t="s">
        <v>263</v>
      </c>
      <c r="E1021" s="283">
        <v>0</v>
      </c>
      <c r="F1021" s="323">
        <f t="shared" si="206"/>
        <v>7000</v>
      </c>
      <c r="G1021" s="595">
        <v>160.44999999999999</v>
      </c>
      <c r="H1021" s="611">
        <f t="shared" si="207"/>
        <v>0</v>
      </c>
      <c r="I1021" s="614">
        <f t="shared" si="208"/>
        <v>1123150</v>
      </c>
      <c r="J1021" s="379"/>
    </row>
    <row r="1022" spans="1:10" ht="23.4" x14ac:dyDescent="0.3">
      <c r="A1022" s="997"/>
      <c r="B1022" s="816"/>
      <c r="C1022" s="282" t="s">
        <v>357</v>
      </c>
      <c r="D1022" s="440" t="s">
        <v>263</v>
      </c>
      <c r="E1022" s="283">
        <v>0</v>
      </c>
      <c r="F1022" s="323">
        <f t="shared" si="206"/>
        <v>19625</v>
      </c>
      <c r="G1022" s="595">
        <v>160.44999999999999</v>
      </c>
      <c r="H1022" s="611">
        <f t="shared" si="207"/>
        <v>0</v>
      </c>
      <c r="I1022" s="614">
        <f t="shared" si="208"/>
        <v>3148831.25</v>
      </c>
      <c r="J1022" s="379"/>
    </row>
    <row r="1023" spans="1:10" ht="23.4" x14ac:dyDescent="0.3">
      <c r="A1023" s="997"/>
      <c r="B1023" s="816"/>
      <c r="C1023" s="282" t="s">
        <v>358</v>
      </c>
      <c r="D1023" s="440" t="s">
        <v>263</v>
      </c>
      <c r="E1023" s="283">
        <v>0</v>
      </c>
      <c r="F1023" s="323">
        <f t="shared" si="206"/>
        <v>11750</v>
      </c>
      <c r="G1023" s="595">
        <v>160.44999999999999</v>
      </c>
      <c r="H1023" s="611">
        <f t="shared" si="207"/>
        <v>0</v>
      </c>
      <c r="I1023" s="614">
        <f t="shared" si="208"/>
        <v>1885287.4999999998</v>
      </c>
      <c r="J1023" s="379"/>
    </row>
    <row r="1024" spans="1:10" ht="24" thickBot="1" x14ac:dyDescent="0.35">
      <c r="A1024" s="997"/>
      <c r="B1024" s="816"/>
      <c r="C1024" s="282" t="s">
        <v>353</v>
      </c>
      <c r="D1024" s="440" t="s">
        <v>263</v>
      </c>
      <c r="E1024" s="283">
        <v>0</v>
      </c>
      <c r="F1024" s="323">
        <f t="shared" si="206"/>
        <v>2200</v>
      </c>
      <c r="G1024" s="595">
        <v>160.44999999999999</v>
      </c>
      <c r="H1024" s="611">
        <f t="shared" si="207"/>
        <v>0</v>
      </c>
      <c r="I1024" s="614">
        <f t="shared" si="208"/>
        <v>352990</v>
      </c>
      <c r="J1024" s="379"/>
    </row>
    <row r="1025" spans="1:11" ht="24" thickBot="1" x14ac:dyDescent="0.35">
      <c r="A1025" s="997"/>
      <c r="B1025" s="992" t="s">
        <v>296</v>
      </c>
      <c r="C1025" s="993"/>
      <c r="D1025" s="818"/>
      <c r="E1025" s="332"/>
      <c r="F1025" s="333"/>
      <c r="G1025" s="332"/>
      <c r="H1025" s="605">
        <f>SUM(H1014:H1024)</f>
        <v>1283600</v>
      </c>
      <c r="I1025" s="597">
        <f>SUM(I1014:I1024)</f>
        <v>21291715</v>
      </c>
      <c r="J1025" s="355"/>
    </row>
    <row r="1026" spans="1:11" ht="23.4" x14ac:dyDescent="0.3">
      <c r="A1026" s="997"/>
      <c r="B1026" s="816"/>
      <c r="C1026" s="282" t="s">
        <v>303</v>
      </c>
      <c r="D1026" s="440"/>
      <c r="E1026" s="283">
        <v>0</v>
      </c>
      <c r="F1026" s="598">
        <f t="shared" ref="F1026:F1028" si="209">E1026+F944</f>
        <v>0</v>
      </c>
      <c r="G1026" s="595">
        <v>10</v>
      </c>
      <c r="H1026" s="611">
        <f t="shared" ref="H1026:H1028" si="210">E1026*G1026</f>
        <v>0</v>
      </c>
      <c r="I1026" s="614">
        <f t="shared" ref="I1026" si="211">+G1026*F1026</f>
        <v>0</v>
      </c>
      <c r="J1026" s="379"/>
    </row>
    <row r="1027" spans="1:11" ht="23.4" x14ac:dyDescent="0.3">
      <c r="A1027" s="997"/>
      <c r="B1027" s="816"/>
      <c r="C1027" s="282" t="s">
        <v>308</v>
      </c>
      <c r="D1027" s="440" t="s">
        <v>309</v>
      </c>
      <c r="E1027" s="283">
        <v>0</v>
      </c>
      <c r="F1027" s="598">
        <f t="shared" si="209"/>
        <v>9</v>
      </c>
      <c r="G1027" s="595">
        <v>2500</v>
      </c>
      <c r="H1027" s="611">
        <f t="shared" si="210"/>
        <v>0</v>
      </c>
      <c r="I1027" s="614">
        <f>+G1027*F1027</f>
        <v>22500</v>
      </c>
      <c r="J1027" s="379"/>
    </row>
    <row r="1028" spans="1:11" ht="24" thickBot="1" x14ac:dyDescent="0.35">
      <c r="A1028" s="997"/>
      <c r="B1028" s="816"/>
      <c r="C1028" s="282" t="s">
        <v>343</v>
      </c>
      <c r="D1028" s="440" t="s">
        <v>344</v>
      </c>
      <c r="E1028" s="283">
        <v>0</v>
      </c>
      <c r="F1028" s="598">
        <f t="shared" si="209"/>
        <v>0</v>
      </c>
      <c r="G1028" s="596">
        <v>360</v>
      </c>
      <c r="H1028" s="611">
        <f t="shared" si="210"/>
        <v>0</v>
      </c>
      <c r="I1028" s="614">
        <f t="shared" ref="I1028" si="212">+G1028*F1028</f>
        <v>0</v>
      </c>
      <c r="J1028" s="379"/>
    </row>
    <row r="1029" spans="1:11" ht="24" thickBot="1" x14ac:dyDescent="0.35">
      <c r="A1029" s="997"/>
      <c r="B1029" s="992" t="s">
        <v>302</v>
      </c>
      <c r="C1029" s="993"/>
      <c r="D1029" s="818"/>
      <c r="E1029" s="332"/>
      <c r="F1029" s="333"/>
      <c r="G1029" s="332"/>
      <c r="H1029" s="605">
        <f>SUM(H1026:H1028)</f>
        <v>0</v>
      </c>
      <c r="I1029" s="597">
        <f>SUM(I1026:I1028)</f>
        <v>22500</v>
      </c>
      <c r="J1029" s="379"/>
    </row>
    <row r="1030" spans="1:11" ht="24" thickBot="1" x14ac:dyDescent="0.35">
      <c r="A1030" s="997"/>
      <c r="B1030" s="816"/>
      <c r="C1030" s="282"/>
      <c r="D1030" s="440"/>
      <c r="E1030" s="283"/>
      <c r="F1030" s="323"/>
      <c r="G1030" s="596"/>
      <c r="H1030" s="606"/>
      <c r="I1030" s="285">
        <f t="shared" ref="I1030" si="213">+G1030*F1030</f>
        <v>0</v>
      </c>
      <c r="J1030" s="379"/>
    </row>
    <row r="1031" spans="1:11" ht="24" thickBot="1" x14ac:dyDescent="0.35">
      <c r="A1031" s="998"/>
      <c r="B1031" s="992" t="s">
        <v>298</v>
      </c>
      <c r="C1031" s="993"/>
      <c r="D1031" s="814"/>
      <c r="E1031" s="332"/>
      <c r="F1031" s="333"/>
      <c r="G1031" s="332"/>
      <c r="H1031" s="597">
        <f>+H1025+H1013+H1029</f>
        <v>8913809.7599999998</v>
      </c>
      <c r="I1031" s="597">
        <f>+I1025+I1013+I1029</f>
        <v>50922076.060000002</v>
      </c>
      <c r="J1031" s="379"/>
      <c r="K1031" s="620"/>
    </row>
    <row r="1032" spans="1:11" ht="23.4" x14ac:dyDescent="0.3">
      <c r="A1032" s="996" t="s">
        <v>109</v>
      </c>
      <c r="B1032" s="816"/>
      <c r="C1032" s="282" t="s">
        <v>312</v>
      </c>
      <c r="D1032" s="440" t="s">
        <v>193</v>
      </c>
      <c r="E1032" s="283">
        <v>0</v>
      </c>
      <c r="F1032" s="323">
        <f t="shared" ref="F1032:F1051" si="214">E1032+F950</f>
        <v>7956</v>
      </c>
      <c r="G1032" s="621">
        <v>13.25</v>
      </c>
      <c r="H1032" s="615">
        <f t="shared" ref="H1032:H1051" si="215">E1032*G1032</f>
        <v>0</v>
      </c>
      <c r="I1032" s="614">
        <f t="shared" ref="I1032:I1051" si="216">+G1032*F1032</f>
        <v>105417</v>
      </c>
      <c r="J1032" s="379"/>
    </row>
    <row r="1033" spans="1:11" ht="23.4" x14ac:dyDescent="0.3">
      <c r="A1033" s="997"/>
      <c r="B1033" s="816"/>
      <c r="C1033" s="282" t="s">
        <v>313</v>
      </c>
      <c r="D1033" s="440"/>
      <c r="E1033" s="283">
        <v>0</v>
      </c>
      <c r="F1033" s="323">
        <f t="shared" si="214"/>
        <v>1</v>
      </c>
      <c r="G1033" s="622">
        <v>10000</v>
      </c>
      <c r="H1033" s="615">
        <f t="shared" si="215"/>
        <v>0</v>
      </c>
      <c r="I1033" s="614">
        <f t="shared" si="216"/>
        <v>10000</v>
      </c>
      <c r="J1033" s="379"/>
    </row>
    <row r="1034" spans="1:11" ht="23.4" x14ac:dyDescent="0.3">
      <c r="A1034" s="997"/>
      <c r="B1034" s="816"/>
      <c r="C1034" s="282" t="s">
        <v>313</v>
      </c>
      <c r="D1034" s="440"/>
      <c r="E1034" s="283">
        <v>1</v>
      </c>
      <c r="F1034" s="323">
        <f t="shared" si="214"/>
        <v>1</v>
      </c>
      <c r="G1034" s="622">
        <v>18000</v>
      </c>
      <c r="H1034" s="615">
        <f t="shared" si="215"/>
        <v>18000</v>
      </c>
      <c r="I1034" s="614">
        <f t="shared" si="216"/>
        <v>18000</v>
      </c>
      <c r="J1034" s="379"/>
    </row>
    <row r="1035" spans="1:11" ht="23.4" x14ac:dyDescent="0.3">
      <c r="A1035" s="997"/>
      <c r="B1035" s="816"/>
      <c r="C1035" s="282" t="s">
        <v>328</v>
      </c>
      <c r="D1035" s="440" t="s">
        <v>193</v>
      </c>
      <c r="E1035" s="283">
        <v>0</v>
      </c>
      <c r="F1035" s="323">
        <f t="shared" si="214"/>
        <v>0</v>
      </c>
      <c r="G1035" s="621">
        <v>24.93</v>
      </c>
      <c r="H1035" s="615">
        <f t="shared" si="215"/>
        <v>0</v>
      </c>
      <c r="I1035" s="614">
        <f t="shared" si="216"/>
        <v>0</v>
      </c>
      <c r="J1035" s="379"/>
    </row>
    <row r="1036" spans="1:11" ht="23.4" x14ac:dyDescent="0.3">
      <c r="A1036" s="997"/>
      <c r="B1036" s="816"/>
      <c r="C1036" s="282" t="s">
        <v>335</v>
      </c>
      <c r="D1036" s="440" t="s">
        <v>99</v>
      </c>
      <c r="E1036" s="283">
        <v>0</v>
      </c>
      <c r="F1036" s="323">
        <f t="shared" si="214"/>
        <v>0</v>
      </c>
      <c r="G1036" s="621">
        <v>26</v>
      </c>
      <c r="H1036" s="615">
        <f t="shared" si="215"/>
        <v>0</v>
      </c>
      <c r="I1036" s="614">
        <f t="shared" si="216"/>
        <v>0</v>
      </c>
      <c r="J1036" s="379"/>
    </row>
    <row r="1037" spans="1:11" ht="23.4" x14ac:dyDescent="0.3">
      <c r="A1037" s="997"/>
      <c r="B1037" s="816"/>
      <c r="C1037" s="282" t="s">
        <v>336</v>
      </c>
      <c r="D1037" s="440" t="s">
        <v>193</v>
      </c>
      <c r="E1037" s="283">
        <v>0</v>
      </c>
      <c r="F1037" s="323">
        <f t="shared" si="214"/>
        <v>0</v>
      </c>
      <c r="G1037" s="621">
        <v>25.49</v>
      </c>
      <c r="H1037" s="615">
        <f t="shared" si="215"/>
        <v>0</v>
      </c>
      <c r="I1037" s="614">
        <f t="shared" si="216"/>
        <v>0</v>
      </c>
      <c r="J1037" s="379"/>
    </row>
    <row r="1038" spans="1:11" ht="23.4" x14ac:dyDescent="0.3">
      <c r="A1038" s="997"/>
      <c r="B1038" s="816"/>
      <c r="C1038" s="282" t="s">
        <v>337</v>
      </c>
      <c r="D1038" s="440" t="s">
        <v>115</v>
      </c>
      <c r="E1038" s="283">
        <v>0</v>
      </c>
      <c r="F1038" s="323">
        <f t="shared" si="214"/>
        <v>0</v>
      </c>
      <c r="G1038" s="621">
        <v>24.93</v>
      </c>
      <c r="H1038" s="615">
        <f t="shared" si="215"/>
        <v>0</v>
      </c>
      <c r="I1038" s="614">
        <f t="shared" si="216"/>
        <v>0</v>
      </c>
      <c r="J1038" s="379"/>
    </row>
    <row r="1039" spans="1:11" ht="23.4" x14ac:dyDescent="0.3">
      <c r="A1039" s="997"/>
      <c r="B1039" s="816"/>
      <c r="C1039" s="282" t="s">
        <v>338</v>
      </c>
      <c r="D1039" s="440" t="s">
        <v>311</v>
      </c>
      <c r="E1039" s="283">
        <v>0</v>
      </c>
      <c r="F1039" s="323">
        <f t="shared" si="214"/>
        <v>0</v>
      </c>
      <c r="G1039" s="621">
        <v>24.93</v>
      </c>
      <c r="H1039" s="615">
        <f t="shared" si="215"/>
        <v>0</v>
      </c>
      <c r="I1039" s="614">
        <f t="shared" si="216"/>
        <v>0</v>
      </c>
      <c r="J1039" s="379"/>
    </row>
    <row r="1040" spans="1:11" ht="23.4" x14ac:dyDescent="0.3">
      <c r="A1040" s="997"/>
      <c r="B1040" s="816"/>
      <c r="C1040" s="282" t="s">
        <v>339</v>
      </c>
      <c r="D1040" s="440" t="s">
        <v>99</v>
      </c>
      <c r="E1040" s="283">
        <v>0</v>
      </c>
      <c r="F1040" s="323">
        <f t="shared" si="214"/>
        <v>0</v>
      </c>
      <c r="G1040" s="621">
        <v>20.89</v>
      </c>
      <c r="H1040" s="615">
        <f t="shared" si="215"/>
        <v>0</v>
      </c>
      <c r="I1040" s="614">
        <f t="shared" si="216"/>
        <v>0</v>
      </c>
      <c r="J1040" s="379"/>
    </row>
    <row r="1041" spans="1:10" ht="23.4" x14ac:dyDescent="0.3">
      <c r="A1041" s="997"/>
      <c r="B1041" s="816"/>
      <c r="C1041" s="282" t="s">
        <v>445</v>
      </c>
      <c r="D1041" s="440" t="s">
        <v>350</v>
      </c>
      <c r="E1041" s="283">
        <v>0</v>
      </c>
      <c r="F1041" s="323">
        <f t="shared" si="214"/>
        <v>56160</v>
      </c>
      <c r="G1041" s="621">
        <v>37.11</v>
      </c>
      <c r="H1041" s="615">
        <f t="shared" si="215"/>
        <v>0</v>
      </c>
      <c r="I1041" s="614">
        <f t="shared" si="216"/>
        <v>2084097.5999999999</v>
      </c>
      <c r="J1041" s="379"/>
    </row>
    <row r="1042" spans="1:10" ht="23.4" x14ac:dyDescent="0.3">
      <c r="A1042" s="997"/>
      <c r="B1042" s="816"/>
      <c r="C1042" s="282" t="s">
        <v>446</v>
      </c>
      <c r="D1042" s="440" t="s">
        <v>350</v>
      </c>
      <c r="E1042" s="283">
        <v>0</v>
      </c>
      <c r="F1042" s="323">
        <f t="shared" si="214"/>
        <v>13104</v>
      </c>
      <c r="G1042" s="621">
        <v>37.89</v>
      </c>
      <c r="H1042" s="615">
        <f t="shared" si="215"/>
        <v>0</v>
      </c>
      <c r="I1042" s="614">
        <f t="shared" si="216"/>
        <v>496510.56</v>
      </c>
      <c r="J1042" s="379"/>
    </row>
    <row r="1043" spans="1:10" ht="23.4" x14ac:dyDescent="0.3">
      <c r="A1043" s="997"/>
      <c r="B1043" s="816"/>
      <c r="C1043" s="282" t="s">
        <v>337</v>
      </c>
      <c r="D1043" s="440" t="s">
        <v>310</v>
      </c>
      <c r="E1043" s="283">
        <v>0</v>
      </c>
      <c r="F1043" s="323">
        <f t="shared" si="214"/>
        <v>0</v>
      </c>
      <c r="G1043" s="621">
        <v>24.93</v>
      </c>
      <c r="H1043" s="615">
        <f t="shared" si="215"/>
        <v>0</v>
      </c>
      <c r="I1043" s="614">
        <f t="shared" si="216"/>
        <v>0</v>
      </c>
      <c r="J1043" s="379"/>
    </row>
    <row r="1044" spans="1:10" ht="23.4" x14ac:dyDescent="0.3">
      <c r="A1044" s="997"/>
      <c r="B1044" s="816"/>
      <c r="C1044" s="282" t="s">
        <v>469</v>
      </c>
      <c r="D1044" s="440" t="s">
        <v>404</v>
      </c>
      <c r="E1044" s="283">
        <v>123318</v>
      </c>
      <c r="F1044" s="323">
        <f t="shared" si="214"/>
        <v>123318</v>
      </c>
      <c r="G1044" s="621">
        <v>24.93</v>
      </c>
      <c r="H1044" s="615">
        <f t="shared" si="215"/>
        <v>3074317.7399999998</v>
      </c>
      <c r="I1044" s="614">
        <f t="shared" si="216"/>
        <v>3074317.7399999998</v>
      </c>
      <c r="J1044" s="379"/>
    </row>
    <row r="1045" spans="1:10" ht="23.4" x14ac:dyDescent="0.3">
      <c r="A1045" s="997"/>
      <c r="B1045" s="816"/>
      <c r="C1045" s="282" t="s">
        <v>369</v>
      </c>
      <c r="D1045" s="440" t="s">
        <v>324</v>
      </c>
      <c r="E1045" s="283">
        <v>0</v>
      </c>
      <c r="F1045" s="323">
        <f t="shared" si="214"/>
        <v>1872</v>
      </c>
      <c r="G1045" s="621">
        <v>34.26</v>
      </c>
      <c r="H1045" s="615">
        <f t="shared" si="215"/>
        <v>0</v>
      </c>
      <c r="I1045" s="614">
        <f t="shared" si="216"/>
        <v>64134.719999999994</v>
      </c>
      <c r="J1045" s="379"/>
    </row>
    <row r="1046" spans="1:10" ht="23.4" x14ac:dyDescent="0.3">
      <c r="A1046" s="997"/>
      <c r="B1046" s="816"/>
      <c r="C1046" s="282" t="s">
        <v>385</v>
      </c>
      <c r="D1046" s="440" t="s">
        <v>467</v>
      </c>
      <c r="E1046" s="283">
        <v>0</v>
      </c>
      <c r="F1046" s="323">
        <f t="shared" si="214"/>
        <v>44928</v>
      </c>
      <c r="G1046" s="621">
        <v>37.89</v>
      </c>
      <c r="H1046" s="615">
        <f t="shared" si="215"/>
        <v>0</v>
      </c>
      <c r="I1046" s="614">
        <f t="shared" si="216"/>
        <v>1702321.92</v>
      </c>
      <c r="J1046" s="379"/>
    </row>
    <row r="1047" spans="1:10" ht="23.4" x14ac:dyDescent="0.3">
      <c r="A1047" s="997"/>
      <c r="B1047" s="816"/>
      <c r="C1047" s="282" t="s">
        <v>405</v>
      </c>
      <c r="D1047" s="440" t="s">
        <v>192</v>
      </c>
      <c r="E1047" s="283">
        <v>0</v>
      </c>
      <c r="F1047" s="323">
        <f t="shared" si="214"/>
        <v>0</v>
      </c>
      <c r="G1047" s="621">
        <v>20.76</v>
      </c>
      <c r="H1047" s="615">
        <f t="shared" si="215"/>
        <v>0</v>
      </c>
      <c r="I1047" s="614">
        <f t="shared" si="216"/>
        <v>0</v>
      </c>
      <c r="J1047" s="379"/>
    </row>
    <row r="1048" spans="1:10" ht="23.4" x14ac:dyDescent="0.3">
      <c r="A1048" s="997"/>
      <c r="B1048" s="816"/>
      <c r="C1048" s="282" t="s">
        <v>338</v>
      </c>
      <c r="D1048" s="440" t="s">
        <v>192</v>
      </c>
      <c r="E1048" s="283">
        <v>0</v>
      </c>
      <c r="F1048" s="323">
        <f t="shared" si="214"/>
        <v>0</v>
      </c>
      <c r="G1048" s="621">
        <v>21.22</v>
      </c>
      <c r="H1048" s="615">
        <f t="shared" si="215"/>
        <v>0</v>
      </c>
      <c r="I1048" s="614">
        <f t="shared" si="216"/>
        <v>0</v>
      </c>
      <c r="J1048" s="379"/>
    </row>
    <row r="1049" spans="1:10" ht="23.4" x14ac:dyDescent="0.3">
      <c r="A1049" s="997"/>
      <c r="B1049" s="816"/>
      <c r="C1049" s="282" t="s">
        <v>337</v>
      </c>
      <c r="D1049" s="440" t="s">
        <v>192</v>
      </c>
      <c r="E1049" s="283">
        <v>0</v>
      </c>
      <c r="F1049" s="323">
        <f t="shared" si="214"/>
        <v>0</v>
      </c>
      <c r="G1049" s="621">
        <v>21.22</v>
      </c>
      <c r="H1049" s="615">
        <f t="shared" si="215"/>
        <v>0</v>
      </c>
      <c r="I1049" s="614">
        <f t="shared" si="216"/>
        <v>0</v>
      </c>
      <c r="J1049" s="379"/>
    </row>
    <row r="1050" spans="1:10" ht="23.4" x14ac:dyDescent="0.3">
      <c r="A1050" s="997"/>
      <c r="B1050" s="816"/>
      <c r="C1050" s="282" t="s">
        <v>406</v>
      </c>
      <c r="D1050" s="440" t="s">
        <v>344</v>
      </c>
      <c r="E1050" s="283">
        <v>0</v>
      </c>
      <c r="F1050" s="323">
        <f t="shared" si="214"/>
        <v>0</v>
      </c>
      <c r="G1050" s="621">
        <v>10000</v>
      </c>
      <c r="H1050" s="615">
        <f t="shared" si="215"/>
        <v>0</v>
      </c>
      <c r="I1050" s="614">
        <f t="shared" si="216"/>
        <v>0</v>
      </c>
      <c r="J1050" s="379"/>
    </row>
    <row r="1051" spans="1:10" ht="24" thickBot="1" x14ac:dyDescent="0.35">
      <c r="A1051" s="997"/>
      <c r="B1051" s="816"/>
      <c r="C1051" s="282" t="s">
        <v>343</v>
      </c>
      <c r="D1051" s="440" t="s">
        <v>344</v>
      </c>
      <c r="E1051" s="283">
        <v>0</v>
      </c>
      <c r="F1051" s="323">
        <f t="shared" si="214"/>
        <v>24234</v>
      </c>
      <c r="G1051" s="621">
        <v>360</v>
      </c>
      <c r="H1051" s="615">
        <f t="shared" si="215"/>
        <v>0</v>
      </c>
      <c r="I1051" s="614">
        <f t="shared" si="216"/>
        <v>8724240</v>
      </c>
      <c r="J1051" s="379"/>
    </row>
    <row r="1052" spans="1:10" ht="24" thickBot="1" x14ac:dyDescent="0.35">
      <c r="A1052" s="998"/>
      <c r="B1052" s="992" t="s">
        <v>297</v>
      </c>
      <c r="C1052" s="993"/>
      <c r="D1052" s="818"/>
      <c r="E1052" s="332"/>
      <c r="F1052" s="333"/>
      <c r="G1052" s="332"/>
      <c r="H1052" s="605"/>
      <c r="I1052" s="597">
        <f>SUM(I1032:I1051)</f>
        <v>16279039.539999999</v>
      </c>
      <c r="J1052" s="379"/>
    </row>
    <row r="1053" spans="1:10" ht="23.4" x14ac:dyDescent="0.3">
      <c r="A1053" s="996" t="s">
        <v>110</v>
      </c>
      <c r="B1053" s="816"/>
      <c r="C1053" s="282" t="s">
        <v>304</v>
      </c>
      <c r="D1053" s="440" t="s">
        <v>263</v>
      </c>
      <c r="E1053" s="283">
        <v>2560</v>
      </c>
      <c r="F1053" s="323">
        <f t="shared" ref="F1053:F1072" si="217">E1053+F971</f>
        <v>13120</v>
      </c>
      <c r="G1053" s="621">
        <v>430.02</v>
      </c>
      <c r="H1053" s="611">
        <f>E1053*G1053</f>
        <v>1100851.2</v>
      </c>
      <c r="I1053" s="614">
        <f t="shared" ref="I1053:I1072" si="218">+G1053*F1053</f>
        <v>5641862.3999999994</v>
      </c>
      <c r="J1053" s="379"/>
    </row>
    <row r="1054" spans="1:10" ht="23.4" x14ac:dyDescent="0.3">
      <c r="A1054" s="997"/>
      <c r="B1054" s="816"/>
      <c r="C1054" s="282" t="s">
        <v>305</v>
      </c>
      <c r="D1054" s="440" t="s">
        <v>263</v>
      </c>
      <c r="E1054" s="283">
        <v>0</v>
      </c>
      <c r="F1054" s="323">
        <f t="shared" si="217"/>
        <v>0</v>
      </c>
      <c r="G1054" s="621">
        <v>445.38</v>
      </c>
      <c r="H1054" s="611">
        <f t="shared" ref="H1054:H1072" si="219">E1054*G1054</f>
        <v>0</v>
      </c>
      <c r="I1054" s="614">
        <f t="shared" si="218"/>
        <v>0</v>
      </c>
      <c r="J1054" s="379"/>
    </row>
    <row r="1055" spans="1:10" ht="23.4" x14ac:dyDescent="0.3">
      <c r="A1055" s="997"/>
      <c r="B1055" s="816"/>
      <c r="C1055" s="282" t="s">
        <v>341</v>
      </c>
      <c r="D1055" s="440" t="s">
        <v>263</v>
      </c>
      <c r="E1055" s="283">
        <v>0</v>
      </c>
      <c r="F1055" s="323">
        <f t="shared" si="217"/>
        <v>0</v>
      </c>
      <c r="G1055" s="621">
        <v>63.55</v>
      </c>
      <c r="H1055" s="611">
        <f t="shared" si="219"/>
        <v>0</v>
      </c>
      <c r="I1055" s="614">
        <f t="shared" si="218"/>
        <v>0</v>
      </c>
      <c r="J1055" s="379"/>
    </row>
    <row r="1056" spans="1:10" ht="23.4" x14ac:dyDescent="0.3">
      <c r="A1056" s="997"/>
      <c r="B1056" s="816"/>
      <c r="C1056" s="282" t="s">
        <v>306</v>
      </c>
      <c r="D1056" s="440" t="s">
        <v>263</v>
      </c>
      <c r="E1056" s="283">
        <v>0</v>
      </c>
      <c r="F1056" s="323">
        <f t="shared" si="217"/>
        <v>308712</v>
      </c>
      <c r="G1056" s="621">
        <v>71.44</v>
      </c>
      <c r="H1056" s="611">
        <f t="shared" si="219"/>
        <v>0</v>
      </c>
      <c r="I1056" s="614">
        <f t="shared" si="218"/>
        <v>22054385.279999997</v>
      </c>
      <c r="J1056" s="379"/>
    </row>
    <row r="1057" spans="1:10" ht="23.4" x14ac:dyDescent="0.3">
      <c r="A1057" s="997"/>
      <c r="B1057" s="816"/>
      <c r="C1057" s="282" t="s">
        <v>307</v>
      </c>
      <c r="D1057" s="440" t="s">
        <v>263</v>
      </c>
      <c r="E1057" s="283">
        <v>0</v>
      </c>
      <c r="F1057" s="323">
        <f t="shared" si="217"/>
        <v>0</v>
      </c>
      <c r="G1057" s="621">
        <v>36.5</v>
      </c>
      <c r="H1057" s="611">
        <f t="shared" si="219"/>
        <v>0</v>
      </c>
      <c r="I1057" s="614">
        <f t="shared" si="218"/>
        <v>0</v>
      </c>
      <c r="J1057" s="379"/>
    </row>
    <row r="1058" spans="1:10" ht="23.4" x14ac:dyDescent="0.3">
      <c r="A1058" s="997"/>
      <c r="B1058" s="816"/>
      <c r="C1058" s="282" t="s">
        <v>316</v>
      </c>
      <c r="D1058" s="440" t="s">
        <v>263</v>
      </c>
      <c r="E1058" s="283">
        <v>0</v>
      </c>
      <c r="F1058" s="323">
        <f t="shared" si="217"/>
        <v>0</v>
      </c>
      <c r="G1058" s="621">
        <v>320.35000000000002</v>
      </c>
      <c r="H1058" s="611">
        <f t="shared" si="219"/>
        <v>0</v>
      </c>
      <c r="I1058" s="614">
        <f t="shared" si="218"/>
        <v>0</v>
      </c>
      <c r="J1058" s="379"/>
    </row>
    <row r="1059" spans="1:10" ht="23.4" x14ac:dyDescent="0.3">
      <c r="A1059" s="997"/>
      <c r="B1059" s="816"/>
      <c r="C1059" s="282" t="s">
        <v>333</v>
      </c>
      <c r="D1059" s="440" t="s">
        <v>263</v>
      </c>
      <c r="E1059" s="283">
        <v>0</v>
      </c>
      <c r="F1059" s="323">
        <f t="shared" si="217"/>
        <v>0</v>
      </c>
      <c r="G1059" s="621">
        <v>434.41</v>
      </c>
      <c r="H1059" s="611">
        <f t="shared" si="219"/>
        <v>0</v>
      </c>
      <c r="I1059" s="614">
        <f t="shared" si="218"/>
        <v>0</v>
      </c>
      <c r="J1059" s="379"/>
    </row>
    <row r="1060" spans="1:10" ht="23.4" x14ac:dyDescent="0.3">
      <c r="A1060" s="997"/>
      <c r="B1060" s="816"/>
      <c r="C1060" s="282" t="s">
        <v>313</v>
      </c>
      <c r="D1060" s="440" t="s">
        <v>263</v>
      </c>
      <c r="E1060" s="283">
        <v>0</v>
      </c>
      <c r="F1060" s="323">
        <f t="shared" si="217"/>
        <v>5</v>
      </c>
      <c r="G1060" s="621">
        <v>29690</v>
      </c>
      <c r="H1060" s="611">
        <f t="shared" si="219"/>
        <v>0</v>
      </c>
      <c r="I1060" s="614">
        <f t="shared" si="218"/>
        <v>148450</v>
      </c>
      <c r="J1060" s="379"/>
    </row>
    <row r="1061" spans="1:10" ht="23.4" x14ac:dyDescent="0.3">
      <c r="A1061" s="997"/>
      <c r="B1061" s="816"/>
      <c r="C1061" s="282" t="s">
        <v>313</v>
      </c>
      <c r="D1061" s="440" t="s">
        <v>263</v>
      </c>
      <c r="E1061" s="283">
        <v>0</v>
      </c>
      <c r="F1061" s="323">
        <f t="shared" si="217"/>
        <v>2</v>
      </c>
      <c r="G1061" s="621">
        <v>26445</v>
      </c>
      <c r="H1061" s="611">
        <f t="shared" si="219"/>
        <v>0</v>
      </c>
      <c r="I1061" s="614">
        <f t="shared" si="218"/>
        <v>52890</v>
      </c>
      <c r="J1061" s="379"/>
    </row>
    <row r="1062" spans="1:10" ht="23.4" x14ac:dyDescent="0.3">
      <c r="A1062" s="997"/>
      <c r="B1062" s="816"/>
      <c r="C1062" s="282" t="s">
        <v>354</v>
      </c>
      <c r="D1062" s="440" t="s">
        <v>401</v>
      </c>
      <c r="E1062" s="283">
        <v>1197</v>
      </c>
      <c r="F1062" s="323">
        <f t="shared" si="217"/>
        <v>3195</v>
      </c>
      <c r="G1062" s="621">
        <v>50</v>
      </c>
      <c r="H1062" s="611">
        <f t="shared" si="219"/>
        <v>59850</v>
      </c>
      <c r="I1062" s="614">
        <f t="shared" si="218"/>
        <v>159750</v>
      </c>
      <c r="J1062" s="379"/>
    </row>
    <row r="1063" spans="1:10" ht="23.4" x14ac:dyDescent="0.3">
      <c r="A1063" s="997"/>
      <c r="B1063" s="816"/>
      <c r="C1063" s="282" t="s">
        <v>365</v>
      </c>
      <c r="D1063" s="440" t="s">
        <v>350</v>
      </c>
      <c r="E1063" s="283">
        <v>0</v>
      </c>
      <c r="F1063" s="323">
        <f t="shared" si="217"/>
        <v>0</v>
      </c>
      <c r="G1063" s="621">
        <v>309.88</v>
      </c>
      <c r="H1063" s="611">
        <f t="shared" si="219"/>
        <v>0</v>
      </c>
      <c r="I1063" s="614">
        <f t="shared" si="218"/>
        <v>0</v>
      </c>
      <c r="J1063" s="379"/>
    </row>
    <row r="1064" spans="1:10" ht="23.4" x14ac:dyDescent="0.3">
      <c r="A1064" s="997"/>
      <c r="B1064" s="816"/>
      <c r="C1064" s="282" t="s">
        <v>366</v>
      </c>
      <c r="D1064" s="440" t="s">
        <v>263</v>
      </c>
      <c r="E1064" s="283">
        <v>0</v>
      </c>
      <c r="F1064" s="323">
        <f t="shared" si="217"/>
        <v>0</v>
      </c>
      <c r="G1064" s="621">
        <v>53.86</v>
      </c>
      <c r="H1064" s="611">
        <f t="shared" si="219"/>
        <v>0</v>
      </c>
      <c r="I1064" s="614">
        <f t="shared" si="218"/>
        <v>0</v>
      </c>
      <c r="J1064" s="379"/>
    </row>
    <row r="1065" spans="1:10" ht="23.4" x14ac:dyDescent="0.3">
      <c r="A1065" s="997"/>
      <c r="B1065" s="816"/>
      <c r="C1065" s="282" t="s">
        <v>386</v>
      </c>
      <c r="D1065" s="440" t="s">
        <v>387</v>
      </c>
      <c r="E1065" s="283">
        <v>0</v>
      </c>
      <c r="F1065" s="323">
        <f t="shared" si="217"/>
        <v>0</v>
      </c>
      <c r="G1065" s="621">
        <v>57.64</v>
      </c>
      <c r="H1065" s="611">
        <f t="shared" si="219"/>
        <v>0</v>
      </c>
      <c r="I1065" s="614">
        <f t="shared" si="218"/>
        <v>0</v>
      </c>
      <c r="J1065" s="379"/>
    </row>
    <row r="1066" spans="1:10" ht="23.4" x14ac:dyDescent="0.3">
      <c r="A1066" s="997"/>
      <c r="B1066" s="816"/>
      <c r="C1066" s="282" t="s">
        <v>388</v>
      </c>
      <c r="D1066" s="440" t="s">
        <v>389</v>
      </c>
      <c r="E1066" s="283">
        <v>0</v>
      </c>
      <c r="F1066" s="284">
        <f t="shared" si="217"/>
        <v>960</v>
      </c>
      <c r="G1066" s="621">
        <v>434.41</v>
      </c>
      <c r="H1066" s="611">
        <f t="shared" si="219"/>
        <v>0</v>
      </c>
      <c r="I1066" s="614">
        <f t="shared" si="218"/>
        <v>417033.60000000003</v>
      </c>
      <c r="J1066" s="379"/>
    </row>
    <row r="1067" spans="1:10" ht="23.4" x14ac:dyDescent="0.3">
      <c r="A1067" s="997"/>
      <c r="B1067" s="816"/>
      <c r="C1067" s="282" t="s">
        <v>419</v>
      </c>
      <c r="D1067" s="440" t="s">
        <v>263</v>
      </c>
      <c r="E1067" s="283">
        <v>0</v>
      </c>
      <c r="F1067" s="284">
        <f t="shared" si="217"/>
        <v>7480</v>
      </c>
      <c r="G1067" s="621">
        <v>624.26</v>
      </c>
      <c r="H1067" s="611">
        <f t="shared" si="219"/>
        <v>0</v>
      </c>
      <c r="I1067" s="614">
        <f t="shared" si="218"/>
        <v>4669464.8</v>
      </c>
      <c r="J1067" s="379"/>
    </row>
    <row r="1068" spans="1:10" ht="23.4" x14ac:dyDescent="0.3">
      <c r="A1068" s="997"/>
      <c r="B1068" s="816"/>
      <c r="C1068" s="282" t="s">
        <v>390</v>
      </c>
      <c r="D1068" s="440" t="s">
        <v>389</v>
      </c>
      <c r="E1068" s="283">
        <v>0</v>
      </c>
      <c r="F1068" s="323">
        <f t="shared" si="217"/>
        <v>0</v>
      </c>
      <c r="G1068" s="621">
        <v>63.55</v>
      </c>
      <c r="H1068" s="611">
        <f t="shared" si="219"/>
        <v>0</v>
      </c>
      <c r="I1068" s="614">
        <f t="shared" si="218"/>
        <v>0</v>
      </c>
      <c r="J1068" s="379"/>
    </row>
    <row r="1069" spans="1:10" ht="23.4" x14ac:dyDescent="0.3">
      <c r="A1069" s="997"/>
      <c r="B1069" s="816"/>
      <c r="C1069" s="282" t="s">
        <v>391</v>
      </c>
      <c r="D1069" s="440" t="s">
        <v>389</v>
      </c>
      <c r="E1069" s="283">
        <v>0</v>
      </c>
      <c r="F1069" s="323">
        <f t="shared" si="217"/>
        <v>0</v>
      </c>
      <c r="G1069" s="621">
        <v>53.86</v>
      </c>
      <c r="H1069" s="611">
        <f t="shared" si="219"/>
        <v>0</v>
      </c>
      <c r="I1069" s="614">
        <f t="shared" si="218"/>
        <v>0</v>
      </c>
      <c r="J1069" s="379"/>
    </row>
    <row r="1070" spans="1:10" ht="23.4" x14ac:dyDescent="0.3">
      <c r="A1070" s="997"/>
      <c r="B1070" s="816"/>
      <c r="C1070" s="282" t="s">
        <v>432</v>
      </c>
      <c r="D1070" s="440" t="s">
        <v>401</v>
      </c>
      <c r="E1070" s="283">
        <v>1024</v>
      </c>
      <c r="F1070" s="323">
        <f t="shared" si="217"/>
        <v>1438</v>
      </c>
      <c r="G1070" s="621">
        <v>45</v>
      </c>
      <c r="H1070" s="611">
        <f t="shared" si="219"/>
        <v>46080</v>
      </c>
      <c r="I1070" s="614">
        <f t="shared" si="218"/>
        <v>64710</v>
      </c>
      <c r="J1070" s="379"/>
    </row>
    <row r="1071" spans="1:10" ht="23.4" x14ac:dyDescent="0.3">
      <c r="A1071" s="997"/>
      <c r="B1071" s="816"/>
      <c r="C1071" s="282" t="s">
        <v>313</v>
      </c>
      <c r="D1071" s="440"/>
      <c r="E1071" s="283">
        <v>0</v>
      </c>
      <c r="F1071" s="323">
        <f t="shared" si="217"/>
        <v>1</v>
      </c>
      <c r="G1071" s="621">
        <v>39450</v>
      </c>
      <c r="H1071" s="611">
        <f t="shared" si="219"/>
        <v>0</v>
      </c>
      <c r="I1071" s="614">
        <f t="shared" si="218"/>
        <v>39450</v>
      </c>
      <c r="J1071" s="379"/>
    </row>
    <row r="1072" spans="1:10" ht="24" thickBot="1" x14ac:dyDescent="0.35">
      <c r="A1072" s="997"/>
      <c r="B1072" s="816"/>
      <c r="C1072" s="282" t="s">
        <v>388</v>
      </c>
      <c r="D1072" s="440" t="s">
        <v>103</v>
      </c>
      <c r="E1072" s="283">
        <v>0</v>
      </c>
      <c r="F1072" s="323">
        <f t="shared" si="217"/>
        <v>0</v>
      </c>
      <c r="G1072" s="621">
        <v>434.41</v>
      </c>
      <c r="H1072" s="611">
        <f t="shared" si="219"/>
        <v>0</v>
      </c>
      <c r="I1072" s="614">
        <f t="shared" si="218"/>
        <v>0</v>
      </c>
      <c r="J1072" s="379"/>
    </row>
    <row r="1073" spans="1:10" ht="24" thickBot="1" x14ac:dyDescent="0.35">
      <c r="A1073" s="998"/>
      <c r="B1073" s="992" t="s">
        <v>299</v>
      </c>
      <c r="C1073" s="993"/>
      <c r="D1073" s="818"/>
      <c r="E1073" s="332"/>
      <c r="F1073" s="333"/>
      <c r="G1073" s="332"/>
      <c r="H1073" s="608">
        <f>SUM(H1053:H1072)</f>
        <v>1206781.2</v>
      </c>
      <c r="I1073" s="597">
        <f>SUM(I1053:I1072)</f>
        <v>33247996.079999998</v>
      </c>
      <c r="J1073" s="378"/>
    </row>
    <row r="1074" spans="1:10" ht="24" thickBot="1" x14ac:dyDescent="0.35">
      <c r="A1074" s="821"/>
      <c r="B1074" s="443"/>
      <c r="C1074" s="282"/>
      <c r="D1074" s="440"/>
      <c r="E1074" s="283"/>
      <c r="F1074" s="284"/>
      <c r="G1074" s="340"/>
      <c r="H1074" s="607"/>
      <c r="I1074" s="285"/>
      <c r="J1074" s="379"/>
    </row>
    <row r="1075" spans="1:10" ht="24" thickBot="1" x14ac:dyDescent="0.35">
      <c r="A1075" s="821"/>
      <c r="B1075" s="992" t="s">
        <v>243</v>
      </c>
      <c r="C1075" s="993"/>
      <c r="D1075" s="814"/>
      <c r="E1075" s="332"/>
      <c r="F1075" s="333"/>
      <c r="G1075" s="332"/>
      <c r="H1075" s="605"/>
      <c r="I1075" s="330"/>
      <c r="J1075" s="355"/>
    </row>
    <row r="1076" spans="1:10" ht="24.6" thickBot="1" x14ac:dyDescent="0.35">
      <c r="A1076" s="325"/>
      <c r="B1076" s="994" t="s">
        <v>183</v>
      </c>
      <c r="C1076" s="995"/>
      <c r="D1076" s="815"/>
      <c r="E1076" s="380"/>
      <c r="F1076" s="380"/>
      <c r="G1076" s="380"/>
      <c r="H1076" s="380"/>
      <c r="I1076" s="380">
        <f>+I1073+I1052+I1031</f>
        <v>100449111.68000001</v>
      </c>
      <c r="J1076" s="381"/>
    </row>
    <row r="1077" spans="1:10" ht="23.4" x14ac:dyDescent="0.3">
      <c r="A1077" s="935" t="s">
        <v>1</v>
      </c>
      <c r="B1077" s="938" t="s">
        <v>2</v>
      </c>
      <c r="C1077" s="1001" t="s">
        <v>3</v>
      </c>
      <c r="D1077" s="1005" t="s">
        <v>93</v>
      </c>
      <c r="E1077" s="1008">
        <v>44521</v>
      </c>
      <c r="F1077" s="945"/>
      <c r="G1077" s="945"/>
      <c r="H1077" s="945"/>
      <c r="I1077" s="945"/>
      <c r="J1077" s="946"/>
    </row>
    <row r="1078" spans="1:10" ht="23.4" x14ac:dyDescent="0.3">
      <c r="A1078" s="999"/>
      <c r="B1078" s="1000"/>
      <c r="C1078" s="1002"/>
      <c r="D1078" s="1006"/>
      <c r="E1078" s="1009" t="s">
        <v>94</v>
      </c>
      <c r="F1078" s="1010"/>
      <c r="G1078" s="1009" t="s">
        <v>252</v>
      </c>
      <c r="H1078" s="1011"/>
      <c r="I1078" s="1011"/>
      <c r="J1078" s="1010"/>
    </row>
    <row r="1079" spans="1:10" x14ac:dyDescent="0.3">
      <c r="A1079" s="936"/>
      <c r="B1079" s="939"/>
      <c r="C1079" s="1003"/>
      <c r="D1079" s="1006"/>
      <c r="E1079" s="947" t="s">
        <v>95</v>
      </c>
      <c r="F1079" s="949" t="s">
        <v>96</v>
      </c>
      <c r="G1079" s="1012" t="s">
        <v>97</v>
      </c>
      <c r="H1079" s="1014" t="s">
        <v>98</v>
      </c>
      <c r="I1079" s="1014" t="s">
        <v>98</v>
      </c>
      <c r="J1079" s="1016" t="s">
        <v>12</v>
      </c>
    </row>
    <row r="1080" spans="1:10" ht="14.4" thickBot="1" x14ac:dyDescent="0.35">
      <c r="A1080" s="937"/>
      <c r="B1080" s="940"/>
      <c r="C1080" s="1004"/>
      <c r="D1080" s="1007"/>
      <c r="E1080" s="948"/>
      <c r="F1080" s="950"/>
      <c r="G1080" s="1013"/>
      <c r="H1080" s="1015"/>
      <c r="I1080" s="1015"/>
      <c r="J1080" s="1017"/>
    </row>
    <row r="1081" spans="1:10" ht="23.4" x14ac:dyDescent="0.3">
      <c r="A1081" s="996" t="s">
        <v>111</v>
      </c>
      <c r="B1081" s="445"/>
      <c r="C1081" s="592" t="s">
        <v>300</v>
      </c>
      <c r="D1081" s="449" t="s">
        <v>292</v>
      </c>
      <c r="E1081" s="273">
        <v>0</v>
      </c>
      <c r="F1081" s="441">
        <f>E1081+F999</f>
        <v>0</v>
      </c>
      <c r="G1081" s="593">
        <v>111.09</v>
      </c>
      <c r="H1081" s="609">
        <f t="shared" ref="H1081:H1094" si="220">E1081*G1081</f>
        <v>0</v>
      </c>
      <c r="I1081" s="612">
        <f>+G1081*F1081</f>
        <v>0</v>
      </c>
      <c r="J1081" s="357"/>
    </row>
    <row r="1082" spans="1:10" ht="23.4" x14ac:dyDescent="0.3">
      <c r="A1082" s="997"/>
      <c r="B1082" s="444"/>
      <c r="C1082" s="448" t="s">
        <v>293</v>
      </c>
      <c r="D1082" s="447" t="s">
        <v>294</v>
      </c>
      <c r="E1082" s="279">
        <v>0</v>
      </c>
      <c r="F1082" s="441">
        <f t="shared" ref="F1082:F1094" si="221">E1082+F1000</f>
        <v>0</v>
      </c>
      <c r="G1082" s="594">
        <v>11</v>
      </c>
      <c r="H1082" s="610">
        <f t="shared" si="220"/>
        <v>0</v>
      </c>
      <c r="I1082" s="613">
        <f>+G1082*F1082</f>
        <v>0</v>
      </c>
      <c r="J1082" s="358"/>
    </row>
    <row r="1083" spans="1:10" ht="23.4" x14ac:dyDescent="0.3">
      <c r="A1083" s="997"/>
      <c r="B1083" s="444"/>
      <c r="C1083" s="448" t="s">
        <v>332</v>
      </c>
      <c r="D1083" s="447" t="s">
        <v>466</v>
      </c>
      <c r="E1083" s="279">
        <v>0</v>
      </c>
      <c r="F1083" s="441">
        <f t="shared" si="221"/>
        <v>960</v>
      </c>
      <c r="G1083" s="594">
        <v>139.04</v>
      </c>
      <c r="H1083" s="610">
        <f t="shared" si="220"/>
        <v>0</v>
      </c>
      <c r="I1083" s="613">
        <f t="shared" ref="I1083:I1094" si="222">+G1083*F1083</f>
        <v>133478.39999999999</v>
      </c>
      <c r="J1083" s="358"/>
    </row>
    <row r="1084" spans="1:10" ht="23.4" x14ac:dyDescent="0.3">
      <c r="A1084" s="997"/>
      <c r="B1084" s="444"/>
      <c r="C1084" s="448" t="s">
        <v>449</v>
      </c>
      <c r="D1084" s="447" t="s">
        <v>450</v>
      </c>
      <c r="E1084" s="279">
        <v>0</v>
      </c>
      <c r="F1084" s="441">
        <f t="shared" si="221"/>
        <v>336600</v>
      </c>
      <c r="G1084" s="594">
        <v>20.5</v>
      </c>
      <c r="H1084" s="610">
        <f t="shared" si="220"/>
        <v>0</v>
      </c>
      <c r="I1084" s="613">
        <f t="shared" si="222"/>
        <v>6900300</v>
      </c>
      <c r="J1084" s="358"/>
    </row>
    <row r="1085" spans="1:10" ht="23.4" x14ac:dyDescent="0.3">
      <c r="A1085" s="997"/>
      <c r="B1085" s="444"/>
      <c r="C1085" s="448" t="s">
        <v>323</v>
      </c>
      <c r="D1085" s="447" t="s">
        <v>192</v>
      </c>
      <c r="E1085" s="279">
        <v>0</v>
      </c>
      <c r="F1085" s="441">
        <f t="shared" si="221"/>
        <v>219648</v>
      </c>
      <c r="G1085" s="594">
        <v>14.79</v>
      </c>
      <c r="H1085" s="610">
        <f t="shared" si="220"/>
        <v>0</v>
      </c>
      <c r="I1085" s="613">
        <f t="shared" si="222"/>
        <v>3248593.92</v>
      </c>
      <c r="J1085" s="358"/>
    </row>
    <row r="1086" spans="1:10" ht="23.4" x14ac:dyDescent="0.3">
      <c r="A1086" s="997"/>
      <c r="B1086" s="444"/>
      <c r="C1086" s="448" t="s">
        <v>332</v>
      </c>
      <c r="D1086" s="447" t="s">
        <v>294</v>
      </c>
      <c r="E1086" s="279">
        <v>0</v>
      </c>
      <c r="F1086" s="441">
        <f t="shared" si="221"/>
        <v>960</v>
      </c>
      <c r="G1086" s="594">
        <v>139.04</v>
      </c>
      <c r="H1086" s="610">
        <f t="shared" si="220"/>
        <v>0</v>
      </c>
      <c r="I1086" s="613">
        <f t="shared" si="222"/>
        <v>133478.39999999999</v>
      </c>
      <c r="J1086" s="358"/>
    </row>
    <row r="1087" spans="1:10" ht="23.4" x14ac:dyDescent="0.3">
      <c r="A1087" s="997"/>
      <c r="B1087" s="444"/>
      <c r="C1087" s="448" t="s">
        <v>384</v>
      </c>
      <c r="D1087" s="623" t="s">
        <v>447</v>
      </c>
      <c r="E1087" s="279">
        <v>0</v>
      </c>
      <c r="F1087" s="441">
        <f t="shared" si="221"/>
        <v>99364</v>
      </c>
      <c r="G1087" s="594">
        <v>20.5</v>
      </c>
      <c r="H1087" s="610">
        <f t="shared" si="220"/>
        <v>0</v>
      </c>
      <c r="I1087" s="613">
        <f t="shared" si="222"/>
        <v>2036962</v>
      </c>
      <c r="J1087" s="358"/>
    </row>
    <row r="1088" spans="1:10" ht="23.4" x14ac:dyDescent="0.3">
      <c r="A1088" s="997"/>
      <c r="B1088" s="444"/>
      <c r="C1088" s="448" t="s">
        <v>362</v>
      </c>
      <c r="D1088" s="623" t="s">
        <v>294</v>
      </c>
      <c r="E1088" s="279">
        <v>0</v>
      </c>
      <c r="F1088" s="441">
        <f t="shared" si="221"/>
        <v>16524</v>
      </c>
      <c r="G1088" s="594">
        <v>18.84</v>
      </c>
      <c r="H1088" s="610">
        <f t="shared" si="220"/>
        <v>0</v>
      </c>
      <c r="I1088" s="613">
        <f t="shared" si="222"/>
        <v>311312.15999999997</v>
      </c>
      <c r="J1088" s="358"/>
    </row>
    <row r="1089" spans="1:10" ht="23.4" x14ac:dyDescent="0.3">
      <c r="A1089" s="997"/>
      <c r="B1089" s="444"/>
      <c r="C1089" s="448" t="s">
        <v>376</v>
      </c>
      <c r="D1089" s="623" t="s">
        <v>257</v>
      </c>
      <c r="E1089" s="279">
        <v>0</v>
      </c>
      <c r="F1089" s="441">
        <f t="shared" si="221"/>
        <v>528623</v>
      </c>
      <c r="G1089" s="594">
        <v>21.18</v>
      </c>
      <c r="H1089" s="610">
        <f t="shared" si="220"/>
        <v>0</v>
      </c>
      <c r="I1089" s="613">
        <f t="shared" si="222"/>
        <v>11196235.140000001</v>
      </c>
      <c r="J1089" s="358"/>
    </row>
    <row r="1090" spans="1:10" ht="23.4" x14ac:dyDescent="0.3">
      <c r="A1090" s="997"/>
      <c r="B1090" s="444"/>
      <c r="C1090" s="448" t="s">
        <v>378</v>
      </c>
      <c r="D1090" s="623" t="s">
        <v>379</v>
      </c>
      <c r="E1090" s="279">
        <v>0</v>
      </c>
      <c r="F1090" s="441">
        <f t="shared" si="221"/>
        <v>65690</v>
      </c>
      <c r="G1090" s="594">
        <v>21.28</v>
      </c>
      <c r="H1090" s="610">
        <f t="shared" si="220"/>
        <v>0</v>
      </c>
      <c r="I1090" s="613">
        <f t="shared" si="222"/>
        <v>1397883.2000000002</v>
      </c>
      <c r="J1090" s="358"/>
    </row>
    <row r="1091" spans="1:10" ht="23.4" x14ac:dyDescent="0.3">
      <c r="A1091" s="997"/>
      <c r="B1091" s="444"/>
      <c r="C1091" s="448" t="s">
        <v>332</v>
      </c>
      <c r="D1091" s="623" t="s">
        <v>447</v>
      </c>
      <c r="E1091" s="279">
        <v>0</v>
      </c>
      <c r="F1091" s="441">
        <f t="shared" si="221"/>
        <v>9920</v>
      </c>
      <c r="G1091" s="594">
        <v>139.04</v>
      </c>
      <c r="H1091" s="610">
        <f t="shared" si="220"/>
        <v>0</v>
      </c>
      <c r="I1091" s="613">
        <f t="shared" si="222"/>
        <v>1379276.7999999998</v>
      </c>
      <c r="J1091" s="358"/>
    </row>
    <row r="1092" spans="1:10" ht="23.4" x14ac:dyDescent="0.3">
      <c r="A1092" s="997"/>
      <c r="B1092" s="444"/>
      <c r="C1092" s="448" t="s">
        <v>470</v>
      </c>
      <c r="D1092" s="447" t="s">
        <v>192</v>
      </c>
      <c r="E1092" s="279">
        <v>0</v>
      </c>
      <c r="F1092" s="441">
        <f t="shared" si="221"/>
        <v>194304</v>
      </c>
      <c r="G1092" s="594">
        <v>14.55</v>
      </c>
      <c r="H1092" s="610">
        <f t="shared" si="220"/>
        <v>0</v>
      </c>
      <c r="I1092" s="613">
        <f t="shared" si="222"/>
        <v>2827123.2</v>
      </c>
      <c r="J1092" s="358"/>
    </row>
    <row r="1093" spans="1:10" ht="23.4" x14ac:dyDescent="0.3">
      <c r="A1093" s="997"/>
      <c r="B1093" s="444"/>
      <c r="C1093" s="448" t="s">
        <v>384</v>
      </c>
      <c r="D1093" s="623" t="s">
        <v>206</v>
      </c>
      <c r="E1093" s="279">
        <v>0</v>
      </c>
      <c r="F1093" s="441">
        <f t="shared" si="221"/>
        <v>0</v>
      </c>
      <c r="G1093" s="594">
        <v>21.28</v>
      </c>
      <c r="H1093" s="610">
        <f t="shared" si="220"/>
        <v>0</v>
      </c>
      <c r="I1093" s="613">
        <f t="shared" si="222"/>
        <v>0</v>
      </c>
      <c r="J1093" s="358"/>
    </row>
    <row r="1094" spans="1:10" ht="24" thickBot="1" x14ac:dyDescent="0.35">
      <c r="A1094" s="997"/>
      <c r="B1094" s="444"/>
      <c r="C1094" s="448" t="s">
        <v>400</v>
      </c>
      <c r="D1094" s="450" t="s">
        <v>193</v>
      </c>
      <c r="E1094" s="279">
        <v>0</v>
      </c>
      <c r="F1094" s="441">
        <f t="shared" si="221"/>
        <v>1186</v>
      </c>
      <c r="G1094" s="594">
        <v>36.44</v>
      </c>
      <c r="H1094" s="610">
        <f t="shared" si="220"/>
        <v>0</v>
      </c>
      <c r="I1094" s="613">
        <f t="shared" si="222"/>
        <v>43217.84</v>
      </c>
      <c r="J1094" s="358"/>
    </row>
    <row r="1095" spans="1:10" ht="24" thickBot="1" x14ac:dyDescent="0.35">
      <c r="A1095" s="997"/>
      <c r="B1095" s="992" t="s">
        <v>295</v>
      </c>
      <c r="C1095" s="993"/>
      <c r="D1095" s="826"/>
      <c r="E1095" s="332"/>
      <c r="F1095" s="333"/>
      <c r="G1095" s="332"/>
      <c r="H1095" s="605">
        <f>SUM(H1081:H1094)</f>
        <v>0</v>
      </c>
      <c r="I1095" s="597">
        <f>SUM(I1081:I1094)</f>
        <v>29607861.060000002</v>
      </c>
      <c r="J1095" s="355"/>
    </row>
    <row r="1096" spans="1:10" ht="23.4" x14ac:dyDescent="0.3">
      <c r="A1096" s="997"/>
      <c r="B1096" s="824"/>
      <c r="C1096" s="282" t="s">
        <v>301</v>
      </c>
      <c r="D1096" s="440" t="s">
        <v>263</v>
      </c>
      <c r="E1096" s="283">
        <v>3500</v>
      </c>
      <c r="F1096" s="323">
        <f t="shared" ref="F1096:F1106" si="223">E1096+F1014</f>
        <v>78000</v>
      </c>
      <c r="G1096" s="595">
        <v>160.44999999999999</v>
      </c>
      <c r="H1096" s="611">
        <f t="shared" ref="H1096:H1106" si="224">E1096*G1096</f>
        <v>561575</v>
      </c>
      <c r="I1096" s="614">
        <f t="shared" ref="I1096:I1106" si="225">+G1096*F1096</f>
        <v>12515100</v>
      </c>
      <c r="J1096" s="379"/>
    </row>
    <row r="1097" spans="1:10" ht="23.4" x14ac:dyDescent="0.3">
      <c r="A1097" s="997"/>
      <c r="B1097" s="824"/>
      <c r="C1097" s="282" t="s">
        <v>317</v>
      </c>
      <c r="D1097" s="440" t="s">
        <v>263</v>
      </c>
      <c r="E1097" s="283">
        <v>5250</v>
      </c>
      <c r="F1097" s="323">
        <f t="shared" si="223"/>
        <v>6750</v>
      </c>
      <c r="G1097" s="595">
        <v>160.44999999999999</v>
      </c>
      <c r="H1097" s="611">
        <f t="shared" si="224"/>
        <v>842362.49999999988</v>
      </c>
      <c r="I1097" s="614">
        <f t="shared" si="225"/>
        <v>1083037.5</v>
      </c>
      <c r="J1097" s="379"/>
    </row>
    <row r="1098" spans="1:10" ht="23.4" x14ac:dyDescent="0.3">
      <c r="A1098" s="997"/>
      <c r="B1098" s="824"/>
      <c r="C1098" s="282" t="s">
        <v>318</v>
      </c>
      <c r="D1098" s="440" t="s">
        <v>263</v>
      </c>
      <c r="E1098" s="283">
        <v>0</v>
      </c>
      <c r="F1098" s="323">
        <f t="shared" si="223"/>
        <v>3375</v>
      </c>
      <c r="G1098" s="595">
        <v>160.44999999999999</v>
      </c>
      <c r="H1098" s="611">
        <f t="shared" si="224"/>
        <v>0</v>
      </c>
      <c r="I1098" s="614">
        <f t="shared" si="225"/>
        <v>541518.75</v>
      </c>
      <c r="J1098" s="379"/>
    </row>
    <row r="1099" spans="1:10" ht="23.4" x14ac:dyDescent="0.3">
      <c r="A1099" s="997"/>
      <c r="B1099" s="824"/>
      <c r="C1099" s="282" t="s">
        <v>321</v>
      </c>
      <c r="D1099" s="440" t="s">
        <v>100</v>
      </c>
      <c r="E1099" s="283">
        <v>0</v>
      </c>
      <c r="F1099" s="323">
        <f t="shared" si="223"/>
        <v>0</v>
      </c>
      <c r="G1099" s="595">
        <v>27</v>
      </c>
      <c r="H1099" s="611">
        <f t="shared" si="224"/>
        <v>0</v>
      </c>
      <c r="I1099" s="614">
        <f t="shared" si="225"/>
        <v>0</v>
      </c>
      <c r="J1099" s="379"/>
    </row>
    <row r="1100" spans="1:10" ht="23.4" x14ac:dyDescent="0.3">
      <c r="A1100" s="997"/>
      <c r="B1100" s="824"/>
      <c r="C1100" s="282" t="s">
        <v>321</v>
      </c>
      <c r="D1100" s="440" t="s">
        <v>329</v>
      </c>
      <c r="E1100" s="283">
        <v>0</v>
      </c>
      <c r="F1100" s="323">
        <f t="shared" si="223"/>
        <v>0</v>
      </c>
      <c r="G1100" s="595">
        <v>27.5</v>
      </c>
      <c r="H1100" s="611">
        <f t="shared" si="224"/>
        <v>0</v>
      </c>
      <c r="I1100" s="614">
        <f t="shared" si="225"/>
        <v>0</v>
      </c>
      <c r="J1100" s="379"/>
    </row>
    <row r="1101" spans="1:10" ht="23.4" x14ac:dyDescent="0.3">
      <c r="A1101" s="997"/>
      <c r="B1101" s="824"/>
      <c r="C1101" s="282" t="s">
        <v>307</v>
      </c>
      <c r="D1101" s="440" t="s">
        <v>329</v>
      </c>
      <c r="E1101" s="283">
        <v>0</v>
      </c>
      <c r="F1101" s="323">
        <f t="shared" si="223"/>
        <v>0</v>
      </c>
      <c r="G1101" s="595">
        <v>34.5</v>
      </c>
      <c r="H1101" s="611">
        <f t="shared" si="224"/>
        <v>0</v>
      </c>
      <c r="I1101" s="614">
        <f t="shared" si="225"/>
        <v>0</v>
      </c>
      <c r="J1101" s="379"/>
    </row>
    <row r="1102" spans="1:10" ht="23.4" x14ac:dyDescent="0.3">
      <c r="A1102" s="997"/>
      <c r="B1102" s="824"/>
      <c r="C1102" s="282" t="s">
        <v>342</v>
      </c>
      <c r="D1102" s="440" t="s">
        <v>263</v>
      </c>
      <c r="E1102" s="283">
        <v>3500</v>
      </c>
      <c r="F1102" s="323">
        <f t="shared" si="223"/>
        <v>16250</v>
      </c>
      <c r="G1102" s="595">
        <v>160.44999999999999</v>
      </c>
      <c r="H1102" s="611">
        <f t="shared" si="224"/>
        <v>561575</v>
      </c>
      <c r="I1102" s="614">
        <f t="shared" si="225"/>
        <v>2607312.5</v>
      </c>
      <c r="J1102" s="379"/>
    </row>
    <row r="1103" spans="1:10" ht="23.4" x14ac:dyDescent="0.3">
      <c r="A1103" s="997"/>
      <c r="B1103" s="824"/>
      <c r="C1103" s="282" t="s">
        <v>438</v>
      </c>
      <c r="D1103" s="440" t="s">
        <v>263</v>
      </c>
      <c r="E1103" s="283">
        <v>0</v>
      </c>
      <c r="F1103" s="323">
        <f t="shared" si="223"/>
        <v>7000</v>
      </c>
      <c r="G1103" s="595">
        <v>160.44999999999999</v>
      </c>
      <c r="H1103" s="611">
        <f t="shared" si="224"/>
        <v>0</v>
      </c>
      <c r="I1103" s="614">
        <f t="shared" si="225"/>
        <v>1123150</v>
      </c>
      <c r="J1103" s="379"/>
    </row>
    <row r="1104" spans="1:10" ht="23.4" x14ac:dyDescent="0.3">
      <c r="A1104" s="997"/>
      <c r="B1104" s="824"/>
      <c r="C1104" s="282" t="s">
        <v>357</v>
      </c>
      <c r="D1104" s="440" t="s">
        <v>263</v>
      </c>
      <c r="E1104" s="283">
        <v>0</v>
      </c>
      <c r="F1104" s="323">
        <f t="shared" si="223"/>
        <v>19625</v>
      </c>
      <c r="G1104" s="595">
        <v>160.44999999999999</v>
      </c>
      <c r="H1104" s="611">
        <f t="shared" si="224"/>
        <v>0</v>
      </c>
      <c r="I1104" s="614">
        <f t="shared" si="225"/>
        <v>3148831.25</v>
      </c>
      <c r="J1104" s="379"/>
    </row>
    <row r="1105" spans="1:12" ht="23.4" x14ac:dyDescent="0.3">
      <c r="A1105" s="997"/>
      <c r="B1105" s="824"/>
      <c r="C1105" s="282" t="s">
        <v>358</v>
      </c>
      <c r="D1105" s="440" t="s">
        <v>263</v>
      </c>
      <c r="E1105" s="283">
        <v>0</v>
      </c>
      <c r="F1105" s="323">
        <f t="shared" si="223"/>
        <v>11750</v>
      </c>
      <c r="G1105" s="595">
        <v>160.44999999999999</v>
      </c>
      <c r="H1105" s="611">
        <f t="shared" si="224"/>
        <v>0</v>
      </c>
      <c r="I1105" s="614">
        <f t="shared" si="225"/>
        <v>1885287.4999999998</v>
      </c>
      <c r="J1105" s="379"/>
    </row>
    <row r="1106" spans="1:12" ht="24" thickBot="1" x14ac:dyDescent="0.35">
      <c r="A1106" s="997"/>
      <c r="B1106" s="824"/>
      <c r="C1106" s="282" t="s">
        <v>353</v>
      </c>
      <c r="D1106" s="440" t="s">
        <v>263</v>
      </c>
      <c r="E1106" s="283">
        <v>0</v>
      </c>
      <c r="F1106" s="323">
        <f t="shared" si="223"/>
        <v>2200</v>
      </c>
      <c r="G1106" s="595">
        <v>160.44999999999999</v>
      </c>
      <c r="H1106" s="611">
        <f t="shared" si="224"/>
        <v>0</v>
      </c>
      <c r="I1106" s="614">
        <f t="shared" si="225"/>
        <v>352990</v>
      </c>
      <c r="J1106" s="379"/>
    </row>
    <row r="1107" spans="1:12" ht="24" thickBot="1" x14ac:dyDescent="0.35">
      <c r="A1107" s="997"/>
      <c r="B1107" s="992" t="s">
        <v>296</v>
      </c>
      <c r="C1107" s="993"/>
      <c r="D1107" s="826"/>
      <c r="E1107" s="332"/>
      <c r="F1107" s="333"/>
      <c r="G1107" s="332"/>
      <c r="H1107" s="605">
        <f>SUM(H1096:H1106)</f>
        <v>1965512.5</v>
      </c>
      <c r="I1107" s="597">
        <f>SUM(I1096:I1106)</f>
        <v>23257227.5</v>
      </c>
      <c r="J1107" s="355"/>
    </row>
    <row r="1108" spans="1:12" ht="23.4" x14ac:dyDescent="0.3">
      <c r="A1108" s="997"/>
      <c r="B1108" s="824"/>
      <c r="C1108" s="282" t="s">
        <v>303</v>
      </c>
      <c r="D1108" s="440"/>
      <c r="E1108" s="283">
        <v>0</v>
      </c>
      <c r="F1108" s="598">
        <f t="shared" ref="F1108:F1110" si="226">E1108+F1026</f>
        <v>0</v>
      </c>
      <c r="G1108" s="595">
        <v>10</v>
      </c>
      <c r="H1108" s="611">
        <f t="shared" ref="H1108:H1110" si="227">E1108*G1108</f>
        <v>0</v>
      </c>
      <c r="I1108" s="614">
        <f t="shared" ref="I1108" si="228">+G1108*F1108</f>
        <v>0</v>
      </c>
      <c r="J1108" s="379"/>
    </row>
    <row r="1109" spans="1:12" ht="23.4" x14ac:dyDescent="0.3">
      <c r="A1109" s="997"/>
      <c r="B1109" s="824"/>
      <c r="C1109" s="282" t="s">
        <v>308</v>
      </c>
      <c r="D1109" s="440" t="s">
        <v>309</v>
      </c>
      <c r="E1109" s="283">
        <v>0</v>
      </c>
      <c r="F1109" s="598">
        <f t="shared" si="226"/>
        <v>9</v>
      </c>
      <c r="G1109" s="595">
        <v>2500</v>
      </c>
      <c r="H1109" s="611">
        <f t="shared" si="227"/>
        <v>0</v>
      </c>
      <c r="I1109" s="614">
        <f>+G1109*F1109</f>
        <v>22500</v>
      </c>
      <c r="J1109" s="379"/>
    </row>
    <row r="1110" spans="1:12" ht="24" thickBot="1" x14ac:dyDescent="0.35">
      <c r="A1110" s="997"/>
      <c r="B1110" s="824"/>
      <c r="C1110" s="282" t="s">
        <v>343</v>
      </c>
      <c r="D1110" s="440" t="s">
        <v>344</v>
      </c>
      <c r="E1110" s="283">
        <v>0</v>
      </c>
      <c r="F1110" s="598">
        <f t="shared" si="226"/>
        <v>0</v>
      </c>
      <c r="G1110" s="596">
        <v>360</v>
      </c>
      <c r="H1110" s="611">
        <f t="shared" si="227"/>
        <v>0</v>
      </c>
      <c r="I1110" s="614">
        <f t="shared" ref="I1110" si="229">+G1110*F1110</f>
        <v>0</v>
      </c>
      <c r="J1110" s="379"/>
    </row>
    <row r="1111" spans="1:12" ht="24" thickBot="1" x14ac:dyDescent="0.35">
      <c r="A1111" s="997"/>
      <c r="B1111" s="992" t="s">
        <v>302</v>
      </c>
      <c r="C1111" s="993"/>
      <c r="D1111" s="826"/>
      <c r="E1111" s="332"/>
      <c r="F1111" s="333"/>
      <c r="G1111" s="332"/>
      <c r="H1111" s="605">
        <f>SUM(H1108:H1110)</f>
        <v>0</v>
      </c>
      <c r="I1111" s="597">
        <f>SUM(I1108:I1110)</f>
        <v>22500</v>
      </c>
      <c r="J1111" s="379"/>
    </row>
    <row r="1112" spans="1:12" ht="24" thickBot="1" x14ac:dyDescent="0.35">
      <c r="A1112" s="997"/>
      <c r="B1112" s="824"/>
      <c r="C1112" s="282"/>
      <c r="D1112" s="440"/>
      <c r="E1112" s="283"/>
      <c r="F1112" s="323"/>
      <c r="G1112" s="596"/>
      <c r="H1112" s="606"/>
      <c r="I1112" s="285">
        <f t="shared" ref="I1112" si="230">+G1112*F1112</f>
        <v>0</v>
      </c>
      <c r="J1112" s="379"/>
    </row>
    <row r="1113" spans="1:12" ht="24" thickBot="1" x14ac:dyDescent="0.35">
      <c r="A1113" s="998"/>
      <c r="B1113" s="992" t="s">
        <v>298</v>
      </c>
      <c r="C1113" s="993"/>
      <c r="D1113" s="822"/>
      <c r="E1113" s="332"/>
      <c r="F1113" s="333"/>
      <c r="G1113" s="332"/>
      <c r="H1113" s="597">
        <f>+H1107+H1095+H1111</f>
        <v>1965512.5</v>
      </c>
      <c r="I1113" s="597">
        <f>+I1107+I1095+I1111</f>
        <v>52887588.560000002</v>
      </c>
      <c r="J1113" s="379"/>
      <c r="L1113" s="620"/>
    </row>
    <row r="1114" spans="1:12" ht="23.4" x14ac:dyDescent="0.3">
      <c r="A1114" s="996" t="s">
        <v>109</v>
      </c>
      <c r="B1114" s="824"/>
      <c r="C1114" s="282" t="s">
        <v>312</v>
      </c>
      <c r="D1114" s="440" t="s">
        <v>193</v>
      </c>
      <c r="E1114" s="283">
        <v>0</v>
      </c>
      <c r="F1114" s="323">
        <f t="shared" ref="F1114:F1133" si="231">E1114+F1032</f>
        <v>7956</v>
      </c>
      <c r="G1114" s="621">
        <v>13.25</v>
      </c>
      <c r="H1114" s="615">
        <f t="shared" ref="H1114:H1133" si="232">E1114*G1114</f>
        <v>0</v>
      </c>
      <c r="I1114" s="614">
        <f t="shared" ref="I1114:I1133" si="233">+G1114*F1114</f>
        <v>105417</v>
      </c>
      <c r="J1114" s="379"/>
    </row>
    <row r="1115" spans="1:12" ht="23.4" x14ac:dyDescent="0.3">
      <c r="A1115" s="997"/>
      <c r="B1115" s="824"/>
      <c r="C1115" s="282" t="s">
        <v>313</v>
      </c>
      <c r="D1115" s="440"/>
      <c r="E1115" s="283">
        <v>0</v>
      </c>
      <c r="F1115" s="323">
        <f t="shared" si="231"/>
        <v>1</v>
      </c>
      <c r="G1115" s="622">
        <v>10000</v>
      </c>
      <c r="H1115" s="615">
        <f t="shared" si="232"/>
        <v>0</v>
      </c>
      <c r="I1115" s="614">
        <f t="shared" si="233"/>
        <v>10000</v>
      </c>
      <c r="J1115" s="379"/>
    </row>
    <row r="1116" spans="1:12" ht="23.4" x14ac:dyDescent="0.3">
      <c r="A1116" s="997"/>
      <c r="B1116" s="824"/>
      <c r="C1116" s="282" t="s">
        <v>313</v>
      </c>
      <c r="D1116" s="440"/>
      <c r="E1116" s="283">
        <v>1</v>
      </c>
      <c r="F1116" s="323">
        <f t="shared" si="231"/>
        <v>2</v>
      </c>
      <c r="G1116" s="622">
        <v>18000</v>
      </c>
      <c r="H1116" s="615">
        <f t="shared" si="232"/>
        <v>18000</v>
      </c>
      <c r="I1116" s="614">
        <f t="shared" si="233"/>
        <v>36000</v>
      </c>
      <c r="J1116" s="379"/>
    </row>
    <row r="1117" spans="1:12" ht="23.4" x14ac:dyDescent="0.3">
      <c r="A1117" s="997"/>
      <c r="B1117" s="824"/>
      <c r="C1117" s="282" t="s">
        <v>328</v>
      </c>
      <c r="D1117" s="440" t="s">
        <v>193</v>
      </c>
      <c r="E1117" s="283">
        <v>0</v>
      </c>
      <c r="F1117" s="323">
        <f t="shared" si="231"/>
        <v>0</v>
      </c>
      <c r="G1117" s="621">
        <v>24.93</v>
      </c>
      <c r="H1117" s="615">
        <f t="shared" si="232"/>
        <v>0</v>
      </c>
      <c r="I1117" s="614">
        <f t="shared" si="233"/>
        <v>0</v>
      </c>
      <c r="J1117" s="379"/>
    </row>
    <row r="1118" spans="1:12" ht="23.4" x14ac:dyDescent="0.3">
      <c r="A1118" s="997"/>
      <c r="B1118" s="824"/>
      <c r="C1118" s="282" t="s">
        <v>335</v>
      </c>
      <c r="D1118" s="440" t="s">
        <v>99</v>
      </c>
      <c r="E1118" s="283">
        <v>0</v>
      </c>
      <c r="F1118" s="323">
        <f t="shared" si="231"/>
        <v>0</v>
      </c>
      <c r="G1118" s="621">
        <v>26</v>
      </c>
      <c r="H1118" s="615">
        <f t="shared" si="232"/>
        <v>0</v>
      </c>
      <c r="I1118" s="614">
        <f t="shared" si="233"/>
        <v>0</v>
      </c>
      <c r="J1118" s="379"/>
    </row>
    <row r="1119" spans="1:12" ht="23.4" x14ac:dyDescent="0.3">
      <c r="A1119" s="997"/>
      <c r="B1119" s="824"/>
      <c r="C1119" s="282" t="s">
        <v>336</v>
      </c>
      <c r="D1119" s="440" t="s">
        <v>193</v>
      </c>
      <c r="E1119" s="283">
        <v>0</v>
      </c>
      <c r="F1119" s="323">
        <f t="shared" si="231"/>
        <v>0</v>
      </c>
      <c r="G1119" s="621">
        <v>25.49</v>
      </c>
      <c r="H1119" s="615">
        <f t="shared" si="232"/>
        <v>0</v>
      </c>
      <c r="I1119" s="614">
        <f t="shared" si="233"/>
        <v>0</v>
      </c>
      <c r="J1119" s="379"/>
    </row>
    <row r="1120" spans="1:12" ht="23.4" x14ac:dyDescent="0.3">
      <c r="A1120" s="997"/>
      <c r="B1120" s="824"/>
      <c r="C1120" s="282" t="s">
        <v>337</v>
      </c>
      <c r="D1120" s="440" t="s">
        <v>115</v>
      </c>
      <c r="E1120" s="283">
        <v>0</v>
      </c>
      <c r="F1120" s="323">
        <f t="shared" si="231"/>
        <v>0</v>
      </c>
      <c r="G1120" s="621">
        <v>24.93</v>
      </c>
      <c r="H1120" s="615">
        <f t="shared" si="232"/>
        <v>0</v>
      </c>
      <c r="I1120" s="614">
        <f t="shared" si="233"/>
        <v>0</v>
      </c>
      <c r="J1120" s="379"/>
    </row>
    <row r="1121" spans="1:10" ht="23.4" x14ac:dyDescent="0.3">
      <c r="A1121" s="997"/>
      <c r="B1121" s="824"/>
      <c r="C1121" s="282" t="s">
        <v>338</v>
      </c>
      <c r="D1121" s="440" t="s">
        <v>311</v>
      </c>
      <c r="E1121" s="283">
        <v>0</v>
      </c>
      <c r="F1121" s="323">
        <f t="shared" si="231"/>
        <v>0</v>
      </c>
      <c r="G1121" s="621">
        <v>24.93</v>
      </c>
      <c r="H1121" s="615">
        <f t="shared" si="232"/>
        <v>0</v>
      </c>
      <c r="I1121" s="614">
        <f t="shared" si="233"/>
        <v>0</v>
      </c>
      <c r="J1121" s="379"/>
    </row>
    <row r="1122" spans="1:10" ht="23.4" x14ac:dyDescent="0.3">
      <c r="A1122" s="997"/>
      <c r="B1122" s="824"/>
      <c r="C1122" s="282" t="s">
        <v>339</v>
      </c>
      <c r="D1122" s="440" t="s">
        <v>99</v>
      </c>
      <c r="E1122" s="283">
        <v>0</v>
      </c>
      <c r="F1122" s="323">
        <f t="shared" si="231"/>
        <v>0</v>
      </c>
      <c r="G1122" s="621">
        <v>20.89</v>
      </c>
      <c r="H1122" s="615">
        <f t="shared" si="232"/>
        <v>0</v>
      </c>
      <c r="I1122" s="614">
        <f t="shared" si="233"/>
        <v>0</v>
      </c>
      <c r="J1122" s="379"/>
    </row>
    <row r="1123" spans="1:10" ht="23.4" x14ac:dyDescent="0.3">
      <c r="A1123" s="997"/>
      <c r="B1123" s="824"/>
      <c r="C1123" s="282" t="s">
        <v>445</v>
      </c>
      <c r="D1123" s="440" t="s">
        <v>350</v>
      </c>
      <c r="E1123" s="283">
        <v>0</v>
      </c>
      <c r="F1123" s="323">
        <f t="shared" si="231"/>
        <v>56160</v>
      </c>
      <c r="G1123" s="621">
        <v>37.11</v>
      </c>
      <c r="H1123" s="615">
        <f t="shared" si="232"/>
        <v>0</v>
      </c>
      <c r="I1123" s="614">
        <f t="shared" si="233"/>
        <v>2084097.5999999999</v>
      </c>
      <c r="J1123" s="379"/>
    </row>
    <row r="1124" spans="1:10" ht="23.4" x14ac:dyDescent="0.3">
      <c r="A1124" s="997"/>
      <c r="B1124" s="824"/>
      <c r="C1124" s="282" t="s">
        <v>446</v>
      </c>
      <c r="D1124" s="440" t="s">
        <v>350</v>
      </c>
      <c r="E1124" s="283">
        <v>0</v>
      </c>
      <c r="F1124" s="323">
        <f t="shared" si="231"/>
        <v>13104</v>
      </c>
      <c r="G1124" s="621">
        <v>37.89</v>
      </c>
      <c r="H1124" s="615">
        <f t="shared" si="232"/>
        <v>0</v>
      </c>
      <c r="I1124" s="614">
        <f t="shared" si="233"/>
        <v>496510.56</v>
      </c>
      <c r="J1124" s="379"/>
    </row>
    <row r="1125" spans="1:10" ht="23.4" x14ac:dyDescent="0.3">
      <c r="A1125" s="997"/>
      <c r="B1125" s="824"/>
      <c r="C1125" s="282" t="s">
        <v>337</v>
      </c>
      <c r="D1125" s="440" t="s">
        <v>310</v>
      </c>
      <c r="E1125" s="283">
        <v>0</v>
      </c>
      <c r="F1125" s="323">
        <f t="shared" si="231"/>
        <v>0</v>
      </c>
      <c r="G1125" s="621">
        <v>24.93</v>
      </c>
      <c r="H1125" s="615">
        <f t="shared" si="232"/>
        <v>0</v>
      </c>
      <c r="I1125" s="614">
        <f t="shared" si="233"/>
        <v>0</v>
      </c>
      <c r="J1125" s="379"/>
    </row>
    <row r="1126" spans="1:10" ht="23.4" x14ac:dyDescent="0.3">
      <c r="A1126" s="997"/>
      <c r="B1126" s="824"/>
      <c r="C1126" s="282" t="s">
        <v>469</v>
      </c>
      <c r="D1126" s="440" t="s">
        <v>404</v>
      </c>
      <c r="E1126" s="283">
        <v>95472</v>
      </c>
      <c r="F1126" s="323">
        <f t="shared" si="231"/>
        <v>218790</v>
      </c>
      <c r="G1126" s="621">
        <v>24.93</v>
      </c>
      <c r="H1126" s="615">
        <f t="shared" si="232"/>
        <v>2380116.96</v>
      </c>
      <c r="I1126" s="614">
        <f t="shared" si="233"/>
        <v>5454434.7000000002</v>
      </c>
      <c r="J1126" s="379"/>
    </row>
    <row r="1127" spans="1:10" ht="23.4" x14ac:dyDescent="0.3">
      <c r="A1127" s="997"/>
      <c r="B1127" s="824"/>
      <c r="C1127" s="282" t="s">
        <v>369</v>
      </c>
      <c r="D1127" s="440" t="s">
        <v>324</v>
      </c>
      <c r="E1127" s="283">
        <v>0</v>
      </c>
      <c r="F1127" s="323">
        <f t="shared" si="231"/>
        <v>1872</v>
      </c>
      <c r="G1127" s="621">
        <v>34.26</v>
      </c>
      <c r="H1127" s="615">
        <f t="shared" si="232"/>
        <v>0</v>
      </c>
      <c r="I1127" s="614">
        <f t="shared" si="233"/>
        <v>64134.719999999994</v>
      </c>
      <c r="J1127" s="379"/>
    </row>
    <row r="1128" spans="1:10" ht="23.4" x14ac:dyDescent="0.3">
      <c r="A1128" s="997"/>
      <c r="B1128" s="824"/>
      <c r="C1128" s="282" t="s">
        <v>385</v>
      </c>
      <c r="D1128" s="440" t="s">
        <v>467</v>
      </c>
      <c r="E1128" s="283">
        <v>0</v>
      </c>
      <c r="F1128" s="323">
        <f t="shared" si="231"/>
        <v>44928</v>
      </c>
      <c r="G1128" s="621">
        <v>37.89</v>
      </c>
      <c r="H1128" s="615">
        <f t="shared" si="232"/>
        <v>0</v>
      </c>
      <c r="I1128" s="614">
        <f t="shared" si="233"/>
        <v>1702321.92</v>
      </c>
      <c r="J1128" s="379"/>
    </row>
    <row r="1129" spans="1:10" ht="23.4" x14ac:dyDescent="0.3">
      <c r="A1129" s="997"/>
      <c r="B1129" s="824"/>
      <c r="C1129" s="282" t="s">
        <v>475</v>
      </c>
      <c r="D1129" s="440" t="s">
        <v>404</v>
      </c>
      <c r="E1129" s="283">
        <v>13104</v>
      </c>
      <c r="F1129" s="323">
        <f t="shared" si="231"/>
        <v>13104</v>
      </c>
      <c r="G1129" s="621">
        <v>39</v>
      </c>
      <c r="H1129" s="615">
        <f t="shared" si="232"/>
        <v>511056</v>
      </c>
      <c r="I1129" s="614">
        <f t="shared" si="233"/>
        <v>511056</v>
      </c>
      <c r="J1129" s="379"/>
    </row>
    <row r="1130" spans="1:10" ht="23.4" x14ac:dyDescent="0.3">
      <c r="A1130" s="997"/>
      <c r="B1130" s="824"/>
      <c r="C1130" s="282" t="s">
        <v>338</v>
      </c>
      <c r="D1130" s="440" t="s">
        <v>192</v>
      </c>
      <c r="E1130" s="283">
        <v>123318</v>
      </c>
      <c r="F1130" s="323">
        <f t="shared" si="231"/>
        <v>123318</v>
      </c>
      <c r="G1130" s="621">
        <v>21.22</v>
      </c>
      <c r="H1130" s="615">
        <f t="shared" si="232"/>
        <v>2616807.96</v>
      </c>
      <c r="I1130" s="614">
        <f t="shared" si="233"/>
        <v>2616807.96</v>
      </c>
      <c r="J1130" s="379"/>
    </row>
    <row r="1131" spans="1:10" ht="23.4" x14ac:dyDescent="0.3">
      <c r="A1131" s="997"/>
      <c r="B1131" s="824"/>
      <c r="C1131" s="282" t="s">
        <v>337</v>
      </c>
      <c r="D1131" s="440" t="s">
        <v>192</v>
      </c>
      <c r="E1131" s="283">
        <v>0</v>
      </c>
      <c r="F1131" s="323">
        <f t="shared" si="231"/>
        <v>0</v>
      </c>
      <c r="G1131" s="621">
        <v>21.22</v>
      </c>
      <c r="H1131" s="615">
        <f t="shared" si="232"/>
        <v>0</v>
      </c>
      <c r="I1131" s="614">
        <f t="shared" si="233"/>
        <v>0</v>
      </c>
      <c r="J1131" s="379"/>
    </row>
    <row r="1132" spans="1:10" ht="23.4" x14ac:dyDescent="0.3">
      <c r="A1132" s="997"/>
      <c r="B1132" s="824"/>
      <c r="C1132" s="282" t="s">
        <v>406</v>
      </c>
      <c r="D1132" s="440" t="s">
        <v>344</v>
      </c>
      <c r="E1132" s="283">
        <v>0</v>
      </c>
      <c r="F1132" s="323">
        <f t="shared" si="231"/>
        <v>0</v>
      </c>
      <c r="G1132" s="621">
        <v>10000</v>
      </c>
      <c r="H1132" s="615">
        <f t="shared" si="232"/>
        <v>0</v>
      </c>
      <c r="I1132" s="614">
        <f t="shared" si="233"/>
        <v>0</v>
      </c>
      <c r="J1132" s="379"/>
    </row>
    <row r="1133" spans="1:10" ht="24" thickBot="1" x14ac:dyDescent="0.35">
      <c r="A1133" s="997"/>
      <c r="B1133" s="824"/>
      <c r="C1133" s="282" t="s">
        <v>343</v>
      </c>
      <c r="D1133" s="440" t="s">
        <v>344</v>
      </c>
      <c r="E1133" s="283">
        <v>0</v>
      </c>
      <c r="F1133" s="323">
        <f t="shared" si="231"/>
        <v>24234</v>
      </c>
      <c r="G1133" s="621">
        <v>360</v>
      </c>
      <c r="H1133" s="615">
        <f t="shared" si="232"/>
        <v>0</v>
      </c>
      <c r="I1133" s="614">
        <f t="shared" si="233"/>
        <v>8724240</v>
      </c>
      <c r="J1133" s="379"/>
    </row>
    <row r="1134" spans="1:10" ht="24" thickBot="1" x14ac:dyDescent="0.35">
      <c r="A1134" s="998"/>
      <c r="B1134" s="992" t="s">
        <v>297</v>
      </c>
      <c r="C1134" s="993"/>
      <c r="D1134" s="826"/>
      <c r="E1134" s="332"/>
      <c r="F1134" s="333"/>
      <c r="G1134" s="332"/>
      <c r="H1134" s="605"/>
      <c r="I1134" s="597">
        <f>SUM(I1114:I1133)</f>
        <v>21805020.460000001</v>
      </c>
      <c r="J1134" s="379"/>
    </row>
    <row r="1135" spans="1:10" ht="23.4" x14ac:dyDescent="0.3">
      <c r="A1135" s="996" t="s">
        <v>110</v>
      </c>
      <c r="B1135" s="824"/>
      <c r="C1135" s="282" t="s">
        <v>304</v>
      </c>
      <c r="D1135" s="440" t="s">
        <v>263</v>
      </c>
      <c r="E1135" s="283">
        <v>4480</v>
      </c>
      <c r="F1135" s="323">
        <f t="shared" ref="F1135:F1154" si="234">E1135+F1053</f>
        <v>17600</v>
      </c>
      <c r="G1135" s="621">
        <v>430.02</v>
      </c>
      <c r="H1135" s="611">
        <f>E1135*G1135</f>
        <v>1926489.5999999999</v>
      </c>
      <c r="I1135" s="614">
        <f t="shared" ref="I1135:I1154" si="235">+G1135*F1135</f>
        <v>7568352</v>
      </c>
      <c r="J1135" s="379"/>
    </row>
    <row r="1136" spans="1:10" ht="23.4" x14ac:dyDescent="0.3">
      <c r="A1136" s="997"/>
      <c r="B1136" s="824"/>
      <c r="C1136" s="282" t="s">
        <v>305</v>
      </c>
      <c r="D1136" s="440" t="s">
        <v>263</v>
      </c>
      <c r="E1136" s="283">
        <v>0</v>
      </c>
      <c r="F1136" s="323">
        <f t="shared" si="234"/>
        <v>0</v>
      </c>
      <c r="G1136" s="621">
        <v>445.38</v>
      </c>
      <c r="H1136" s="611">
        <f t="shared" ref="H1136:H1154" si="236">E1136*G1136</f>
        <v>0</v>
      </c>
      <c r="I1136" s="614">
        <f t="shared" si="235"/>
        <v>0</v>
      </c>
      <c r="J1136" s="379"/>
    </row>
    <row r="1137" spans="1:10" ht="23.4" x14ac:dyDescent="0.3">
      <c r="A1137" s="997"/>
      <c r="B1137" s="824"/>
      <c r="C1137" s="282" t="s">
        <v>341</v>
      </c>
      <c r="D1137" s="440" t="s">
        <v>263</v>
      </c>
      <c r="E1137" s="283">
        <v>0</v>
      </c>
      <c r="F1137" s="323">
        <f t="shared" si="234"/>
        <v>0</v>
      </c>
      <c r="G1137" s="621">
        <v>63.55</v>
      </c>
      <c r="H1137" s="611">
        <f t="shared" si="236"/>
        <v>0</v>
      </c>
      <c r="I1137" s="614">
        <f t="shared" si="235"/>
        <v>0</v>
      </c>
      <c r="J1137" s="379"/>
    </row>
    <row r="1138" spans="1:10" ht="23.4" x14ac:dyDescent="0.3">
      <c r="A1138" s="997"/>
      <c r="B1138" s="824"/>
      <c r="C1138" s="282" t="s">
        <v>306</v>
      </c>
      <c r="D1138" s="440" t="s">
        <v>263</v>
      </c>
      <c r="E1138" s="283">
        <v>28560</v>
      </c>
      <c r="F1138" s="323">
        <f t="shared" si="234"/>
        <v>337272</v>
      </c>
      <c r="G1138" s="621">
        <v>71.44</v>
      </c>
      <c r="H1138" s="611">
        <f t="shared" si="236"/>
        <v>2040326.4</v>
      </c>
      <c r="I1138" s="614">
        <f t="shared" si="235"/>
        <v>24094711.68</v>
      </c>
      <c r="J1138" s="379"/>
    </row>
    <row r="1139" spans="1:10" ht="23.4" x14ac:dyDescent="0.3">
      <c r="A1139" s="997"/>
      <c r="B1139" s="824"/>
      <c r="C1139" s="282" t="s">
        <v>307</v>
      </c>
      <c r="D1139" s="440" t="s">
        <v>263</v>
      </c>
      <c r="E1139" s="283">
        <v>0</v>
      </c>
      <c r="F1139" s="323">
        <f t="shared" si="234"/>
        <v>0</v>
      </c>
      <c r="G1139" s="621">
        <v>36.5</v>
      </c>
      <c r="H1139" s="611">
        <f t="shared" si="236"/>
        <v>0</v>
      </c>
      <c r="I1139" s="614">
        <f t="shared" si="235"/>
        <v>0</v>
      </c>
      <c r="J1139" s="379"/>
    </row>
    <row r="1140" spans="1:10" ht="23.4" x14ac:dyDescent="0.3">
      <c r="A1140" s="997"/>
      <c r="B1140" s="824"/>
      <c r="C1140" s="282" t="s">
        <v>316</v>
      </c>
      <c r="D1140" s="440" t="s">
        <v>263</v>
      </c>
      <c r="E1140" s="283">
        <v>0</v>
      </c>
      <c r="F1140" s="323">
        <f t="shared" si="234"/>
        <v>0</v>
      </c>
      <c r="G1140" s="621">
        <v>320.35000000000002</v>
      </c>
      <c r="H1140" s="611">
        <f t="shared" si="236"/>
        <v>0</v>
      </c>
      <c r="I1140" s="614">
        <f t="shared" si="235"/>
        <v>0</v>
      </c>
      <c r="J1140" s="379"/>
    </row>
    <row r="1141" spans="1:10" ht="23.4" x14ac:dyDescent="0.3">
      <c r="A1141" s="997"/>
      <c r="B1141" s="824"/>
      <c r="C1141" s="282" t="s">
        <v>333</v>
      </c>
      <c r="D1141" s="440" t="s">
        <v>263</v>
      </c>
      <c r="E1141" s="283">
        <v>0</v>
      </c>
      <c r="F1141" s="323">
        <f t="shared" si="234"/>
        <v>0</v>
      </c>
      <c r="G1141" s="621">
        <v>434.41</v>
      </c>
      <c r="H1141" s="611">
        <f t="shared" si="236"/>
        <v>0</v>
      </c>
      <c r="I1141" s="614">
        <f t="shared" si="235"/>
        <v>0</v>
      </c>
      <c r="J1141" s="379"/>
    </row>
    <row r="1142" spans="1:10" ht="23.4" x14ac:dyDescent="0.3">
      <c r="A1142" s="997"/>
      <c r="B1142" s="824"/>
      <c r="C1142" s="282" t="s">
        <v>313</v>
      </c>
      <c r="D1142" s="440" t="s">
        <v>263</v>
      </c>
      <c r="E1142" s="283">
        <v>0</v>
      </c>
      <c r="F1142" s="323">
        <f t="shared" si="234"/>
        <v>5</v>
      </c>
      <c r="G1142" s="621">
        <v>29690</v>
      </c>
      <c r="H1142" s="611">
        <f t="shared" si="236"/>
        <v>0</v>
      </c>
      <c r="I1142" s="614">
        <f t="shared" si="235"/>
        <v>148450</v>
      </c>
      <c r="J1142" s="379"/>
    </row>
    <row r="1143" spans="1:10" ht="23.4" x14ac:dyDescent="0.3">
      <c r="A1143" s="997"/>
      <c r="B1143" s="824"/>
      <c r="C1143" s="282" t="s">
        <v>313</v>
      </c>
      <c r="D1143" s="440" t="s">
        <v>263</v>
      </c>
      <c r="E1143" s="283">
        <v>0</v>
      </c>
      <c r="F1143" s="323">
        <f t="shared" si="234"/>
        <v>2</v>
      </c>
      <c r="G1143" s="621">
        <v>26445</v>
      </c>
      <c r="H1143" s="611">
        <f t="shared" si="236"/>
        <v>0</v>
      </c>
      <c r="I1143" s="614">
        <f t="shared" si="235"/>
        <v>52890</v>
      </c>
      <c r="J1143" s="379"/>
    </row>
    <row r="1144" spans="1:10" ht="23.4" x14ac:dyDescent="0.3">
      <c r="A1144" s="997"/>
      <c r="B1144" s="824"/>
      <c r="C1144" s="282" t="s">
        <v>354</v>
      </c>
      <c r="D1144" s="440" t="s">
        <v>401</v>
      </c>
      <c r="E1144" s="283">
        <f>555</f>
        <v>555</v>
      </c>
      <c r="F1144" s="323">
        <f t="shared" si="234"/>
        <v>3750</v>
      </c>
      <c r="G1144" s="621">
        <v>50</v>
      </c>
      <c r="H1144" s="611">
        <f t="shared" si="236"/>
        <v>27750</v>
      </c>
      <c r="I1144" s="614">
        <f t="shared" si="235"/>
        <v>187500</v>
      </c>
      <c r="J1144" s="379"/>
    </row>
    <row r="1145" spans="1:10" ht="23.4" x14ac:dyDescent="0.3">
      <c r="A1145" s="997"/>
      <c r="B1145" s="824"/>
      <c r="C1145" s="282" t="s">
        <v>354</v>
      </c>
      <c r="D1145" s="440" t="s">
        <v>401</v>
      </c>
      <c r="E1145" s="283">
        <v>5267</v>
      </c>
      <c r="F1145" s="323">
        <f t="shared" si="234"/>
        <v>5267</v>
      </c>
      <c r="G1145" s="621">
        <v>45</v>
      </c>
      <c r="H1145" s="611">
        <f t="shared" si="236"/>
        <v>237015</v>
      </c>
      <c r="I1145" s="614">
        <f t="shared" si="235"/>
        <v>237015</v>
      </c>
      <c r="J1145" s="379"/>
    </row>
    <row r="1146" spans="1:10" ht="23.4" x14ac:dyDescent="0.3">
      <c r="A1146" s="997"/>
      <c r="B1146" s="824"/>
      <c r="C1146" s="282" t="s">
        <v>366</v>
      </c>
      <c r="D1146" s="440" t="s">
        <v>263</v>
      </c>
      <c r="E1146" s="283">
        <v>0</v>
      </c>
      <c r="F1146" s="323">
        <f t="shared" si="234"/>
        <v>0</v>
      </c>
      <c r="G1146" s="621">
        <v>53.86</v>
      </c>
      <c r="H1146" s="611">
        <f t="shared" si="236"/>
        <v>0</v>
      </c>
      <c r="I1146" s="614">
        <f t="shared" si="235"/>
        <v>0</v>
      </c>
      <c r="J1146" s="379"/>
    </row>
    <row r="1147" spans="1:10" ht="23.4" x14ac:dyDescent="0.3">
      <c r="A1147" s="997"/>
      <c r="B1147" s="824"/>
      <c r="C1147" s="282" t="s">
        <v>386</v>
      </c>
      <c r="D1147" s="440" t="s">
        <v>387</v>
      </c>
      <c r="E1147" s="283">
        <v>0</v>
      </c>
      <c r="F1147" s="323">
        <f t="shared" si="234"/>
        <v>0</v>
      </c>
      <c r="G1147" s="621">
        <v>57.64</v>
      </c>
      <c r="H1147" s="611">
        <f t="shared" si="236"/>
        <v>0</v>
      </c>
      <c r="I1147" s="614">
        <f t="shared" si="235"/>
        <v>0</v>
      </c>
      <c r="J1147" s="379"/>
    </row>
    <row r="1148" spans="1:10" ht="23.4" x14ac:dyDescent="0.3">
      <c r="A1148" s="997"/>
      <c r="B1148" s="824"/>
      <c r="C1148" s="282" t="s">
        <v>388</v>
      </c>
      <c r="D1148" s="440" t="s">
        <v>389</v>
      </c>
      <c r="E1148" s="283">
        <v>0</v>
      </c>
      <c r="F1148" s="284">
        <f t="shared" si="234"/>
        <v>960</v>
      </c>
      <c r="G1148" s="621">
        <v>434.41</v>
      </c>
      <c r="H1148" s="611">
        <f t="shared" si="236"/>
        <v>0</v>
      </c>
      <c r="I1148" s="614">
        <f t="shared" si="235"/>
        <v>417033.60000000003</v>
      </c>
      <c r="J1148" s="379"/>
    </row>
    <row r="1149" spans="1:10" ht="23.4" x14ac:dyDescent="0.3">
      <c r="A1149" s="997"/>
      <c r="B1149" s="824"/>
      <c r="C1149" s="282" t="s">
        <v>419</v>
      </c>
      <c r="D1149" s="440" t="s">
        <v>263</v>
      </c>
      <c r="E1149" s="283">
        <v>0</v>
      </c>
      <c r="F1149" s="284">
        <f t="shared" si="234"/>
        <v>7480</v>
      </c>
      <c r="G1149" s="621">
        <v>624.26</v>
      </c>
      <c r="H1149" s="611">
        <f t="shared" si="236"/>
        <v>0</v>
      </c>
      <c r="I1149" s="614">
        <f t="shared" si="235"/>
        <v>4669464.8</v>
      </c>
      <c r="J1149" s="379"/>
    </row>
    <row r="1150" spans="1:10" ht="23.4" x14ac:dyDescent="0.3">
      <c r="A1150" s="997"/>
      <c r="B1150" s="824"/>
      <c r="C1150" s="282" t="s">
        <v>390</v>
      </c>
      <c r="D1150" s="440" t="s">
        <v>389</v>
      </c>
      <c r="E1150" s="283">
        <v>0</v>
      </c>
      <c r="F1150" s="323">
        <f t="shared" si="234"/>
        <v>0</v>
      </c>
      <c r="G1150" s="621">
        <v>63.55</v>
      </c>
      <c r="H1150" s="611">
        <f t="shared" si="236"/>
        <v>0</v>
      </c>
      <c r="I1150" s="614">
        <f t="shared" si="235"/>
        <v>0</v>
      </c>
      <c r="J1150" s="379"/>
    </row>
    <row r="1151" spans="1:10" ht="23.4" x14ac:dyDescent="0.3">
      <c r="A1151" s="997"/>
      <c r="B1151" s="824"/>
      <c r="C1151" s="282" t="s">
        <v>391</v>
      </c>
      <c r="D1151" s="440" t="s">
        <v>389</v>
      </c>
      <c r="E1151" s="283">
        <v>0</v>
      </c>
      <c r="F1151" s="323">
        <f t="shared" si="234"/>
        <v>0</v>
      </c>
      <c r="G1151" s="621">
        <v>53.86</v>
      </c>
      <c r="H1151" s="611">
        <f t="shared" si="236"/>
        <v>0</v>
      </c>
      <c r="I1151" s="614">
        <f t="shared" si="235"/>
        <v>0</v>
      </c>
      <c r="J1151" s="379"/>
    </row>
    <row r="1152" spans="1:10" ht="23.4" x14ac:dyDescent="0.3">
      <c r="A1152" s="997"/>
      <c r="B1152" s="824"/>
      <c r="C1152" s="282" t="s">
        <v>432</v>
      </c>
      <c r="D1152" s="440" t="s">
        <v>401</v>
      </c>
      <c r="E1152" s="283">
        <v>869</v>
      </c>
      <c r="F1152" s="323">
        <f t="shared" si="234"/>
        <v>2307</v>
      </c>
      <c r="G1152" s="621">
        <v>45</v>
      </c>
      <c r="H1152" s="611">
        <f t="shared" si="236"/>
        <v>39105</v>
      </c>
      <c r="I1152" s="614">
        <f t="shared" si="235"/>
        <v>103815</v>
      </c>
      <c r="J1152" s="379"/>
    </row>
    <row r="1153" spans="1:10" ht="23.4" x14ac:dyDescent="0.3">
      <c r="A1153" s="997"/>
      <c r="B1153" s="824"/>
      <c r="C1153" s="282" t="s">
        <v>313</v>
      </c>
      <c r="D1153" s="440"/>
      <c r="E1153" s="283">
        <v>0</v>
      </c>
      <c r="F1153" s="323">
        <f t="shared" si="234"/>
        <v>1</v>
      </c>
      <c r="G1153" s="621">
        <v>39450</v>
      </c>
      <c r="H1153" s="611">
        <f t="shared" si="236"/>
        <v>0</v>
      </c>
      <c r="I1153" s="614">
        <f t="shared" si="235"/>
        <v>39450</v>
      </c>
      <c r="J1153" s="379"/>
    </row>
    <row r="1154" spans="1:10" ht="24" thickBot="1" x14ac:dyDescent="0.35">
      <c r="A1154" s="997"/>
      <c r="B1154" s="824"/>
      <c r="C1154" s="282" t="s">
        <v>388</v>
      </c>
      <c r="D1154" s="440" t="s">
        <v>103</v>
      </c>
      <c r="E1154" s="283">
        <v>0</v>
      </c>
      <c r="F1154" s="323">
        <f t="shared" si="234"/>
        <v>0</v>
      </c>
      <c r="G1154" s="621">
        <v>434.41</v>
      </c>
      <c r="H1154" s="611">
        <f t="shared" si="236"/>
        <v>0</v>
      </c>
      <c r="I1154" s="614">
        <f t="shared" si="235"/>
        <v>0</v>
      </c>
      <c r="J1154" s="379"/>
    </row>
    <row r="1155" spans="1:10" ht="24" thickBot="1" x14ac:dyDescent="0.35">
      <c r="A1155" s="998"/>
      <c r="B1155" s="992" t="s">
        <v>299</v>
      </c>
      <c r="C1155" s="993"/>
      <c r="D1155" s="826"/>
      <c r="E1155" s="332"/>
      <c r="F1155" s="333"/>
      <c r="G1155" s="332"/>
      <c r="H1155" s="608">
        <f>SUM(H1135:H1154)</f>
        <v>4270686</v>
      </c>
      <c r="I1155" s="597">
        <f>SUM(I1135:I1154)</f>
        <v>37518682.079999998</v>
      </c>
      <c r="J1155" s="378"/>
    </row>
    <row r="1156" spans="1:10" ht="24" thickBot="1" x14ac:dyDescent="0.35">
      <c r="A1156" s="829"/>
      <c r="B1156" s="443"/>
      <c r="C1156" s="282"/>
      <c r="D1156" s="440"/>
      <c r="E1156" s="283"/>
      <c r="F1156" s="284"/>
      <c r="G1156" s="340"/>
      <c r="H1156" s="607"/>
      <c r="I1156" s="285"/>
      <c r="J1156" s="379"/>
    </row>
    <row r="1157" spans="1:10" ht="24" thickBot="1" x14ac:dyDescent="0.35">
      <c r="A1157" s="829"/>
      <c r="B1157" s="992" t="s">
        <v>243</v>
      </c>
      <c r="C1157" s="993"/>
      <c r="D1157" s="822"/>
      <c r="E1157" s="332"/>
      <c r="F1157" s="333"/>
      <c r="G1157" s="332"/>
      <c r="H1157" s="605"/>
      <c r="I1157" s="330"/>
      <c r="J1157" s="355"/>
    </row>
    <row r="1158" spans="1:10" ht="24.6" thickBot="1" x14ac:dyDescent="0.35">
      <c r="A1158" s="325"/>
      <c r="B1158" s="994" t="s">
        <v>183</v>
      </c>
      <c r="C1158" s="995"/>
      <c r="D1158" s="823"/>
      <c r="E1158" s="380"/>
      <c r="F1158" s="380"/>
      <c r="G1158" s="380"/>
      <c r="H1158" s="380"/>
      <c r="I1158" s="380">
        <f>+I1155+I1134+I1113</f>
        <v>112211291.09999999</v>
      </c>
      <c r="J1158" s="381"/>
    </row>
    <row r="1159" spans="1:10" ht="23.4" x14ac:dyDescent="0.3">
      <c r="A1159" s="935" t="s">
        <v>1</v>
      </c>
      <c r="B1159" s="938" t="s">
        <v>2</v>
      </c>
      <c r="C1159" s="1001" t="s">
        <v>3</v>
      </c>
      <c r="D1159" s="1005" t="s">
        <v>93</v>
      </c>
      <c r="E1159" s="1008">
        <v>44522</v>
      </c>
      <c r="F1159" s="945"/>
      <c r="G1159" s="945"/>
      <c r="H1159" s="945"/>
      <c r="I1159" s="945"/>
      <c r="J1159" s="946"/>
    </row>
    <row r="1160" spans="1:10" ht="23.4" x14ac:dyDescent="0.3">
      <c r="A1160" s="999"/>
      <c r="B1160" s="1000"/>
      <c r="C1160" s="1002"/>
      <c r="D1160" s="1006"/>
      <c r="E1160" s="1009" t="s">
        <v>94</v>
      </c>
      <c r="F1160" s="1010"/>
      <c r="G1160" s="1009" t="s">
        <v>252</v>
      </c>
      <c r="H1160" s="1011"/>
      <c r="I1160" s="1011"/>
      <c r="J1160" s="1010"/>
    </row>
    <row r="1161" spans="1:10" x14ac:dyDescent="0.3">
      <c r="A1161" s="936"/>
      <c r="B1161" s="939"/>
      <c r="C1161" s="1003"/>
      <c r="D1161" s="1006"/>
      <c r="E1161" s="947" t="s">
        <v>95</v>
      </c>
      <c r="F1161" s="949" t="s">
        <v>96</v>
      </c>
      <c r="G1161" s="1012" t="s">
        <v>97</v>
      </c>
      <c r="H1161" s="1014" t="s">
        <v>98</v>
      </c>
      <c r="I1161" s="1014" t="s">
        <v>98</v>
      </c>
      <c r="J1161" s="1016" t="s">
        <v>12</v>
      </c>
    </row>
    <row r="1162" spans="1:10" ht="14.4" thickBot="1" x14ac:dyDescent="0.35">
      <c r="A1162" s="937"/>
      <c r="B1162" s="940"/>
      <c r="C1162" s="1004"/>
      <c r="D1162" s="1007"/>
      <c r="E1162" s="948"/>
      <c r="F1162" s="950"/>
      <c r="G1162" s="1013"/>
      <c r="H1162" s="1015"/>
      <c r="I1162" s="1015"/>
      <c r="J1162" s="1017"/>
    </row>
    <row r="1163" spans="1:10" ht="23.4" x14ac:dyDescent="0.3">
      <c r="A1163" s="996" t="s">
        <v>111</v>
      </c>
      <c r="B1163" s="445"/>
      <c r="C1163" s="592" t="s">
        <v>300</v>
      </c>
      <c r="D1163" s="449" t="s">
        <v>292</v>
      </c>
      <c r="E1163" s="273">
        <v>0</v>
      </c>
      <c r="F1163" s="441">
        <f>E1163+F1081</f>
        <v>0</v>
      </c>
      <c r="G1163" s="593">
        <v>111.09</v>
      </c>
      <c r="H1163" s="609">
        <f t="shared" ref="H1163:H1176" si="237">E1163*G1163</f>
        <v>0</v>
      </c>
      <c r="I1163" s="612">
        <f>+G1163*F1163</f>
        <v>0</v>
      </c>
      <c r="J1163" s="357"/>
    </row>
    <row r="1164" spans="1:10" ht="23.4" x14ac:dyDescent="0.3">
      <c r="A1164" s="997"/>
      <c r="B1164" s="444"/>
      <c r="C1164" s="448" t="s">
        <v>293</v>
      </c>
      <c r="D1164" s="447" t="s">
        <v>294</v>
      </c>
      <c r="E1164" s="279">
        <v>0</v>
      </c>
      <c r="F1164" s="441">
        <f t="shared" ref="F1164:F1176" si="238">E1164+F1082</f>
        <v>0</v>
      </c>
      <c r="G1164" s="594">
        <v>11</v>
      </c>
      <c r="H1164" s="610">
        <f t="shared" si="237"/>
        <v>0</v>
      </c>
      <c r="I1164" s="613">
        <f>+G1164*F1164</f>
        <v>0</v>
      </c>
      <c r="J1164" s="358"/>
    </row>
    <row r="1165" spans="1:10" ht="23.4" x14ac:dyDescent="0.3">
      <c r="A1165" s="997"/>
      <c r="B1165" s="444"/>
      <c r="C1165" s="448" t="s">
        <v>332</v>
      </c>
      <c r="D1165" s="447" t="s">
        <v>466</v>
      </c>
      <c r="E1165" s="279">
        <v>0</v>
      </c>
      <c r="F1165" s="441">
        <f t="shared" si="238"/>
        <v>960</v>
      </c>
      <c r="G1165" s="594">
        <v>139.04</v>
      </c>
      <c r="H1165" s="610">
        <f t="shared" si="237"/>
        <v>0</v>
      </c>
      <c r="I1165" s="613">
        <f t="shared" ref="I1165:I1176" si="239">+G1165*F1165</f>
        <v>133478.39999999999</v>
      </c>
      <c r="J1165" s="358"/>
    </row>
    <row r="1166" spans="1:10" ht="23.4" x14ac:dyDescent="0.3">
      <c r="A1166" s="997"/>
      <c r="B1166" s="444"/>
      <c r="C1166" s="448" t="s">
        <v>449</v>
      </c>
      <c r="D1166" s="447" t="s">
        <v>450</v>
      </c>
      <c r="E1166" s="279">
        <v>30600</v>
      </c>
      <c r="F1166" s="441">
        <f t="shared" si="238"/>
        <v>367200</v>
      </c>
      <c r="G1166" s="594">
        <v>20.5</v>
      </c>
      <c r="H1166" s="610">
        <f t="shared" si="237"/>
        <v>627300</v>
      </c>
      <c r="I1166" s="613">
        <f t="shared" si="239"/>
        <v>7527600</v>
      </c>
      <c r="J1166" s="358"/>
    </row>
    <row r="1167" spans="1:10" ht="23.4" x14ac:dyDescent="0.3">
      <c r="A1167" s="997"/>
      <c r="B1167" s="444"/>
      <c r="C1167" s="448" t="s">
        <v>323</v>
      </c>
      <c r="D1167" s="447" t="s">
        <v>192</v>
      </c>
      <c r="E1167" s="279">
        <v>0</v>
      </c>
      <c r="F1167" s="441">
        <f t="shared" si="238"/>
        <v>219648</v>
      </c>
      <c r="G1167" s="594">
        <v>14.79</v>
      </c>
      <c r="H1167" s="610">
        <f t="shared" si="237"/>
        <v>0</v>
      </c>
      <c r="I1167" s="613">
        <f t="shared" si="239"/>
        <v>3248593.92</v>
      </c>
      <c r="J1167" s="358"/>
    </row>
    <row r="1168" spans="1:10" ht="23.4" x14ac:dyDescent="0.3">
      <c r="A1168" s="997"/>
      <c r="B1168" s="444"/>
      <c r="C1168" s="448" t="s">
        <v>332</v>
      </c>
      <c r="D1168" s="447" t="s">
        <v>294</v>
      </c>
      <c r="E1168" s="279">
        <v>0</v>
      </c>
      <c r="F1168" s="441">
        <f t="shared" si="238"/>
        <v>960</v>
      </c>
      <c r="G1168" s="594">
        <v>139.04</v>
      </c>
      <c r="H1168" s="610">
        <f t="shared" si="237"/>
        <v>0</v>
      </c>
      <c r="I1168" s="613">
        <f t="shared" si="239"/>
        <v>133478.39999999999</v>
      </c>
      <c r="J1168" s="358"/>
    </row>
    <row r="1169" spans="1:10" ht="23.4" x14ac:dyDescent="0.3">
      <c r="A1169" s="997"/>
      <c r="B1169" s="444"/>
      <c r="C1169" s="448" t="s">
        <v>384</v>
      </c>
      <c r="D1169" s="623" t="s">
        <v>447</v>
      </c>
      <c r="E1169" s="279">
        <v>0</v>
      </c>
      <c r="F1169" s="441">
        <f t="shared" si="238"/>
        <v>99364</v>
      </c>
      <c r="G1169" s="594">
        <v>20.5</v>
      </c>
      <c r="H1169" s="610">
        <f t="shared" si="237"/>
        <v>0</v>
      </c>
      <c r="I1169" s="613">
        <f t="shared" si="239"/>
        <v>2036962</v>
      </c>
      <c r="J1169" s="358"/>
    </row>
    <row r="1170" spans="1:10" ht="23.4" x14ac:dyDescent="0.3">
      <c r="A1170" s="997"/>
      <c r="B1170" s="444"/>
      <c r="C1170" s="448" t="s">
        <v>362</v>
      </c>
      <c r="D1170" s="623" t="s">
        <v>294</v>
      </c>
      <c r="E1170" s="279">
        <v>0</v>
      </c>
      <c r="F1170" s="441">
        <f t="shared" si="238"/>
        <v>16524</v>
      </c>
      <c r="G1170" s="594">
        <v>18.84</v>
      </c>
      <c r="H1170" s="610">
        <f t="shared" si="237"/>
        <v>0</v>
      </c>
      <c r="I1170" s="613">
        <f t="shared" si="239"/>
        <v>311312.15999999997</v>
      </c>
      <c r="J1170" s="358"/>
    </row>
    <row r="1171" spans="1:10" ht="23.4" x14ac:dyDescent="0.3">
      <c r="A1171" s="997"/>
      <c r="B1171" s="444"/>
      <c r="C1171" s="448" t="s">
        <v>376</v>
      </c>
      <c r="D1171" s="623" t="s">
        <v>257</v>
      </c>
      <c r="E1171" s="279">
        <v>0</v>
      </c>
      <c r="F1171" s="441">
        <f t="shared" si="238"/>
        <v>528623</v>
      </c>
      <c r="G1171" s="594">
        <v>21.18</v>
      </c>
      <c r="H1171" s="610">
        <f t="shared" si="237"/>
        <v>0</v>
      </c>
      <c r="I1171" s="613">
        <f t="shared" si="239"/>
        <v>11196235.140000001</v>
      </c>
      <c r="J1171" s="358"/>
    </row>
    <row r="1172" spans="1:10" ht="23.4" x14ac:dyDescent="0.3">
      <c r="A1172" s="997"/>
      <c r="B1172" s="444"/>
      <c r="C1172" s="448" t="s">
        <v>378</v>
      </c>
      <c r="D1172" s="623" t="s">
        <v>379</v>
      </c>
      <c r="E1172" s="279">
        <v>0</v>
      </c>
      <c r="F1172" s="441">
        <f t="shared" si="238"/>
        <v>65690</v>
      </c>
      <c r="G1172" s="594">
        <v>21.28</v>
      </c>
      <c r="H1172" s="610">
        <f t="shared" si="237"/>
        <v>0</v>
      </c>
      <c r="I1172" s="613">
        <f t="shared" si="239"/>
        <v>1397883.2000000002</v>
      </c>
      <c r="J1172" s="358"/>
    </row>
    <row r="1173" spans="1:10" ht="23.4" x14ac:dyDescent="0.3">
      <c r="A1173" s="997"/>
      <c r="B1173" s="444"/>
      <c r="C1173" s="448" t="s">
        <v>332</v>
      </c>
      <c r="D1173" s="623" t="s">
        <v>447</v>
      </c>
      <c r="E1173" s="279">
        <v>0</v>
      </c>
      <c r="F1173" s="441">
        <f t="shared" si="238"/>
        <v>9920</v>
      </c>
      <c r="G1173" s="594">
        <v>139.04</v>
      </c>
      <c r="H1173" s="610">
        <f t="shared" si="237"/>
        <v>0</v>
      </c>
      <c r="I1173" s="613">
        <f t="shared" si="239"/>
        <v>1379276.7999999998</v>
      </c>
      <c r="J1173" s="358"/>
    </row>
    <row r="1174" spans="1:10" ht="23.4" x14ac:dyDescent="0.3">
      <c r="A1174" s="997"/>
      <c r="B1174" s="444"/>
      <c r="C1174" s="448" t="s">
        <v>470</v>
      </c>
      <c r="D1174" s="447" t="s">
        <v>192</v>
      </c>
      <c r="E1174" s="279">
        <v>0</v>
      </c>
      <c r="F1174" s="441">
        <f t="shared" si="238"/>
        <v>194304</v>
      </c>
      <c r="G1174" s="594">
        <v>14.55</v>
      </c>
      <c r="H1174" s="610">
        <f t="shared" si="237"/>
        <v>0</v>
      </c>
      <c r="I1174" s="613">
        <f t="shared" si="239"/>
        <v>2827123.2</v>
      </c>
      <c r="J1174" s="358"/>
    </row>
    <row r="1175" spans="1:10" ht="23.4" x14ac:dyDescent="0.3">
      <c r="A1175" s="997"/>
      <c r="B1175" s="444"/>
      <c r="C1175" s="448" t="s">
        <v>384</v>
      </c>
      <c r="D1175" s="623" t="s">
        <v>206</v>
      </c>
      <c r="E1175" s="279">
        <v>0</v>
      </c>
      <c r="F1175" s="441">
        <f t="shared" si="238"/>
        <v>0</v>
      </c>
      <c r="G1175" s="594">
        <v>21.28</v>
      </c>
      <c r="H1175" s="610">
        <f t="shared" si="237"/>
        <v>0</v>
      </c>
      <c r="I1175" s="613">
        <f t="shared" si="239"/>
        <v>0</v>
      </c>
      <c r="J1175" s="358"/>
    </row>
    <row r="1176" spans="1:10" ht="24" thickBot="1" x14ac:dyDescent="0.35">
      <c r="A1176" s="997"/>
      <c r="B1176" s="444"/>
      <c r="C1176" s="448" t="s">
        <v>400</v>
      </c>
      <c r="D1176" s="450" t="s">
        <v>193</v>
      </c>
      <c r="E1176" s="279">
        <v>0</v>
      </c>
      <c r="F1176" s="441">
        <f t="shared" si="238"/>
        <v>1186</v>
      </c>
      <c r="G1176" s="594">
        <v>36.44</v>
      </c>
      <c r="H1176" s="610">
        <f t="shared" si="237"/>
        <v>0</v>
      </c>
      <c r="I1176" s="613">
        <f t="shared" si="239"/>
        <v>43217.84</v>
      </c>
      <c r="J1176" s="358"/>
    </row>
    <row r="1177" spans="1:10" ht="24" thickBot="1" x14ac:dyDescent="0.35">
      <c r="A1177" s="997"/>
      <c r="B1177" s="992" t="s">
        <v>295</v>
      </c>
      <c r="C1177" s="993"/>
      <c r="D1177" s="834"/>
      <c r="E1177" s="332"/>
      <c r="F1177" s="333"/>
      <c r="G1177" s="332"/>
      <c r="H1177" s="605">
        <f>SUM(H1163:H1176)</f>
        <v>627300</v>
      </c>
      <c r="I1177" s="597">
        <f>SUM(I1163:I1176)</f>
        <v>30235161.060000002</v>
      </c>
      <c r="J1177" s="355"/>
    </row>
    <row r="1178" spans="1:10" ht="23.4" x14ac:dyDescent="0.3">
      <c r="A1178" s="997"/>
      <c r="B1178" s="832"/>
      <c r="C1178" s="282" t="s">
        <v>301</v>
      </c>
      <c r="D1178" s="440" t="s">
        <v>263</v>
      </c>
      <c r="E1178" s="283">
        <v>5250</v>
      </c>
      <c r="F1178" s="323">
        <f t="shared" ref="F1178:F1188" si="240">E1178+F1096</f>
        <v>83250</v>
      </c>
      <c r="G1178" s="595">
        <v>160.44999999999999</v>
      </c>
      <c r="H1178" s="611">
        <f t="shared" ref="H1178:H1188" si="241">E1178*G1178</f>
        <v>842362.49999999988</v>
      </c>
      <c r="I1178" s="614">
        <f t="shared" ref="I1178:I1188" si="242">+G1178*F1178</f>
        <v>13357462.499999998</v>
      </c>
      <c r="J1178" s="379"/>
    </row>
    <row r="1179" spans="1:10" ht="23.4" x14ac:dyDescent="0.3">
      <c r="A1179" s="997"/>
      <c r="B1179" s="832"/>
      <c r="C1179" s="282" t="s">
        <v>317</v>
      </c>
      <c r="D1179" s="440" t="s">
        <v>263</v>
      </c>
      <c r="E1179" s="283">
        <v>0</v>
      </c>
      <c r="F1179" s="323">
        <f t="shared" si="240"/>
        <v>6750</v>
      </c>
      <c r="G1179" s="595">
        <v>160.44999999999999</v>
      </c>
      <c r="H1179" s="611">
        <f t="shared" si="241"/>
        <v>0</v>
      </c>
      <c r="I1179" s="614">
        <f t="shared" si="242"/>
        <v>1083037.5</v>
      </c>
      <c r="J1179" s="379"/>
    </row>
    <row r="1180" spans="1:10" ht="23.4" x14ac:dyDescent="0.3">
      <c r="A1180" s="997"/>
      <c r="B1180" s="832"/>
      <c r="C1180" s="282" t="s">
        <v>318</v>
      </c>
      <c r="D1180" s="440" t="s">
        <v>263</v>
      </c>
      <c r="E1180" s="283">
        <v>0</v>
      </c>
      <c r="F1180" s="323">
        <f t="shared" si="240"/>
        <v>3375</v>
      </c>
      <c r="G1180" s="595">
        <v>160.44999999999999</v>
      </c>
      <c r="H1180" s="611">
        <f t="shared" si="241"/>
        <v>0</v>
      </c>
      <c r="I1180" s="614">
        <f t="shared" si="242"/>
        <v>541518.75</v>
      </c>
      <c r="J1180" s="379"/>
    </row>
    <row r="1181" spans="1:10" ht="23.4" x14ac:dyDescent="0.3">
      <c r="A1181" s="997"/>
      <c r="B1181" s="832"/>
      <c r="C1181" s="282" t="s">
        <v>321</v>
      </c>
      <c r="D1181" s="440" t="s">
        <v>100</v>
      </c>
      <c r="E1181" s="283">
        <v>0</v>
      </c>
      <c r="F1181" s="323">
        <f t="shared" si="240"/>
        <v>0</v>
      </c>
      <c r="G1181" s="595">
        <v>27</v>
      </c>
      <c r="H1181" s="611">
        <f t="shared" si="241"/>
        <v>0</v>
      </c>
      <c r="I1181" s="614">
        <f t="shared" si="242"/>
        <v>0</v>
      </c>
      <c r="J1181" s="379"/>
    </row>
    <row r="1182" spans="1:10" ht="23.4" x14ac:dyDescent="0.3">
      <c r="A1182" s="997"/>
      <c r="B1182" s="832"/>
      <c r="C1182" s="282" t="s">
        <v>321</v>
      </c>
      <c r="D1182" s="440" t="s">
        <v>329</v>
      </c>
      <c r="E1182" s="283">
        <v>79200</v>
      </c>
      <c r="F1182" s="323">
        <f t="shared" si="240"/>
        <v>79200</v>
      </c>
      <c r="G1182" s="595">
        <v>27.5</v>
      </c>
      <c r="H1182" s="611">
        <f t="shared" si="241"/>
        <v>2178000</v>
      </c>
      <c r="I1182" s="614">
        <f t="shared" si="242"/>
        <v>2178000</v>
      </c>
      <c r="J1182" s="379"/>
    </row>
    <row r="1183" spans="1:10" ht="23.4" x14ac:dyDescent="0.3">
      <c r="A1183" s="997"/>
      <c r="B1183" s="832"/>
      <c r="C1183" s="282" t="s">
        <v>307</v>
      </c>
      <c r="D1183" s="440" t="s">
        <v>329</v>
      </c>
      <c r="E1183" s="283">
        <v>2640</v>
      </c>
      <c r="F1183" s="323">
        <f t="shared" si="240"/>
        <v>2640</v>
      </c>
      <c r="G1183" s="595">
        <v>34.5</v>
      </c>
      <c r="H1183" s="611">
        <f t="shared" si="241"/>
        <v>91080</v>
      </c>
      <c r="I1183" s="614">
        <f t="shared" si="242"/>
        <v>91080</v>
      </c>
      <c r="J1183" s="379"/>
    </row>
    <row r="1184" spans="1:10" ht="23.4" x14ac:dyDescent="0.3">
      <c r="A1184" s="997"/>
      <c r="B1184" s="832"/>
      <c r="C1184" s="282" t="s">
        <v>342</v>
      </c>
      <c r="D1184" s="440" t="s">
        <v>263</v>
      </c>
      <c r="E1184" s="283">
        <v>6941</v>
      </c>
      <c r="F1184" s="323">
        <f t="shared" si="240"/>
        <v>23191</v>
      </c>
      <c r="G1184" s="595">
        <v>160.44999999999999</v>
      </c>
      <c r="H1184" s="611">
        <f t="shared" si="241"/>
        <v>1113683.45</v>
      </c>
      <c r="I1184" s="614">
        <f t="shared" si="242"/>
        <v>3720995.9499999997</v>
      </c>
      <c r="J1184" s="379"/>
    </row>
    <row r="1185" spans="1:10" ht="23.4" x14ac:dyDescent="0.3">
      <c r="A1185" s="997"/>
      <c r="B1185" s="832"/>
      <c r="C1185" s="282" t="s">
        <v>438</v>
      </c>
      <c r="D1185" s="440" t="s">
        <v>263</v>
      </c>
      <c r="E1185" s="283">
        <v>0</v>
      </c>
      <c r="F1185" s="323">
        <f t="shared" si="240"/>
        <v>7000</v>
      </c>
      <c r="G1185" s="595">
        <v>160.44999999999999</v>
      </c>
      <c r="H1185" s="611">
        <f t="shared" si="241"/>
        <v>0</v>
      </c>
      <c r="I1185" s="614">
        <f t="shared" si="242"/>
        <v>1123150</v>
      </c>
      <c r="J1185" s="379"/>
    </row>
    <row r="1186" spans="1:10" ht="23.4" x14ac:dyDescent="0.3">
      <c r="A1186" s="997"/>
      <c r="B1186" s="832"/>
      <c r="C1186" s="282" t="s">
        <v>357</v>
      </c>
      <c r="D1186" s="440" t="s">
        <v>263</v>
      </c>
      <c r="E1186" s="283">
        <v>0</v>
      </c>
      <c r="F1186" s="323">
        <f t="shared" si="240"/>
        <v>19625</v>
      </c>
      <c r="G1186" s="595">
        <v>160.44999999999999</v>
      </c>
      <c r="H1186" s="611">
        <f t="shared" si="241"/>
        <v>0</v>
      </c>
      <c r="I1186" s="614">
        <f t="shared" si="242"/>
        <v>3148831.25</v>
      </c>
      <c r="J1186" s="379"/>
    </row>
    <row r="1187" spans="1:10" ht="23.4" x14ac:dyDescent="0.3">
      <c r="A1187" s="997"/>
      <c r="B1187" s="832"/>
      <c r="C1187" s="282" t="s">
        <v>358</v>
      </c>
      <c r="D1187" s="440" t="s">
        <v>263</v>
      </c>
      <c r="E1187" s="283">
        <v>0</v>
      </c>
      <c r="F1187" s="323">
        <f t="shared" si="240"/>
        <v>11750</v>
      </c>
      <c r="G1187" s="595">
        <v>160.44999999999999</v>
      </c>
      <c r="H1187" s="611">
        <f t="shared" si="241"/>
        <v>0</v>
      </c>
      <c r="I1187" s="614">
        <f t="shared" si="242"/>
        <v>1885287.4999999998</v>
      </c>
      <c r="J1187" s="379"/>
    </row>
    <row r="1188" spans="1:10" ht="24" thickBot="1" x14ac:dyDescent="0.35">
      <c r="A1188" s="997"/>
      <c r="B1188" s="832"/>
      <c r="C1188" s="282" t="s">
        <v>353</v>
      </c>
      <c r="D1188" s="440" t="s">
        <v>263</v>
      </c>
      <c r="E1188" s="283">
        <v>0</v>
      </c>
      <c r="F1188" s="323">
        <f t="shared" si="240"/>
        <v>2200</v>
      </c>
      <c r="G1188" s="595">
        <v>160.44999999999999</v>
      </c>
      <c r="H1188" s="611">
        <f t="shared" si="241"/>
        <v>0</v>
      </c>
      <c r="I1188" s="614">
        <f t="shared" si="242"/>
        <v>352990</v>
      </c>
      <c r="J1188" s="379"/>
    </row>
    <row r="1189" spans="1:10" ht="24" thickBot="1" x14ac:dyDescent="0.35">
      <c r="A1189" s="997"/>
      <c r="B1189" s="992" t="s">
        <v>296</v>
      </c>
      <c r="C1189" s="993"/>
      <c r="D1189" s="834"/>
      <c r="E1189" s="332"/>
      <c r="F1189" s="333"/>
      <c r="G1189" s="332"/>
      <c r="H1189" s="605">
        <f>SUM(H1178:H1188)</f>
        <v>4225125.95</v>
      </c>
      <c r="I1189" s="597">
        <f>SUM(I1178:I1188)</f>
        <v>27482353.449999999</v>
      </c>
      <c r="J1189" s="355"/>
    </row>
    <row r="1190" spans="1:10" ht="23.4" x14ac:dyDescent="0.3">
      <c r="A1190" s="997"/>
      <c r="B1190" s="832"/>
      <c r="C1190" s="282" t="s">
        <v>303</v>
      </c>
      <c r="D1190" s="440"/>
      <c r="E1190" s="283">
        <v>0</v>
      </c>
      <c r="F1190" s="598">
        <f t="shared" ref="F1190:F1192" si="243">E1190+F1108</f>
        <v>0</v>
      </c>
      <c r="G1190" s="595">
        <v>10</v>
      </c>
      <c r="H1190" s="611">
        <f t="shared" ref="H1190:H1192" si="244">E1190*G1190</f>
        <v>0</v>
      </c>
      <c r="I1190" s="614">
        <f t="shared" ref="I1190" si="245">+G1190*F1190</f>
        <v>0</v>
      </c>
      <c r="J1190" s="379"/>
    </row>
    <row r="1191" spans="1:10" ht="23.4" x14ac:dyDescent="0.3">
      <c r="A1191" s="997"/>
      <c r="B1191" s="832"/>
      <c r="C1191" s="282" t="s">
        <v>308</v>
      </c>
      <c r="D1191" s="440" t="s">
        <v>309</v>
      </c>
      <c r="E1191" s="283">
        <v>4</v>
      </c>
      <c r="F1191" s="598">
        <f t="shared" si="243"/>
        <v>13</v>
      </c>
      <c r="G1191" s="595">
        <v>2500</v>
      </c>
      <c r="H1191" s="611">
        <f t="shared" si="244"/>
        <v>10000</v>
      </c>
      <c r="I1191" s="614">
        <f>+G1191*F1191</f>
        <v>32500</v>
      </c>
      <c r="J1191" s="379"/>
    </row>
    <row r="1192" spans="1:10" ht="24" thickBot="1" x14ac:dyDescent="0.35">
      <c r="A1192" s="997"/>
      <c r="B1192" s="832"/>
      <c r="C1192" s="282" t="s">
        <v>343</v>
      </c>
      <c r="D1192" s="440" t="s">
        <v>344</v>
      </c>
      <c r="E1192" s="283">
        <v>0</v>
      </c>
      <c r="F1192" s="598">
        <f t="shared" si="243"/>
        <v>0</v>
      </c>
      <c r="G1192" s="596">
        <v>360</v>
      </c>
      <c r="H1192" s="611">
        <f t="shared" si="244"/>
        <v>0</v>
      </c>
      <c r="I1192" s="614">
        <f t="shared" ref="I1192" si="246">+G1192*F1192</f>
        <v>0</v>
      </c>
      <c r="J1192" s="379"/>
    </row>
    <row r="1193" spans="1:10" ht="24" thickBot="1" x14ac:dyDescent="0.35">
      <c r="A1193" s="997"/>
      <c r="B1193" s="992" t="s">
        <v>302</v>
      </c>
      <c r="C1193" s="993"/>
      <c r="D1193" s="834"/>
      <c r="E1193" s="332"/>
      <c r="F1193" s="333"/>
      <c r="G1193" s="332"/>
      <c r="H1193" s="605">
        <f>SUM(H1190:H1192)</f>
        <v>10000</v>
      </c>
      <c r="I1193" s="597">
        <f>SUM(I1190:I1192)</f>
        <v>32500</v>
      </c>
      <c r="J1193" s="379"/>
    </row>
    <row r="1194" spans="1:10" ht="24" thickBot="1" x14ac:dyDescent="0.35">
      <c r="A1194" s="997"/>
      <c r="B1194" s="832"/>
      <c r="C1194" s="282"/>
      <c r="D1194" s="440"/>
      <c r="E1194" s="283"/>
      <c r="F1194" s="323"/>
      <c r="G1194" s="596"/>
      <c r="H1194" s="606"/>
      <c r="I1194" s="285">
        <f t="shared" ref="I1194" si="247">+G1194*F1194</f>
        <v>0</v>
      </c>
      <c r="J1194" s="379"/>
    </row>
    <row r="1195" spans="1:10" ht="24" thickBot="1" x14ac:dyDescent="0.35">
      <c r="A1195" s="998"/>
      <c r="B1195" s="992" t="s">
        <v>298</v>
      </c>
      <c r="C1195" s="993"/>
      <c r="D1195" s="830"/>
      <c r="E1195" s="332"/>
      <c r="F1195" s="333"/>
      <c r="G1195" s="332"/>
      <c r="H1195" s="597">
        <f>+H1189+H1177+H1193</f>
        <v>4862425.95</v>
      </c>
      <c r="I1195" s="597">
        <f>+I1189+I1177+I1193</f>
        <v>57750014.510000005</v>
      </c>
      <c r="J1195" s="379"/>
    </row>
    <row r="1196" spans="1:10" ht="23.4" x14ac:dyDescent="0.3">
      <c r="A1196" s="996" t="s">
        <v>109</v>
      </c>
      <c r="B1196" s="832"/>
      <c r="C1196" s="282" t="s">
        <v>312</v>
      </c>
      <c r="D1196" s="440" t="s">
        <v>193</v>
      </c>
      <c r="E1196" s="283">
        <v>0</v>
      </c>
      <c r="F1196" s="323">
        <f t="shared" ref="F1196:F1215" si="248">E1196+F1114</f>
        <v>7956</v>
      </c>
      <c r="G1196" s="621">
        <v>13.25</v>
      </c>
      <c r="H1196" s="615">
        <f t="shared" ref="H1196:H1215" si="249">E1196*G1196</f>
        <v>0</v>
      </c>
      <c r="I1196" s="614">
        <f t="shared" ref="I1196:I1215" si="250">+G1196*F1196</f>
        <v>105417</v>
      </c>
      <c r="J1196" s="379"/>
    </row>
    <row r="1197" spans="1:10" ht="23.4" x14ac:dyDescent="0.3">
      <c r="A1197" s="997"/>
      <c r="B1197" s="832"/>
      <c r="C1197" s="282" t="s">
        <v>313</v>
      </c>
      <c r="D1197" s="440"/>
      <c r="E1197" s="283">
        <v>0</v>
      </c>
      <c r="F1197" s="323">
        <f t="shared" si="248"/>
        <v>1</v>
      </c>
      <c r="G1197" s="622">
        <v>10000</v>
      </c>
      <c r="H1197" s="615">
        <f t="shared" si="249"/>
        <v>0</v>
      </c>
      <c r="I1197" s="614">
        <f t="shared" si="250"/>
        <v>10000</v>
      </c>
      <c r="J1197" s="379"/>
    </row>
    <row r="1198" spans="1:10" ht="23.4" x14ac:dyDescent="0.3">
      <c r="A1198" s="997"/>
      <c r="B1198" s="832"/>
      <c r="C1198" s="282" t="s">
        <v>313</v>
      </c>
      <c r="D1198" s="440"/>
      <c r="E1198" s="283">
        <v>0</v>
      </c>
      <c r="F1198" s="323">
        <f t="shared" si="248"/>
        <v>2</v>
      </c>
      <c r="G1198" s="622">
        <v>18000</v>
      </c>
      <c r="H1198" s="615">
        <f t="shared" si="249"/>
        <v>0</v>
      </c>
      <c r="I1198" s="614">
        <f t="shared" si="250"/>
        <v>36000</v>
      </c>
      <c r="J1198" s="379"/>
    </row>
    <row r="1199" spans="1:10" ht="23.4" x14ac:dyDescent="0.3">
      <c r="A1199" s="997"/>
      <c r="B1199" s="832"/>
      <c r="C1199" s="282" t="s">
        <v>328</v>
      </c>
      <c r="D1199" s="440" t="s">
        <v>193</v>
      </c>
      <c r="E1199" s="283">
        <v>0</v>
      </c>
      <c r="F1199" s="323">
        <f t="shared" si="248"/>
        <v>0</v>
      </c>
      <c r="G1199" s="621">
        <v>24.93</v>
      </c>
      <c r="H1199" s="615">
        <f t="shared" si="249"/>
        <v>0</v>
      </c>
      <c r="I1199" s="614">
        <f t="shared" si="250"/>
        <v>0</v>
      </c>
      <c r="J1199" s="379"/>
    </row>
    <row r="1200" spans="1:10" ht="23.4" x14ac:dyDescent="0.3">
      <c r="A1200" s="997"/>
      <c r="B1200" s="832"/>
      <c r="C1200" s="282" t="s">
        <v>335</v>
      </c>
      <c r="D1200" s="440" t="s">
        <v>99</v>
      </c>
      <c r="E1200" s="283">
        <v>0</v>
      </c>
      <c r="F1200" s="323">
        <f t="shared" si="248"/>
        <v>0</v>
      </c>
      <c r="G1200" s="621">
        <v>26</v>
      </c>
      <c r="H1200" s="615">
        <f t="shared" si="249"/>
        <v>0</v>
      </c>
      <c r="I1200" s="614">
        <f t="shared" si="250"/>
        <v>0</v>
      </c>
      <c r="J1200" s="379"/>
    </row>
    <row r="1201" spans="1:10" ht="23.4" x14ac:dyDescent="0.3">
      <c r="A1201" s="997"/>
      <c r="B1201" s="832"/>
      <c r="C1201" s="282" t="s">
        <v>336</v>
      </c>
      <c r="D1201" s="440" t="s">
        <v>193</v>
      </c>
      <c r="E1201" s="283">
        <v>0</v>
      </c>
      <c r="F1201" s="323">
        <f t="shared" si="248"/>
        <v>0</v>
      </c>
      <c r="G1201" s="621">
        <v>25.49</v>
      </c>
      <c r="H1201" s="615">
        <f t="shared" si="249"/>
        <v>0</v>
      </c>
      <c r="I1201" s="614">
        <f t="shared" si="250"/>
        <v>0</v>
      </c>
      <c r="J1201" s="379"/>
    </row>
    <row r="1202" spans="1:10" ht="23.4" x14ac:dyDescent="0.3">
      <c r="A1202" s="997"/>
      <c r="B1202" s="832"/>
      <c r="C1202" s="282" t="s">
        <v>337</v>
      </c>
      <c r="D1202" s="440" t="s">
        <v>115</v>
      </c>
      <c r="E1202" s="283">
        <v>0</v>
      </c>
      <c r="F1202" s="323">
        <f t="shared" si="248"/>
        <v>0</v>
      </c>
      <c r="G1202" s="621">
        <v>24.93</v>
      </c>
      <c r="H1202" s="615">
        <f t="shared" si="249"/>
        <v>0</v>
      </c>
      <c r="I1202" s="614">
        <f t="shared" si="250"/>
        <v>0</v>
      </c>
      <c r="J1202" s="379"/>
    </row>
    <row r="1203" spans="1:10" ht="23.4" x14ac:dyDescent="0.3">
      <c r="A1203" s="997"/>
      <c r="B1203" s="832"/>
      <c r="C1203" s="282" t="s">
        <v>338</v>
      </c>
      <c r="D1203" s="440" t="s">
        <v>311</v>
      </c>
      <c r="E1203" s="283">
        <v>0</v>
      </c>
      <c r="F1203" s="323">
        <f t="shared" si="248"/>
        <v>0</v>
      </c>
      <c r="G1203" s="621">
        <v>24.93</v>
      </c>
      <c r="H1203" s="615">
        <f t="shared" si="249"/>
        <v>0</v>
      </c>
      <c r="I1203" s="614">
        <f t="shared" si="250"/>
        <v>0</v>
      </c>
      <c r="J1203" s="379"/>
    </row>
    <row r="1204" spans="1:10" ht="23.4" x14ac:dyDescent="0.3">
      <c r="A1204" s="997"/>
      <c r="B1204" s="832"/>
      <c r="C1204" s="282" t="s">
        <v>339</v>
      </c>
      <c r="D1204" s="440" t="s">
        <v>99</v>
      </c>
      <c r="E1204" s="283">
        <v>0</v>
      </c>
      <c r="F1204" s="323">
        <f t="shared" si="248"/>
        <v>0</v>
      </c>
      <c r="G1204" s="621">
        <v>20.89</v>
      </c>
      <c r="H1204" s="615">
        <f t="shared" si="249"/>
        <v>0</v>
      </c>
      <c r="I1204" s="614">
        <f t="shared" si="250"/>
        <v>0</v>
      </c>
      <c r="J1204" s="379"/>
    </row>
    <row r="1205" spans="1:10" ht="23.4" x14ac:dyDescent="0.3">
      <c r="A1205" s="997"/>
      <c r="B1205" s="832"/>
      <c r="C1205" s="282" t="s">
        <v>445</v>
      </c>
      <c r="D1205" s="440" t="s">
        <v>350</v>
      </c>
      <c r="E1205" s="283">
        <v>0</v>
      </c>
      <c r="F1205" s="323">
        <f t="shared" si="248"/>
        <v>56160</v>
      </c>
      <c r="G1205" s="621">
        <v>37.11</v>
      </c>
      <c r="H1205" s="615">
        <f t="shared" si="249"/>
        <v>0</v>
      </c>
      <c r="I1205" s="614">
        <f t="shared" si="250"/>
        <v>2084097.5999999999</v>
      </c>
      <c r="J1205" s="379"/>
    </row>
    <row r="1206" spans="1:10" ht="23.4" x14ac:dyDescent="0.3">
      <c r="A1206" s="997"/>
      <c r="B1206" s="832"/>
      <c r="C1206" s="282" t="s">
        <v>446</v>
      </c>
      <c r="D1206" s="440" t="s">
        <v>350</v>
      </c>
      <c r="E1206" s="283">
        <v>0</v>
      </c>
      <c r="F1206" s="323">
        <f t="shared" si="248"/>
        <v>13104</v>
      </c>
      <c r="G1206" s="621">
        <v>37.89</v>
      </c>
      <c r="H1206" s="615">
        <f t="shared" si="249"/>
        <v>0</v>
      </c>
      <c r="I1206" s="614">
        <f t="shared" si="250"/>
        <v>496510.56</v>
      </c>
      <c r="J1206" s="379"/>
    </row>
    <row r="1207" spans="1:10" ht="23.4" x14ac:dyDescent="0.3">
      <c r="A1207" s="997"/>
      <c r="B1207" s="832"/>
      <c r="C1207" s="282" t="s">
        <v>337</v>
      </c>
      <c r="D1207" s="440" t="s">
        <v>310</v>
      </c>
      <c r="E1207" s="283">
        <v>0</v>
      </c>
      <c r="F1207" s="323">
        <f t="shared" si="248"/>
        <v>0</v>
      </c>
      <c r="G1207" s="621">
        <v>24.93</v>
      </c>
      <c r="H1207" s="615">
        <f t="shared" si="249"/>
        <v>0</v>
      </c>
      <c r="I1207" s="614">
        <f t="shared" si="250"/>
        <v>0</v>
      </c>
      <c r="J1207" s="379"/>
    </row>
    <row r="1208" spans="1:10" ht="23.4" x14ac:dyDescent="0.3">
      <c r="A1208" s="997"/>
      <c r="B1208" s="832"/>
      <c r="C1208" s="282" t="s">
        <v>469</v>
      </c>
      <c r="D1208" s="440" t="s">
        <v>404</v>
      </c>
      <c r="E1208" s="283">
        <v>0</v>
      </c>
      <c r="F1208" s="323">
        <f t="shared" si="248"/>
        <v>218790</v>
      </c>
      <c r="G1208" s="621">
        <v>24.93</v>
      </c>
      <c r="H1208" s="615">
        <f t="shared" si="249"/>
        <v>0</v>
      </c>
      <c r="I1208" s="614">
        <f t="shared" si="250"/>
        <v>5454434.7000000002</v>
      </c>
      <c r="J1208" s="379"/>
    </row>
    <row r="1209" spans="1:10" ht="23.4" x14ac:dyDescent="0.3">
      <c r="A1209" s="997"/>
      <c r="B1209" s="832"/>
      <c r="C1209" s="282" t="s">
        <v>369</v>
      </c>
      <c r="D1209" s="440" t="s">
        <v>324</v>
      </c>
      <c r="E1209" s="283">
        <v>0</v>
      </c>
      <c r="F1209" s="323">
        <f t="shared" si="248"/>
        <v>1872</v>
      </c>
      <c r="G1209" s="621">
        <v>34.26</v>
      </c>
      <c r="H1209" s="615">
        <f t="shared" si="249"/>
        <v>0</v>
      </c>
      <c r="I1209" s="614">
        <f t="shared" si="250"/>
        <v>64134.719999999994</v>
      </c>
      <c r="J1209" s="379"/>
    </row>
    <row r="1210" spans="1:10" ht="23.4" x14ac:dyDescent="0.3">
      <c r="A1210" s="997"/>
      <c r="B1210" s="832"/>
      <c r="C1210" s="282" t="s">
        <v>385</v>
      </c>
      <c r="D1210" s="440" t="s">
        <v>467</v>
      </c>
      <c r="E1210" s="283">
        <v>0</v>
      </c>
      <c r="F1210" s="323">
        <f t="shared" si="248"/>
        <v>44928</v>
      </c>
      <c r="G1210" s="621">
        <v>37.89</v>
      </c>
      <c r="H1210" s="615">
        <f t="shared" si="249"/>
        <v>0</v>
      </c>
      <c r="I1210" s="614">
        <f t="shared" si="250"/>
        <v>1702321.92</v>
      </c>
      <c r="J1210" s="379"/>
    </row>
    <row r="1211" spans="1:10" ht="23.4" x14ac:dyDescent="0.3">
      <c r="A1211" s="997"/>
      <c r="B1211" s="832"/>
      <c r="C1211" s="282" t="s">
        <v>475</v>
      </c>
      <c r="D1211" s="440" t="s">
        <v>404</v>
      </c>
      <c r="E1211" s="283">
        <v>0</v>
      </c>
      <c r="F1211" s="323">
        <f t="shared" si="248"/>
        <v>13104</v>
      </c>
      <c r="G1211" s="621">
        <v>39</v>
      </c>
      <c r="H1211" s="615">
        <f t="shared" si="249"/>
        <v>0</v>
      </c>
      <c r="I1211" s="614">
        <f t="shared" si="250"/>
        <v>511056</v>
      </c>
      <c r="J1211" s="379"/>
    </row>
    <row r="1212" spans="1:10" ht="23.4" x14ac:dyDescent="0.3">
      <c r="A1212" s="997"/>
      <c r="B1212" s="832"/>
      <c r="C1212" s="282" t="s">
        <v>338</v>
      </c>
      <c r="D1212" s="440" t="s">
        <v>192</v>
      </c>
      <c r="E1212" s="283">
        <v>0</v>
      </c>
      <c r="F1212" s="323">
        <f t="shared" si="248"/>
        <v>123318</v>
      </c>
      <c r="G1212" s="621">
        <v>21.22</v>
      </c>
      <c r="H1212" s="615">
        <f t="shared" si="249"/>
        <v>0</v>
      </c>
      <c r="I1212" s="614">
        <f t="shared" si="250"/>
        <v>2616807.96</v>
      </c>
      <c r="J1212" s="379"/>
    </row>
    <row r="1213" spans="1:10" ht="23.4" x14ac:dyDescent="0.3">
      <c r="A1213" s="997"/>
      <c r="B1213" s="832"/>
      <c r="C1213" s="282" t="s">
        <v>337</v>
      </c>
      <c r="D1213" s="440" t="s">
        <v>192</v>
      </c>
      <c r="E1213" s="283">
        <v>0</v>
      </c>
      <c r="F1213" s="323">
        <f t="shared" si="248"/>
        <v>0</v>
      </c>
      <c r="G1213" s="621">
        <v>21.22</v>
      </c>
      <c r="H1213" s="615">
        <f t="shared" si="249"/>
        <v>0</v>
      </c>
      <c r="I1213" s="614">
        <f t="shared" si="250"/>
        <v>0</v>
      </c>
      <c r="J1213" s="379"/>
    </row>
    <row r="1214" spans="1:10" ht="23.4" x14ac:dyDescent="0.3">
      <c r="A1214" s="997"/>
      <c r="B1214" s="832"/>
      <c r="C1214" s="282" t="s">
        <v>406</v>
      </c>
      <c r="D1214" s="440" t="s">
        <v>344</v>
      </c>
      <c r="E1214" s="283">
        <v>0</v>
      </c>
      <c r="F1214" s="323">
        <f t="shared" si="248"/>
        <v>0</v>
      </c>
      <c r="G1214" s="621">
        <v>10000</v>
      </c>
      <c r="H1214" s="615">
        <f t="shared" si="249"/>
        <v>0</v>
      </c>
      <c r="I1214" s="614">
        <f t="shared" si="250"/>
        <v>0</v>
      </c>
      <c r="J1214" s="379"/>
    </row>
    <row r="1215" spans="1:10" ht="24" thickBot="1" x14ac:dyDescent="0.35">
      <c r="A1215" s="997"/>
      <c r="B1215" s="832"/>
      <c r="C1215" s="282" t="s">
        <v>343</v>
      </c>
      <c r="D1215" s="440" t="s">
        <v>344</v>
      </c>
      <c r="E1215" s="283">
        <v>0</v>
      </c>
      <c r="F1215" s="323">
        <f t="shared" si="248"/>
        <v>24234</v>
      </c>
      <c r="G1215" s="621">
        <v>360</v>
      </c>
      <c r="H1215" s="615">
        <f t="shared" si="249"/>
        <v>0</v>
      </c>
      <c r="I1215" s="614">
        <f t="shared" si="250"/>
        <v>8724240</v>
      </c>
      <c r="J1215" s="379"/>
    </row>
    <row r="1216" spans="1:10" ht="24" thickBot="1" x14ac:dyDescent="0.35">
      <c r="A1216" s="998"/>
      <c r="B1216" s="992" t="s">
        <v>297</v>
      </c>
      <c r="C1216" s="993"/>
      <c r="D1216" s="834"/>
      <c r="E1216" s="332"/>
      <c r="F1216" s="333"/>
      <c r="G1216" s="332"/>
      <c r="H1216" s="605"/>
      <c r="I1216" s="597">
        <f>SUM(I1196:I1215)</f>
        <v>21805020.460000001</v>
      </c>
      <c r="J1216" s="379"/>
    </row>
    <row r="1217" spans="1:10" ht="23.4" x14ac:dyDescent="0.3">
      <c r="A1217" s="996" t="s">
        <v>110</v>
      </c>
      <c r="B1217" s="832"/>
      <c r="C1217" s="282" t="s">
        <v>304</v>
      </c>
      <c r="D1217" s="440" t="s">
        <v>263</v>
      </c>
      <c r="E1217" s="283">
        <v>1600</v>
      </c>
      <c r="F1217" s="323">
        <f t="shared" ref="F1217:F1236" si="251">E1217+F1135</f>
        <v>19200</v>
      </c>
      <c r="G1217" s="621">
        <v>430.02</v>
      </c>
      <c r="H1217" s="611">
        <f>E1217*G1217</f>
        <v>688032</v>
      </c>
      <c r="I1217" s="614">
        <f t="shared" ref="I1217:I1236" si="252">+G1217*F1217</f>
        <v>8256384</v>
      </c>
      <c r="J1217" s="379"/>
    </row>
    <row r="1218" spans="1:10" ht="23.4" x14ac:dyDescent="0.3">
      <c r="A1218" s="997"/>
      <c r="B1218" s="832"/>
      <c r="C1218" s="282" t="s">
        <v>305</v>
      </c>
      <c r="D1218" s="440" t="s">
        <v>263</v>
      </c>
      <c r="E1218" s="283">
        <v>0</v>
      </c>
      <c r="F1218" s="323">
        <f t="shared" si="251"/>
        <v>0</v>
      </c>
      <c r="G1218" s="621">
        <v>445.38</v>
      </c>
      <c r="H1218" s="611">
        <f t="shared" ref="H1218:H1236" si="253">E1218*G1218</f>
        <v>0</v>
      </c>
      <c r="I1218" s="614">
        <f t="shared" si="252"/>
        <v>0</v>
      </c>
      <c r="J1218" s="379"/>
    </row>
    <row r="1219" spans="1:10" ht="23.4" x14ac:dyDescent="0.3">
      <c r="A1219" s="997"/>
      <c r="B1219" s="832"/>
      <c r="C1219" s="282" t="s">
        <v>341</v>
      </c>
      <c r="D1219" s="440" t="s">
        <v>263</v>
      </c>
      <c r="E1219" s="283">
        <v>0</v>
      </c>
      <c r="F1219" s="323">
        <f t="shared" si="251"/>
        <v>0</v>
      </c>
      <c r="G1219" s="621">
        <v>63.55</v>
      </c>
      <c r="H1219" s="611">
        <f t="shared" si="253"/>
        <v>0</v>
      </c>
      <c r="I1219" s="614">
        <f t="shared" si="252"/>
        <v>0</v>
      </c>
      <c r="J1219" s="379"/>
    </row>
    <row r="1220" spans="1:10" ht="23.4" x14ac:dyDescent="0.3">
      <c r="A1220" s="997"/>
      <c r="B1220" s="832"/>
      <c r="C1220" s="282" t="s">
        <v>306</v>
      </c>
      <c r="D1220" s="440" t="s">
        <v>263</v>
      </c>
      <c r="E1220" s="283">
        <v>11760</v>
      </c>
      <c r="F1220" s="323">
        <f t="shared" si="251"/>
        <v>349032</v>
      </c>
      <c r="G1220" s="621">
        <v>71.44</v>
      </c>
      <c r="H1220" s="611">
        <f t="shared" si="253"/>
        <v>840134.4</v>
      </c>
      <c r="I1220" s="614">
        <f t="shared" si="252"/>
        <v>24934846.079999998</v>
      </c>
      <c r="J1220" s="379"/>
    </row>
    <row r="1221" spans="1:10" ht="23.4" x14ac:dyDescent="0.3">
      <c r="A1221" s="997"/>
      <c r="B1221" s="832"/>
      <c r="C1221" s="282" t="s">
        <v>307</v>
      </c>
      <c r="D1221" s="440" t="s">
        <v>263</v>
      </c>
      <c r="E1221" s="283">
        <v>0</v>
      </c>
      <c r="F1221" s="323">
        <f t="shared" si="251"/>
        <v>0</v>
      </c>
      <c r="G1221" s="621">
        <v>36.5</v>
      </c>
      <c r="H1221" s="611">
        <f t="shared" si="253"/>
        <v>0</v>
      </c>
      <c r="I1221" s="614">
        <f t="shared" si="252"/>
        <v>0</v>
      </c>
      <c r="J1221" s="379"/>
    </row>
    <row r="1222" spans="1:10" ht="23.4" x14ac:dyDescent="0.3">
      <c r="A1222" s="997"/>
      <c r="B1222" s="832"/>
      <c r="C1222" s="282" t="s">
        <v>316</v>
      </c>
      <c r="D1222" s="440" t="s">
        <v>263</v>
      </c>
      <c r="E1222" s="283">
        <v>1600</v>
      </c>
      <c r="F1222" s="323">
        <f t="shared" si="251"/>
        <v>1600</v>
      </c>
      <c r="G1222" s="621">
        <v>320.35000000000002</v>
      </c>
      <c r="H1222" s="611">
        <f t="shared" si="253"/>
        <v>512560.00000000006</v>
      </c>
      <c r="I1222" s="614">
        <f t="shared" si="252"/>
        <v>512560.00000000006</v>
      </c>
      <c r="J1222" s="379"/>
    </row>
    <row r="1223" spans="1:10" ht="23.4" x14ac:dyDescent="0.3">
      <c r="A1223" s="997"/>
      <c r="B1223" s="832"/>
      <c r="C1223" s="282" t="s">
        <v>333</v>
      </c>
      <c r="D1223" s="440" t="s">
        <v>263</v>
      </c>
      <c r="E1223" s="283">
        <v>0</v>
      </c>
      <c r="F1223" s="323">
        <f t="shared" si="251"/>
        <v>0</v>
      </c>
      <c r="G1223" s="621">
        <v>434.41</v>
      </c>
      <c r="H1223" s="611">
        <f t="shared" si="253"/>
        <v>0</v>
      </c>
      <c r="I1223" s="614">
        <f t="shared" si="252"/>
        <v>0</v>
      </c>
      <c r="J1223" s="379"/>
    </row>
    <row r="1224" spans="1:10" ht="23.4" x14ac:dyDescent="0.3">
      <c r="A1224" s="997"/>
      <c r="B1224" s="832"/>
      <c r="C1224" s="282" t="s">
        <v>313</v>
      </c>
      <c r="D1224" s="440" t="s">
        <v>263</v>
      </c>
      <c r="E1224" s="283">
        <v>0</v>
      </c>
      <c r="F1224" s="323">
        <f t="shared" si="251"/>
        <v>5</v>
      </c>
      <c r="G1224" s="621">
        <v>29690</v>
      </c>
      <c r="H1224" s="611">
        <f t="shared" si="253"/>
        <v>0</v>
      </c>
      <c r="I1224" s="614">
        <f t="shared" si="252"/>
        <v>148450</v>
      </c>
      <c r="J1224" s="379"/>
    </row>
    <row r="1225" spans="1:10" ht="23.4" x14ac:dyDescent="0.3">
      <c r="A1225" s="997"/>
      <c r="B1225" s="832"/>
      <c r="C1225" s="282" t="s">
        <v>313</v>
      </c>
      <c r="D1225" s="440" t="s">
        <v>263</v>
      </c>
      <c r="E1225" s="283">
        <v>0</v>
      </c>
      <c r="F1225" s="323">
        <f t="shared" si="251"/>
        <v>2</v>
      </c>
      <c r="G1225" s="621">
        <v>26445</v>
      </c>
      <c r="H1225" s="611">
        <f t="shared" si="253"/>
        <v>0</v>
      </c>
      <c r="I1225" s="614">
        <f t="shared" si="252"/>
        <v>52890</v>
      </c>
      <c r="J1225" s="379"/>
    </row>
    <row r="1226" spans="1:10" ht="23.4" x14ac:dyDescent="0.3">
      <c r="A1226" s="997"/>
      <c r="B1226" s="832"/>
      <c r="C1226" s="282" t="s">
        <v>354</v>
      </c>
      <c r="D1226" s="440" t="s">
        <v>401</v>
      </c>
      <c r="E1226" s="283">
        <v>0</v>
      </c>
      <c r="F1226" s="323">
        <f t="shared" si="251"/>
        <v>3750</v>
      </c>
      <c r="G1226" s="621">
        <v>50</v>
      </c>
      <c r="H1226" s="611">
        <f t="shared" si="253"/>
        <v>0</v>
      </c>
      <c r="I1226" s="614">
        <f t="shared" si="252"/>
        <v>187500</v>
      </c>
      <c r="J1226" s="379"/>
    </row>
    <row r="1227" spans="1:10" ht="23.4" x14ac:dyDescent="0.3">
      <c r="A1227" s="997"/>
      <c r="B1227" s="832"/>
      <c r="C1227" s="282" t="s">
        <v>354</v>
      </c>
      <c r="D1227" s="440" t="s">
        <v>401</v>
      </c>
      <c r="E1227" s="283">
        <v>0</v>
      </c>
      <c r="F1227" s="323">
        <f t="shared" si="251"/>
        <v>5267</v>
      </c>
      <c r="G1227" s="621">
        <v>45</v>
      </c>
      <c r="H1227" s="611">
        <f t="shared" si="253"/>
        <v>0</v>
      </c>
      <c r="I1227" s="614">
        <f t="shared" si="252"/>
        <v>237015</v>
      </c>
      <c r="J1227" s="379"/>
    </row>
    <row r="1228" spans="1:10" ht="23.4" x14ac:dyDescent="0.3">
      <c r="A1228" s="997"/>
      <c r="B1228" s="832"/>
      <c r="C1228" s="282" t="s">
        <v>366</v>
      </c>
      <c r="D1228" s="440" t="s">
        <v>263</v>
      </c>
      <c r="E1228" s="283">
        <v>0</v>
      </c>
      <c r="F1228" s="323">
        <f t="shared" si="251"/>
        <v>0</v>
      </c>
      <c r="G1228" s="621">
        <v>53.86</v>
      </c>
      <c r="H1228" s="611">
        <f t="shared" si="253"/>
        <v>0</v>
      </c>
      <c r="I1228" s="614">
        <f t="shared" si="252"/>
        <v>0</v>
      </c>
      <c r="J1228" s="379"/>
    </row>
    <row r="1229" spans="1:10" ht="23.4" x14ac:dyDescent="0.3">
      <c r="A1229" s="997"/>
      <c r="B1229" s="832"/>
      <c r="C1229" s="282" t="s">
        <v>386</v>
      </c>
      <c r="D1229" s="440" t="s">
        <v>387</v>
      </c>
      <c r="E1229" s="283">
        <v>0</v>
      </c>
      <c r="F1229" s="323">
        <f t="shared" si="251"/>
        <v>0</v>
      </c>
      <c r="G1229" s="621">
        <v>57.64</v>
      </c>
      <c r="H1229" s="611">
        <f t="shared" si="253"/>
        <v>0</v>
      </c>
      <c r="I1229" s="614">
        <f t="shared" si="252"/>
        <v>0</v>
      </c>
      <c r="J1229" s="379"/>
    </row>
    <row r="1230" spans="1:10" ht="23.4" x14ac:dyDescent="0.3">
      <c r="A1230" s="997"/>
      <c r="B1230" s="832"/>
      <c r="C1230" s="282" t="s">
        <v>388</v>
      </c>
      <c r="D1230" s="440" t="s">
        <v>389</v>
      </c>
      <c r="E1230" s="283">
        <v>1600</v>
      </c>
      <c r="F1230" s="284">
        <f t="shared" si="251"/>
        <v>2560</v>
      </c>
      <c r="G1230" s="621">
        <v>434.41</v>
      </c>
      <c r="H1230" s="611">
        <f t="shared" si="253"/>
        <v>695056</v>
      </c>
      <c r="I1230" s="614">
        <f t="shared" si="252"/>
        <v>1112089.6000000001</v>
      </c>
      <c r="J1230" s="379"/>
    </row>
    <row r="1231" spans="1:10" ht="23.4" x14ac:dyDescent="0.3">
      <c r="A1231" s="997"/>
      <c r="B1231" s="832"/>
      <c r="C1231" s="282" t="s">
        <v>419</v>
      </c>
      <c r="D1231" s="440" t="s">
        <v>263</v>
      </c>
      <c r="E1231" s="283">
        <v>800</v>
      </c>
      <c r="F1231" s="284">
        <f t="shared" si="251"/>
        <v>8280</v>
      </c>
      <c r="G1231" s="621">
        <v>624.26</v>
      </c>
      <c r="H1231" s="611">
        <f t="shared" si="253"/>
        <v>499408</v>
      </c>
      <c r="I1231" s="614">
        <f t="shared" si="252"/>
        <v>5168872.8</v>
      </c>
      <c r="J1231" s="379"/>
    </row>
    <row r="1232" spans="1:10" ht="23.4" x14ac:dyDescent="0.3">
      <c r="A1232" s="997"/>
      <c r="B1232" s="832"/>
      <c r="C1232" s="282" t="s">
        <v>390</v>
      </c>
      <c r="D1232" s="440" t="s">
        <v>389</v>
      </c>
      <c r="E1232" s="283">
        <v>7200</v>
      </c>
      <c r="F1232" s="323">
        <f t="shared" si="251"/>
        <v>7200</v>
      </c>
      <c r="G1232" s="621">
        <v>63.55</v>
      </c>
      <c r="H1232" s="611">
        <f t="shared" si="253"/>
        <v>457560</v>
      </c>
      <c r="I1232" s="614">
        <f t="shared" si="252"/>
        <v>457560</v>
      </c>
      <c r="J1232" s="379"/>
    </row>
    <row r="1233" spans="1:10" ht="23.4" x14ac:dyDescent="0.3">
      <c r="A1233" s="997"/>
      <c r="B1233" s="832"/>
      <c r="C1233" s="282" t="s">
        <v>391</v>
      </c>
      <c r="D1233" s="440" t="s">
        <v>389</v>
      </c>
      <c r="E1233" s="283">
        <v>8640</v>
      </c>
      <c r="F1233" s="323">
        <f t="shared" si="251"/>
        <v>8640</v>
      </c>
      <c r="G1233" s="621">
        <v>53.86</v>
      </c>
      <c r="H1233" s="611">
        <f t="shared" si="253"/>
        <v>465350.40000000002</v>
      </c>
      <c r="I1233" s="614">
        <f t="shared" si="252"/>
        <v>465350.40000000002</v>
      </c>
      <c r="J1233" s="379"/>
    </row>
    <row r="1234" spans="1:10" ht="23.4" x14ac:dyDescent="0.3">
      <c r="A1234" s="997"/>
      <c r="B1234" s="832"/>
      <c r="C1234" s="282" t="s">
        <v>432</v>
      </c>
      <c r="D1234" s="440" t="s">
        <v>401</v>
      </c>
      <c r="E1234" s="283">
        <v>0</v>
      </c>
      <c r="F1234" s="323">
        <f t="shared" si="251"/>
        <v>2307</v>
      </c>
      <c r="G1234" s="621">
        <v>45</v>
      </c>
      <c r="H1234" s="611">
        <f t="shared" si="253"/>
        <v>0</v>
      </c>
      <c r="I1234" s="614">
        <f t="shared" si="252"/>
        <v>103815</v>
      </c>
      <c r="J1234" s="379"/>
    </row>
    <row r="1235" spans="1:10" ht="23.4" x14ac:dyDescent="0.3">
      <c r="A1235" s="997"/>
      <c r="B1235" s="832"/>
      <c r="C1235" s="282" t="s">
        <v>313</v>
      </c>
      <c r="D1235" s="440"/>
      <c r="E1235" s="283">
        <v>0</v>
      </c>
      <c r="F1235" s="323">
        <f t="shared" si="251"/>
        <v>1</v>
      </c>
      <c r="G1235" s="621">
        <v>39450</v>
      </c>
      <c r="H1235" s="611">
        <f t="shared" si="253"/>
        <v>0</v>
      </c>
      <c r="I1235" s="614">
        <f t="shared" si="252"/>
        <v>39450</v>
      </c>
      <c r="J1235" s="379"/>
    </row>
    <row r="1236" spans="1:10" ht="24" thickBot="1" x14ac:dyDescent="0.35">
      <c r="A1236" s="997"/>
      <c r="B1236" s="832"/>
      <c r="C1236" s="282" t="s">
        <v>388</v>
      </c>
      <c r="D1236" s="440" t="s">
        <v>103</v>
      </c>
      <c r="E1236" s="283">
        <v>0</v>
      </c>
      <c r="F1236" s="323">
        <f t="shared" si="251"/>
        <v>0</v>
      </c>
      <c r="G1236" s="621">
        <v>434.41</v>
      </c>
      <c r="H1236" s="611">
        <f t="shared" si="253"/>
        <v>0</v>
      </c>
      <c r="I1236" s="614">
        <f t="shared" si="252"/>
        <v>0</v>
      </c>
      <c r="J1236" s="379"/>
    </row>
    <row r="1237" spans="1:10" ht="24" thickBot="1" x14ac:dyDescent="0.35">
      <c r="A1237" s="998"/>
      <c r="B1237" s="992" t="s">
        <v>299</v>
      </c>
      <c r="C1237" s="993"/>
      <c r="D1237" s="834"/>
      <c r="E1237" s="332"/>
      <c r="F1237" s="333"/>
      <c r="G1237" s="332"/>
      <c r="H1237" s="608">
        <f>SUM(H1217:H1236)</f>
        <v>4158100.8</v>
      </c>
      <c r="I1237" s="597">
        <f>SUM(I1217:I1236)</f>
        <v>41676782.879999995</v>
      </c>
      <c r="J1237" s="378"/>
    </row>
    <row r="1238" spans="1:10" ht="24" thickBot="1" x14ac:dyDescent="0.35">
      <c r="A1238" s="837"/>
      <c r="B1238" s="443"/>
      <c r="C1238" s="282"/>
      <c r="D1238" s="440"/>
      <c r="E1238" s="283"/>
      <c r="F1238" s="284"/>
      <c r="G1238" s="340"/>
      <c r="H1238" s="607"/>
      <c r="I1238" s="285"/>
      <c r="J1238" s="379"/>
    </row>
    <row r="1239" spans="1:10" ht="24" thickBot="1" x14ac:dyDescent="0.35">
      <c r="A1239" s="837"/>
      <c r="B1239" s="992" t="s">
        <v>243</v>
      </c>
      <c r="C1239" s="993"/>
      <c r="D1239" s="830"/>
      <c r="E1239" s="332"/>
      <c r="F1239" s="333"/>
      <c r="G1239" s="332"/>
      <c r="H1239" s="605"/>
      <c r="I1239" s="330"/>
      <c r="J1239" s="355"/>
    </row>
    <row r="1240" spans="1:10" ht="24.6" thickBot="1" x14ac:dyDescent="0.35">
      <c r="A1240" s="325"/>
      <c r="B1240" s="994" t="s">
        <v>183</v>
      </c>
      <c r="C1240" s="995"/>
      <c r="D1240" s="831"/>
      <c r="E1240" s="380"/>
      <c r="F1240" s="380"/>
      <c r="G1240" s="380"/>
      <c r="H1240" s="380"/>
      <c r="I1240" s="380">
        <f>+I1237+I1216+I1195</f>
        <v>121231817.84999999</v>
      </c>
      <c r="J1240" s="381"/>
    </row>
    <row r="1241" spans="1:10" ht="23.4" x14ac:dyDescent="0.3">
      <c r="A1241" s="935" t="s">
        <v>1</v>
      </c>
      <c r="B1241" s="938" t="s">
        <v>2</v>
      </c>
      <c r="C1241" s="1001" t="s">
        <v>3</v>
      </c>
      <c r="D1241" s="1005" t="s">
        <v>93</v>
      </c>
      <c r="E1241" s="1008">
        <v>44523</v>
      </c>
      <c r="F1241" s="945"/>
      <c r="G1241" s="945"/>
      <c r="H1241" s="945"/>
      <c r="I1241" s="945"/>
      <c r="J1241" s="946"/>
    </row>
    <row r="1242" spans="1:10" ht="23.4" x14ac:dyDescent="0.3">
      <c r="A1242" s="999"/>
      <c r="B1242" s="1000"/>
      <c r="C1242" s="1002"/>
      <c r="D1242" s="1006"/>
      <c r="E1242" s="1009" t="s">
        <v>94</v>
      </c>
      <c r="F1242" s="1010"/>
      <c r="G1242" s="1009" t="s">
        <v>252</v>
      </c>
      <c r="H1242" s="1011"/>
      <c r="I1242" s="1011"/>
      <c r="J1242" s="1010"/>
    </row>
    <row r="1243" spans="1:10" x14ac:dyDescent="0.3">
      <c r="A1243" s="936"/>
      <c r="B1243" s="939"/>
      <c r="C1243" s="1003"/>
      <c r="D1243" s="1006"/>
      <c r="E1243" s="947" t="s">
        <v>95</v>
      </c>
      <c r="F1243" s="949" t="s">
        <v>96</v>
      </c>
      <c r="G1243" s="1012" t="s">
        <v>97</v>
      </c>
      <c r="H1243" s="1014" t="s">
        <v>98</v>
      </c>
      <c r="I1243" s="1014" t="s">
        <v>98</v>
      </c>
      <c r="J1243" s="1016" t="s">
        <v>12</v>
      </c>
    </row>
    <row r="1244" spans="1:10" ht="14.4" thickBot="1" x14ac:dyDescent="0.35">
      <c r="A1244" s="937"/>
      <c r="B1244" s="940"/>
      <c r="C1244" s="1004"/>
      <c r="D1244" s="1007"/>
      <c r="E1244" s="948"/>
      <c r="F1244" s="950"/>
      <c r="G1244" s="1013"/>
      <c r="H1244" s="1015"/>
      <c r="I1244" s="1015"/>
      <c r="J1244" s="1017"/>
    </row>
    <row r="1245" spans="1:10" ht="23.4" x14ac:dyDescent="0.3">
      <c r="A1245" s="996" t="s">
        <v>111</v>
      </c>
      <c r="B1245" s="445"/>
      <c r="C1245" s="592" t="s">
        <v>300</v>
      </c>
      <c r="D1245" s="449" t="s">
        <v>292</v>
      </c>
      <c r="E1245" s="273">
        <v>0</v>
      </c>
      <c r="F1245" s="441">
        <f>E1245+F1163</f>
        <v>0</v>
      </c>
      <c r="G1245" s="593">
        <v>111.09</v>
      </c>
      <c r="H1245" s="609">
        <f t="shared" ref="H1245:H1258" si="254">E1245*G1245</f>
        <v>0</v>
      </c>
      <c r="I1245" s="612">
        <f>+G1245*F1245</f>
        <v>0</v>
      </c>
      <c r="J1245" s="357"/>
    </row>
    <row r="1246" spans="1:10" ht="23.4" x14ac:dyDescent="0.3">
      <c r="A1246" s="997"/>
      <c r="B1246" s="444"/>
      <c r="C1246" s="448" t="s">
        <v>293</v>
      </c>
      <c r="D1246" s="447" t="s">
        <v>294</v>
      </c>
      <c r="E1246" s="279">
        <v>0</v>
      </c>
      <c r="F1246" s="441">
        <f t="shared" ref="F1246:F1258" si="255">E1246+F1164</f>
        <v>0</v>
      </c>
      <c r="G1246" s="594">
        <v>11</v>
      </c>
      <c r="H1246" s="610">
        <f t="shared" si="254"/>
        <v>0</v>
      </c>
      <c r="I1246" s="613">
        <f>+G1246*F1246</f>
        <v>0</v>
      </c>
      <c r="J1246" s="358"/>
    </row>
    <row r="1247" spans="1:10" ht="23.4" x14ac:dyDescent="0.3">
      <c r="A1247" s="997"/>
      <c r="B1247" s="444"/>
      <c r="C1247" s="448" t="s">
        <v>332</v>
      </c>
      <c r="D1247" s="447" t="s">
        <v>466</v>
      </c>
      <c r="E1247" s="279">
        <v>0</v>
      </c>
      <c r="F1247" s="441">
        <f t="shared" si="255"/>
        <v>960</v>
      </c>
      <c r="G1247" s="594">
        <v>139.04</v>
      </c>
      <c r="H1247" s="610">
        <f t="shared" si="254"/>
        <v>0</v>
      </c>
      <c r="I1247" s="613">
        <f t="shared" ref="I1247:I1258" si="256">+G1247*F1247</f>
        <v>133478.39999999999</v>
      </c>
      <c r="J1247" s="358"/>
    </row>
    <row r="1248" spans="1:10" ht="23.4" x14ac:dyDescent="0.3">
      <c r="A1248" s="997"/>
      <c r="B1248" s="444"/>
      <c r="C1248" s="448" t="s">
        <v>449</v>
      </c>
      <c r="D1248" s="447" t="s">
        <v>450</v>
      </c>
      <c r="E1248" s="279">
        <v>30600</v>
      </c>
      <c r="F1248" s="441">
        <f t="shared" si="255"/>
        <v>397800</v>
      </c>
      <c r="G1248" s="594">
        <v>20.5</v>
      </c>
      <c r="H1248" s="610">
        <f t="shared" si="254"/>
        <v>627300</v>
      </c>
      <c r="I1248" s="613">
        <f t="shared" si="256"/>
        <v>8154900</v>
      </c>
      <c r="J1248" s="358"/>
    </row>
    <row r="1249" spans="1:10" ht="23.4" x14ac:dyDescent="0.3">
      <c r="A1249" s="997"/>
      <c r="B1249" s="444"/>
      <c r="C1249" s="448" t="s">
        <v>323</v>
      </c>
      <c r="D1249" s="447" t="s">
        <v>192</v>
      </c>
      <c r="E1249" s="279">
        <v>0</v>
      </c>
      <c r="F1249" s="441">
        <f t="shared" si="255"/>
        <v>219648</v>
      </c>
      <c r="G1249" s="594">
        <v>14.79</v>
      </c>
      <c r="H1249" s="610">
        <f t="shared" si="254"/>
        <v>0</v>
      </c>
      <c r="I1249" s="613">
        <f t="shared" si="256"/>
        <v>3248593.92</v>
      </c>
      <c r="J1249" s="358"/>
    </row>
    <row r="1250" spans="1:10" ht="23.4" x14ac:dyDescent="0.3">
      <c r="A1250" s="997"/>
      <c r="B1250" s="444"/>
      <c r="C1250" s="448" t="s">
        <v>332</v>
      </c>
      <c r="D1250" s="447" t="s">
        <v>294</v>
      </c>
      <c r="E1250" s="279">
        <v>0</v>
      </c>
      <c r="F1250" s="441">
        <f t="shared" si="255"/>
        <v>960</v>
      </c>
      <c r="G1250" s="594">
        <v>139.04</v>
      </c>
      <c r="H1250" s="610">
        <f t="shared" si="254"/>
        <v>0</v>
      </c>
      <c r="I1250" s="613">
        <f t="shared" si="256"/>
        <v>133478.39999999999</v>
      </c>
      <c r="J1250" s="358"/>
    </row>
    <row r="1251" spans="1:10" ht="23.4" x14ac:dyDescent="0.3">
      <c r="A1251" s="997"/>
      <c r="B1251" s="444"/>
      <c r="C1251" s="448" t="s">
        <v>384</v>
      </c>
      <c r="D1251" s="623" t="s">
        <v>447</v>
      </c>
      <c r="E1251" s="279">
        <v>0</v>
      </c>
      <c r="F1251" s="441">
        <f t="shared" si="255"/>
        <v>99364</v>
      </c>
      <c r="G1251" s="594">
        <v>20.5</v>
      </c>
      <c r="H1251" s="610">
        <f t="shared" si="254"/>
        <v>0</v>
      </c>
      <c r="I1251" s="613">
        <f t="shared" si="256"/>
        <v>2036962</v>
      </c>
      <c r="J1251" s="358"/>
    </row>
    <row r="1252" spans="1:10" ht="23.4" x14ac:dyDescent="0.3">
      <c r="A1252" s="997"/>
      <c r="B1252" s="444"/>
      <c r="C1252" s="448" t="s">
        <v>362</v>
      </c>
      <c r="D1252" s="623" t="s">
        <v>294</v>
      </c>
      <c r="E1252" s="279">
        <v>0</v>
      </c>
      <c r="F1252" s="441">
        <f t="shared" si="255"/>
        <v>16524</v>
      </c>
      <c r="G1252" s="594">
        <v>18.84</v>
      </c>
      <c r="H1252" s="610">
        <f t="shared" si="254"/>
        <v>0</v>
      </c>
      <c r="I1252" s="613">
        <f t="shared" si="256"/>
        <v>311312.15999999997</v>
      </c>
      <c r="J1252" s="358"/>
    </row>
    <row r="1253" spans="1:10" ht="23.4" x14ac:dyDescent="0.3">
      <c r="A1253" s="997"/>
      <c r="B1253" s="444"/>
      <c r="C1253" s="448" t="s">
        <v>376</v>
      </c>
      <c r="D1253" s="623" t="s">
        <v>257</v>
      </c>
      <c r="E1253" s="279">
        <v>183600</v>
      </c>
      <c r="F1253" s="441">
        <f t="shared" si="255"/>
        <v>712223</v>
      </c>
      <c r="G1253" s="594">
        <v>21.18</v>
      </c>
      <c r="H1253" s="610">
        <f t="shared" si="254"/>
        <v>3888648</v>
      </c>
      <c r="I1253" s="613">
        <f t="shared" si="256"/>
        <v>15084883.140000001</v>
      </c>
      <c r="J1253" s="358"/>
    </row>
    <row r="1254" spans="1:10" ht="23.4" x14ac:dyDescent="0.3">
      <c r="A1254" s="997"/>
      <c r="B1254" s="444"/>
      <c r="C1254" s="448" t="s">
        <v>378</v>
      </c>
      <c r="D1254" s="623" t="s">
        <v>379</v>
      </c>
      <c r="E1254" s="279">
        <v>0</v>
      </c>
      <c r="F1254" s="441">
        <f t="shared" si="255"/>
        <v>65690</v>
      </c>
      <c r="G1254" s="594">
        <v>21.28</v>
      </c>
      <c r="H1254" s="610">
        <f t="shared" si="254"/>
        <v>0</v>
      </c>
      <c r="I1254" s="613">
        <f t="shared" si="256"/>
        <v>1397883.2000000002</v>
      </c>
      <c r="J1254" s="358"/>
    </row>
    <row r="1255" spans="1:10" ht="23.4" x14ac:dyDescent="0.3">
      <c r="A1255" s="997"/>
      <c r="B1255" s="444"/>
      <c r="C1255" s="448" t="s">
        <v>332</v>
      </c>
      <c r="D1255" s="623" t="s">
        <v>447</v>
      </c>
      <c r="E1255" s="279">
        <v>0</v>
      </c>
      <c r="F1255" s="441">
        <f t="shared" si="255"/>
        <v>9920</v>
      </c>
      <c r="G1255" s="594">
        <v>139.04</v>
      </c>
      <c r="H1255" s="610">
        <f t="shared" si="254"/>
        <v>0</v>
      </c>
      <c r="I1255" s="613">
        <f t="shared" si="256"/>
        <v>1379276.7999999998</v>
      </c>
      <c r="J1255" s="358"/>
    </row>
    <row r="1256" spans="1:10" ht="23.4" x14ac:dyDescent="0.3">
      <c r="A1256" s="997"/>
      <c r="B1256" s="444"/>
      <c r="C1256" s="448" t="s">
        <v>470</v>
      </c>
      <c r="D1256" s="447" t="s">
        <v>192</v>
      </c>
      <c r="E1256" s="279">
        <v>0</v>
      </c>
      <c r="F1256" s="441">
        <f t="shared" si="255"/>
        <v>194304</v>
      </c>
      <c r="G1256" s="594">
        <v>14.55</v>
      </c>
      <c r="H1256" s="610">
        <f t="shared" si="254"/>
        <v>0</v>
      </c>
      <c r="I1256" s="613">
        <f t="shared" si="256"/>
        <v>2827123.2</v>
      </c>
      <c r="J1256" s="358"/>
    </row>
    <row r="1257" spans="1:10" ht="23.4" x14ac:dyDescent="0.3">
      <c r="A1257" s="997"/>
      <c r="B1257" s="444"/>
      <c r="C1257" s="448" t="s">
        <v>384</v>
      </c>
      <c r="D1257" s="623" t="s">
        <v>206</v>
      </c>
      <c r="E1257" s="279">
        <v>0</v>
      </c>
      <c r="F1257" s="441">
        <f t="shared" si="255"/>
        <v>0</v>
      </c>
      <c r="G1257" s="594">
        <v>21.28</v>
      </c>
      <c r="H1257" s="610">
        <f t="shared" si="254"/>
        <v>0</v>
      </c>
      <c r="I1257" s="613">
        <f t="shared" si="256"/>
        <v>0</v>
      </c>
      <c r="J1257" s="358"/>
    </row>
    <row r="1258" spans="1:10" ht="24" thickBot="1" x14ac:dyDescent="0.35">
      <c r="A1258" s="997"/>
      <c r="B1258" s="444"/>
      <c r="C1258" s="448" t="s">
        <v>400</v>
      </c>
      <c r="D1258" s="450" t="s">
        <v>193</v>
      </c>
      <c r="E1258" s="279">
        <v>0</v>
      </c>
      <c r="F1258" s="441">
        <f t="shared" si="255"/>
        <v>1186</v>
      </c>
      <c r="G1258" s="594">
        <v>36.44</v>
      </c>
      <c r="H1258" s="610">
        <f t="shared" si="254"/>
        <v>0</v>
      </c>
      <c r="I1258" s="613">
        <f t="shared" si="256"/>
        <v>43217.84</v>
      </c>
      <c r="J1258" s="358"/>
    </row>
    <row r="1259" spans="1:10" ht="24" thickBot="1" x14ac:dyDescent="0.35">
      <c r="A1259" s="997"/>
      <c r="B1259" s="992" t="s">
        <v>295</v>
      </c>
      <c r="C1259" s="993"/>
      <c r="D1259" s="842"/>
      <c r="E1259" s="332"/>
      <c r="F1259" s="333"/>
      <c r="G1259" s="332"/>
      <c r="H1259" s="605">
        <f>SUM(H1245:H1258)</f>
        <v>4515948</v>
      </c>
      <c r="I1259" s="597">
        <f>SUM(I1245:I1258)</f>
        <v>34751109.06000001</v>
      </c>
      <c r="J1259" s="355"/>
    </row>
    <row r="1260" spans="1:10" ht="23.4" x14ac:dyDescent="0.3">
      <c r="A1260" s="997"/>
      <c r="B1260" s="840"/>
      <c r="C1260" s="282" t="s">
        <v>301</v>
      </c>
      <c r="D1260" s="440" t="s">
        <v>263</v>
      </c>
      <c r="E1260" s="283">
        <v>7000</v>
      </c>
      <c r="F1260" s="323">
        <f t="shared" ref="F1260:F1270" si="257">E1260+F1178</f>
        <v>90250</v>
      </c>
      <c r="G1260" s="595">
        <v>160.44999999999999</v>
      </c>
      <c r="H1260" s="611">
        <f t="shared" ref="H1260:H1270" si="258">E1260*G1260</f>
        <v>1123150</v>
      </c>
      <c r="I1260" s="614">
        <f t="shared" ref="I1260:I1270" si="259">+G1260*F1260</f>
        <v>14480612.499999998</v>
      </c>
      <c r="J1260" s="379"/>
    </row>
    <row r="1261" spans="1:10" ht="23.4" x14ac:dyDescent="0.3">
      <c r="A1261" s="997"/>
      <c r="B1261" s="840"/>
      <c r="C1261" s="282" t="s">
        <v>317</v>
      </c>
      <c r="D1261" s="440" t="s">
        <v>263</v>
      </c>
      <c r="E1261" s="283">
        <v>5000</v>
      </c>
      <c r="F1261" s="323">
        <f t="shared" si="257"/>
        <v>11750</v>
      </c>
      <c r="G1261" s="595">
        <v>160.44999999999999</v>
      </c>
      <c r="H1261" s="611">
        <f t="shared" si="258"/>
        <v>802250</v>
      </c>
      <c r="I1261" s="614">
        <f t="shared" si="259"/>
        <v>1885287.4999999998</v>
      </c>
      <c r="J1261" s="379"/>
    </row>
    <row r="1262" spans="1:10" ht="23.4" x14ac:dyDescent="0.3">
      <c r="A1262" s="997"/>
      <c r="B1262" s="840"/>
      <c r="C1262" s="282" t="s">
        <v>318</v>
      </c>
      <c r="D1262" s="440" t="s">
        <v>263</v>
      </c>
      <c r="E1262" s="283">
        <v>0</v>
      </c>
      <c r="F1262" s="323">
        <f t="shared" si="257"/>
        <v>3375</v>
      </c>
      <c r="G1262" s="595">
        <v>160.44999999999999</v>
      </c>
      <c r="H1262" s="611">
        <f t="shared" si="258"/>
        <v>0</v>
      </c>
      <c r="I1262" s="614">
        <f t="shared" si="259"/>
        <v>541518.75</v>
      </c>
      <c r="J1262" s="379"/>
    </row>
    <row r="1263" spans="1:10" ht="23.4" x14ac:dyDescent="0.3">
      <c r="A1263" s="997"/>
      <c r="B1263" s="840"/>
      <c r="C1263" s="282" t="s">
        <v>321</v>
      </c>
      <c r="D1263" s="440" t="s">
        <v>100</v>
      </c>
      <c r="E1263" s="283">
        <v>0</v>
      </c>
      <c r="F1263" s="323">
        <f t="shared" si="257"/>
        <v>0</v>
      </c>
      <c r="G1263" s="595">
        <v>27</v>
      </c>
      <c r="H1263" s="611">
        <f t="shared" si="258"/>
        <v>0</v>
      </c>
      <c r="I1263" s="614">
        <f t="shared" si="259"/>
        <v>0</v>
      </c>
      <c r="J1263" s="379"/>
    </row>
    <row r="1264" spans="1:10" ht="23.4" x14ac:dyDescent="0.3">
      <c r="A1264" s="997"/>
      <c r="B1264" s="840"/>
      <c r="C1264" s="282" t="s">
        <v>321</v>
      </c>
      <c r="D1264" s="440" t="s">
        <v>329</v>
      </c>
      <c r="E1264" s="283">
        <v>0</v>
      </c>
      <c r="F1264" s="323">
        <f t="shared" si="257"/>
        <v>79200</v>
      </c>
      <c r="G1264" s="595">
        <v>27.5</v>
      </c>
      <c r="H1264" s="611">
        <f t="shared" si="258"/>
        <v>0</v>
      </c>
      <c r="I1264" s="614">
        <f t="shared" si="259"/>
        <v>2178000</v>
      </c>
      <c r="J1264" s="379"/>
    </row>
    <row r="1265" spans="1:11" ht="23.4" x14ac:dyDescent="0.3">
      <c r="A1265" s="997"/>
      <c r="B1265" s="840"/>
      <c r="C1265" s="282" t="s">
        <v>307</v>
      </c>
      <c r="D1265" s="440" t="s">
        <v>329</v>
      </c>
      <c r="E1265" s="283">
        <v>0</v>
      </c>
      <c r="F1265" s="323">
        <f t="shared" si="257"/>
        <v>2640</v>
      </c>
      <c r="G1265" s="595">
        <v>34.5</v>
      </c>
      <c r="H1265" s="611">
        <f t="shared" si="258"/>
        <v>0</v>
      </c>
      <c r="I1265" s="614">
        <f t="shared" si="259"/>
        <v>91080</v>
      </c>
      <c r="J1265" s="379"/>
    </row>
    <row r="1266" spans="1:11" ht="23.4" x14ac:dyDescent="0.3">
      <c r="A1266" s="997"/>
      <c r="B1266" s="840"/>
      <c r="C1266" s="282" t="s">
        <v>342</v>
      </c>
      <c r="D1266" s="440" t="s">
        <v>263</v>
      </c>
      <c r="E1266" s="283">
        <v>0</v>
      </c>
      <c r="F1266" s="323">
        <f t="shared" si="257"/>
        <v>23191</v>
      </c>
      <c r="G1266" s="595">
        <v>160.44999999999999</v>
      </c>
      <c r="H1266" s="611">
        <f t="shared" si="258"/>
        <v>0</v>
      </c>
      <c r="I1266" s="614">
        <f t="shared" si="259"/>
        <v>3720995.9499999997</v>
      </c>
      <c r="J1266" s="379"/>
    </row>
    <row r="1267" spans="1:11" ht="23.4" x14ac:dyDescent="0.3">
      <c r="A1267" s="997"/>
      <c r="B1267" s="840"/>
      <c r="C1267" s="282" t="s">
        <v>438</v>
      </c>
      <c r="D1267" s="440" t="s">
        <v>263</v>
      </c>
      <c r="E1267" s="283">
        <v>0</v>
      </c>
      <c r="F1267" s="323">
        <f t="shared" si="257"/>
        <v>7000</v>
      </c>
      <c r="G1267" s="595">
        <v>160.44999999999999</v>
      </c>
      <c r="H1267" s="611">
        <f t="shared" si="258"/>
        <v>0</v>
      </c>
      <c r="I1267" s="614">
        <f t="shared" si="259"/>
        <v>1123150</v>
      </c>
      <c r="J1267" s="379"/>
    </row>
    <row r="1268" spans="1:11" ht="23.4" x14ac:dyDescent="0.3">
      <c r="A1268" s="997"/>
      <c r="B1268" s="840"/>
      <c r="C1268" s="282" t="s">
        <v>357</v>
      </c>
      <c r="D1268" s="440" t="s">
        <v>263</v>
      </c>
      <c r="E1268" s="283">
        <v>0</v>
      </c>
      <c r="F1268" s="323">
        <f t="shared" si="257"/>
        <v>19625</v>
      </c>
      <c r="G1268" s="595">
        <v>160.44999999999999</v>
      </c>
      <c r="H1268" s="611">
        <f t="shared" si="258"/>
        <v>0</v>
      </c>
      <c r="I1268" s="614">
        <f t="shared" si="259"/>
        <v>3148831.25</v>
      </c>
      <c r="J1268" s="379"/>
    </row>
    <row r="1269" spans="1:11" ht="23.4" x14ac:dyDescent="0.3">
      <c r="A1269" s="997"/>
      <c r="B1269" s="840"/>
      <c r="C1269" s="282" t="s">
        <v>358</v>
      </c>
      <c r="D1269" s="440" t="s">
        <v>263</v>
      </c>
      <c r="E1269" s="283">
        <v>0</v>
      </c>
      <c r="F1269" s="323">
        <f t="shared" si="257"/>
        <v>11750</v>
      </c>
      <c r="G1269" s="595">
        <v>160.44999999999999</v>
      </c>
      <c r="H1269" s="611">
        <f t="shared" si="258"/>
        <v>0</v>
      </c>
      <c r="I1269" s="614">
        <f t="shared" si="259"/>
        <v>1885287.4999999998</v>
      </c>
      <c r="J1269" s="379"/>
    </row>
    <row r="1270" spans="1:11" ht="24" thickBot="1" x14ac:dyDescent="0.35">
      <c r="A1270" s="997"/>
      <c r="B1270" s="840"/>
      <c r="C1270" s="282" t="s">
        <v>353</v>
      </c>
      <c r="D1270" s="440" t="s">
        <v>263</v>
      </c>
      <c r="E1270" s="283">
        <v>0</v>
      </c>
      <c r="F1270" s="323">
        <f t="shared" si="257"/>
        <v>2200</v>
      </c>
      <c r="G1270" s="595">
        <v>160.44999999999999</v>
      </c>
      <c r="H1270" s="611">
        <f t="shared" si="258"/>
        <v>0</v>
      </c>
      <c r="I1270" s="614">
        <f t="shared" si="259"/>
        <v>352990</v>
      </c>
      <c r="J1270" s="379"/>
    </row>
    <row r="1271" spans="1:11" ht="24" thickBot="1" x14ac:dyDescent="0.35">
      <c r="A1271" s="997"/>
      <c r="B1271" s="992" t="s">
        <v>296</v>
      </c>
      <c r="C1271" s="993"/>
      <c r="D1271" s="842"/>
      <c r="E1271" s="332"/>
      <c r="F1271" s="333"/>
      <c r="G1271" s="332"/>
      <c r="H1271" s="605">
        <f>SUM(H1260:H1270)</f>
        <v>1925400</v>
      </c>
      <c r="I1271" s="597">
        <f>SUM(I1260:I1270)</f>
        <v>29407753.449999999</v>
      </c>
      <c r="J1271" s="355"/>
    </row>
    <row r="1272" spans="1:11" ht="23.4" x14ac:dyDescent="0.3">
      <c r="A1272" s="997"/>
      <c r="B1272" s="840"/>
      <c r="C1272" s="282" t="s">
        <v>303</v>
      </c>
      <c r="D1272" s="440"/>
      <c r="E1272" s="283">
        <v>0</v>
      </c>
      <c r="F1272" s="598">
        <f t="shared" ref="F1272:F1274" si="260">E1272+F1190</f>
        <v>0</v>
      </c>
      <c r="G1272" s="595">
        <v>10</v>
      </c>
      <c r="H1272" s="611">
        <f t="shared" ref="H1272:H1274" si="261">E1272*G1272</f>
        <v>0</v>
      </c>
      <c r="I1272" s="614">
        <f t="shared" ref="I1272" si="262">+G1272*F1272</f>
        <v>0</v>
      </c>
      <c r="J1272" s="379"/>
    </row>
    <row r="1273" spans="1:11" ht="23.4" x14ac:dyDescent="0.3">
      <c r="A1273" s="997"/>
      <c r="B1273" s="840"/>
      <c r="C1273" s="282" t="s">
        <v>308</v>
      </c>
      <c r="D1273" s="440" t="s">
        <v>309</v>
      </c>
      <c r="E1273" s="283">
        <v>0</v>
      </c>
      <c r="F1273" s="598">
        <f t="shared" si="260"/>
        <v>13</v>
      </c>
      <c r="G1273" s="595">
        <v>2500</v>
      </c>
      <c r="H1273" s="611">
        <f t="shared" si="261"/>
        <v>0</v>
      </c>
      <c r="I1273" s="614">
        <f>+G1273*F1273</f>
        <v>32500</v>
      </c>
      <c r="J1273" s="379"/>
    </row>
    <row r="1274" spans="1:11" ht="24" thickBot="1" x14ac:dyDescent="0.35">
      <c r="A1274" s="997"/>
      <c r="B1274" s="840"/>
      <c r="C1274" s="282" t="s">
        <v>343</v>
      </c>
      <c r="D1274" s="440" t="s">
        <v>344</v>
      </c>
      <c r="E1274" s="283">
        <v>0</v>
      </c>
      <c r="F1274" s="598">
        <f t="shared" si="260"/>
        <v>0</v>
      </c>
      <c r="G1274" s="596">
        <v>360</v>
      </c>
      <c r="H1274" s="611">
        <f t="shared" si="261"/>
        <v>0</v>
      </c>
      <c r="I1274" s="614">
        <f t="shared" ref="I1274" si="263">+G1274*F1274</f>
        <v>0</v>
      </c>
      <c r="J1274" s="379"/>
    </row>
    <row r="1275" spans="1:11" ht="24" thickBot="1" x14ac:dyDescent="0.35">
      <c r="A1275" s="997"/>
      <c r="B1275" s="992" t="s">
        <v>302</v>
      </c>
      <c r="C1275" s="993"/>
      <c r="D1275" s="842"/>
      <c r="E1275" s="332"/>
      <c r="F1275" s="333"/>
      <c r="G1275" s="332"/>
      <c r="H1275" s="605">
        <f>SUM(H1272:H1274)</f>
        <v>0</v>
      </c>
      <c r="I1275" s="597">
        <f>SUM(I1272:I1274)</f>
        <v>32500</v>
      </c>
      <c r="J1275" s="379"/>
    </row>
    <row r="1276" spans="1:11" ht="24" thickBot="1" x14ac:dyDescent="0.35">
      <c r="A1276" s="997"/>
      <c r="B1276" s="840"/>
      <c r="C1276" s="282"/>
      <c r="D1276" s="440"/>
      <c r="E1276" s="283"/>
      <c r="F1276" s="323"/>
      <c r="G1276" s="596"/>
      <c r="H1276" s="606"/>
      <c r="I1276" s="285">
        <f t="shared" ref="I1276" si="264">+G1276*F1276</f>
        <v>0</v>
      </c>
      <c r="J1276" s="379"/>
    </row>
    <row r="1277" spans="1:11" ht="24" thickBot="1" x14ac:dyDescent="0.35">
      <c r="A1277" s="998"/>
      <c r="B1277" s="992" t="s">
        <v>298</v>
      </c>
      <c r="C1277" s="993"/>
      <c r="D1277" s="838"/>
      <c r="E1277" s="332"/>
      <c r="F1277" s="333"/>
      <c r="G1277" s="332"/>
      <c r="H1277" s="597">
        <f>+H1271+H1259+H1275</f>
        <v>6441348</v>
      </c>
      <c r="I1277" s="597">
        <f>+I1271+I1259+I1275</f>
        <v>64191362.510000005</v>
      </c>
      <c r="J1277" s="379"/>
      <c r="K1277" s="620"/>
    </row>
    <row r="1278" spans="1:11" ht="23.4" x14ac:dyDescent="0.3">
      <c r="A1278" s="996" t="s">
        <v>109</v>
      </c>
      <c r="B1278" s="840"/>
      <c r="C1278" s="282" t="s">
        <v>312</v>
      </c>
      <c r="D1278" s="440" t="s">
        <v>193</v>
      </c>
      <c r="E1278" s="283">
        <v>0</v>
      </c>
      <c r="F1278" s="323">
        <f t="shared" ref="F1278:F1297" si="265">E1278+F1196</f>
        <v>7956</v>
      </c>
      <c r="G1278" s="621">
        <v>13.25</v>
      </c>
      <c r="H1278" s="615">
        <f t="shared" ref="H1278:H1297" si="266">E1278*G1278</f>
        <v>0</v>
      </c>
      <c r="I1278" s="614">
        <f t="shared" ref="I1278:I1297" si="267">+G1278*F1278</f>
        <v>105417</v>
      </c>
      <c r="J1278" s="379"/>
    </row>
    <row r="1279" spans="1:11" ht="23.4" x14ac:dyDescent="0.3">
      <c r="A1279" s="997"/>
      <c r="B1279" s="840"/>
      <c r="C1279" s="282" t="s">
        <v>313</v>
      </c>
      <c r="D1279" s="440"/>
      <c r="E1279" s="283">
        <v>0</v>
      </c>
      <c r="F1279" s="323">
        <f t="shared" si="265"/>
        <v>1</v>
      </c>
      <c r="G1279" s="622">
        <v>10000</v>
      </c>
      <c r="H1279" s="615">
        <f t="shared" si="266"/>
        <v>0</v>
      </c>
      <c r="I1279" s="614">
        <f t="shared" si="267"/>
        <v>10000</v>
      </c>
      <c r="J1279" s="379"/>
    </row>
    <row r="1280" spans="1:11" ht="23.4" x14ac:dyDescent="0.3">
      <c r="A1280" s="997"/>
      <c r="B1280" s="840"/>
      <c r="C1280" s="282" t="s">
        <v>313</v>
      </c>
      <c r="D1280" s="440"/>
      <c r="E1280" s="283">
        <v>0</v>
      </c>
      <c r="F1280" s="323">
        <f t="shared" si="265"/>
        <v>2</v>
      </c>
      <c r="G1280" s="622">
        <v>18000</v>
      </c>
      <c r="H1280" s="615">
        <f t="shared" si="266"/>
        <v>0</v>
      </c>
      <c r="I1280" s="614">
        <f t="shared" si="267"/>
        <v>36000</v>
      </c>
      <c r="J1280" s="379"/>
    </row>
    <row r="1281" spans="1:10" ht="23.4" x14ac:dyDescent="0.3">
      <c r="A1281" s="997"/>
      <c r="B1281" s="840"/>
      <c r="C1281" s="282" t="s">
        <v>328</v>
      </c>
      <c r="D1281" s="440" t="s">
        <v>193</v>
      </c>
      <c r="E1281" s="283">
        <v>0</v>
      </c>
      <c r="F1281" s="323">
        <f t="shared" si="265"/>
        <v>0</v>
      </c>
      <c r="G1281" s="621">
        <v>24.93</v>
      </c>
      <c r="H1281" s="615">
        <f t="shared" si="266"/>
        <v>0</v>
      </c>
      <c r="I1281" s="614">
        <f t="shared" si="267"/>
        <v>0</v>
      </c>
      <c r="J1281" s="379"/>
    </row>
    <row r="1282" spans="1:10" ht="23.4" x14ac:dyDescent="0.3">
      <c r="A1282" s="997"/>
      <c r="B1282" s="840"/>
      <c r="C1282" s="282" t="s">
        <v>335</v>
      </c>
      <c r="D1282" s="440" t="s">
        <v>99</v>
      </c>
      <c r="E1282" s="283">
        <v>0</v>
      </c>
      <c r="F1282" s="323">
        <f t="shared" si="265"/>
        <v>0</v>
      </c>
      <c r="G1282" s="621">
        <v>26</v>
      </c>
      <c r="H1282" s="615">
        <f t="shared" si="266"/>
        <v>0</v>
      </c>
      <c r="I1282" s="614">
        <f t="shared" si="267"/>
        <v>0</v>
      </c>
      <c r="J1282" s="379"/>
    </row>
    <row r="1283" spans="1:10" ht="23.4" x14ac:dyDescent="0.3">
      <c r="A1283" s="997"/>
      <c r="B1283" s="840"/>
      <c r="C1283" s="282" t="s">
        <v>336</v>
      </c>
      <c r="D1283" s="440" t="s">
        <v>193</v>
      </c>
      <c r="E1283" s="283">
        <v>0</v>
      </c>
      <c r="F1283" s="323">
        <f t="shared" si="265"/>
        <v>0</v>
      </c>
      <c r="G1283" s="621">
        <v>25.49</v>
      </c>
      <c r="H1283" s="615">
        <f t="shared" si="266"/>
        <v>0</v>
      </c>
      <c r="I1283" s="614">
        <f t="shared" si="267"/>
        <v>0</v>
      </c>
      <c r="J1283" s="379"/>
    </row>
    <row r="1284" spans="1:10" ht="23.4" x14ac:dyDescent="0.3">
      <c r="A1284" s="997"/>
      <c r="B1284" s="840"/>
      <c r="C1284" s="282" t="s">
        <v>337</v>
      </c>
      <c r="D1284" s="440" t="s">
        <v>115</v>
      </c>
      <c r="E1284" s="283">
        <v>0</v>
      </c>
      <c r="F1284" s="323">
        <f t="shared" si="265"/>
        <v>0</v>
      </c>
      <c r="G1284" s="621">
        <v>24.93</v>
      </c>
      <c r="H1284" s="615">
        <f t="shared" si="266"/>
        <v>0</v>
      </c>
      <c r="I1284" s="614">
        <f t="shared" si="267"/>
        <v>0</v>
      </c>
      <c r="J1284" s="379"/>
    </row>
    <row r="1285" spans="1:10" ht="23.4" x14ac:dyDescent="0.3">
      <c r="A1285" s="997"/>
      <c r="B1285" s="840"/>
      <c r="C1285" s="282" t="s">
        <v>338</v>
      </c>
      <c r="D1285" s="440" t="s">
        <v>311</v>
      </c>
      <c r="E1285" s="283">
        <v>0</v>
      </c>
      <c r="F1285" s="323">
        <f t="shared" si="265"/>
        <v>0</v>
      </c>
      <c r="G1285" s="621">
        <v>24.93</v>
      </c>
      <c r="H1285" s="615">
        <f t="shared" si="266"/>
        <v>0</v>
      </c>
      <c r="I1285" s="614">
        <f t="shared" si="267"/>
        <v>0</v>
      </c>
      <c r="J1285" s="379"/>
    </row>
    <row r="1286" spans="1:10" ht="23.4" x14ac:dyDescent="0.3">
      <c r="A1286" s="997"/>
      <c r="B1286" s="840"/>
      <c r="C1286" s="282" t="s">
        <v>339</v>
      </c>
      <c r="D1286" s="440" t="s">
        <v>99</v>
      </c>
      <c r="E1286" s="283">
        <v>0</v>
      </c>
      <c r="F1286" s="323">
        <f t="shared" si="265"/>
        <v>0</v>
      </c>
      <c r="G1286" s="621">
        <v>20.89</v>
      </c>
      <c r="H1286" s="615">
        <f t="shared" si="266"/>
        <v>0</v>
      </c>
      <c r="I1286" s="614">
        <f t="shared" si="267"/>
        <v>0</v>
      </c>
      <c r="J1286" s="379"/>
    </row>
    <row r="1287" spans="1:10" ht="23.4" x14ac:dyDescent="0.3">
      <c r="A1287" s="997"/>
      <c r="B1287" s="840"/>
      <c r="C1287" s="282" t="s">
        <v>445</v>
      </c>
      <c r="D1287" s="440" t="s">
        <v>350</v>
      </c>
      <c r="E1287" s="283">
        <v>0</v>
      </c>
      <c r="F1287" s="323">
        <f t="shared" si="265"/>
        <v>56160</v>
      </c>
      <c r="G1287" s="621">
        <v>37.11</v>
      </c>
      <c r="H1287" s="615">
        <f t="shared" si="266"/>
        <v>0</v>
      </c>
      <c r="I1287" s="614">
        <f t="shared" si="267"/>
        <v>2084097.5999999999</v>
      </c>
      <c r="J1287" s="379"/>
    </row>
    <row r="1288" spans="1:10" ht="23.4" x14ac:dyDescent="0.3">
      <c r="A1288" s="997"/>
      <c r="B1288" s="840"/>
      <c r="C1288" s="282" t="s">
        <v>446</v>
      </c>
      <c r="D1288" s="440" t="s">
        <v>350</v>
      </c>
      <c r="E1288" s="283">
        <v>0</v>
      </c>
      <c r="F1288" s="323">
        <f t="shared" si="265"/>
        <v>13104</v>
      </c>
      <c r="G1288" s="621">
        <v>37.89</v>
      </c>
      <c r="H1288" s="615">
        <f t="shared" si="266"/>
        <v>0</v>
      </c>
      <c r="I1288" s="614">
        <f t="shared" si="267"/>
        <v>496510.56</v>
      </c>
      <c r="J1288" s="379"/>
    </row>
    <row r="1289" spans="1:10" ht="23.4" x14ac:dyDescent="0.3">
      <c r="A1289" s="997"/>
      <c r="B1289" s="840"/>
      <c r="C1289" s="282" t="s">
        <v>337</v>
      </c>
      <c r="D1289" s="440" t="s">
        <v>310</v>
      </c>
      <c r="E1289" s="283">
        <v>0</v>
      </c>
      <c r="F1289" s="323">
        <f t="shared" si="265"/>
        <v>0</v>
      </c>
      <c r="G1289" s="621">
        <v>24.93</v>
      </c>
      <c r="H1289" s="615">
        <f t="shared" si="266"/>
        <v>0</v>
      </c>
      <c r="I1289" s="614">
        <f t="shared" si="267"/>
        <v>0</v>
      </c>
      <c r="J1289" s="379"/>
    </row>
    <row r="1290" spans="1:10" ht="23.4" x14ac:dyDescent="0.3">
      <c r="A1290" s="997"/>
      <c r="B1290" s="840"/>
      <c r="C1290" s="282" t="s">
        <v>469</v>
      </c>
      <c r="D1290" s="440" t="s">
        <v>404</v>
      </c>
      <c r="E1290" s="283">
        <v>0</v>
      </c>
      <c r="F1290" s="323">
        <f t="shared" si="265"/>
        <v>218790</v>
      </c>
      <c r="G1290" s="621">
        <v>24.93</v>
      </c>
      <c r="H1290" s="615">
        <f t="shared" si="266"/>
        <v>0</v>
      </c>
      <c r="I1290" s="614">
        <f t="shared" si="267"/>
        <v>5454434.7000000002</v>
      </c>
      <c r="J1290" s="379"/>
    </row>
    <row r="1291" spans="1:10" ht="23.4" x14ac:dyDescent="0.3">
      <c r="A1291" s="997"/>
      <c r="B1291" s="840"/>
      <c r="C1291" s="282" t="s">
        <v>369</v>
      </c>
      <c r="D1291" s="440" t="s">
        <v>324</v>
      </c>
      <c r="E1291" s="283">
        <v>0</v>
      </c>
      <c r="F1291" s="323">
        <f t="shared" si="265"/>
        <v>1872</v>
      </c>
      <c r="G1291" s="621">
        <v>34.26</v>
      </c>
      <c r="H1291" s="615">
        <f t="shared" si="266"/>
        <v>0</v>
      </c>
      <c r="I1291" s="614">
        <f t="shared" si="267"/>
        <v>64134.719999999994</v>
      </c>
      <c r="J1291" s="379"/>
    </row>
    <row r="1292" spans="1:10" ht="23.4" x14ac:dyDescent="0.3">
      <c r="A1292" s="997"/>
      <c r="B1292" s="840"/>
      <c r="C1292" s="282" t="s">
        <v>385</v>
      </c>
      <c r="D1292" s="440" t="s">
        <v>467</v>
      </c>
      <c r="E1292" s="283">
        <v>0</v>
      </c>
      <c r="F1292" s="323">
        <f t="shared" si="265"/>
        <v>44928</v>
      </c>
      <c r="G1292" s="621">
        <v>37.89</v>
      </c>
      <c r="H1292" s="615">
        <f t="shared" si="266"/>
        <v>0</v>
      </c>
      <c r="I1292" s="614">
        <f t="shared" si="267"/>
        <v>1702321.92</v>
      </c>
      <c r="J1292" s="379"/>
    </row>
    <row r="1293" spans="1:10" ht="23.4" x14ac:dyDescent="0.3">
      <c r="A1293" s="997"/>
      <c r="B1293" s="840"/>
      <c r="C1293" s="282" t="s">
        <v>475</v>
      </c>
      <c r="D1293" s="440" t="s">
        <v>404</v>
      </c>
      <c r="E1293" s="283">
        <v>0</v>
      </c>
      <c r="F1293" s="323">
        <f t="shared" si="265"/>
        <v>13104</v>
      </c>
      <c r="G1293" s="621">
        <v>39</v>
      </c>
      <c r="H1293" s="615">
        <f t="shared" si="266"/>
        <v>0</v>
      </c>
      <c r="I1293" s="614">
        <f t="shared" si="267"/>
        <v>511056</v>
      </c>
      <c r="J1293" s="379"/>
    </row>
    <row r="1294" spans="1:10" ht="23.4" x14ac:dyDescent="0.3">
      <c r="A1294" s="997"/>
      <c r="B1294" s="840"/>
      <c r="C1294" s="282" t="s">
        <v>338</v>
      </c>
      <c r="D1294" s="440" t="s">
        <v>192</v>
      </c>
      <c r="E1294" s="283">
        <v>0</v>
      </c>
      <c r="F1294" s="323">
        <f t="shared" si="265"/>
        <v>123318</v>
      </c>
      <c r="G1294" s="621">
        <v>21.22</v>
      </c>
      <c r="H1294" s="615">
        <f t="shared" si="266"/>
        <v>0</v>
      </c>
      <c r="I1294" s="614">
        <f t="shared" si="267"/>
        <v>2616807.96</v>
      </c>
      <c r="J1294" s="379"/>
    </row>
    <row r="1295" spans="1:10" ht="23.4" x14ac:dyDescent="0.3">
      <c r="A1295" s="997"/>
      <c r="B1295" s="840"/>
      <c r="C1295" s="282" t="s">
        <v>337</v>
      </c>
      <c r="D1295" s="440" t="s">
        <v>192</v>
      </c>
      <c r="E1295" s="283">
        <v>0</v>
      </c>
      <c r="F1295" s="323">
        <f t="shared" si="265"/>
        <v>0</v>
      </c>
      <c r="G1295" s="621">
        <v>21.22</v>
      </c>
      <c r="H1295" s="615">
        <f t="shared" si="266"/>
        <v>0</v>
      </c>
      <c r="I1295" s="614">
        <f t="shared" si="267"/>
        <v>0</v>
      </c>
      <c r="J1295" s="379"/>
    </row>
    <row r="1296" spans="1:10" ht="23.4" x14ac:dyDescent="0.3">
      <c r="A1296" s="997"/>
      <c r="B1296" s="840"/>
      <c r="C1296" s="282" t="s">
        <v>406</v>
      </c>
      <c r="D1296" s="440" t="s">
        <v>344</v>
      </c>
      <c r="E1296" s="283">
        <v>0</v>
      </c>
      <c r="F1296" s="323">
        <f t="shared" si="265"/>
        <v>0</v>
      </c>
      <c r="G1296" s="621">
        <v>10000</v>
      </c>
      <c r="H1296" s="615">
        <f t="shared" si="266"/>
        <v>0</v>
      </c>
      <c r="I1296" s="614">
        <f t="shared" si="267"/>
        <v>0</v>
      </c>
      <c r="J1296" s="379"/>
    </row>
    <row r="1297" spans="1:10" ht="24" thickBot="1" x14ac:dyDescent="0.35">
      <c r="A1297" s="997"/>
      <c r="B1297" s="840"/>
      <c r="C1297" s="282" t="s">
        <v>343</v>
      </c>
      <c r="D1297" s="440" t="s">
        <v>344</v>
      </c>
      <c r="E1297" s="283">
        <v>0</v>
      </c>
      <c r="F1297" s="323">
        <f t="shared" si="265"/>
        <v>24234</v>
      </c>
      <c r="G1297" s="621">
        <v>360</v>
      </c>
      <c r="H1297" s="615">
        <f t="shared" si="266"/>
        <v>0</v>
      </c>
      <c r="I1297" s="614">
        <f t="shared" si="267"/>
        <v>8724240</v>
      </c>
      <c r="J1297" s="379"/>
    </row>
    <row r="1298" spans="1:10" ht="24" thickBot="1" x14ac:dyDescent="0.35">
      <c r="A1298" s="998"/>
      <c r="B1298" s="992" t="s">
        <v>297</v>
      </c>
      <c r="C1298" s="993"/>
      <c r="D1298" s="842"/>
      <c r="E1298" s="332"/>
      <c r="F1298" s="333"/>
      <c r="G1298" s="332"/>
      <c r="H1298" s="605"/>
      <c r="I1298" s="597">
        <f>SUM(I1278:I1297)</f>
        <v>21805020.460000001</v>
      </c>
      <c r="J1298" s="379"/>
    </row>
    <row r="1299" spans="1:10" ht="23.4" x14ac:dyDescent="0.3">
      <c r="A1299" s="996" t="s">
        <v>110</v>
      </c>
      <c r="B1299" s="840"/>
      <c r="C1299" s="282" t="s">
        <v>304</v>
      </c>
      <c r="D1299" s="440" t="s">
        <v>263</v>
      </c>
      <c r="E1299" s="283">
        <v>0</v>
      </c>
      <c r="F1299" s="323">
        <f t="shared" ref="F1299:F1318" si="268">E1299+F1217</f>
        <v>19200</v>
      </c>
      <c r="G1299" s="621">
        <v>430.02</v>
      </c>
      <c r="H1299" s="611">
        <f>E1299*G1299</f>
        <v>0</v>
      </c>
      <c r="I1299" s="614">
        <f t="shared" ref="I1299:I1318" si="269">+G1299*F1299</f>
        <v>8256384</v>
      </c>
      <c r="J1299" s="379"/>
    </row>
    <row r="1300" spans="1:10" ht="23.4" x14ac:dyDescent="0.3">
      <c r="A1300" s="997"/>
      <c r="B1300" s="840"/>
      <c r="C1300" s="282" t="s">
        <v>305</v>
      </c>
      <c r="D1300" s="440" t="s">
        <v>263</v>
      </c>
      <c r="E1300" s="283">
        <v>0</v>
      </c>
      <c r="F1300" s="323">
        <f t="shared" si="268"/>
        <v>0</v>
      </c>
      <c r="G1300" s="621">
        <v>445.38</v>
      </c>
      <c r="H1300" s="611">
        <f t="shared" ref="H1300:H1318" si="270">E1300*G1300</f>
        <v>0</v>
      </c>
      <c r="I1300" s="614">
        <f t="shared" si="269"/>
        <v>0</v>
      </c>
      <c r="J1300" s="379"/>
    </row>
    <row r="1301" spans="1:10" ht="23.4" x14ac:dyDescent="0.3">
      <c r="A1301" s="997"/>
      <c r="B1301" s="840"/>
      <c r="C1301" s="282" t="s">
        <v>341</v>
      </c>
      <c r="D1301" s="440" t="s">
        <v>263</v>
      </c>
      <c r="E1301" s="283">
        <v>0</v>
      </c>
      <c r="F1301" s="323">
        <f t="shared" si="268"/>
        <v>0</v>
      </c>
      <c r="G1301" s="621">
        <v>63.55</v>
      </c>
      <c r="H1301" s="611">
        <f t="shared" si="270"/>
        <v>0</v>
      </c>
      <c r="I1301" s="614">
        <f t="shared" si="269"/>
        <v>0</v>
      </c>
      <c r="J1301" s="379"/>
    </row>
    <row r="1302" spans="1:10" ht="23.4" x14ac:dyDescent="0.3">
      <c r="A1302" s="997"/>
      <c r="B1302" s="840"/>
      <c r="C1302" s="282" t="s">
        <v>306</v>
      </c>
      <c r="D1302" s="440" t="s">
        <v>263</v>
      </c>
      <c r="E1302" s="283">
        <f>10080+16800</f>
        <v>26880</v>
      </c>
      <c r="F1302" s="323">
        <f t="shared" si="268"/>
        <v>375912</v>
      </c>
      <c r="G1302" s="621">
        <v>71.44</v>
      </c>
      <c r="H1302" s="611">
        <f t="shared" si="270"/>
        <v>1920307.2</v>
      </c>
      <c r="I1302" s="614">
        <f t="shared" si="269"/>
        <v>26855153.279999997</v>
      </c>
      <c r="J1302" s="379"/>
    </row>
    <row r="1303" spans="1:10" ht="23.4" x14ac:dyDescent="0.3">
      <c r="A1303" s="997"/>
      <c r="B1303" s="840"/>
      <c r="C1303" s="282" t="s">
        <v>307</v>
      </c>
      <c r="D1303" s="440" t="s">
        <v>263</v>
      </c>
      <c r="E1303" s="283">
        <v>0</v>
      </c>
      <c r="F1303" s="323">
        <f t="shared" si="268"/>
        <v>0</v>
      </c>
      <c r="G1303" s="621">
        <v>36.5</v>
      </c>
      <c r="H1303" s="611">
        <f t="shared" si="270"/>
        <v>0</v>
      </c>
      <c r="I1303" s="614">
        <f t="shared" si="269"/>
        <v>0</v>
      </c>
      <c r="J1303" s="379"/>
    </row>
    <row r="1304" spans="1:10" ht="23.4" x14ac:dyDescent="0.3">
      <c r="A1304" s="997"/>
      <c r="B1304" s="840"/>
      <c r="C1304" s="282" t="s">
        <v>316</v>
      </c>
      <c r="D1304" s="440" t="s">
        <v>263</v>
      </c>
      <c r="E1304" s="283">
        <v>0</v>
      </c>
      <c r="F1304" s="323">
        <f t="shared" si="268"/>
        <v>1600</v>
      </c>
      <c r="G1304" s="621">
        <v>320.35000000000002</v>
      </c>
      <c r="H1304" s="611">
        <f t="shared" si="270"/>
        <v>0</v>
      </c>
      <c r="I1304" s="614">
        <f t="shared" si="269"/>
        <v>512560.00000000006</v>
      </c>
      <c r="J1304" s="379"/>
    </row>
    <row r="1305" spans="1:10" ht="23.4" x14ac:dyDescent="0.3">
      <c r="A1305" s="997"/>
      <c r="B1305" s="840"/>
      <c r="C1305" s="282" t="s">
        <v>333</v>
      </c>
      <c r="D1305" s="440" t="s">
        <v>263</v>
      </c>
      <c r="E1305" s="283">
        <v>0</v>
      </c>
      <c r="F1305" s="323">
        <f t="shared" si="268"/>
        <v>0</v>
      </c>
      <c r="G1305" s="621">
        <v>434.41</v>
      </c>
      <c r="H1305" s="611">
        <f t="shared" si="270"/>
        <v>0</v>
      </c>
      <c r="I1305" s="614">
        <f t="shared" si="269"/>
        <v>0</v>
      </c>
      <c r="J1305" s="379"/>
    </row>
    <row r="1306" spans="1:10" ht="23.4" x14ac:dyDescent="0.3">
      <c r="A1306" s="997"/>
      <c r="B1306" s="840"/>
      <c r="C1306" s="282" t="s">
        <v>313</v>
      </c>
      <c r="D1306" s="440" t="s">
        <v>263</v>
      </c>
      <c r="E1306" s="283">
        <v>0</v>
      </c>
      <c r="F1306" s="323">
        <f t="shared" si="268"/>
        <v>5</v>
      </c>
      <c r="G1306" s="621">
        <v>29690</v>
      </c>
      <c r="H1306" s="611">
        <f t="shared" si="270"/>
        <v>0</v>
      </c>
      <c r="I1306" s="614">
        <f t="shared" si="269"/>
        <v>148450</v>
      </c>
      <c r="J1306" s="379"/>
    </row>
    <row r="1307" spans="1:10" ht="23.4" x14ac:dyDescent="0.3">
      <c r="A1307" s="997"/>
      <c r="B1307" s="840"/>
      <c r="C1307" s="282" t="s">
        <v>313</v>
      </c>
      <c r="D1307" s="440" t="s">
        <v>263</v>
      </c>
      <c r="E1307" s="283">
        <v>0</v>
      </c>
      <c r="F1307" s="323">
        <f t="shared" si="268"/>
        <v>2</v>
      </c>
      <c r="G1307" s="621">
        <v>26445</v>
      </c>
      <c r="H1307" s="611">
        <f t="shared" si="270"/>
        <v>0</v>
      </c>
      <c r="I1307" s="614">
        <f t="shared" si="269"/>
        <v>52890</v>
      </c>
      <c r="J1307" s="379"/>
    </row>
    <row r="1308" spans="1:10" ht="23.4" x14ac:dyDescent="0.3">
      <c r="A1308" s="997"/>
      <c r="B1308" s="840"/>
      <c r="C1308" s="282" t="s">
        <v>354</v>
      </c>
      <c r="D1308" s="440" t="s">
        <v>401</v>
      </c>
      <c r="E1308" s="283">
        <v>0</v>
      </c>
      <c r="F1308" s="323">
        <f t="shared" si="268"/>
        <v>3750</v>
      </c>
      <c r="G1308" s="621">
        <v>50</v>
      </c>
      <c r="H1308" s="611">
        <f t="shared" si="270"/>
        <v>0</v>
      </c>
      <c r="I1308" s="614">
        <f t="shared" si="269"/>
        <v>187500</v>
      </c>
      <c r="J1308" s="379"/>
    </row>
    <row r="1309" spans="1:10" ht="23.4" x14ac:dyDescent="0.3">
      <c r="A1309" s="997"/>
      <c r="B1309" s="840"/>
      <c r="C1309" s="282" t="s">
        <v>354</v>
      </c>
      <c r="D1309" s="440" t="s">
        <v>401</v>
      </c>
      <c r="E1309" s="283">
        <v>0</v>
      </c>
      <c r="F1309" s="323">
        <f t="shared" si="268"/>
        <v>5267</v>
      </c>
      <c r="G1309" s="621">
        <v>45</v>
      </c>
      <c r="H1309" s="611">
        <f t="shared" si="270"/>
        <v>0</v>
      </c>
      <c r="I1309" s="614">
        <f t="shared" si="269"/>
        <v>237015</v>
      </c>
      <c r="J1309" s="379"/>
    </row>
    <row r="1310" spans="1:10" ht="23.4" x14ac:dyDescent="0.3">
      <c r="A1310" s="997"/>
      <c r="B1310" s="840"/>
      <c r="C1310" s="282" t="s">
        <v>366</v>
      </c>
      <c r="D1310" s="440" t="s">
        <v>263</v>
      </c>
      <c r="E1310" s="283">
        <v>0</v>
      </c>
      <c r="F1310" s="323">
        <f t="shared" si="268"/>
        <v>0</v>
      </c>
      <c r="G1310" s="621">
        <v>53.86</v>
      </c>
      <c r="H1310" s="611">
        <f t="shared" si="270"/>
        <v>0</v>
      </c>
      <c r="I1310" s="614">
        <f t="shared" si="269"/>
        <v>0</v>
      </c>
      <c r="J1310" s="379"/>
    </row>
    <row r="1311" spans="1:10" ht="23.4" x14ac:dyDescent="0.3">
      <c r="A1311" s="997"/>
      <c r="B1311" s="840"/>
      <c r="C1311" s="282" t="s">
        <v>386</v>
      </c>
      <c r="D1311" s="440" t="s">
        <v>387</v>
      </c>
      <c r="E1311" s="283">
        <v>0</v>
      </c>
      <c r="F1311" s="323">
        <f t="shared" si="268"/>
        <v>0</v>
      </c>
      <c r="G1311" s="621">
        <v>57.64</v>
      </c>
      <c r="H1311" s="611">
        <f t="shared" si="270"/>
        <v>0</v>
      </c>
      <c r="I1311" s="614">
        <f t="shared" si="269"/>
        <v>0</v>
      </c>
      <c r="J1311" s="379"/>
    </row>
    <row r="1312" spans="1:10" ht="23.4" x14ac:dyDescent="0.3">
      <c r="A1312" s="997"/>
      <c r="B1312" s="840"/>
      <c r="C1312" s="282" t="s">
        <v>388</v>
      </c>
      <c r="D1312" s="440" t="s">
        <v>389</v>
      </c>
      <c r="E1312" s="283">
        <v>0</v>
      </c>
      <c r="F1312" s="284">
        <f t="shared" si="268"/>
        <v>2560</v>
      </c>
      <c r="G1312" s="621">
        <v>434.41</v>
      </c>
      <c r="H1312" s="611">
        <f t="shared" si="270"/>
        <v>0</v>
      </c>
      <c r="I1312" s="614">
        <f t="shared" si="269"/>
        <v>1112089.6000000001</v>
      </c>
      <c r="J1312" s="379"/>
    </row>
    <row r="1313" spans="1:10" ht="23.4" x14ac:dyDescent="0.3">
      <c r="A1313" s="997"/>
      <c r="B1313" s="840"/>
      <c r="C1313" s="282" t="s">
        <v>419</v>
      </c>
      <c r="D1313" s="440" t="s">
        <v>263</v>
      </c>
      <c r="E1313" s="283">
        <v>0</v>
      </c>
      <c r="F1313" s="284">
        <f t="shared" si="268"/>
        <v>8280</v>
      </c>
      <c r="G1313" s="621">
        <v>624.26</v>
      </c>
      <c r="H1313" s="611">
        <f t="shared" si="270"/>
        <v>0</v>
      </c>
      <c r="I1313" s="614">
        <f t="shared" si="269"/>
        <v>5168872.8</v>
      </c>
      <c r="J1313" s="379"/>
    </row>
    <row r="1314" spans="1:10" ht="23.4" x14ac:dyDescent="0.3">
      <c r="A1314" s="997"/>
      <c r="B1314" s="840"/>
      <c r="C1314" s="282" t="s">
        <v>390</v>
      </c>
      <c r="D1314" s="440" t="s">
        <v>389</v>
      </c>
      <c r="E1314" s="283">
        <v>0</v>
      </c>
      <c r="F1314" s="323">
        <f t="shared" si="268"/>
        <v>7200</v>
      </c>
      <c r="G1314" s="621">
        <v>63.55</v>
      </c>
      <c r="H1314" s="611">
        <f t="shared" si="270"/>
        <v>0</v>
      </c>
      <c r="I1314" s="614">
        <f t="shared" si="269"/>
        <v>457560</v>
      </c>
      <c r="J1314" s="379"/>
    </row>
    <row r="1315" spans="1:10" ht="23.4" x14ac:dyDescent="0.3">
      <c r="A1315" s="997"/>
      <c r="B1315" s="840"/>
      <c r="C1315" s="282" t="s">
        <v>391</v>
      </c>
      <c r="D1315" s="440" t="s">
        <v>389</v>
      </c>
      <c r="E1315" s="283">
        <v>0</v>
      </c>
      <c r="F1315" s="323">
        <f t="shared" si="268"/>
        <v>8640</v>
      </c>
      <c r="G1315" s="621">
        <v>53.86</v>
      </c>
      <c r="H1315" s="611">
        <f t="shared" si="270"/>
        <v>0</v>
      </c>
      <c r="I1315" s="614">
        <f t="shared" si="269"/>
        <v>465350.40000000002</v>
      </c>
      <c r="J1315" s="379"/>
    </row>
    <row r="1316" spans="1:10" ht="23.4" x14ac:dyDescent="0.3">
      <c r="A1316" s="997"/>
      <c r="B1316" s="840"/>
      <c r="C1316" s="282" t="s">
        <v>432</v>
      </c>
      <c r="D1316" s="440" t="s">
        <v>401</v>
      </c>
      <c r="E1316" s="283">
        <v>0</v>
      </c>
      <c r="F1316" s="323">
        <f t="shared" si="268"/>
        <v>2307</v>
      </c>
      <c r="G1316" s="621">
        <v>45</v>
      </c>
      <c r="H1316" s="611">
        <f t="shared" si="270"/>
        <v>0</v>
      </c>
      <c r="I1316" s="614">
        <f t="shared" si="269"/>
        <v>103815</v>
      </c>
      <c r="J1316" s="379"/>
    </row>
    <row r="1317" spans="1:10" ht="23.4" x14ac:dyDescent="0.3">
      <c r="A1317" s="997"/>
      <c r="B1317" s="840"/>
      <c r="C1317" s="282" t="s">
        <v>313</v>
      </c>
      <c r="D1317" s="440"/>
      <c r="E1317" s="283">
        <v>0</v>
      </c>
      <c r="F1317" s="323">
        <f t="shared" si="268"/>
        <v>1</v>
      </c>
      <c r="G1317" s="621">
        <v>39450</v>
      </c>
      <c r="H1317" s="611">
        <f t="shared" si="270"/>
        <v>0</v>
      </c>
      <c r="I1317" s="614">
        <f t="shared" si="269"/>
        <v>39450</v>
      </c>
      <c r="J1317" s="379"/>
    </row>
    <row r="1318" spans="1:10" ht="24" thickBot="1" x14ac:dyDescent="0.35">
      <c r="A1318" s="997"/>
      <c r="B1318" s="840"/>
      <c r="C1318" s="282" t="s">
        <v>388</v>
      </c>
      <c r="D1318" s="440" t="s">
        <v>103</v>
      </c>
      <c r="E1318" s="283">
        <v>0</v>
      </c>
      <c r="F1318" s="323">
        <f t="shared" si="268"/>
        <v>0</v>
      </c>
      <c r="G1318" s="621">
        <v>434.41</v>
      </c>
      <c r="H1318" s="611">
        <f t="shared" si="270"/>
        <v>0</v>
      </c>
      <c r="I1318" s="614">
        <f t="shared" si="269"/>
        <v>0</v>
      </c>
      <c r="J1318" s="379"/>
    </row>
    <row r="1319" spans="1:10" ht="24" thickBot="1" x14ac:dyDescent="0.35">
      <c r="A1319" s="998"/>
      <c r="B1319" s="992" t="s">
        <v>299</v>
      </c>
      <c r="C1319" s="993"/>
      <c r="D1319" s="842"/>
      <c r="E1319" s="332"/>
      <c r="F1319" s="333"/>
      <c r="G1319" s="332"/>
      <c r="H1319" s="608">
        <f>SUM(H1299:H1318)</f>
        <v>1920307.2</v>
      </c>
      <c r="I1319" s="597">
        <f>SUM(I1299:I1318)</f>
        <v>43597090.079999998</v>
      </c>
      <c r="J1319" s="378"/>
    </row>
    <row r="1320" spans="1:10" ht="24" thickBot="1" x14ac:dyDescent="0.35">
      <c r="A1320" s="845"/>
      <c r="B1320" s="443"/>
      <c r="C1320" s="282"/>
      <c r="D1320" s="440"/>
      <c r="E1320" s="283"/>
      <c r="F1320" s="284"/>
      <c r="G1320" s="340"/>
      <c r="H1320" s="607"/>
      <c r="I1320" s="285"/>
      <c r="J1320" s="379"/>
    </row>
    <row r="1321" spans="1:10" ht="24" thickBot="1" x14ac:dyDescent="0.35">
      <c r="A1321" s="845"/>
      <c r="B1321" s="992" t="s">
        <v>243</v>
      </c>
      <c r="C1321" s="993"/>
      <c r="D1321" s="838"/>
      <c r="E1321" s="332"/>
      <c r="F1321" s="333"/>
      <c r="G1321" s="332"/>
      <c r="H1321" s="605"/>
      <c r="I1321" s="330"/>
      <c r="J1321" s="355"/>
    </row>
    <row r="1322" spans="1:10" ht="24.6" thickBot="1" x14ac:dyDescent="0.35">
      <c r="A1322" s="325"/>
      <c r="B1322" s="994" t="s">
        <v>183</v>
      </c>
      <c r="C1322" s="995"/>
      <c r="D1322" s="839"/>
      <c r="E1322" s="380"/>
      <c r="F1322" s="380"/>
      <c r="G1322" s="380"/>
      <c r="H1322" s="380"/>
      <c r="I1322" s="380">
        <f>+I1319+I1298+I1277</f>
        <v>129593473.05000001</v>
      </c>
      <c r="J1322" s="381"/>
    </row>
    <row r="1323" spans="1:10" ht="23.4" x14ac:dyDescent="0.3">
      <c r="A1323" s="935" t="s">
        <v>1</v>
      </c>
      <c r="B1323" s="938" t="s">
        <v>2</v>
      </c>
      <c r="C1323" s="1001" t="s">
        <v>3</v>
      </c>
      <c r="D1323" s="1005" t="s">
        <v>93</v>
      </c>
      <c r="E1323" s="1008">
        <v>44524</v>
      </c>
      <c r="F1323" s="945"/>
      <c r="G1323" s="945"/>
      <c r="H1323" s="945"/>
      <c r="I1323" s="945"/>
      <c r="J1323" s="946"/>
    </row>
    <row r="1324" spans="1:10" ht="23.4" x14ac:dyDescent="0.3">
      <c r="A1324" s="999"/>
      <c r="B1324" s="1000"/>
      <c r="C1324" s="1002"/>
      <c r="D1324" s="1006"/>
      <c r="E1324" s="1009" t="s">
        <v>94</v>
      </c>
      <c r="F1324" s="1010"/>
      <c r="G1324" s="1009" t="s">
        <v>252</v>
      </c>
      <c r="H1324" s="1011"/>
      <c r="I1324" s="1011"/>
      <c r="J1324" s="1010"/>
    </row>
    <row r="1325" spans="1:10" x14ac:dyDescent="0.3">
      <c r="A1325" s="936"/>
      <c r="B1325" s="939"/>
      <c r="C1325" s="1003"/>
      <c r="D1325" s="1006"/>
      <c r="E1325" s="947" t="s">
        <v>95</v>
      </c>
      <c r="F1325" s="949" t="s">
        <v>96</v>
      </c>
      <c r="G1325" s="1012" t="s">
        <v>97</v>
      </c>
      <c r="H1325" s="1014" t="s">
        <v>98</v>
      </c>
      <c r="I1325" s="1014" t="s">
        <v>98</v>
      </c>
      <c r="J1325" s="1016" t="s">
        <v>12</v>
      </c>
    </row>
    <row r="1326" spans="1:10" ht="14.4" thickBot="1" x14ac:dyDescent="0.35">
      <c r="A1326" s="937"/>
      <c r="B1326" s="940"/>
      <c r="C1326" s="1004"/>
      <c r="D1326" s="1007"/>
      <c r="E1326" s="948"/>
      <c r="F1326" s="950"/>
      <c r="G1326" s="1013"/>
      <c r="H1326" s="1015"/>
      <c r="I1326" s="1015"/>
      <c r="J1326" s="1017"/>
    </row>
    <row r="1327" spans="1:10" ht="23.4" x14ac:dyDescent="0.3">
      <c r="A1327" s="996" t="s">
        <v>111</v>
      </c>
      <c r="B1327" s="445"/>
      <c r="C1327" s="592" t="s">
        <v>300</v>
      </c>
      <c r="D1327" s="449" t="s">
        <v>292</v>
      </c>
      <c r="E1327" s="273">
        <v>0</v>
      </c>
      <c r="F1327" s="441">
        <f>E1327+F1245</f>
        <v>0</v>
      </c>
      <c r="G1327" s="593">
        <v>111.09</v>
      </c>
      <c r="H1327" s="609">
        <f t="shared" ref="H1327:H1340" si="271">E1327*G1327</f>
        <v>0</v>
      </c>
      <c r="I1327" s="612">
        <f>+G1327*F1327</f>
        <v>0</v>
      </c>
      <c r="J1327" s="357"/>
    </row>
    <row r="1328" spans="1:10" ht="23.4" x14ac:dyDescent="0.3">
      <c r="A1328" s="997"/>
      <c r="B1328" s="444"/>
      <c r="C1328" s="448" t="s">
        <v>293</v>
      </c>
      <c r="D1328" s="447" t="s">
        <v>294</v>
      </c>
      <c r="E1328" s="279">
        <v>0</v>
      </c>
      <c r="F1328" s="441">
        <f t="shared" ref="F1328:F1340" si="272">E1328+F1246</f>
        <v>0</v>
      </c>
      <c r="G1328" s="594">
        <v>11</v>
      </c>
      <c r="H1328" s="610">
        <f t="shared" si="271"/>
        <v>0</v>
      </c>
      <c r="I1328" s="613">
        <f>+G1328*F1328</f>
        <v>0</v>
      </c>
      <c r="J1328" s="358"/>
    </row>
    <row r="1329" spans="1:10" ht="23.4" x14ac:dyDescent="0.3">
      <c r="A1329" s="997"/>
      <c r="B1329" s="444"/>
      <c r="C1329" s="448" t="s">
        <v>332</v>
      </c>
      <c r="D1329" s="447" t="s">
        <v>466</v>
      </c>
      <c r="E1329" s="279">
        <v>0</v>
      </c>
      <c r="F1329" s="441">
        <f t="shared" si="272"/>
        <v>960</v>
      </c>
      <c r="G1329" s="594">
        <v>139.04</v>
      </c>
      <c r="H1329" s="610">
        <f t="shared" si="271"/>
        <v>0</v>
      </c>
      <c r="I1329" s="613">
        <f t="shared" ref="I1329:I1340" si="273">+G1329*F1329</f>
        <v>133478.39999999999</v>
      </c>
      <c r="J1329" s="358"/>
    </row>
    <row r="1330" spans="1:10" ht="23.4" x14ac:dyDescent="0.3">
      <c r="A1330" s="997"/>
      <c r="B1330" s="444"/>
      <c r="C1330" s="448" t="s">
        <v>449</v>
      </c>
      <c r="D1330" s="447" t="s">
        <v>450</v>
      </c>
      <c r="E1330" s="279">
        <v>42840</v>
      </c>
      <c r="F1330" s="441">
        <f t="shared" si="272"/>
        <v>440640</v>
      </c>
      <c r="G1330" s="594">
        <v>20.5</v>
      </c>
      <c r="H1330" s="610">
        <f t="shared" si="271"/>
        <v>878220</v>
      </c>
      <c r="I1330" s="613">
        <f t="shared" si="273"/>
        <v>9033120</v>
      </c>
      <c r="J1330" s="358"/>
    </row>
    <row r="1331" spans="1:10" ht="23.4" x14ac:dyDescent="0.3">
      <c r="A1331" s="997"/>
      <c r="B1331" s="444"/>
      <c r="C1331" s="448" t="s">
        <v>323</v>
      </c>
      <c r="D1331" s="447" t="s">
        <v>192</v>
      </c>
      <c r="E1331" s="279">
        <v>0</v>
      </c>
      <c r="F1331" s="441">
        <f t="shared" si="272"/>
        <v>219648</v>
      </c>
      <c r="G1331" s="594">
        <v>14.79</v>
      </c>
      <c r="H1331" s="610">
        <f t="shared" si="271"/>
        <v>0</v>
      </c>
      <c r="I1331" s="613">
        <f t="shared" si="273"/>
        <v>3248593.92</v>
      </c>
      <c r="J1331" s="358"/>
    </row>
    <row r="1332" spans="1:10" ht="23.4" x14ac:dyDescent="0.3">
      <c r="A1332" s="997"/>
      <c r="B1332" s="444"/>
      <c r="C1332" s="448" t="s">
        <v>332</v>
      </c>
      <c r="D1332" s="447" t="s">
        <v>294</v>
      </c>
      <c r="E1332" s="279">
        <v>0</v>
      </c>
      <c r="F1332" s="441">
        <f t="shared" si="272"/>
        <v>960</v>
      </c>
      <c r="G1332" s="594">
        <v>139.04</v>
      </c>
      <c r="H1332" s="610">
        <f t="shared" si="271"/>
        <v>0</v>
      </c>
      <c r="I1332" s="613">
        <f t="shared" si="273"/>
        <v>133478.39999999999</v>
      </c>
      <c r="J1332" s="358"/>
    </row>
    <row r="1333" spans="1:10" ht="23.4" x14ac:dyDescent="0.3">
      <c r="A1333" s="997"/>
      <c r="B1333" s="444"/>
      <c r="C1333" s="448" t="s">
        <v>384</v>
      </c>
      <c r="D1333" s="623" t="s">
        <v>447</v>
      </c>
      <c r="E1333" s="279">
        <v>0</v>
      </c>
      <c r="F1333" s="441">
        <f t="shared" si="272"/>
        <v>99364</v>
      </c>
      <c r="G1333" s="594">
        <v>20.5</v>
      </c>
      <c r="H1333" s="610">
        <f t="shared" si="271"/>
        <v>0</v>
      </c>
      <c r="I1333" s="613">
        <f t="shared" si="273"/>
        <v>2036962</v>
      </c>
      <c r="J1333" s="358"/>
    </row>
    <row r="1334" spans="1:10" ht="23.4" x14ac:dyDescent="0.3">
      <c r="A1334" s="997"/>
      <c r="B1334" s="444"/>
      <c r="C1334" s="448" t="s">
        <v>362</v>
      </c>
      <c r="D1334" s="623" t="s">
        <v>294</v>
      </c>
      <c r="E1334" s="279">
        <v>0</v>
      </c>
      <c r="F1334" s="441">
        <f t="shared" si="272"/>
        <v>16524</v>
      </c>
      <c r="G1334" s="594">
        <v>18.84</v>
      </c>
      <c r="H1334" s="610">
        <f t="shared" si="271"/>
        <v>0</v>
      </c>
      <c r="I1334" s="613">
        <f t="shared" si="273"/>
        <v>311312.15999999997</v>
      </c>
      <c r="J1334" s="358"/>
    </row>
    <row r="1335" spans="1:10" ht="23.4" x14ac:dyDescent="0.3">
      <c r="A1335" s="997"/>
      <c r="B1335" s="444"/>
      <c r="C1335" s="448" t="s">
        <v>376</v>
      </c>
      <c r="D1335" s="623" t="s">
        <v>257</v>
      </c>
      <c r="E1335" s="279">
        <v>183600</v>
      </c>
      <c r="F1335" s="441">
        <f t="shared" si="272"/>
        <v>895823</v>
      </c>
      <c r="G1335" s="594">
        <v>21.18</v>
      </c>
      <c r="H1335" s="610">
        <f t="shared" si="271"/>
        <v>3888648</v>
      </c>
      <c r="I1335" s="613">
        <f t="shared" si="273"/>
        <v>18973531.140000001</v>
      </c>
      <c r="J1335" s="358"/>
    </row>
    <row r="1336" spans="1:10" ht="23.4" x14ac:dyDescent="0.3">
      <c r="A1336" s="997"/>
      <c r="B1336" s="444"/>
      <c r="C1336" s="448" t="s">
        <v>378</v>
      </c>
      <c r="D1336" s="623" t="s">
        <v>379</v>
      </c>
      <c r="E1336" s="279">
        <v>0</v>
      </c>
      <c r="F1336" s="441">
        <f t="shared" si="272"/>
        <v>65690</v>
      </c>
      <c r="G1336" s="594">
        <v>21.28</v>
      </c>
      <c r="H1336" s="610">
        <f t="shared" si="271"/>
        <v>0</v>
      </c>
      <c r="I1336" s="613">
        <f t="shared" si="273"/>
        <v>1397883.2000000002</v>
      </c>
      <c r="J1336" s="358"/>
    </row>
    <row r="1337" spans="1:10" ht="23.4" x14ac:dyDescent="0.3">
      <c r="A1337" s="997"/>
      <c r="B1337" s="444"/>
      <c r="C1337" s="448" t="s">
        <v>332</v>
      </c>
      <c r="D1337" s="623" t="s">
        <v>447</v>
      </c>
      <c r="E1337" s="279">
        <v>0</v>
      </c>
      <c r="F1337" s="441">
        <f t="shared" si="272"/>
        <v>9920</v>
      </c>
      <c r="G1337" s="594">
        <v>139.04</v>
      </c>
      <c r="H1337" s="610">
        <f t="shared" si="271"/>
        <v>0</v>
      </c>
      <c r="I1337" s="613">
        <f t="shared" si="273"/>
        <v>1379276.7999999998</v>
      </c>
      <c r="J1337" s="358"/>
    </row>
    <row r="1338" spans="1:10" ht="23.4" x14ac:dyDescent="0.3">
      <c r="A1338" s="997"/>
      <c r="B1338" s="444"/>
      <c r="C1338" s="448" t="s">
        <v>470</v>
      </c>
      <c r="D1338" s="447" t="s">
        <v>192</v>
      </c>
      <c r="E1338" s="279">
        <v>261888</v>
      </c>
      <c r="F1338" s="441">
        <f t="shared" si="272"/>
        <v>456192</v>
      </c>
      <c r="G1338" s="594">
        <v>14.55</v>
      </c>
      <c r="H1338" s="610">
        <f t="shared" si="271"/>
        <v>3810470.4000000004</v>
      </c>
      <c r="I1338" s="613">
        <f t="shared" si="273"/>
        <v>6637593.6000000006</v>
      </c>
      <c r="J1338" s="358"/>
    </row>
    <row r="1339" spans="1:10" ht="23.4" x14ac:dyDescent="0.3">
      <c r="A1339" s="997"/>
      <c r="B1339" s="444"/>
      <c r="C1339" s="448" t="s">
        <v>384</v>
      </c>
      <c r="D1339" s="623" t="s">
        <v>206</v>
      </c>
      <c r="E1339" s="279">
        <v>0</v>
      </c>
      <c r="F1339" s="441">
        <f t="shared" si="272"/>
        <v>0</v>
      </c>
      <c r="G1339" s="594">
        <v>21.28</v>
      </c>
      <c r="H1339" s="610">
        <f t="shared" si="271"/>
        <v>0</v>
      </c>
      <c r="I1339" s="613">
        <f t="shared" si="273"/>
        <v>0</v>
      </c>
      <c r="J1339" s="358"/>
    </row>
    <row r="1340" spans="1:10" ht="24" thickBot="1" x14ac:dyDescent="0.35">
      <c r="A1340" s="997"/>
      <c r="B1340" s="444"/>
      <c r="C1340" s="448" t="s">
        <v>400</v>
      </c>
      <c r="D1340" s="450" t="s">
        <v>193</v>
      </c>
      <c r="E1340" s="279">
        <v>0</v>
      </c>
      <c r="F1340" s="441">
        <f t="shared" si="272"/>
        <v>1186</v>
      </c>
      <c r="G1340" s="594">
        <v>36.44</v>
      </c>
      <c r="H1340" s="610">
        <f t="shared" si="271"/>
        <v>0</v>
      </c>
      <c r="I1340" s="613">
        <f t="shared" si="273"/>
        <v>43217.84</v>
      </c>
      <c r="J1340" s="358"/>
    </row>
    <row r="1341" spans="1:10" ht="24" thickBot="1" x14ac:dyDescent="0.35">
      <c r="A1341" s="997"/>
      <c r="B1341" s="992" t="s">
        <v>295</v>
      </c>
      <c r="C1341" s="993"/>
      <c r="D1341" s="850"/>
      <c r="E1341" s="332"/>
      <c r="F1341" s="333"/>
      <c r="G1341" s="332"/>
      <c r="H1341" s="605">
        <f>SUM(H1327:H1340)</f>
        <v>8577338.4000000004</v>
      </c>
      <c r="I1341" s="597">
        <f>SUM(I1327:I1340)</f>
        <v>43328447.460000008</v>
      </c>
      <c r="J1341" s="355"/>
    </row>
    <row r="1342" spans="1:10" ht="23.4" x14ac:dyDescent="0.3">
      <c r="A1342" s="997"/>
      <c r="B1342" s="848"/>
      <c r="C1342" s="282" t="s">
        <v>301</v>
      </c>
      <c r="D1342" s="440" t="s">
        <v>263</v>
      </c>
      <c r="E1342" s="283">
        <v>0</v>
      </c>
      <c r="F1342" s="323">
        <f t="shared" ref="F1342:F1352" si="274">E1342+F1260</f>
        <v>90250</v>
      </c>
      <c r="G1342" s="595">
        <v>160.44999999999999</v>
      </c>
      <c r="H1342" s="611">
        <f t="shared" ref="H1342:H1352" si="275">E1342*G1342</f>
        <v>0</v>
      </c>
      <c r="I1342" s="614">
        <f t="shared" ref="I1342:I1352" si="276">+G1342*F1342</f>
        <v>14480612.499999998</v>
      </c>
      <c r="J1342" s="379"/>
    </row>
    <row r="1343" spans="1:10" ht="23.4" x14ac:dyDescent="0.3">
      <c r="A1343" s="997"/>
      <c r="B1343" s="848"/>
      <c r="C1343" s="282" t="s">
        <v>317</v>
      </c>
      <c r="D1343" s="440" t="s">
        <v>263</v>
      </c>
      <c r="E1343" s="283">
        <v>1334</v>
      </c>
      <c r="F1343" s="323">
        <f t="shared" si="274"/>
        <v>13084</v>
      </c>
      <c r="G1343" s="595">
        <v>160.44999999999999</v>
      </c>
      <c r="H1343" s="611">
        <f t="shared" si="275"/>
        <v>214040.3</v>
      </c>
      <c r="I1343" s="614">
        <f t="shared" si="276"/>
        <v>2099327.7999999998</v>
      </c>
      <c r="J1343" s="379"/>
    </row>
    <row r="1344" spans="1:10" ht="23.4" x14ac:dyDescent="0.3">
      <c r="A1344" s="997"/>
      <c r="B1344" s="848"/>
      <c r="C1344" s="282" t="s">
        <v>318</v>
      </c>
      <c r="D1344" s="440" t="s">
        <v>263</v>
      </c>
      <c r="E1344" s="283">
        <v>0</v>
      </c>
      <c r="F1344" s="323">
        <f t="shared" si="274"/>
        <v>3375</v>
      </c>
      <c r="G1344" s="595">
        <v>160.44999999999999</v>
      </c>
      <c r="H1344" s="611">
        <f t="shared" si="275"/>
        <v>0</v>
      </c>
      <c r="I1344" s="614">
        <f t="shared" si="276"/>
        <v>541518.75</v>
      </c>
      <c r="J1344" s="379"/>
    </row>
    <row r="1345" spans="1:11" ht="23.4" x14ac:dyDescent="0.3">
      <c r="A1345" s="997"/>
      <c r="B1345" s="848"/>
      <c r="C1345" s="282" t="s">
        <v>321</v>
      </c>
      <c r="D1345" s="440" t="s">
        <v>100</v>
      </c>
      <c r="E1345" s="283">
        <v>0</v>
      </c>
      <c r="F1345" s="323">
        <f t="shared" si="274"/>
        <v>0</v>
      </c>
      <c r="G1345" s="595">
        <v>27</v>
      </c>
      <c r="H1345" s="611">
        <f t="shared" si="275"/>
        <v>0</v>
      </c>
      <c r="I1345" s="614">
        <f t="shared" si="276"/>
        <v>0</v>
      </c>
      <c r="J1345" s="379"/>
    </row>
    <row r="1346" spans="1:11" ht="23.4" x14ac:dyDescent="0.3">
      <c r="A1346" s="997"/>
      <c r="B1346" s="848"/>
      <c r="C1346" s="282" t="s">
        <v>321</v>
      </c>
      <c r="D1346" s="440" t="s">
        <v>329</v>
      </c>
      <c r="E1346" s="283">
        <f>79200+55440</f>
        <v>134640</v>
      </c>
      <c r="F1346" s="323">
        <f t="shared" si="274"/>
        <v>213840</v>
      </c>
      <c r="G1346" s="595">
        <v>27.5</v>
      </c>
      <c r="H1346" s="611">
        <f t="shared" si="275"/>
        <v>3702600</v>
      </c>
      <c r="I1346" s="614">
        <f t="shared" si="276"/>
        <v>5880600</v>
      </c>
      <c r="J1346" s="379"/>
    </row>
    <row r="1347" spans="1:11" ht="23.4" x14ac:dyDescent="0.3">
      <c r="A1347" s="997"/>
      <c r="B1347" s="848"/>
      <c r="C1347" s="282" t="s">
        <v>307</v>
      </c>
      <c r="D1347" s="440" t="s">
        <v>329</v>
      </c>
      <c r="E1347" s="283">
        <f>2640+1848</f>
        <v>4488</v>
      </c>
      <c r="F1347" s="323">
        <f t="shared" si="274"/>
        <v>7128</v>
      </c>
      <c r="G1347" s="595">
        <v>34.5</v>
      </c>
      <c r="H1347" s="611">
        <f t="shared" si="275"/>
        <v>154836</v>
      </c>
      <c r="I1347" s="614">
        <f t="shared" si="276"/>
        <v>245916</v>
      </c>
      <c r="J1347" s="379"/>
    </row>
    <row r="1348" spans="1:11" ht="23.4" x14ac:dyDescent="0.3">
      <c r="A1348" s="997"/>
      <c r="B1348" s="848"/>
      <c r="C1348" s="282" t="s">
        <v>342</v>
      </c>
      <c r="D1348" s="440" t="s">
        <v>263</v>
      </c>
      <c r="E1348" s="283">
        <v>0</v>
      </c>
      <c r="F1348" s="323">
        <f t="shared" si="274"/>
        <v>23191</v>
      </c>
      <c r="G1348" s="595">
        <v>160.44999999999999</v>
      </c>
      <c r="H1348" s="611">
        <f t="shared" si="275"/>
        <v>0</v>
      </c>
      <c r="I1348" s="614">
        <f t="shared" si="276"/>
        <v>3720995.9499999997</v>
      </c>
      <c r="J1348" s="379"/>
    </row>
    <row r="1349" spans="1:11" ht="23.4" x14ac:dyDescent="0.3">
      <c r="A1349" s="997"/>
      <c r="B1349" s="848"/>
      <c r="C1349" s="282" t="s">
        <v>438</v>
      </c>
      <c r="D1349" s="440" t="s">
        <v>263</v>
      </c>
      <c r="E1349" s="283">
        <v>0</v>
      </c>
      <c r="F1349" s="323">
        <f t="shared" si="274"/>
        <v>7000</v>
      </c>
      <c r="G1349" s="595">
        <v>160.44999999999999</v>
      </c>
      <c r="H1349" s="611">
        <f t="shared" si="275"/>
        <v>0</v>
      </c>
      <c r="I1349" s="614">
        <f t="shared" si="276"/>
        <v>1123150</v>
      </c>
      <c r="J1349" s="379"/>
    </row>
    <row r="1350" spans="1:11" ht="23.4" x14ac:dyDescent="0.3">
      <c r="A1350" s="997"/>
      <c r="B1350" s="848"/>
      <c r="C1350" s="282" t="s">
        <v>357</v>
      </c>
      <c r="D1350" s="440" t="s">
        <v>263</v>
      </c>
      <c r="E1350" s="283">
        <v>0</v>
      </c>
      <c r="F1350" s="323">
        <f t="shared" si="274"/>
        <v>19625</v>
      </c>
      <c r="G1350" s="595">
        <v>160.44999999999999</v>
      </c>
      <c r="H1350" s="611">
        <f t="shared" si="275"/>
        <v>0</v>
      </c>
      <c r="I1350" s="614">
        <f t="shared" si="276"/>
        <v>3148831.25</v>
      </c>
      <c r="J1350" s="379"/>
    </row>
    <row r="1351" spans="1:11" ht="23.4" x14ac:dyDescent="0.3">
      <c r="A1351" s="997"/>
      <c r="B1351" s="848"/>
      <c r="C1351" s="282" t="s">
        <v>358</v>
      </c>
      <c r="D1351" s="440" t="s">
        <v>263</v>
      </c>
      <c r="E1351" s="283">
        <v>4375</v>
      </c>
      <c r="F1351" s="323">
        <f t="shared" si="274"/>
        <v>16125</v>
      </c>
      <c r="G1351" s="595">
        <v>160.44999999999999</v>
      </c>
      <c r="H1351" s="611">
        <f t="shared" si="275"/>
        <v>701968.75</v>
      </c>
      <c r="I1351" s="614">
        <f t="shared" si="276"/>
        <v>2587256.25</v>
      </c>
      <c r="J1351" s="379"/>
    </row>
    <row r="1352" spans="1:11" ht="24" thickBot="1" x14ac:dyDescent="0.35">
      <c r="A1352" s="997"/>
      <c r="B1352" s="848"/>
      <c r="C1352" s="282" t="s">
        <v>353</v>
      </c>
      <c r="D1352" s="440" t="s">
        <v>263</v>
      </c>
      <c r="E1352" s="283">
        <v>0</v>
      </c>
      <c r="F1352" s="323">
        <f t="shared" si="274"/>
        <v>2200</v>
      </c>
      <c r="G1352" s="595">
        <v>160.44999999999999</v>
      </c>
      <c r="H1352" s="611">
        <f t="shared" si="275"/>
        <v>0</v>
      </c>
      <c r="I1352" s="614">
        <f t="shared" si="276"/>
        <v>352990</v>
      </c>
      <c r="J1352" s="379"/>
    </row>
    <row r="1353" spans="1:11" ht="24" thickBot="1" x14ac:dyDescent="0.35">
      <c r="A1353" s="997"/>
      <c r="B1353" s="992" t="s">
        <v>296</v>
      </c>
      <c r="C1353" s="993"/>
      <c r="D1353" s="850"/>
      <c r="E1353" s="332"/>
      <c r="F1353" s="333"/>
      <c r="G1353" s="332"/>
      <c r="H1353" s="605">
        <f>SUM(H1342:H1352)</f>
        <v>4773445.05</v>
      </c>
      <c r="I1353" s="597">
        <f>SUM(I1342:I1352)</f>
        <v>34181198.5</v>
      </c>
      <c r="J1353" s="355"/>
    </row>
    <row r="1354" spans="1:11" ht="23.4" x14ac:dyDescent="0.3">
      <c r="A1354" s="997"/>
      <c r="B1354" s="848"/>
      <c r="C1354" s="282" t="s">
        <v>303</v>
      </c>
      <c r="D1354" s="440"/>
      <c r="E1354" s="283">
        <v>0</v>
      </c>
      <c r="F1354" s="598">
        <f t="shared" ref="F1354:F1356" si="277">E1354+F1272</f>
        <v>0</v>
      </c>
      <c r="G1354" s="595">
        <v>10</v>
      </c>
      <c r="H1354" s="611">
        <f t="shared" ref="H1354:H1356" si="278">E1354*G1354</f>
        <v>0</v>
      </c>
      <c r="I1354" s="614">
        <f t="shared" ref="I1354" si="279">+G1354*F1354</f>
        <v>0</v>
      </c>
      <c r="J1354" s="379"/>
    </row>
    <row r="1355" spans="1:11" ht="23.4" x14ac:dyDescent="0.3">
      <c r="A1355" s="997"/>
      <c r="B1355" s="848"/>
      <c r="C1355" s="282" t="s">
        <v>308</v>
      </c>
      <c r="D1355" s="440" t="s">
        <v>309</v>
      </c>
      <c r="E1355" s="283">
        <v>0</v>
      </c>
      <c r="F1355" s="598">
        <f t="shared" si="277"/>
        <v>13</v>
      </c>
      <c r="G1355" s="595">
        <v>2500</v>
      </c>
      <c r="H1355" s="611">
        <f t="shared" si="278"/>
        <v>0</v>
      </c>
      <c r="I1355" s="614">
        <f>+G1355*F1355</f>
        <v>32500</v>
      </c>
      <c r="J1355" s="379"/>
    </row>
    <row r="1356" spans="1:11" ht="24" thickBot="1" x14ac:dyDescent="0.35">
      <c r="A1356" s="997"/>
      <c r="B1356" s="848"/>
      <c r="C1356" s="282" t="s">
        <v>343</v>
      </c>
      <c r="D1356" s="440" t="s">
        <v>344</v>
      </c>
      <c r="E1356" s="283">
        <v>0</v>
      </c>
      <c r="F1356" s="598">
        <f t="shared" si="277"/>
        <v>0</v>
      </c>
      <c r="G1356" s="596">
        <v>360</v>
      </c>
      <c r="H1356" s="611">
        <f t="shared" si="278"/>
        <v>0</v>
      </c>
      <c r="I1356" s="614">
        <f t="shared" ref="I1356" si="280">+G1356*F1356</f>
        <v>0</v>
      </c>
      <c r="J1356" s="379"/>
    </row>
    <row r="1357" spans="1:11" ht="24" thickBot="1" x14ac:dyDescent="0.35">
      <c r="A1357" s="997"/>
      <c r="B1357" s="992" t="s">
        <v>302</v>
      </c>
      <c r="C1357" s="993"/>
      <c r="D1357" s="850"/>
      <c r="E1357" s="332"/>
      <c r="F1357" s="333"/>
      <c r="G1357" s="332"/>
      <c r="H1357" s="605">
        <f>SUM(H1354:H1356)</f>
        <v>0</v>
      </c>
      <c r="I1357" s="597">
        <f>SUM(I1354:I1356)</f>
        <v>32500</v>
      </c>
      <c r="J1357" s="379"/>
    </row>
    <row r="1358" spans="1:11" ht="24" thickBot="1" x14ac:dyDescent="0.35">
      <c r="A1358" s="997"/>
      <c r="B1358" s="848"/>
      <c r="C1358" s="282"/>
      <c r="D1358" s="440"/>
      <c r="E1358" s="283"/>
      <c r="F1358" s="323"/>
      <c r="G1358" s="596"/>
      <c r="H1358" s="606"/>
      <c r="I1358" s="285">
        <f t="shared" ref="I1358" si="281">+G1358*F1358</f>
        <v>0</v>
      </c>
      <c r="J1358" s="379"/>
    </row>
    <row r="1359" spans="1:11" ht="24" thickBot="1" x14ac:dyDescent="0.35">
      <c r="A1359" s="998"/>
      <c r="B1359" s="992" t="s">
        <v>298</v>
      </c>
      <c r="C1359" s="993"/>
      <c r="D1359" s="846"/>
      <c r="E1359" s="332"/>
      <c r="F1359" s="333"/>
      <c r="G1359" s="332"/>
      <c r="H1359" s="597">
        <f>+H1353+H1341+H1357</f>
        <v>13350783.449999999</v>
      </c>
      <c r="I1359" s="597">
        <f>+I1353+I1341+I1357</f>
        <v>77542145.960000008</v>
      </c>
      <c r="J1359" s="379"/>
      <c r="K1359" s="620"/>
    </row>
    <row r="1360" spans="1:11" ht="23.4" x14ac:dyDescent="0.3">
      <c r="A1360" s="996" t="s">
        <v>109</v>
      </c>
      <c r="B1360" s="848"/>
      <c r="C1360" s="282" t="s">
        <v>312</v>
      </c>
      <c r="D1360" s="440" t="s">
        <v>193</v>
      </c>
      <c r="E1360" s="283">
        <v>0</v>
      </c>
      <c r="F1360" s="323">
        <f t="shared" ref="F1360:F1379" si="282">E1360+F1278</f>
        <v>7956</v>
      </c>
      <c r="G1360" s="621">
        <v>13.25</v>
      </c>
      <c r="H1360" s="615">
        <f t="shared" ref="H1360:H1379" si="283">E1360*G1360</f>
        <v>0</v>
      </c>
      <c r="I1360" s="614">
        <f t="shared" ref="I1360:I1379" si="284">+G1360*F1360</f>
        <v>105417</v>
      </c>
      <c r="J1360" s="379"/>
    </row>
    <row r="1361" spans="1:10" ht="23.4" x14ac:dyDescent="0.3">
      <c r="A1361" s="997"/>
      <c r="B1361" s="848"/>
      <c r="C1361" s="282" t="s">
        <v>313</v>
      </c>
      <c r="D1361" s="440"/>
      <c r="E1361" s="283">
        <v>0</v>
      </c>
      <c r="F1361" s="323">
        <f t="shared" si="282"/>
        <v>1</v>
      </c>
      <c r="G1361" s="622">
        <v>10000</v>
      </c>
      <c r="H1361" s="615">
        <f t="shared" si="283"/>
        <v>0</v>
      </c>
      <c r="I1361" s="614">
        <f t="shared" si="284"/>
        <v>10000</v>
      </c>
      <c r="J1361" s="379"/>
    </row>
    <row r="1362" spans="1:10" ht="23.4" x14ac:dyDescent="0.3">
      <c r="A1362" s="997"/>
      <c r="B1362" s="848"/>
      <c r="C1362" s="282" t="s">
        <v>313</v>
      </c>
      <c r="D1362" s="440"/>
      <c r="E1362" s="283">
        <v>0</v>
      </c>
      <c r="F1362" s="323">
        <f t="shared" si="282"/>
        <v>2</v>
      </c>
      <c r="G1362" s="622">
        <v>18000</v>
      </c>
      <c r="H1362" s="615">
        <f t="shared" si="283"/>
        <v>0</v>
      </c>
      <c r="I1362" s="614">
        <f t="shared" si="284"/>
        <v>36000</v>
      </c>
      <c r="J1362" s="379"/>
    </row>
    <row r="1363" spans="1:10" ht="23.4" x14ac:dyDescent="0.3">
      <c r="A1363" s="997"/>
      <c r="B1363" s="848"/>
      <c r="C1363" s="282" t="s">
        <v>328</v>
      </c>
      <c r="D1363" s="440" t="s">
        <v>193</v>
      </c>
      <c r="E1363" s="283">
        <v>0</v>
      </c>
      <c r="F1363" s="323">
        <f t="shared" si="282"/>
        <v>0</v>
      </c>
      <c r="G1363" s="621">
        <v>24.93</v>
      </c>
      <c r="H1363" s="615">
        <f t="shared" si="283"/>
        <v>0</v>
      </c>
      <c r="I1363" s="614">
        <f t="shared" si="284"/>
        <v>0</v>
      </c>
      <c r="J1363" s="379"/>
    </row>
    <row r="1364" spans="1:10" ht="23.4" x14ac:dyDescent="0.3">
      <c r="A1364" s="997"/>
      <c r="B1364" s="848"/>
      <c r="C1364" s="282" t="s">
        <v>335</v>
      </c>
      <c r="D1364" s="440" t="s">
        <v>99</v>
      </c>
      <c r="E1364" s="283">
        <v>0</v>
      </c>
      <c r="F1364" s="323">
        <f t="shared" si="282"/>
        <v>0</v>
      </c>
      <c r="G1364" s="621">
        <v>26</v>
      </c>
      <c r="H1364" s="615">
        <f t="shared" si="283"/>
        <v>0</v>
      </c>
      <c r="I1364" s="614">
        <f t="shared" si="284"/>
        <v>0</v>
      </c>
      <c r="J1364" s="379"/>
    </row>
    <row r="1365" spans="1:10" ht="23.4" x14ac:dyDescent="0.3">
      <c r="A1365" s="997"/>
      <c r="B1365" s="848"/>
      <c r="C1365" s="282" t="s">
        <v>336</v>
      </c>
      <c r="D1365" s="440" t="s">
        <v>193</v>
      </c>
      <c r="E1365" s="283">
        <v>0</v>
      </c>
      <c r="F1365" s="323">
        <f t="shared" si="282"/>
        <v>0</v>
      </c>
      <c r="G1365" s="621">
        <v>25.49</v>
      </c>
      <c r="H1365" s="615">
        <f t="shared" si="283"/>
        <v>0</v>
      </c>
      <c r="I1365" s="614">
        <f t="shared" si="284"/>
        <v>0</v>
      </c>
      <c r="J1365" s="379"/>
    </row>
    <row r="1366" spans="1:10" ht="23.4" x14ac:dyDescent="0.3">
      <c r="A1366" s="997"/>
      <c r="B1366" s="848"/>
      <c r="C1366" s="282" t="s">
        <v>337</v>
      </c>
      <c r="D1366" s="440" t="s">
        <v>115</v>
      </c>
      <c r="E1366" s="283">
        <v>0</v>
      </c>
      <c r="F1366" s="323">
        <f t="shared" si="282"/>
        <v>0</v>
      </c>
      <c r="G1366" s="621">
        <v>24.93</v>
      </c>
      <c r="H1366" s="615">
        <f t="shared" si="283"/>
        <v>0</v>
      </c>
      <c r="I1366" s="614">
        <f t="shared" si="284"/>
        <v>0</v>
      </c>
      <c r="J1366" s="379"/>
    </row>
    <row r="1367" spans="1:10" ht="23.4" x14ac:dyDescent="0.3">
      <c r="A1367" s="997"/>
      <c r="B1367" s="848"/>
      <c r="C1367" s="282" t="s">
        <v>338</v>
      </c>
      <c r="D1367" s="440" t="s">
        <v>311</v>
      </c>
      <c r="E1367" s="283">
        <v>0</v>
      </c>
      <c r="F1367" s="323">
        <f t="shared" si="282"/>
        <v>0</v>
      </c>
      <c r="G1367" s="621">
        <v>24.93</v>
      </c>
      <c r="H1367" s="615">
        <f t="shared" si="283"/>
        <v>0</v>
      </c>
      <c r="I1367" s="614">
        <f t="shared" si="284"/>
        <v>0</v>
      </c>
      <c r="J1367" s="379"/>
    </row>
    <row r="1368" spans="1:10" ht="23.4" x14ac:dyDescent="0.3">
      <c r="A1368" s="997"/>
      <c r="B1368" s="848"/>
      <c r="C1368" s="282" t="s">
        <v>339</v>
      </c>
      <c r="D1368" s="440" t="s">
        <v>99</v>
      </c>
      <c r="E1368" s="283">
        <v>0</v>
      </c>
      <c r="F1368" s="323">
        <f t="shared" si="282"/>
        <v>0</v>
      </c>
      <c r="G1368" s="621">
        <v>20.89</v>
      </c>
      <c r="H1368" s="615">
        <f t="shared" si="283"/>
        <v>0</v>
      </c>
      <c r="I1368" s="614">
        <f t="shared" si="284"/>
        <v>0</v>
      </c>
      <c r="J1368" s="379"/>
    </row>
    <row r="1369" spans="1:10" ht="23.4" x14ac:dyDescent="0.3">
      <c r="A1369" s="997"/>
      <c r="B1369" s="848"/>
      <c r="C1369" s="282" t="s">
        <v>445</v>
      </c>
      <c r="D1369" s="440" t="s">
        <v>350</v>
      </c>
      <c r="E1369" s="283">
        <v>0</v>
      </c>
      <c r="F1369" s="323">
        <f t="shared" si="282"/>
        <v>56160</v>
      </c>
      <c r="G1369" s="621">
        <v>37.11</v>
      </c>
      <c r="H1369" s="615">
        <f t="shared" si="283"/>
        <v>0</v>
      </c>
      <c r="I1369" s="614">
        <f t="shared" si="284"/>
        <v>2084097.5999999999</v>
      </c>
      <c r="J1369" s="379"/>
    </row>
    <row r="1370" spans="1:10" ht="23.4" x14ac:dyDescent="0.3">
      <c r="A1370" s="997"/>
      <c r="B1370" s="848"/>
      <c r="C1370" s="282" t="s">
        <v>446</v>
      </c>
      <c r="D1370" s="440" t="s">
        <v>350</v>
      </c>
      <c r="E1370" s="283">
        <v>0</v>
      </c>
      <c r="F1370" s="323">
        <f t="shared" si="282"/>
        <v>13104</v>
      </c>
      <c r="G1370" s="621">
        <v>37.89</v>
      </c>
      <c r="H1370" s="615">
        <f t="shared" si="283"/>
        <v>0</v>
      </c>
      <c r="I1370" s="614">
        <f t="shared" si="284"/>
        <v>496510.56</v>
      </c>
      <c r="J1370" s="379"/>
    </row>
    <row r="1371" spans="1:10" ht="23.4" x14ac:dyDescent="0.3">
      <c r="A1371" s="997"/>
      <c r="B1371" s="848"/>
      <c r="C1371" s="282" t="s">
        <v>337</v>
      </c>
      <c r="D1371" s="440" t="s">
        <v>310</v>
      </c>
      <c r="E1371" s="283">
        <v>0</v>
      </c>
      <c r="F1371" s="323">
        <f t="shared" si="282"/>
        <v>0</v>
      </c>
      <c r="G1371" s="621">
        <v>24.93</v>
      </c>
      <c r="H1371" s="615">
        <f t="shared" si="283"/>
        <v>0</v>
      </c>
      <c r="I1371" s="614">
        <f t="shared" si="284"/>
        <v>0</v>
      </c>
      <c r="J1371" s="379"/>
    </row>
    <row r="1372" spans="1:10" ht="23.4" x14ac:dyDescent="0.3">
      <c r="A1372" s="997"/>
      <c r="B1372" s="848"/>
      <c r="C1372" s="282" t="s">
        <v>469</v>
      </c>
      <c r="D1372" s="440" t="s">
        <v>404</v>
      </c>
      <c r="E1372" s="283">
        <v>0</v>
      </c>
      <c r="F1372" s="323">
        <f t="shared" si="282"/>
        <v>218790</v>
      </c>
      <c r="G1372" s="621">
        <v>24.93</v>
      </c>
      <c r="H1372" s="615">
        <f t="shared" si="283"/>
        <v>0</v>
      </c>
      <c r="I1372" s="614">
        <f t="shared" si="284"/>
        <v>5454434.7000000002</v>
      </c>
      <c r="J1372" s="379"/>
    </row>
    <row r="1373" spans="1:10" ht="23.4" x14ac:dyDescent="0.3">
      <c r="A1373" s="997"/>
      <c r="B1373" s="848"/>
      <c r="C1373" s="282" t="s">
        <v>369</v>
      </c>
      <c r="D1373" s="440" t="s">
        <v>324</v>
      </c>
      <c r="E1373" s="283">
        <v>0</v>
      </c>
      <c r="F1373" s="323">
        <f t="shared" si="282"/>
        <v>1872</v>
      </c>
      <c r="G1373" s="621">
        <v>34.26</v>
      </c>
      <c r="H1373" s="615">
        <f t="shared" si="283"/>
        <v>0</v>
      </c>
      <c r="I1373" s="614">
        <f t="shared" si="284"/>
        <v>64134.719999999994</v>
      </c>
      <c r="J1373" s="379"/>
    </row>
    <row r="1374" spans="1:10" ht="23.4" x14ac:dyDescent="0.3">
      <c r="A1374" s="997"/>
      <c r="B1374" s="848"/>
      <c r="C1374" s="282" t="s">
        <v>385</v>
      </c>
      <c r="D1374" s="440" t="s">
        <v>467</v>
      </c>
      <c r="E1374" s="283">
        <v>0</v>
      </c>
      <c r="F1374" s="323">
        <f t="shared" si="282"/>
        <v>44928</v>
      </c>
      <c r="G1374" s="621">
        <v>37.89</v>
      </c>
      <c r="H1374" s="615">
        <f t="shared" si="283"/>
        <v>0</v>
      </c>
      <c r="I1374" s="614">
        <f t="shared" si="284"/>
        <v>1702321.92</v>
      </c>
      <c r="J1374" s="379"/>
    </row>
    <row r="1375" spans="1:10" ht="23.4" x14ac:dyDescent="0.3">
      <c r="A1375" s="997"/>
      <c r="B1375" s="848"/>
      <c r="C1375" s="282" t="s">
        <v>475</v>
      </c>
      <c r="D1375" s="440" t="s">
        <v>404</v>
      </c>
      <c r="E1375" s="283">
        <v>0</v>
      </c>
      <c r="F1375" s="323">
        <f t="shared" si="282"/>
        <v>13104</v>
      </c>
      <c r="G1375" s="621">
        <v>39</v>
      </c>
      <c r="H1375" s="615">
        <f t="shared" si="283"/>
        <v>0</v>
      </c>
      <c r="I1375" s="614">
        <f t="shared" si="284"/>
        <v>511056</v>
      </c>
      <c r="J1375" s="379"/>
    </row>
    <row r="1376" spans="1:10" ht="23.4" x14ac:dyDescent="0.3">
      <c r="A1376" s="997"/>
      <c r="B1376" s="848"/>
      <c r="C1376" s="282" t="s">
        <v>338</v>
      </c>
      <c r="D1376" s="440" t="s">
        <v>192</v>
      </c>
      <c r="E1376" s="283">
        <v>0</v>
      </c>
      <c r="F1376" s="323">
        <f t="shared" si="282"/>
        <v>123318</v>
      </c>
      <c r="G1376" s="621">
        <v>21.22</v>
      </c>
      <c r="H1376" s="615">
        <f t="shared" si="283"/>
        <v>0</v>
      </c>
      <c r="I1376" s="614">
        <f t="shared" si="284"/>
        <v>2616807.96</v>
      </c>
      <c r="J1376" s="379"/>
    </row>
    <row r="1377" spans="1:10" ht="23.4" x14ac:dyDescent="0.3">
      <c r="A1377" s="997"/>
      <c r="B1377" s="848"/>
      <c r="C1377" s="282" t="s">
        <v>337</v>
      </c>
      <c r="D1377" s="440" t="s">
        <v>192</v>
      </c>
      <c r="E1377" s="283">
        <v>0</v>
      </c>
      <c r="F1377" s="323">
        <f t="shared" si="282"/>
        <v>0</v>
      </c>
      <c r="G1377" s="621">
        <v>21.22</v>
      </c>
      <c r="H1377" s="615">
        <f t="shared" si="283"/>
        <v>0</v>
      </c>
      <c r="I1377" s="614">
        <f t="shared" si="284"/>
        <v>0</v>
      </c>
      <c r="J1377" s="379"/>
    </row>
    <row r="1378" spans="1:10" ht="23.4" x14ac:dyDescent="0.3">
      <c r="A1378" s="997"/>
      <c r="B1378" s="848"/>
      <c r="C1378" s="282" t="s">
        <v>406</v>
      </c>
      <c r="D1378" s="440" t="s">
        <v>344</v>
      </c>
      <c r="E1378" s="283">
        <v>0</v>
      </c>
      <c r="F1378" s="323">
        <f t="shared" si="282"/>
        <v>0</v>
      </c>
      <c r="G1378" s="621">
        <v>10000</v>
      </c>
      <c r="H1378" s="615">
        <f t="shared" si="283"/>
        <v>0</v>
      </c>
      <c r="I1378" s="614">
        <f t="shared" si="284"/>
        <v>0</v>
      </c>
      <c r="J1378" s="379"/>
    </row>
    <row r="1379" spans="1:10" ht="24" thickBot="1" x14ac:dyDescent="0.35">
      <c r="A1379" s="997"/>
      <c r="B1379" s="848"/>
      <c r="C1379" s="282" t="s">
        <v>343</v>
      </c>
      <c r="D1379" s="440" t="s">
        <v>344</v>
      </c>
      <c r="E1379" s="283">
        <v>0</v>
      </c>
      <c r="F1379" s="323">
        <f t="shared" si="282"/>
        <v>24234</v>
      </c>
      <c r="G1379" s="621">
        <v>360</v>
      </c>
      <c r="H1379" s="615">
        <f t="shared" si="283"/>
        <v>0</v>
      </c>
      <c r="I1379" s="614">
        <f t="shared" si="284"/>
        <v>8724240</v>
      </c>
      <c r="J1379" s="379"/>
    </row>
    <row r="1380" spans="1:10" ht="24" thickBot="1" x14ac:dyDescent="0.35">
      <c r="A1380" s="998"/>
      <c r="B1380" s="992" t="s">
        <v>297</v>
      </c>
      <c r="C1380" s="993"/>
      <c r="D1380" s="850"/>
      <c r="E1380" s="332"/>
      <c r="F1380" s="333"/>
      <c r="G1380" s="332"/>
      <c r="H1380" s="605"/>
      <c r="I1380" s="597">
        <f>SUM(I1360:I1379)</f>
        <v>21805020.460000001</v>
      </c>
      <c r="J1380" s="379"/>
    </row>
    <row r="1381" spans="1:10" ht="23.4" x14ac:dyDescent="0.3">
      <c r="A1381" s="996" t="s">
        <v>110</v>
      </c>
      <c r="B1381" s="848"/>
      <c r="C1381" s="282" t="s">
        <v>304</v>
      </c>
      <c r="D1381" s="440" t="s">
        <v>263</v>
      </c>
      <c r="E1381" s="283">
        <v>0</v>
      </c>
      <c r="F1381" s="323">
        <f t="shared" ref="F1381:F1400" si="285">E1381+F1299</f>
        <v>19200</v>
      </c>
      <c r="G1381" s="621">
        <v>430.02</v>
      </c>
      <c r="H1381" s="611">
        <f>E1381*G1381</f>
        <v>0</v>
      </c>
      <c r="I1381" s="614">
        <f t="shared" ref="I1381:I1400" si="286">+G1381*F1381</f>
        <v>8256384</v>
      </c>
      <c r="J1381" s="379"/>
    </row>
    <row r="1382" spans="1:10" ht="23.4" x14ac:dyDescent="0.3">
      <c r="A1382" s="997"/>
      <c r="B1382" s="848"/>
      <c r="C1382" s="282" t="s">
        <v>305</v>
      </c>
      <c r="D1382" s="440" t="s">
        <v>263</v>
      </c>
      <c r="E1382" s="283">
        <v>0</v>
      </c>
      <c r="F1382" s="323">
        <f t="shared" si="285"/>
        <v>0</v>
      </c>
      <c r="G1382" s="621">
        <v>445.38</v>
      </c>
      <c r="H1382" s="611">
        <f t="shared" ref="H1382:H1400" si="287">E1382*G1382</f>
        <v>0</v>
      </c>
      <c r="I1382" s="614">
        <f t="shared" si="286"/>
        <v>0</v>
      </c>
      <c r="J1382" s="379"/>
    </row>
    <row r="1383" spans="1:10" ht="23.4" x14ac:dyDescent="0.3">
      <c r="A1383" s="997"/>
      <c r="B1383" s="848"/>
      <c r="C1383" s="282" t="s">
        <v>341</v>
      </c>
      <c r="D1383" s="440" t="s">
        <v>263</v>
      </c>
      <c r="E1383" s="283">
        <v>0</v>
      </c>
      <c r="F1383" s="323">
        <f t="shared" si="285"/>
        <v>0</v>
      </c>
      <c r="G1383" s="621">
        <v>63.55</v>
      </c>
      <c r="H1383" s="611">
        <f t="shared" si="287"/>
        <v>0</v>
      </c>
      <c r="I1383" s="614">
        <f t="shared" si="286"/>
        <v>0</v>
      </c>
      <c r="J1383" s="379"/>
    </row>
    <row r="1384" spans="1:10" ht="23.4" x14ac:dyDescent="0.3">
      <c r="A1384" s="997"/>
      <c r="B1384" s="848"/>
      <c r="C1384" s="282" t="s">
        <v>306</v>
      </c>
      <c r="D1384" s="440" t="s">
        <v>263</v>
      </c>
      <c r="E1384" s="283">
        <f>15120+5508+28560</f>
        <v>49188</v>
      </c>
      <c r="F1384" s="323">
        <f t="shared" si="285"/>
        <v>425100</v>
      </c>
      <c r="G1384" s="621">
        <v>71.44</v>
      </c>
      <c r="H1384" s="611">
        <f t="shared" si="287"/>
        <v>3513990.7199999997</v>
      </c>
      <c r="I1384" s="614">
        <f t="shared" si="286"/>
        <v>30369144</v>
      </c>
      <c r="J1384" s="379"/>
    </row>
    <row r="1385" spans="1:10" ht="23.4" x14ac:dyDescent="0.3">
      <c r="A1385" s="997"/>
      <c r="B1385" s="848"/>
      <c r="C1385" s="282" t="s">
        <v>307</v>
      </c>
      <c r="D1385" s="440" t="s">
        <v>263</v>
      </c>
      <c r="E1385" s="283">
        <v>0</v>
      </c>
      <c r="F1385" s="323">
        <f t="shared" si="285"/>
        <v>0</v>
      </c>
      <c r="G1385" s="621">
        <v>36.5</v>
      </c>
      <c r="H1385" s="611">
        <f t="shared" si="287"/>
        <v>0</v>
      </c>
      <c r="I1385" s="614">
        <f t="shared" si="286"/>
        <v>0</v>
      </c>
      <c r="J1385" s="379"/>
    </row>
    <row r="1386" spans="1:10" ht="23.4" x14ac:dyDescent="0.3">
      <c r="A1386" s="997"/>
      <c r="B1386" s="848"/>
      <c r="C1386" s="282" t="s">
        <v>316</v>
      </c>
      <c r="D1386" s="440" t="s">
        <v>263</v>
      </c>
      <c r="E1386" s="283">
        <f>800+1000+1200</f>
        <v>3000</v>
      </c>
      <c r="F1386" s="323">
        <f t="shared" si="285"/>
        <v>4600</v>
      </c>
      <c r="G1386" s="621">
        <v>320.35000000000002</v>
      </c>
      <c r="H1386" s="611">
        <f t="shared" si="287"/>
        <v>961050.00000000012</v>
      </c>
      <c r="I1386" s="614">
        <f t="shared" si="286"/>
        <v>1473610</v>
      </c>
      <c r="J1386" s="379"/>
    </row>
    <row r="1387" spans="1:10" ht="23.4" x14ac:dyDescent="0.3">
      <c r="A1387" s="997"/>
      <c r="B1387" s="848"/>
      <c r="C1387" s="282" t="s">
        <v>333</v>
      </c>
      <c r="D1387" s="440" t="s">
        <v>263</v>
      </c>
      <c r="E1387" s="283">
        <v>0</v>
      </c>
      <c r="F1387" s="323">
        <f t="shared" si="285"/>
        <v>0</v>
      </c>
      <c r="G1387" s="621">
        <v>434.41</v>
      </c>
      <c r="H1387" s="611">
        <f t="shared" si="287"/>
        <v>0</v>
      </c>
      <c r="I1387" s="614">
        <f t="shared" si="286"/>
        <v>0</v>
      </c>
      <c r="J1387" s="379"/>
    </row>
    <row r="1388" spans="1:10" ht="23.4" x14ac:dyDescent="0.3">
      <c r="A1388" s="997"/>
      <c r="B1388" s="848"/>
      <c r="C1388" s="282" t="s">
        <v>313</v>
      </c>
      <c r="D1388" s="440" t="s">
        <v>263</v>
      </c>
      <c r="E1388" s="283">
        <v>0</v>
      </c>
      <c r="F1388" s="323">
        <f t="shared" si="285"/>
        <v>5</v>
      </c>
      <c r="G1388" s="621">
        <v>29690</v>
      </c>
      <c r="H1388" s="611">
        <f t="shared" si="287"/>
        <v>0</v>
      </c>
      <c r="I1388" s="614">
        <f t="shared" si="286"/>
        <v>148450</v>
      </c>
      <c r="J1388" s="379"/>
    </row>
    <row r="1389" spans="1:10" ht="23.4" x14ac:dyDescent="0.3">
      <c r="A1389" s="997"/>
      <c r="B1389" s="848"/>
      <c r="C1389" s="282" t="s">
        <v>313</v>
      </c>
      <c r="D1389" s="440" t="s">
        <v>263</v>
      </c>
      <c r="E1389" s="283">
        <v>0</v>
      </c>
      <c r="F1389" s="323">
        <f t="shared" si="285"/>
        <v>2</v>
      </c>
      <c r="G1389" s="621">
        <v>26445</v>
      </c>
      <c r="H1389" s="611">
        <f t="shared" si="287"/>
        <v>0</v>
      </c>
      <c r="I1389" s="614">
        <f t="shared" si="286"/>
        <v>52890</v>
      </c>
      <c r="J1389" s="379"/>
    </row>
    <row r="1390" spans="1:10" ht="23.4" x14ac:dyDescent="0.3">
      <c r="A1390" s="997"/>
      <c r="B1390" s="848"/>
      <c r="C1390" s="282" t="s">
        <v>354</v>
      </c>
      <c r="D1390" s="440" t="s">
        <v>401</v>
      </c>
      <c r="E1390" s="283">
        <v>0</v>
      </c>
      <c r="F1390" s="323">
        <f t="shared" si="285"/>
        <v>3750</v>
      </c>
      <c r="G1390" s="621">
        <v>50</v>
      </c>
      <c r="H1390" s="611">
        <f t="shared" si="287"/>
        <v>0</v>
      </c>
      <c r="I1390" s="614">
        <f t="shared" si="286"/>
        <v>187500</v>
      </c>
      <c r="J1390" s="379"/>
    </row>
    <row r="1391" spans="1:10" ht="23.4" x14ac:dyDescent="0.3">
      <c r="A1391" s="997"/>
      <c r="B1391" s="848"/>
      <c r="C1391" s="282" t="s">
        <v>354</v>
      </c>
      <c r="D1391" s="440" t="s">
        <v>401</v>
      </c>
      <c r="E1391" s="283">
        <v>0</v>
      </c>
      <c r="F1391" s="323">
        <f t="shared" si="285"/>
        <v>5267</v>
      </c>
      <c r="G1391" s="621">
        <v>45</v>
      </c>
      <c r="H1391" s="611">
        <f t="shared" si="287"/>
        <v>0</v>
      </c>
      <c r="I1391" s="614">
        <f t="shared" si="286"/>
        <v>237015</v>
      </c>
      <c r="J1391" s="379"/>
    </row>
    <row r="1392" spans="1:10" ht="23.4" x14ac:dyDescent="0.3">
      <c r="A1392" s="997"/>
      <c r="B1392" s="848"/>
      <c r="C1392" s="282" t="s">
        <v>366</v>
      </c>
      <c r="D1392" s="440" t="s">
        <v>263</v>
      </c>
      <c r="E1392" s="283">
        <v>0</v>
      </c>
      <c r="F1392" s="323">
        <f t="shared" si="285"/>
        <v>0</v>
      </c>
      <c r="G1392" s="621">
        <v>53.86</v>
      </c>
      <c r="H1392" s="611">
        <f t="shared" si="287"/>
        <v>0</v>
      </c>
      <c r="I1392" s="614">
        <f t="shared" si="286"/>
        <v>0</v>
      </c>
      <c r="J1392" s="379"/>
    </row>
    <row r="1393" spans="1:10" ht="23.4" x14ac:dyDescent="0.3">
      <c r="A1393" s="997"/>
      <c r="B1393" s="848"/>
      <c r="C1393" s="282" t="s">
        <v>386</v>
      </c>
      <c r="D1393" s="440" t="s">
        <v>481</v>
      </c>
      <c r="E1393" s="283">
        <v>100</v>
      </c>
      <c r="F1393" s="323">
        <f t="shared" si="285"/>
        <v>100</v>
      </c>
      <c r="G1393" s="621">
        <v>57.64</v>
      </c>
      <c r="H1393" s="611">
        <f t="shared" si="287"/>
        <v>5764</v>
      </c>
      <c r="I1393" s="614">
        <f t="shared" si="286"/>
        <v>5764</v>
      </c>
      <c r="J1393" s="379"/>
    </row>
    <row r="1394" spans="1:10" ht="23.4" x14ac:dyDescent="0.3">
      <c r="A1394" s="997"/>
      <c r="B1394" s="848"/>
      <c r="C1394" s="282" t="s">
        <v>388</v>
      </c>
      <c r="D1394" s="440" t="s">
        <v>389</v>
      </c>
      <c r="E1394" s="283">
        <v>0</v>
      </c>
      <c r="F1394" s="284">
        <f t="shared" si="285"/>
        <v>2560</v>
      </c>
      <c r="G1394" s="621">
        <v>434.41</v>
      </c>
      <c r="H1394" s="611">
        <f t="shared" si="287"/>
        <v>0</v>
      </c>
      <c r="I1394" s="614">
        <f t="shared" si="286"/>
        <v>1112089.6000000001</v>
      </c>
      <c r="J1394" s="379"/>
    </row>
    <row r="1395" spans="1:10" ht="23.4" x14ac:dyDescent="0.3">
      <c r="A1395" s="997"/>
      <c r="B1395" s="848"/>
      <c r="C1395" s="282" t="s">
        <v>419</v>
      </c>
      <c r="D1395" s="440" t="s">
        <v>263</v>
      </c>
      <c r="E1395" s="283">
        <v>1000</v>
      </c>
      <c r="F1395" s="284">
        <f t="shared" si="285"/>
        <v>9280</v>
      </c>
      <c r="G1395" s="621">
        <v>624.26</v>
      </c>
      <c r="H1395" s="611">
        <f t="shared" si="287"/>
        <v>624260</v>
      </c>
      <c r="I1395" s="614">
        <f t="shared" si="286"/>
        <v>5793132.7999999998</v>
      </c>
      <c r="J1395" s="379"/>
    </row>
    <row r="1396" spans="1:10" ht="23.4" x14ac:dyDescent="0.3">
      <c r="A1396" s="997"/>
      <c r="B1396" s="848"/>
      <c r="C1396" s="282" t="s">
        <v>390</v>
      </c>
      <c r="D1396" s="440" t="s">
        <v>389</v>
      </c>
      <c r="E1396" s="283">
        <v>0</v>
      </c>
      <c r="F1396" s="323">
        <f t="shared" si="285"/>
        <v>7200</v>
      </c>
      <c r="G1396" s="621">
        <v>63.55</v>
      </c>
      <c r="H1396" s="611">
        <f t="shared" si="287"/>
        <v>0</v>
      </c>
      <c r="I1396" s="614">
        <f t="shared" si="286"/>
        <v>457560</v>
      </c>
      <c r="J1396" s="379"/>
    </row>
    <row r="1397" spans="1:10" ht="23.4" x14ac:dyDescent="0.3">
      <c r="A1397" s="997"/>
      <c r="B1397" s="848"/>
      <c r="C1397" s="282" t="s">
        <v>391</v>
      </c>
      <c r="D1397" s="440" t="s">
        <v>389</v>
      </c>
      <c r="E1397" s="283">
        <v>0</v>
      </c>
      <c r="F1397" s="323">
        <f t="shared" si="285"/>
        <v>8640</v>
      </c>
      <c r="G1397" s="621">
        <v>53.86</v>
      </c>
      <c r="H1397" s="611">
        <f t="shared" si="287"/>
        <v>0</v>
      </c>
      <c r="I1397" s="614">
        <f t="shared" si="286"/>
        <v>465350.40000000002</v>
      </c>
      <c r="J1397" s="379"/>
    </row>
    <row r="1398" spans="1:10" ht="23.4" x14ac:dyDescent="0.3">
      <c r="A1398" s="997"/>
      <c r="B1398" s="848"/>
      <c r="C1398" s="282" t="s">
        <v>432</v>
      </c>
      <c r="D1398" s="440" t="s">
        <v>401</v>
      </c>
      <c r="E1398" s="283">
        <v>0</v>
      </c>
      <c r="F1398" s="323">
        <f t="shared" si="285"/>
        <v>2307</v>
      </c>
      <c r="G1398" s="621">
        <v>45</v>
      </c>
      <c r="H1398" s="611">
        <f t="shared" si="287"/>
        <v>0</v>
      </c>
      <c r="I1398" s="614">
        <f t="shared" si="286"/>
        <v>103815</v>
      </c>
      <c r="J1398" s="379"/>
    </row>
    <row r="1399" spans="1:10" ht="23.4" x14ac:dyDescent="0.3">
      <c r="A1399" s="997"/>
      <c r="B1399" s="848"/>
      <c r="C1399" s="282" t="s">
        <v>313</v>
      </c>
      <c r="D1399" s="440"/>
      <c r="E1399" s="283">
        <v>0</v>
      </c>
      <c r="F1399" s="323">
        <f t="shared" si="285"/>
        <v>1</v>
      </c>
      <c r="G1399" s="621">
        <v>39450</v>
      </c>
      <c r="H1399" s="611">
        <f t="shared" si="287"/>
        <v>0</v>
      </c>
      <c r="I1399" s="614">
        <f t="shared" si="286"/>
        <v>39450</v>
      </c>
      <c r="J1399" s="379"/>
    </row>
    <row r="1400" spans="1:10" ht="24" thickBot="1" x14ac:dyDescent="0.35">
      <c r="A1400" s="997"/>
      <c r="B1400" s="848"/>
      <c r="C1400" s="282" t="s">
        <v>386</v>
      </c>
      <c r="D1400" s="440" t="s">
        <v>263</v>
      </c>
      <c r="E1400" s="283">
        <v>2000</v>
      </c>
      <c r="F1400" s="323">
        <f t="shared" si="285"/>
        <v>2000</v>
      </c>
      <c r="G1400" s="621">
        <v>57.64</v>
      </c>
      <c r="H1400" s="611">
        <f t="shared" si="287"/>
        <v>115280</v>
      </c>
      <c r="I1400" s="614">
        <f t="shared" si="286"/>
        <v>115280</v>
      </c>
      <c r="J1400" s="379"/>
    </row>
    <row r="1401" spans="1:10" ht="24" thickBot="1" x14ac:dyDescent="0.35">
      <c r="A1401" s="998"/>
      <c r="B1401" s="992" t="s">
        <v>299</v>
      </c>
      <c r="C1401" s="993"/>
      <c r="D1401" s="850"/>
      <c r="E1401" s="332"/>
      <c r="F1401" s="333"/>
      <c r="G1401" s="332"/>
      <c r="H1401" s="608">
        <f>SUM(H1381:H1400)</f>
        <v>5220344.72</v>
      </c>
      <c r="I1401" s="597">
        <f>SUM(I1381:I1400)</f>
        <v>48817434.799999997</v>
      </c>
      <c r="J1401" s="378"/>
    </row>
    <row r="1402" spans="1:10" ht="24" thickBot="1" x14ac:dyDescent="0.35">
      <c r="A1402" s="853"/>
      <c r="B1402" s="443"/>
      <c r="C1402" s="282"/>
      <c r="D1402" s="440"/>
      <c r="E1402" s="283"/>
      <c r="F1402" s="284"/>
      <c r="G1402" s="340"/>
      <c r="H1402" s="607"/>
      <c r="I1402" s="285"/>
      <c r="J1402" s="379"/>
    </row>
    <row r="1403" spans="1:10" ht="24" thickBot="1" x14ac:dyDescent="0.35">
      <c r="A1403" s="853"/>
      <c r="B1403" s="992" t="s">
        <v>243</v>
      </c>
      <c r="C1403" s="993"/>
      <c r="D1403" s="846"/>
      <c r="E1403" s="332"/>
      <c r="F1403" s="333"/>
      <c r="G1403" s="332"/>
      <c r="H1403" s="605"/>
      <c r="I1403" s="330"/>
      <c r="J1403" s="355"/>
    </row>
    <row r="1404" spans="1:10" ht="24.6" thickBot="1" x14ac:dyDescent="0.35">
      <c r="A1404" s="325"/>
      <c r="B1404" s="994" t="s">
        <v>183</v>
      </c>
      <c r="C1404" s="995"/>
      <c r="D1404" s="847"/>
      <c r="E1404" s="380"/>
      <c r="F1404" s="380"/>
      <c r="G1404" s="380"/>
      <c r="H1404" s="380"/>
      <c r="I1404" s="380">
        <f>+I1401+I1380+I1359</f>
        <v>148164601.22</v>
      </c>
      <c r="J1404" s="381"/>
    </row>
    <row r="1405" spans="1:10" ht="23.4" x14ac:dyDescent="0.3">
      <c r="A1405" s="935" t="s">
        <v>1</v>
      </c>
      <c r="B1405" s="938" t="s">
        <v>2</v>
      </c>
      <c r="C1405" s="1001" t="s">
        <v>3</v>
      </c>
      <c r="D1405" s="1005" t="s">
        <v>93</v>
      </c>
      <c r="E1405" s="1008">
        <v>44525</v>
      </c>
      <c r="F1405" s="945"/>
      <c r="G1405" s="945"/>
      <c r="H1405" s="945"/>
      <c r="I1405" s="945"/>
      <c r="J1405" s="946"/>
    </row>
    <row r="1406" spans="1:10" ht="23.4" x14ac:dyDescent="0.3">
      <c r="A1406" s="999"/>
      <c r="B1406" s="1000"/>
      <c r="C1406" s="1002"/>
      <c r="D1406" s="1006"/>
      <c r="E1406" s="1009" t="s">
        <v>94</v>
      </c>
      <c r="F1406" s="1010"/>
      <c r="G1406" s="1009" t="s">
        <v>252</v>
      </c>
      <c r="H1406" s="1011"/>
      <c r="I1406" s="1011"/>
      <c r="J1406" s="1010"/>
    </row>
    <row r="1407" spans="1:10" x14ac:dyDescent="0.3">
      <c r="A1407" s="936"/>
      <c r="B1407" s="939"/>
      <c r="C1407" s="1003"/>
      <c r="D1407" s="1006"/>
      <c r="E1407" s="947" t="s">
        <v>95</v>
      </c>
      <c r="F1407" s="949" t="s">
        <v>96</v>
      </c>
      <c r="G1407" s="1012" t="s">
        <v>97</v>
      </c>
      <c r="H1407" s="1014" t="s">
        <v>98</v>
      </c>
      <c r="I1407" s="1014" t="s">
        <v>98</v>
      </c>
      <c r="J1407" s="1016" t="s">
        <v>12</v>
      </c>
    </row>
    <row r="1408" spans="1:10" ht="14.4" thickBot="1" x14ac:dyDescent="0.35">
      <c r="A1408" s="937"/>
      <c r="B1408" s="940"/>
      <c r="C1408" s="1004"/>
      <c r="D1408" s="1007"/>
      <c r="E1408" s="948"/>
      <c r="F1408" s="950"/>
      <c r="G1408" s="1013"/>
      <c r="H1408" s="1015"/>
      <c r="I1408" s="1015"/>
      <c r="J1408" s="1017"/>
    </row>
    <row r="1409" spans="1:10" ht="23.4" x14ac:dyDescent="0.3">
      <c r="A1409" s="996" t="s">
        <v>111</v>
      </c>
      <c r="B1409" s="445"/>
      <c r="C1409" s="592" t="s">
        <v>300</v>
      </c>
      <c r="D1409" s="449" t="s">
        <v>292</v>
      </c>
      <c r="E1409" s="273">
        <v>0</v>
      </c>
      <c r="F1409" s="441">
        <f>E1409+F1327</f>
        <v>0</v>
      </c>
      <c r="G1409" s="593">
        <v>111.09</v>
      </c>
      <c r="H1409" s="609">
        <f t="shared" ref="H1409:H1422" si="288">E1409*G1409</f>
        <v>0</v>
      </c>
      <c r="I1409" s="612">
        <f>+G1409*F1409</f>
        <v>0</v>
      </c>
      <c r="J1409" s="357"/>
    </row>
    <row r="1410" spans="1:10" ht="23.4" x14ac:dyDescent="0.3">
      <c r="A1410" s="997"/>
      <c r="B1410" s="444"/>
      <c r="C1410" s="448" t="s">
        <v>293</v>
      </c>
      <c r="D1410" s="447" t="s">
        <v>294</v>
      </c>
      <c r="E1410" s="279">
        <v>0</v>
      </c>
      <c r="F1410" s="441">
        <f t="shared" ref="F1410:F1422" si="289">E1410+F1328</f>
        <v>0</v>
      </c>
      <c r="G1410" s="594">
        <v>11</v>
      </c>
      <c r="H1410" s="610">
        <f t="shared" si="288"/>
        <v>0</v>
      </c>
      <c r="I1410" s="613">
        <f>+G1410*F1410</f>
        <v>0</v>
      </c>
      <c r="J1410" s="358"/>
    </row>
    <row r="1411" spans="1:10" ht="23.4" x14ac:dyDescent="0.3">
      <c r="A1411" s="997"/>
      <c r="B1411" s="444"/>
      <c r="C1411" s="448" t="s">
        <v>332</v>
      </c>
      <c r="D1411" s="447" t="s">
        <v>466</v>
      </c>
      <c r="E1411" s="279">
        <v>0</v>
      </c>
      <c r="F1411" s="441">
        <f t="shared" si="289"/>
        <v>960</v>
      </c>
      <c r="G1411" s="594">
        <v>139.04</v>
      </c>
      <c r="H1411" s="610">
        <f t="shared" si="288"/>
        <v>0</v>
      </c>
      <c r="I1411" s="613">
        <f t="shared" ref="I1411:I1422" si="290">+G1411*F1411</f>
        <v>133478.39999999999</v>
      </c>
      <c r="J1411" s="358"/>
    </row>
    <row r="1412" spans="1:10" ht="23.4" x14ac:dyDescent="0.3">
      <c r="A1412" s="997"/>
      <c r="B1412" s="444"/>
      <c r="C1412" s="448" t="s">
        <v>449</v>
      </c>
      <c r="D1412" s="447" t="s">
        <v>450</v>
      </c>
      <c r="E1412" s="279">
        <v>0</v>
      </c>
      <c r="F1412" s="441">
        <f t="shared" si="289"/>
        <v>440640</v>
      </c>
      <c r="G1412" s="594">
        <v>20.5</v>
      </c>
      <c r="H1412" s="610">
        <f t="shared" si="288"/>
        <v>0</v>
      </c>
      <c r="I1412" s="613">
        <f t="shared" si="290"/>
        <v>9033120</v>
      </c>
      <c r="J1412" s="358"/>
    </row>
    <row r="1413" spans="1:10" ht="23.4" x14ac:dyDescent="0.3">
      <c r="A1413" s="997"/>
      <c r="B1413" s="444"/>
      <c r="C1413" s="448" t="s">
        <v>323</v>
      </c>
      <c r="D1413" s="447" t="s">
        <v>192</v>
      </c>
      <c r="E1413" s="279">
        <v>0</v>
      </c>
      <c r="F1413" s="441">
        <f t="shared" si="289"/>
        <v>219648</v>
      </c>
      <c r="G1413" s="594">
        <v>14.79</v>
      </c>
      <c r="H1413" s="610">
        <f t="shared" si="288"/>
        <v>0</v>
      </c>
      <c r="I1413" s="613">
        <f t="shared" si="290"/>
        <v>3248593.92</v>
      </c>
      <c r="J1413" s="358"/>
    </row>
    <row r="1414" spans="1:10" ht="23.4" x14ac:dyDescent="0.3">
      <c r="A1414" s="997"/>
      <c r="B1414" s="444"/>
      <c r="C1414" s="448" t="s">
        <v>332</v>
      </c>
      <c r="D1414" s="447" t="s">
        <v>294</v>
      </c>
      <c r="E1414" s="279">
        <v>0</v>
      </c>
      <c r="F1414" s="441">
        <f t="shared" si="289"/>
        <v>960</v>
      </c>
      <c r="G1414" s="594">
        <v>139.04</v>
      </c>
      <c r="H1414" s="610">
        <f t="shared" si="288"/>
        <v>0</v>
      </c>
      <c r="I1414" s="613">
        <f t="shared" si="290"/>
        <v>133478.39999999999</v>
      </c>
      <c r="J1414" s="358"/>
    </row>
    <row r="1415" spans="1:10" ht="23.4" x14ac:dyDescent="0.3">
      <c r="A1415" s="997"/>
      <c r="B1415" s="444"/>
      <c r="C1415" s="448" t="s">
        <v>384</v>
      </c>
      <c r="D1415" s="623" t="s">
        <v>447</v>
      </c>
      <c r="E1415" s="279">
        <v>0</v>
      </c>
      <c r="F1415" s="441">
        <f t="shared" si="289"/>
        <v>99364</v>
      </c>
      <c r="G1415" s="594">
        <v>20.5</v>
      </c>
      <c r="H1415" s="610">
        <f t="shared" si="288"/>
        <v>0</v>
      </c>
      <c r="I1415" s="613">
        <f t="shared" si="290"/>
        <v>2036962</v>
      </c>
      <c r="J1415" s="358"/>
    </row>
    <row r="1416" spans="1:10" ht="23.4" x14ac:dyDescent="0.3">
      <c r="A1416" s="997"/>
      <c r="B1416" s="444"/>
      <c r="C1416" s="448" t="s">
        <v>362</v>
      </c>
      <c r="D1416" s="623" t="s">
        <v>294</v>
      </c>
      <c r="E1416" s="279">
        <v>0</v>
      </c>
      <c r="F1416" s="441">
        <f t="shared" si="289"/>
        <v>16524</v>
      </c>
      <c r="G1416" s="594">
        <v>18.84</v>
      </c>
      <c r="H1416" s="610">
        <f t="shared" si="288"/>
        <v>0</v>
      </c>
      <c r="I1416" s="613">
        <f t="shared" si="290"/>
        <v>311312.15999999997</v>
      </c>
      <c r="J1416" s="358"/>
    </row>
    <row r="1417" spans="1:10" ht="23.4" x14ac:dyDescent="0.3">
      <c r="A1417" s="997"/>
      <c r="B1417" s="444"/>
      <c r="C1417" s="448" t="s">
        <v>376</v>
      </c>
      <c r="D1417" s="623" t="s">
        <v>257</v>
      </c>
      <c r="E1417" s="279">
        <v>0</v>
      </c>
      <c r="F1417" s="441">
        <f t="shared" si="289"/>
        <v>895823</v>
      </c>
      <c r="G1417" s="594">
        <v>21.18</v>
      </c>
      <c r="H1417" s="610">
        <f t="shared" si="288"/>
        <v>0</v>
      </c>
      <c r="I1417" s="613">
        <f t="shared" si="290"/>
        <v>18973531.140000001</v>
      </c>
      <c r="J1417" s="358"/>
    </row>
    <row r="1418" spans="1:10" ht="23.4" x14ac:dyDescent="0.3">
      <c r="A1418" s="997"/>
      <c r="B1418" s="444"/>
      <c r="C1418" s="448" t="s">
        <v>378</v>
      </c>
      <c r="D1418" s="623" t="s">
        <v>379</v>
      </c>
      <c r="E1418" s="279">
        <v>0</v>
      </c>
      <c r="F1418" s="441">
        <f t="shared" si="289"/>
        <v>65690</v>
      </c>
      <c r="G1418" s="594">
        <v>21.28</v>
      </c>
      <c r="H1418" s="610">
        <f t="shared" si="288"/>
        <v>0</v>
      </c>
      <c r="I1418" s="613">
        <f t="shared" si="290"/>
        <v>1397883.2000000002</v>
      </c>
      <c r="J1418" s="358"/>
    </row>
    <row r="1419" spans="1:10" ht="23.4" x14ac:dyDescent="0.3">
      <c r="A1419" s="997"/>
      <c r="B1419" s="444"/>
      <c r="C1419" s="448" t="s">
        <v>332</v>
      </c>
      <c r="D1419" s="623" t="s">
        <v>447</v>
      </c>
      <c r="E1419" s="279">
        <v>0</v>
      </c>
      <c r="F1419" s="441">
        <f t="shared" si="289"/>
        <v>9920</v>
      </c>
      <c r="G1419" s="594">
        <v>139.04</v>
      </c>
      <c r="H1419" s="610">
        <f t="shared" si="288"/>
        <v>0</v>
      </c>
      <c r="I1419" s="613">
        <f t="shared" si="290"/>
        <v>1379276.7999999998</v>
      </c>
      <c r="J1419" s="358"/>
    </row>
    <row r="1420" spans="1:10" ht="23.4" x14ac:dyDescent="0.3">
      <c r="A1420" s="997"/>
      <c r="B1420" s="444"/>
      <c r="C1420" s="448" t="s">
        <v>470</v>
      </c>
      <c r="D1420" s="447" t="s">
        <v>192</v>
      </c>
      <c r="E1420" s="279">
        <v>0</v>
      </c>
      <c r="F1420" s="441">
        <f t="shared" si="289"/>
        <v>456192</v>
      </c>
      <c r="G1420" s="594">
        <v>14.55</v>
      </c>
      <c r="H1420" s="610">
        <f t="shared" si="288"/>
        <v>0</v>
      </c>
      <c r="I1420" s="613">
        <f t="shared" si="290"/>
        <v>6637593.6000000006</v>
      </c>
      <c r="J1420" s="358"/>
    </row>
    <row r="1421" spans="1:10" ht="23.4" x14ac:dyDescent="0.3">
      <c r="A1421" s="997"/>
      <c r="B1421" s="444"/>
      <c r="C1421" s="448" t="s">
        <v>384</v>
      </c>
      <c r="D1421" s="623" t="s">
        <v>206</v>
      </c>
      <c r="E1421" s="279">
        <v>0</v>
      </c>
      <c r="F1421" s="441">
        <f t="shared" si="289"/>
        <v>0</v>
      </c>
      <c r="G1421" s="594">
        <v>21.28</v>
      </c>
      <c r="H1421" s="610">
        <f t="shared" si="288"/>
        <v>0</v>
      </c>
      <c r="I1421" s="613">
        <f t="shared" si="290"/>
        <v>0</v>
      </c>
      <c r="J1421" s="358"/>
    </row>
    <row r="1422" spans="1:10" ht="24" thickBot="1" x14ac:dyDescent="0.35">
      <c r="A1422" s="997"/>
      <c r="B1422" s="444"/>
      <c r="C1422" s="448" t="s">
        <v>400</v>
      </c>
      <c r="D1422" s="450" t="s">
        <v>193</v>
      </c>
      <c r="E1422" s="279">
        <v>0</v>
      </c>
      <c r="F1422" s="441">
        <f t="shared" si="289"/>
        <v>1186</v>
      </c>
      <c r="G1422" s="594">
        <v>36.44</v>
      </c>
      <c r="H1422" s="610">
        <f t="shared" si="288"/>
        <v>0</v>
      </c>
      <c r="I1422" s="613">
        <f t="shared" si="290"/>
        <v>43217.84</v>
      </c>
      <c r="J1422" s="358"/>
    </row>
    <row r="1423" spans="1:10" ht="24" thickBot="1" x14ac:dyDescent="0.35">
      <c r="A1423" s="997"/>
      <c r="B1423" s="992" t="s">
        <v>295</v>
      </c>
      <c r="C1423" s="993"/>
      <c r="D1423" s="858"/>
      <c r="E1423" s="332"/>
      <c r="F1423" s="333"/>
      <c r="G1423" s="332"/>
      <c r="H1423" s="605">
        <f>SUM(H1409:H1422)</f>
        <v>0</v>
      </c>
      <c r="I1423" s="597">
        <f>SUM(I1409:I1422)</f>
        <v>43328447.460000008</v>
      </c>
      <c r="J1423" s="355"/>
    </row>
    <row r="1424" spans="1:10" ht="23.4" x14ac:dyDescent="0.3">
      <c r="A1424" s="997"/>
      <c r="B1424" s="856"/>
      <c r="C1424" s="282" t="s">
        <v>301</v>
      </c>
      <c r="D1424" s="440" t="s">
        <v>263</v>
      </c>
      <c r="E1424" s="283">
        <v>6125</v>
      </c>
      <c r="F1424" s="323">
        <f t="shared" ref="F1424:F1434" si="291">E1424+F1342</f>
        <v>96375</v>
      </c>
      <c r="G1424" s="595">
        <v>160.44999999999999</v>
      </c>
      <c r="H1424" s="611">
        <f t="shared" ref="H1424:H1434" si="292">E1424*G1424</f>
        <v>982756.24999999988</v>
      </c>
      <c r="I1424" s="614">
        <f t="shared" ref="I1424:I1434" si="293">+G1424*F1424</f>
        <v>15463368.749999998</v>
      </c>
      <c r="J1424" s="379"/>
    </row>
    <row r="1425" spans="1:10" ht="23.4" x14ac:dyDescent="0.3">
      <c r="A1425" s="997"/>
      <c r="B1425" s="856"/>
      <c r="C1425" s="282" t="s">
        <v>317</v>
      </c>
      <c r="D1425" s="440" t="s">
        <v>263</v>
      </c>
      <c r="E1425" s="283">
        <v>0</v>
      </c>
      <c r="F1425" s="323">
        <f t="shared" si="291"/>
        <v>13084</v>
      </c>
      <c r="G1425" s="595">
        <v>160.44999999999999</v>
      </c>
      <c r="H1425" s="611">
        <f t="shared" si="292"/>
        <v>0</v>
      </c>
      <c r="I1425" s="614">
        <f t="shared" si="293"/>
        <v>2099327.7999999998</v>
      </c>
      <c r="J1425" s="379"/>
    </row>
    <row r="1426" spans="1:10" ht="23.4" x14ac:dyDescent="0.3">
      <c r="A1426" s="997"/>
      <c r="B1426" s="856"/>
      <c r="C1426" s="282" t="s">
        <v>318</v>
      </c>
      <c r="D1426" s="440" t="s">
        <v>263</v>
      </c>
      <c r="E1426" s="283">
        <v>0</v>
      </c>
      <c r="F1426" s="323">
        <f t="shared" si="291"/>
        <v>3375</v>
      </c>
      <c r="G1426" s="595">
        <v>160.44999999999999</v>
      </c>
      <c r="H1426" s="611">
        <f t="shared" si="292"/>
        <v>0</v>
      </c>
      <c r="I1426" s="614">
        <f t="shared" si="293"/>
        <v>541518.75</v>
      </c>
      <c r="J1426" s="379"/>
    </row>
    <row r="1427" spans="1:10" ht="23.4" x14ac:dyDescent="0.3">
      <c r="A1427" s="997"/>
      <c r="B1427" s="856"/>
      <c r="C1427" s="282" t="s">
        <v>321</v>
      </c>
      <c r="D1427" s="440" t="s">
        <v>100</v>
      </c>
      <c r="E1427" s="283">
        <v>0</v>
      </c>
      <c r="F1427" s="323">
        <f t="shared" si="291"/>
        <v>0</v>
      </c>
      <c r="G1427" s="595">
        <v>27</v>
      </c>
      <c r="H1427" s="611">
        <f t="shared" si="292"/>
        <v>0</v>
      </c>
      <c r="I1427" s="614">
        <f t="shared" si="293"/>
        <v>0</v>
      </c>
      <c r="J1427" s="379"/>
    </row>
    <row r="1428" spans="1:10" ht="23.4" x14ac:dyDescent="0.3">
      <c r="A1428" s="997"/>
      <c r="B1428" s="856"/>
      <c r="C1428" s="282" t="s">
        <v>321</v>
      </c>
      <c r="D1428" s="440" t="s">
        <v>329</v>
      </c>
      <c r="E1428" s="283">
        <v>55440</v>
      </c>
      <c r="F1428" s="323">
        <f t="shared" si="291"/>
        <v>269280</v>
      </c>
      <c r="G1428" s="595">
        <v>27.5</v>
      </c>
      <c r="H1428" s="611">
        <f t="shared" si="292"/>
        <v>1524600</v>
      </c>
      <c r="I1428" s="614">
        <f t="shared" si="293"/>
        <v>7405200</v>
      </c>
      <c r="J1428" s="379"/>
    </row>
    <row r="1429" spans="1:10" ht="23.4" x14ac:dyDescent="0.3">
      <c r="A1429" s="997"/>
      <c r="B1429" s="856"/>
      <c r="C1429" s="282" t="s">
        <v>307</v>
      </c>
      <c r="D1429" s="440" t="s">
        <v>329</v>
      </c>
      <c r="E1429" s="283">
        <v>1848</v>
      </c>
      <c r="F1429" s="323">
        <f t="shared" si="291"/>
        <v>8976</v>
      </c>
      <c r="G1429" s="595">
        <v>34.5</v>
      </c>
      <c r="H1429" s="611">
        <f t="shared" si="292"/>
        <v>63756</v>
      </c>
      <c r="I1429" s="614">
        <f t="shared" si="293"/>
        <v>309672</v>
      </c>
      <c r="J1429" s="379"/>
    </row>
    <row r="1430" spans="1:10" ht="23.4" x14ac:dyDescent="0.3">
      <c r="A1430" s="997"/>
      <c r="B1430" s="856"/>
      <c r="C1430" s="282" t="s">
        <v>342</v>
      </c>
      <c r="D1430" s="440" t="s">
        <v>263</v>
      </c>
      <c r="E1430" s="283">
        <v>0</v>
      </c>
      <c r="F1430" s="323">
        <f t="shared" si="291"/>
        <v>23191</v>
      </c>
      <c r="G1430" s="595">
        <v>160.44999999999999</v>
      </c>
      <c r="H1430" s="611">
        <f t="shared" si="292"/>
        <v>0</v>
      </c>
      <c r="I1430" s="614">
        <f t="shared" si="293"/>
        <v>3720995.9499999997</v>
      </c>
      <c r="J1430" s="379"/>
    </row>
    <row r="1431" spans="1:10" ht="23.4" x14ac:dyDescent="0.3">
      <c r="A1431" s="997"/>
      <c r="B1431" s="856"/>
      <c r="C1431" s="282" t="s">
        <v>438</v>
      </c>
      <c r="D1431" s="440" t="s">
        <v>263</v>
      </c>
      <c r="E1431" s="283">
        <v>0</v>
      </c>
      <c r="F1431" s="323">
        <f t="shared" si="291"/>
        <v>7000</v>
      </c>
      <c r="G1431" s="595">
        <v>160.44999999999999</v>
      </c>
      <c r="H1431" s="611">
        <f t="shared" si="292"/>
        <v>0</v>
      </c>
      <c r="I1431" s="614">
        <f t="shared" si="293"/>
        <v>1123150</v>
      </c>
      <c r="J1431" s="379"/>
    </row>
    <row r="1432" spans="1:10" ht="23.4" x14ac:dyDescent="0.3">
      <c r="A1432" s="997"/>
      <c r="B1432" s="856"/>
      <c r="C1432" s="282" t="s">
        <v>357</v>
      </c>
      <c r="D1432" s="440" t="s">
        <v>263</v>
      </c>
      <c r="E1432" s="283">
        <v>0</v>
      </c>
      <c r="F1432" s="323">
        <f t="shared" si="291"/>
        <v>19625</v>
      </c>
      <c r="G1432" s="595">
        <v>160.44999999999999</v>
      </c>
      <c r="H1432" s="611">
        <f t="shared" si="292"/>
        <v>0</v>
      </c>
      <c r="I1432" s="614">
        <f t="shared" si="293"/>
        <v>3148831.25</v>
      </c>
      <c r="J1432" s="379"/>
    </row>
    <row r="1433" spans="1:10" ht="23.4" x14ac:dyDescent="0.3">
      <c r="A1433" s="997"/>
      <c r="B1433" s="856"/>
      <c r="C1433" s="282" t="s">
        <v>358</v>
      </c>
      <c r="D1433" s="440" t="s">
        <v>263</v>
      </c>
      <c r="E1433" s="283">
        <v>0</v>
      </c>
      <c r="F1433" s="323">
        <f t="shared" si="291"/>
        <v>16125</v>
      </c>
      <c r="G1433" s="595">
        <v>160.44999999999999</v>
      </c>
      <c r="H1433" s="611">
        <f t="shared" si="292"/>
        <v>0</v>
      </c>
      <c r="I1433" s="614">
        <f t="shared" si="293"/>
        <v>2587256.25</v>
      </c>
      <c r="J1433" s="379"/>
    </row>
    <row r="1434" spans="1:10" ht="24" thickBot="1" x14ac:dyDescent="0.35">
      <c r="A1434" s="997"/>
      <c r="B1434" s="856"/>
      <c r="C1434" s="282" t="s">
        <v>353</v>
      </c>
      <c r="D1434" s="440" t="s">
        <v>263</v>
      </c>
      <c r="E1434" s="283">
        <v>0</v>
      </c>
      <c r="F1434" s="323">
        <f t="shared" si="291"/>
        <v>2200</v>
      </c>
      <c r="G1434" s="595">
        <v>160.44999999999999</v>
      </c>
      <c r="H1434" s="611">
        <f t="shared" si="292"/>
        <v>0</v>
      </c>
      <c r="I1434" s="614">
        <f t="shared" si="293"/>
        <v>352990</v>
      </c>
      <c r="J1434" s="379"/>
    </row>
    <row r="1435" spans="1:10" ht="24" thickBot="1" x14ac:dyDescent="0.35">
      <c r="A1435" s="997"/>
      <c r="B1435" s="992" t="s">
        <v>296</v>
      </c>
      <c r="C1435" s="993"/>
      <c r="D1435" s="858"/>
      <c r="E1435" s="332"/>
      <c r="F1435" s="333"/>
      <c r="G1435" s="332"/>
      <c r="H1435" s="605">
        <f>SUM(H1424:H1434)</f>
        <v>2571112.25</v>
      </c>
      <c r="I1435" s="597">
        <f>SUM(I1424:I1434)</f>
        <v>36752310.75</v>
      </c>
      <c r="J1435" s="355"/>
    </row>
    <row r="1436" spans="1:10" ht="23.4" x14ac:dyDescent="0.3">
      <c r="A1436" s="997"/>
      <c r="B1436" s="856"/>
      <c r="C1436" s="282" t="s">
        <v>303</v>
      </c>
      <c r="D1436" s="440"/>
      <c r="E1436" s="283">
        <v>0</v>
      </c>
      <c r="F1436" s="598">
        <f t="shared" ref="F1436:F1438" si="294">E1436+F1354</f>
        <v>0</v>
      </c>
      <c r="G1436" s="595">
        <v>10</v>
      </c>
      <c r="H1436" s="611">
        <f t="shared" ref="H1436:H1438" si="295">E1436*G1436</f>
        <v>0</v>
      </c>
      <c r="I1436" s="614">
        <f t="shared" ref="I1436" si="296">+G1436*F1436</f>
        <v>0</v>
      </c>
      <c r="J1436" s="379"/>
    </row>
    <row r="1437" spans="1:10" ht="23.4" x14ac:dyDescent="0.3">
      <c r="A1437" s="997"/>
      <c r="B1437" s="856"/>
      <c r="C1437" s="282" t="s">
        <v>308</v>
      </c>
      <c r="D1437" s="440" t="s">
        <v>309</v>
      </c>
      <c r="E1437" s="283">
        <v>0</v>
      </c>
      <c r="F1437" s="598">
        <f t="shared" si="294"/>
        <v>13</v>
      </c>
      <c r="G1437" s="595">
        <v>2500</v>
      </c>
      <c r="H1437" s="611">
        <f t="shared" si="295"/>
        <v>0</v>
      </c>
      <c r="I1437" s="614">
        <f>+G1437*F1437</f>
        <v>32500</v>
      </c>
      <c r="J1437" s="379"/>
    </row>
    <row r="1438" spans="1:10" ht="24" thickBot="1" x14ac:dyDescent="0.35">
      <c r="A1438" s="997"/>
      <c r="B1438" s="856"/>
      <c r="C1438" s="282" t="s">
        <v>343</v>
      </c>
      <c r="D1438" s="440" t="s">
        <v>344</v>
      </c>
      <c r="E1438" s="283">
        <v>0</v>
      </c>
      <c r="F1438" s="598">
        <f t="shared" si="294"/>
        <v>0</v>
      </c>
      <c r="G1438" s="596">
        <v>360</v>
      </c>
      <c r="H1438" s="611">
        <f t="shared" si="295"/>
        <v>0</v>
      </c>
      <c r="I1438" s="614">
        <f t="shared" ref="I1438" si="297">+G1438*F1438</f>
        <v>0</v>
      </c>
      <c r="J1438" s="379"/>
    </row>
    <row r="1439" spans="1:10" ht="24" thickBot="1" x14ac:dyDescent="0.35">
      <c r="A1439" s="997"/>
      <c r="B1439" s="992" t="s">
        <v>302</v>
      </c>
      <c r="C1439" s="993"/>
      <c r="D1439" s="858"/>
      <c r="E1439" s="332"/>
      <c r="F1439" s="333"/>
      <c r="G1439" s="332"/>
      <c r="H1439" s="605">
        <f>SUM(H1436:H1438)</f>
        <v>0</v>
      </c>
      <c r="I1439" s="597">
        <f>SUM(I1436:I1438)</f>
        <v>32500</v>
      </c>
      <c r="J1439" s="379"/>
    </row>
    <row r="1440" spans="1:10" ht="24" thickBot="1" x14ac:dyDescent="0.35">
      <c r="A1440" s="997"/>
      <c r="B1440" s="856"/>
      <c r="C1440" s="282"/>
      <c r="D1440" s="440"/>
      <c r="E1440" s="283"/>
      <c r="F1440" s="323"/>
      <c r="G1440" s="596"/>
      <c r="H1440" s="606"/>
      <c r="I1440" s="285">
        <f t="shared" ref="I1440" si="298">+G1440*F1440</f>
        <v>0</v>
      </c>
      <c r="J1440" s="379"/>
    </row>
    <row r="1441" spans="1:10" ht="24" thickBot="1" x14ac:dyDescent="0.35">
      <c r="A1441" s="998"/>
      <c r="B1441" s="992" t="s">
        <v>298</v>
      </c>
      <c r="C1441" s="993"/>
      <c r="D1441" s="854"/>
      <c r="E1441" s="332"/>
      <c r="F1441" s="333"/>
      <c r="G1441" s="332"/>
      <c r="H1441" s="597">
        <f>+H1435+H1423+H1439</f>
        <v>2571112.25</v>
      </c>
      <c r="I1441" s="597">
        <f>+I1435+I1423+I1439</f>
        <v>80113258.210000008</v>
      </c>
      <c r="J1441" s="379"/>
    </row>
    <row r="1442" spans="1:10" ht="23.4" x14ac:dyDescent="0.3">
      <c r="A1442" s="996" t="s">
        <v>109</v>
      </c>
      <c r="B1442" s="856"/>
      <c r="C1442" s="282" t="s">
        <v>312</v>
      </c>
      <c r="D1442" s="440" t="s">
        <v>193</v>
      </c>
      <c r="E1442" s="283">
        <v>0</v>
      </c>
      <c r="F1442" s="323">
        <f t="shared" ref="F1442:F1461" si="299">E1442+F1360</f>
        <v>7956</v>
      </c>
      <c r="G1442" s="621">
        <v>13.25</v>
      </c>
      <c r="H1442" s="615">
        <f t="shared" ref="H1442:H1461" si="300">E1442*G1442</f>
        <v>0</v>
      </c>
      <c r="I1442" s="614">
        <f t="shared" ref="I1442:I1461" si="301">+G1442*F1442</f>
        <v>105417</v>
      </c>
      <c r="J1442" s="379"/>
    </row>
    <row r="1443" spans="1:10" ht="23.4" x14ac:dyDescent="0.3">
      <c r="A1443" s="997"/>
      <c r="B1443" s="856"/>
      <c r="C1443" s="282" t="s">
        <v>313</v>
      </c>
      <c r="D1443" s="440"/>
      <c r="E1443" s="283">
        <v>0</v>
      </c>
      <c r="F1443" s="323">
        <f t="shared" si="299"/>
        <v>1</v>
      </c>
      <c r="G1443" s="622">
        <v>10000</v>
      </c>
      <c r="H1443" s="615">
        <f t="shared" si="300"/>
        <v>0</v>
      </c>
      <c r="I1443" s="614">
        <f t="shared" si="301"/>
        <v>10000</v>
      </c>
      <c r="J1443" s="379"/>
    </row>
    <row r="1444" spans="1:10" ht="23.4" x14ac:dyDescent="0.3">
      <c r="A1444" s="997"/>
      <c r="B1444" s="856"/>
      <c r="C1444" s="282" t="s">
        <v>313</v>
      </c>
      <c r="D1444" s="440"/>
      <c r="E1444" s="283">
        <v>1</v>
      </c>
      <c r="F1444" s="323">
        <f t="shared" si="299"/>
        <v>3</v>
      </c>
      <c r="G1444" s="622">
        <v>18000</v>
      </c>
      <c r="H1444" s="615">
        <f t="shared" si="300"/>
        <v>18000</v>
      </c>
      <c r="I1444" s="614">
        <f t="shared" si="301"/>
        <v>54000</v>
      </c>
      <c r="J1444" s="379"/>
    </row>
    <row r="1445" spans="1:10" ht="23.4" x14ac:dyDescent="0.3">
      <c r="A1445" s="997"/>
      <c r="B1445" s="856"/>
      <c r="C1445" s="282" t="s">
        <v>328</v>
      </c>
      <c r="D1445" s="440" t="s">
        <v>193</v>
      </c>
      <c r="E1445" s="283">
        <v>0</v>
      </c>
      <c r="F1445" s="323">
        <f t="shared" si="299"/>
        <v>0</v>
      </c>
      <c r="G1445" s="621">
        <v>24.93</v>
      </c>
      <c r="H1445" s="615">
        <f t="shared" si="300"/>
        <v>0</v>
      </c>
      <c r="I1445" s="614">
        <f t="shared" si="301"/>
        <v>0</v>
      </c>
      <c r="J1445" s="379"/>
    </row>
    <row r="1446" spans="1:10" ht="23.4" x14ac:dyDescent="0.3">
      <c r="A1446" s="997"/>
      <c r="B1446" s="856"/>
      <c r="C1446" s="282" t="s">
        <v>335</v>
      </c>
      <c r="D1446" s="440" t="s">
        <v>99</v>
      </c>
      <c r="E1446" s="283">
        <v>0</v>
      </c>
      <c r="F1446" s="323">
        <f t="shared" si="299"/>
        <v>0</v>
      </c>
      <c r="G1446" s="621">
        <v>26</v>
      </c>
      <c r="H1446" s="615">
        <f t="shared" si="300"/>
        <v>0</v>
      </c>
      <c r="I1446" s="614">
        <f t="shared" si="301"/>
        <v>0</v>
      </c>
      <c r="J1446" s="379"/>
    </row>
    <row r="1447" spans="1:10" ht="23.4" x14ac:dyDescent="0.3">
      <c r="A1447" s="997"/>
      <c r="B1447" s="856"/>
      <c r="C1447" s="282" t="s">
        <v>336</v>
      </c>
      <c r="D1447" s="440" t="s">
        <v>193</v>
      </c>
      <c r="E1447" s="283">
        <v>0</v>
      </c>
      <c r="F1447" s="323">
        <f t="shared" si="299"/>
        <v>0</v>
      </c>
      <c r="G1447" s="621">
        <v>25.49</v>
      </c>
      <c r="H1447" s="615">
        <f t="shared" si="300"/>
        <v>0</v>
      </c>
      <c r="I1447" s="614">
        <f t="shared" si="301"/>
        <v>0</v>
      </c>
      <c r="J1447" s="379"/>
    </row>
    <row r="1448" spans="1:10" ht="23.4" x14ac:dyDescent="0.3">
      <c r="A1448" s="997"/>
      <c r="B1448" s="856"/>
      <c r="C1448" s="282" t="s">
        <v>337</v>
      </c>
      <c r="D1448" s="440" t="s">
        <v>115</v>
      </c>
      <c r="E1448" s="283">
        <v>0</v>
      </c>
      <c r="F1448" s="323">
        <f t="shared" si="299"/>
        <v>0</v>
      </c>
      <c r="G1448" s="621">
        <v>24.93</v>
      </c>
      <c r="H1448" s="615">
        <f t="shared" si="300"/>
        <v>0</v>
      </c>
      <c r="I1448" s="614">
        <f t="shared" si="301"/>
        <v>0</v>
      </c>
      <c r="J1448" s="379"/>
    </row>
    <row r="1449" spans="1:10" ht="23.4" x14ac:dyDescent="0.3">
      <c r="A1449" s="997"/>
      <c r="B1449" s="856"/>
      <c r="C1449" s="282" t="s">
        <v>338</v>
      </c>
      <c r="D1449" s="440" t="s">
        <v>311</v>
      </c>
      <c r="E1449" s="283">
        <v>0</v>
      </c>
      <c r="F1449" s="323">
        <f t="shared" si="299"/>
        <v>0</v>
      </c>
      <c r="G1449" s="621">
        <v>24.93</v>
      </c>
      <c r="H1449" s="615">
        <f t="shared" si="300"/>
        <v>0</v>
      </c>
      <c r="I1449" s="614">
        <f t="shared" si="301"/>
        <v>0</v>
      </c>
      <c r="J1449" s="379"/>
    </row>
    <row r="1450" spans="1:10" ht="23.4" x14ac:dyDescent="0.3">
      <c r="A1450" s="997"/>
      <c r="B1450" s="856"/>
      <c r="C1450" s="282" t="s">
        <v>339</v>
      </c>
      <c r="D1450" s="440" t="s">
        <v>99</v>
      </c>
      <c r="E1450" s="283">
        <v>0</v>
      </c>
      <c r="F1450" s="323">
        <f t="shared" si="299"/>
        <v>0</v>
      </c>
      <c r="G1450" s="621">
        <v>20.89</v>
      </c>
      <c r="H1450" s="615">
        <f t="shared" si="300"/>
        <v>0</v>
      </c>
      <c r="I1450" s="614">
        <f t="shared" si="301"/>
        <v>0</v>
      </c>
      <c r="J1450" s="379"/>
    </row>
    <row r="1451" spans="1:10" ht="23.4" x14ac:dyDescent="0.3">
      <c r="A1451" s="997"/>
      <c r="B1451" s="856"/>
      <c r="C1451" s="282" t="s">
        <v>445</v>
      </c>
      <c r="D1451" s="440" t="s">
        <v>350</v>
      </c>
      <c r="E1451" s="283">
        <f>101088-56160</f>
        <v>44928</v>
      </c>
      <c r="F1451" s="877">
        <f t="shared" si="299"/>
        <v>101088</v>
      </c>
      <c r="G1451" s="621">
        <v>37.4566666666</v>
      </c>
      <c r="H1451" s="615">
        <f t="shared" si="300"/>
        <v>1682853.1199970047</v>
      </c>
      <c r="I1451" s="614">
        <f t="shared" si="301"/>
        <v>3786419.519993261</v>
      </c>
      <c r="J1451" s="379"/>
    </row>
    <row r="1452" spans="1:10" ht="23.4" x14ac:dyDescent="0.3">
      <c r="A1452" s="997"/>
      <c r="B1452" s="856"/>
      <c r="C1452" s="282" t="s">
        <v>446</v>
      </c>
      <c r="D1452" s="440" t="s">
        <v>350</v>
      </c>
      <c r="E1452" s="283">
        <f>29952+3744</f>
        <v>33696</v>
      </c>
      <c r="F1452" s="877">
        <f t="shared" si="299"/>
        <v>46800</v>
      </c>
      <c r="G1452" s="621">
        <v>37.89</v>
      </c>
      <c r="H1452" s="615">
        <f t="shared" si="300"/>
        <v>1276741.44</v>
      </c>
      <c r="I1452" s="878">
        <f t="shared" si="301"/>
        <v>1773252</v>
      </c>
      <c r="J1452" s="379"/>
    </row>
    <row r="1453" spans="1:10" ht="23.4" x14ac:dyDescent="0.3">
      <c r="A1453" s="997"/>
      <c r="B1453" s="856"/>
      <c r="C1453" s="282" t="s">
        <v>337</v>
      </c>
      <c r="D1453" s="440" t="s">
        <v>310</v>
      </c>
      <c r="E1453" s="283">
        <v>0</v>
      </c>
      <c r="F1453" s="323">
        <f t="shared" si="299"/>
        <v>0</v>
      </c>
      <c r="G1453" s="621">
        <v>24.93</v>
      </c>
      <c r="H1453" s="615">
        <f t="shared" si="300"/>
        <v>0</v>
      </c>
      <c r="I1453" s="614">
        <f t="shared" si="301"/>
        <v>0</v>
      </c>
      <c r="J1453" s="379"/>
    </row>
    <row r="1454" spans="1:10" ht="23.4" x14ac:dyDescent="0.3">
      <c r="A1454" s="997"/>
      <c r="B1454" s="856"/>
      <c r="C1454" s="282" t="s">
        <v>469</v>
      </c>
      <c r="D1454" s="440" t="s">
        <v>404</v>
      </c>
      <c r="E1454" s="283">
        <f>342108-218790</f>
        <v>123318</v>
      </c>
      <c r="F1454" s="877">
        <f t="shared" si="299"/>
        <v>342108</v>
      </c>
      <c r="G1454" s="621">
        <v>24.93</v>
      </c>
      <c r="H1454" s="615">
        <f t="shared" si="300"/>
        <v>3074317.7399999998</v>
      </c>
      <c r="I1454" s="878">
        <f t="shared" si="301"/>
        <v>8528752.4399999995</v>
      </c>
      <c r="J1454" s="379"/>
    </row>
    <row r="1455" spans="1:10" ht="23.4" x14ac:dyDescent="0.3">
      <c r="A1455" s="997"/>
      <c r="B1455" s="856"/>
      <c r="C1455" s="282" t="s">
        <v>369</v>
      </c>
      <c r="D1455" s="440" t="s">
        <v>324</v>
      </c>
      <c r="E1455" s="283">
        <v>0</v>
      </c>
      <c r="F1455" s="877">
        <f t="shared" si="299"/>
        <v>1872</v>
      </c>
      <c r="G1455" s="621">
        <v>34.26</v>
      </c>
      <c r="H1455" s="615">
        <f t="shared" si="300"/>
        <v>0</v>
      </c>
      <c r="I1455" s="878">
        <f t="shared" si="301"/>
        <v>64134.719999999994</v>
      </c>
      <c r="J1455" s="379"/>
    </row>
    <row r="1456" spans="1:10" ht="23.4" x14ac:dyDescent="0.3">
      <c r="A1456" s="997"/>
      <c r="B1456" s="856"/>
      <c r="C1456" s="282" t="s">
        <v>385</v>
      </c>
      <c r="D1456" s="440" t="s">
        <v>467</v>
      </c>
      <c r="E1456" s="283">
        <v>0</v>
      </c>
      <c r="F1456" s="323">
        <v>0</v>
      </c>
      <c r="G1456" s="621">
        <v>37.89</v>
      </c>
      <c r="H1456" s="615">
        <f t="shared" si="300"/>
        <v>0</v>
      </c>
      <c r="I1456" s="614">
        <f t="shared" si="301"/>
        <v>0</v>
      </c>
      <c r="J1456" s="379"/>
    </row>
    <row r="1457" spans="1:10" ht="23.4" x14ac:dyDescent="0.3">
      <c r="A1457" s="997"/>
      <c r="B1457" s="856"/>
      <c r="C1457" s="282" t="s">
        <v>475</v>
      </c>
      <c r="D1457" s="440" t="s">
        <v>404</v>
      </c>
      <c r="E1457" s="283">
        <v>0</v>
      </c>
      <c r="F1457" s="877">
        <f t="shared" si="299"/>
        <v>13104</v>
      </c>
      <c r="G1457" s="621">
        <v>39</v>
      </c>
      <c r="H1457" s="615">
        <f t="shared" si="300"/>
        <v>0</v>
      </c>
      <c r="I1457" s="878">
        <f t="shared" si="301"/>
        <v>511056</v>
      </c>
      <c r="J1457" s="379"/>
    </row>
    <row r="1458" spans="1:10" ht="23.4" x14ac:dyDescent="0.3">
      <c r="A1458" s="997"/>
      <c r="B1458" s="856"/>
      <c r="C1458" s="282" t="s">
        <v>338</v>
      </c>
      <c r="D1458" s="440" t="s">
        <v>192</v>
      </c>
      <c r="E1458" s="283">
        <v>0</v>
      </c>
      <c r="F1458" s="877">
        <f t="shared" si="299"/>
        <v>123318</v>
      </c>
      <c r="G1458" s="621">
        <v>21.22</v>
      </c>
      <c r="H1458" s="615">
        <f t="shared" si="300"/>
        <v>0</v>
      </c>
      <c r="I1458" s="614">
        <f t="shared" si="301"/>
        <v>2616807.96</v>
      </c>
      <c r="J1458" s="379"/>
    </row>
    <row r="1459" spans="1:10" ht="23.4" x14ac:dyDescent="0.3">
      <c r="A1459" s="997"/>
      <c r="B1459" s="856"/>
      <c r="C1459" s="282" t="s">
        <v>337</v>
      </c>
      <c r="D1459" s="440" t="s">
        <v>192</v>
      </c>
      <c r="E1459" s="283">
        <v>0</v>
      </c>
      <c r="F1459" s="323">
        <f t="shared" si="299"/>
        <v>0</v>
      </c>
      <c r="G1459" s="621">
        <v>21.22</v>
      </c>
      <c r="H1459" s="615">
        <f t="shared" si="300"/>
        <v>0</v>
      </c>
      <c r="I1459" s="614">
        <f t="shared" si="301"/>
        <v>0</v>
      </c>
      <c r="J1459" s="379"/>
    </row>
    <row r="1460" spans="1:10" ht="23.4" x14ac:dyDescent="0.3">
      <c r="A1460" s="997"/>
      <c r="B1460" s="856"/>
      <c r="C1460" s="282" t="s">
        <v>406</v>
      </c>
      <c r="D1460" s="440" t="s">
        <v>344</v>
      </c>
      <c r="E1460" s="283">
        <v>0</v>
      </c>
      <c r="F1460" s="323">
        <f t="shared" si="299"/>
        <v>0</v>
      </c>
      <c r="G1460" s="621">
        <v>10000</v>
      </c>
      <c r="H1460" s="615">
        <f t="shared" si="300"/>
        <v>0</v>
      </c>
      <c r="I1460" s="614">
        <f t="shared" si="301"/>
        <v>0</v>
      </c>
      <c r="J1460" s="379"/>
    </row>
    <row r="1461" spans="1:10" ht="24" thickBot="1" x14ac:dyDescent="0.35">
      <c r="A1461" s="997"/>
      <c r="B1461" s="856"/>
      <c r="C1461" s="282" t="s">
        <v>343</v>
      </c>
      <c r="D1461" s="440" t="s">
        <v>344</v>
      </c>
      <c r="E1461" s="283">
        <v>0</v>
      </c>
      <c r="F1461" s="323">
        <f t="shared" si="299"/>
        <v>24234</v>
      </c>
      <c r="G1461" s="621">
        <v>360</v>
      </c>
      <c r="H1461" s="615">
        <f t="shared" si="300"/>
        <v>0</v>
      </c>
      <c r="I1461" s="614">
        <f t="shared" si="301"/>
        <v>8724240</v>
      </c>
      <c r="J1461" s="379"/>
    </row>
    <row r="1462" spans="1:10" ht="24" thickBot="1" x14ac:dyDescent="0.35">
      <c r="A1462" s="998"/>
      <c r="B1462" s="992" t="s">
        <v>297</v>
      </c>
      <c r="C1462" s="993"/>
      <c r="D1462" s="858"/>
      <c r="E1462" s="332"/>
      <c r="F1462" s="333"/>
      <c r="G1462" s="332"/>
      <c r="H1462" s="605"/>
      <c r="I1462" s="597">
        <f>SUM(I1442:I1461)</f>
        <v>26174079.639993262</v>
      </c>
      <c r="J1462" s="379"/>
    </row>
    <row r="1463" spans="1:10" ht="23.4" x14ac:dyDescent="0.3">
      <c r="A1463" s="996" t="s">
        <v>110</v>
      </c>
      <c r="B1463" s="856"/>
      <c r="C1463" s="282" t="s">
        <v>304</v>
      </c>
      <c r="D1463" s="440" t="s">
        <v>263</v>
      </c>
      <c r="E1463" s="283">
        <v>3200</v>
      </c>
      <c r="F1463" s="323">
        <f t="shared" ref="F1463:F1482" si="302">E1463+F1381</f>
        <v>22400</v>
      </c>
      <c r="G1463" s="621">
        <v>430.02</v>
      </c>
      <c r="H1463" s="611">
        <f>E1463*G1463</f>
        <v>1376064</v>
      </c>
      <c r="I1463" s="614">
        <f t="shared" ref="I1463:I1482" si="303">+G1463*F1463</f>
        <v>9632448</v>
      </c>
      <c r="J1463" s="379"/>
    </row>
    <row r="1464" spans="1:10" ht="23.4" x14ac:dyDescent="0.3">
      <c r="A1464" s="997"/>
      <c r="B1464" s="856"/>
      <c r="C1464" s="282" t="s">
        <v>305</v>
      </c>
      <c r="D1464" s="440" t="s">
        <v>263</v>
      </c>
      <c r="E1464" s="283">
        <v>0</v>
      </c>
      <c r="F1464" s="323">
        <f t="shared" si="302"/>
        <v>0</v>
      </c>
      <c r="G1464" s="621">
        <v>445.38</v>
      </c>
      <c r="H1464" s="611">
        <f t="shared" ref="H1464:H1482" si="304">E1464*G1464</f>
        <v>0</v>
      </c>
      <c r="I1464" s="614">
        <f t="shared" si="303"/>
        <v>0</v>
      </c>
      <c r="J1464" s="379"/>
    </row>
    <row r="1465" spans="1:10" ht="23.4" x14ac:dyDescent="0.3">
      <c r="A1465" s="997"/>
      <c r="B1465" s="856"/>
      <c r="C1465" s="282" t="s">
        <v>341</v>
      </c>
      <c r="D1465" s="440" t="s">
        <v>263</v>
      </c>
      <c r="E1465" s="283">
        <v>0</v>
      </c>
      <c r="F1465" s="323">
        <f t="shared" si="302"/>
        <v>0</v>
      </c>
      <c r="G1465" s="621">
        <v>63.55</v>
      </c>
      <c r="H1465" s="611">
        <f t="shared" si="304"/>
        <v>0</v>
      </c>
      <c r="I1465" s="614">
        <f t="shared" si="303"/>
        <v>0</v>
      </c>
      <c r="J1465" s="379"/>
    </row>
    <row r="1466" spans="1:10" ht="23.4" x14ac:dyDescent="0.3">
      <c r="A1466" s="997"/>
      <c r="B1466" s="856"/>
      <c r="C1466" s="282" t="s">
        <v>306</v>
      </c>
      <c r="D1466" s="440" t="s">
        <v>263</v>
      </c>
      <c r="E1466" s="283">
        <v>3360</v>
      </c>
      <c r="F1466" s="323">
        <f t="shared" si="302"/>
        <v>428460</v>
      </c>
      <c r="G1466" s="621">
        <v>71.44</v>
      </c>
      <c r="H1466" s="611">
        <f t="shared" si="304"/>
        <v>240038.39999999999</v>
      </c>
      <c r="I1466" s="614">
        <f t="shared" si="303"/>
        <v>30609182.399999999</v>
      </c>
      <c r="J1466" s="379"/>
    </row>
    <row r="1467" spans="1:10" ht="23.4" x14ac:dyDescent="0.3">
      <c r="A1467" s="997"/>
      <c r="B1467" s="856"/>
      <c r="C1467" s="282" t="s">
        <v>307</v>
      </c>
      <c r="D1467" s="440" t="s">
        <v>263</v>
      </c>
      <c r="E1467" s="283">
        <v>0</v>
      </c>
      <c r="F1467" s="323">
        <f t="shared" si="302"/>
        <v>0</v>
      </c>
      <c r="G1467" s="621">
        <v>36.5</v>
      </c>
      <c r="H1467" s="611">
        <f t="shared" si="304"/>
        <v>0</v>
      </c>
      <c r="I1467" s="614">
        <f t="shared" si="303"/>
        <v>0</v>
      </c>
      <c r="J1467" s="379"/>
    </row>
    <row r="1468" spans="1:10" ht="23.4" x14ac:dyDescent="0.3">
      <c r="A1468" s="997"/>
      <c r="B1468" s="856"/>
      <c r="C1468" s="282" t="s">
        <v>316</v>
      </c>
      <c r="D1468" s="440" t="s">
        <v>263</v>
      </c>
      <c r="E1468" s="283">
        <v>0</v>
      </c>
      <c r="F1468" s="323">
        <f t="shared" si="302"/>
        <v>4600</v>
      </c>
      <c r="G1468" s="621">
        <v>320.35000000000002</v>
      </c>
      <c r="H1468" s="611">
        <f t="shared" si="304"/>
        <v>0</v>
      </c>
      <c r="I1468" s="614">
        <f t="shared" si="303"/>
        <v>1473610</v>
      </c>
      <c r="J1468" s="379"/>
    </row>
    <row r="1469" spans="1:10" ht="23.4" x14ac:dyDescent="0.3">
      <c r="A1469" s="997"/>
      <c r="B1469" s="856"/>
      <c r="C1469" s="282" t="s">
        <v>333</v>
      </c>
      <c r="D1469" s="440" t="s">
        <v>263</v>
      </c>
      <c r="E1469" s="283">
        <v>0</v>
      </c>
      <c r="F1469" s="323">
        <f t="shared" si="302"/>
        <v>0</v>
      </c>
      <c r="G1469" s="621">
        <v>434.41</v>
      </c>
      <c r="H1469" s="611">
        <f t="shared" si="304"/>
        <v>0</v>
      </c>
      <c r="I1469" s="614">
        <f t="shared" si="303"/>
        <v>0</v>
      </c>
      <c r="J1469" s="379"/>
    </row>
    <row r="1470" spans="1:10" ht="23.4" x14ac:dyDescent="0.3">
      <c r="A1470" s="997"/>
      <c r="B1470" s="856"/>
      <c r="C1470" s="282" t="s">
        <v>313</v>
      </c>
      <c r="D1470" s="440" t="s">
        <v>263</v>
      </c>
      <c r="E1470" s="283">
        <v>0</v>
      </c>
      <c r="F1470" s="323">
        <f t="shared" si="302"/>
        <v>5</v>
      </c>
      <c r="G1470" s="621">
        <v>29690</v>
      </c>
      <c r="H1470" s="611">
        <f t="shared" si="304"/>
        <v>0</v>
      </c>
      <c r="I1470" s="614">
        <f t="shared" si="303"/>
        <v>148450</v>
      </c>
      <c r="J1470" s="379"/>
    </row>
    <row r="1471" spans="1:10" ht="23.4" x14ac:dyDescent="0.3">
      <c r="A1471" s="997"/>
      <c r="B1471" s="856"/>
      <c r="C1471" s="282" t="s">
        <v>313</v>
      </c>
      <c r="D1471" s="440" t="s">
        <v>263</v>
      </c>
      <c r="E1471" s="283">
        <v>0</v>
      </c>
      <c r="F1471" s="323">
        <f t="shared" si="302"/>
        <v>2</v>
      </c>
      <c r="G1471" s="621">
        <v>26445</v>
      </c>
      <c r="H1471" s="611">
        <f t="shared" si="304"/>
        <v>0</v>
      </c>
      <c r="I1471" s="614">
        <f t="shared" si="303"/>
        <v>52890</v>
      </c>
      <c r="J1471" s="379"/>
    </row>
    <row r="1472" spans="1:10" ht="23.4" x14ac:dyDescent="0.3">
      <c r="A1472" s="997"/>
      <c r="B1472" s="856"/>
      <c r="C1472" s="282" t="s">
        <v>354</v>
      </c>
      <c r="D1472" s="440" t="s">
        <v>401</v>
      </c>
      <c r="E1472" s="283">
        <v>0</v>
      </c>
      <c r="F1472" s="323">
        <f t="shared" si="302"/>
        <v>3750</v>
      </c>
      <c r="G1472" s="621">
        <v>50</v>
      </c>
      <c r="H1472" s="611">
        <f t="shared" si="304"/>
        <v>0</v>
      </c>
      <c r="I1472" s="614">
        <f t="shared" si="303"/>
        <v>187500</v>
      </c>
      <c r="J1472" s="379"/>
    </row>
    <row r="1473" spans="1:10" ht="23.4" x14ac:dyDescent="0.3">
      <c r="A1473" s="997"/>
      <c r="B1473" s="856"/>
      <c r="C1473" s="282" t="s">
        <v>354</v>
      </c>
      <c r="D1473" s="440" t="s">
        <v>401</v>
      </c>
      <c r="E1473" s="283">
        <v>0</v>
      </c>
      <c r="F1473" s="323">
        <f t="shared" si="302"/>
        <v>5267</v>
      </c>
      <c r="G1473" s="621">
        <v>45</v>
      </c>
      <c r="H1473" s="611">
        <f t="shared" si="304"/>
        <v>0</v>
      </c>
      <c r="I1473" s="614">
        <f t="shared" si="303"/>
        <v>237015</v>
      </c>
      <c r="J1473" s="379"/>
    </row>
    <row r="1474" spans="1:10" ht="23.4" x14ac:dyDescent="0.3">
      <c r="A1474" s="997"/>
      <c r="B1474" s="856"/>
      <c r="C1474" s="282" t="s">
        <v>366</v>
      </c>
      <c r="D1474" s="440" t="s">
        <v>263</v>
      </c>
      <c r="E1474" s="283">
        <v>0</v>
      </c>
      <c r="F1474" s="323">
        <f t="shared" si="302"/>
        <v>0</v>
      </c>
      <c r="G1474" s="621">
        <v>53.86</v>
      </c>
      <c r="H1474" s="611">
        <f t="shared" si="304"/>
        <v>0</v>
      </c>
      <c r="I1474" s="614">
        <f t="shared" si="303"/>
        <v>0</v>
      </c>
      <c r="J1474" s="379"/>
    </row>
    <row r="1475" spans="1:10" ht="23.4" x14ac:dyDescent="0.3">
      <c r="A1475" s="997"/>
      <c r="B1475" s="856"/>
      <c r="C1475" s="282" t="s">
        <v>386</v>
      </c>
      <c r="D1475" s="440" t="s">
        <v>481</v>
      </c>
      <c r="E1475" s="283">
        <v>0</v>
      </c>
      <c r="F1475" s="323">
        <f t="shared" si="302"/>
        <v>100</v>
      </c>
      <c r="G1475" s="621">
        <v>57.64</v>
      </c>
      <c r="H1475" s="611">
        <f t="shared" si="304"/>
        <v>0</v>
      </c>
      <c r="I1475" s="614">
        <f t="shared" si="303"/>
        <v>5764</v>
      </c>
      <c r="J1475" s="379"/>
    </row>
    <row r="1476" spans="1:10" ht="23.4" x14ac:dyDescent="0.3">
      <c r="A1476" s="997"/>
      <c r="B1476" s="856"/>
      <c r="C1476" s="282" t="s">
        <v>388</v>
      </c>
      <c r="D1476" s="440" t="s">
        <v>389</v>
      </c>
      <c r="E1476" s="283">
        <v>0</v>
      </c>
      <c r="F1476" s="284">
        <f t="shared" si="302"/>
        <v>2560</v>
      </c>
      <c r="G1476" s="621">
        <v>434.41</v>
      </c>
      <c r="H1476" s="611">
        <f t="shared" si="304"/>
        <v>0</v>
      </c>
      <c r="I1476" s="614">
        <f t="shared" si="303"/>
        <v>1112089.6000000001</v>
      </c>
      <c r="J1476" s="379"/>
    </row>
    <row r="1477" spans="1:10" ht="23.4" x14ac:dyDescent="0.3">
      <c r="A1477" s="997"/>
      <c r="B1477" s="856"/>
      <c r="C1477" s="282" t="s">
        <v>419</v>
      </c>
      <c r="D1477" s="440" t="s">
        <v>263</v>
      </c>
      <c r="E1477" s="283">
        <v>0</v>
      </c>
      <c r="F1477" s="284">
        <f t="shared" si="302"/>
        <v>9280</v>
      </c>
      <c r="G1477" s="621">
        <v>624.26</v>
      </c>
      <c r="H1477" s="611">
        <f t="shared" si="304"/>
        <v>0</v>
      </c>
      <c r="I1477" s="614">
        <f t="shared" si="303"/>
        <v>5793132.7999999998</v>
      </c>
      <c r="J1477" s="379"/>
    </row>
    <row r="1478" spans="1:10" ht="23.4" x14ac:dyDescent="0.3">
      <c r="A1478" s="997"/>
      <c r="B1478" s="856"/>
      <c r="C1478" s="282" t="s">
        <v>390</v>
      </c>
      <c r="D1478" s="440" t="s">
        <v>389</v>
      </c>
      <c r="E1478" s="283">
        <v>0</v>
      </c>
      <c r="F1478" s="323">
        <f t="shared" si="302"/>
        <v>7200</v>
      </c>
      <c r="G1478" s="621">
        <v>63.55</v>
      </c>
      <c r="H1478" s="611">
        <f t="shared" si="304"/>
        <v>0</v>
      </c>
      <c r="I1478" s="614">
        <f t="shared" si="303"/>
        <v>457560</v>
      </c>
      <c r="J1478" s="379"/>
    </row>
    <row r="1479" spans="1:10" ht="23.4" x14ac:dyDescent="0.3">
      <c r="A1479" s="997"/>
      <c r="B1479" s="856"/>
      <c r="C1479" s="282" t="s">
        <v>391</v>
      </c>
      <c r="D1479" s="440" t="s">
        <v>389</v>
      </c>
      <c r="E1479" s="283">
        <v>0</v>
      </c>
      <c r="F1479" s="323">
        <f t="shared" si="302"/>
        <v>8640</v>
      </c>
      <c r="G1479" s="621">
        <v>53.86</v>
      </c>
      <c r="H1479" s="611">
        <f t="shared" si="304"/>
        <v>0</v>
      </c>
      <c r="I1479" s="614">
        <f t="shared" si="303"/>
        <v>465350.40000000002</v>
      </c>
      <c r="J1479" s="379"/>
    </row>
    <row r="1480" spans="1:10" ht="23.4" x14ac:dyDescent="0.3">
      <c r="A1480" s="997"/>
      <c r="B1480" s="856"/>
      <c r="C1480" s="282" t="s">
        <v>432</v>
      </c>
      <c r="D1480" s="440" t="s">
        <v>401</v>
      </c>
      <c r="E1480" s="283">
        <v>0</v>
      </c>
      <c r="F1480" s="323">
        <f t="shared" si="302"/>
        <v>2307</v>
      </c>
      <c r="G1480" s="621">
        <v>45</v>
      </c>
      <c r="H1480" s="611">
        <f t="shared" si="304"/>
        <v>0</v>
      </c>
      <c r="I1480" s="614">
        <f t="shared" si="303"/>
        <v>103815</v>
      </c>
      <c r="J1480" s="379"/>
    </row>
    <row r="1481" spans="1:10" ht="23.4" x14ac:dyDescent="0.3">
      <c r="A1481" s="997"/>
      <c r="B1481" s="856"/>
      <c r="C1481" s="282" t="s">
        <v>313</v>
      </c>
      <c r="D1481" s="440"/>
      <c r="E1481" s="283">
        <v>0</v>
      </c>
      <c r="F1481" s="323">
        <f t="shared" si="302"/>
        <v>1</v>
      </c>
      <c r="G1481" s="621">
        <v>39450</v>
      </c>
      <c r="H1481" s="611">
        <f t="shared" si="304"/>
        <v>0</v>
      </c>
      <c r="I1481" s="614">
        <f t="shared" si="303"/>
        <v>39450</v>
      </c>
      <c r="J1481" s="379"/>
    </row>
    <row r="1482" spans="1:10" ht="24" thickBot="1" x14ac:dyDescent="0.35">
      <c r="A1482" s="997"/>
      <c r="B1482" s="856"/>
      <c r="C1482" s="282" t="s">
        <v>386</v>
      </c>
      <c r="D1482" s="440" t="s">
        <v>263</v>
      </c>
      <c r="E1482" s="283">
        <v>0</v>
      </c>
      <c r="F1482" s="323">
        <f t="shared" si="302"/>
        <v>2000</v>
      </c>
      <c r="G1482" s="621">
        <v>57.64</v>
      </c>
      <c r="H1482" s="611">
        <f t="shared" si="304"/>
        <v>0</v>
      </c>
      <c r="I1482" s="614">
        <f t="shared" si="303"/>
        <v>115280</v>
      </c>
      <c r="J1482" s="379"/>
    </row>
    <row r="1483" spans="1:10" ht="24" thickBot="1" x14ac:dyDescent="0.35">
      <c r="A1483" s="998"/>
      <c r="B1483" s="992" t="s">
        <v>299</v>
      </c>
      <c r="C1483" s="993"/>
      <c r="D1483" s="858"/>
      <c r="E1483" s="332"/>
      <c r="F1483" s="333"/>
      <c r="G1483" s="332"/>
      <c r="H1483" s="608">
        <f>SUM(H1463:H1482)</f>
        <v>1616102.3999999999</v>
      </c>
      <c r="I1483" s="597">
        <f>SUM(I1463:I1482)</f>
        <v>50433537.199999996</v>
      </c>
      <c r="J1483" s="378"/>
    </row>
    <row r="1484" spans="1:10" ht="24" thickBot="1" x14ac:dyDescent="0.35">
      <c r="A1484" s="861"/>
      <c r="B1484" s="443"/>
      <c r="C1484" s="282"/>
      <c r="D1484" s="440"/>
      <c r="E1484" s="283"/>
      <c r="F1484" s="284"/>
      <c r="G1484" s="340"/>
      <c r="H1484" s="607"/>
      <c r="I1484" s="285"/>
      <c r="J1484" s="379"/>
    </row>
    <row r="1485" spans="1:10" ht="24" thickBot="1" x14ac:dyDescent="0.35">
      <c r="A1485" s="861"/>
      <c r="B1485" s="992" t="s">
        <v>243</v>
      </c>
      <c r="C1485" s="993"/>
      <c r="D1485" s="854"/>
      <c r="E1485" s="332"/>
      <c r="F1485" s="333"/>
      <c r="G1485" s="332"/>
      <c r="H1485" s="605"/>
      <c r="I1485" s="330"/>
      <c r="J1485" s="355"/>
    </row>
    <row r="1486" spans="1:10" ht="24.6" thickBot="1" x14ac:dyDescent="0.35">
      <c r="A1486" s="325"/>
      <c r="B1486" s="994" t="s">
        <v>183</v>
      </c>
      <c r="C1486" s="995"/>
      <c r="D1486" s="855"/>
      <c r="E1486" s="380"/>
      <c r="F1486" s="380"/>
      <c r="G1486" s="380"/>
      <c r="H1486" s="380"/>
      <c r="I1486" s="380">
        <f>+I1483+I1462+I1441</f>
        <v>156720875.04999328</v>
      </c>
      <c r="J1486" s="381"/>
    </row>
    <row r="1487" spans="1:10" ht="23.4" x14ac:dyDescent="0.3">
      <c r="A1487" s="935" t="s">
        <v>1</v>
      </c>
      <c r="B1487" s="938" t="s">
        <v>2</v>
      </c>
      <c r="C1487" s="1001" t="s">
        <v>3</v>
      </c>
      <c r="D1487" s="1005" t="s">
        <v>93</v>
      </c>
      <c r="E1487" s="1008">
        <v>44527</v>
      </c>
      <c r="F1487" s="945"/>
      <c r="G1487" s="945"/>
      <c r="H1487" s="945"/>
      <c r="I1487" s="945"/>
      <c r="J1487" s="946"/>
    </row>
    <row r="1488" spans="1:10" ht="23.4" x14ac:dyDescent="0.3">
      <c r="A1488" s="999"/>
      <c r="B1488" s="1000"/>
      <c r="C1488" s="1002"/>
      <c r="D1488" s="1006"/>
      <c r="E1488" s="1009" t="s">
        <v>94</v>
      </c>
      <c r="F1488" s="1010"/>
      <c r="G1488" s="1009" t="s">
        <v>252</v>
      </c>
      <c r="H1488" s="1011"/>
      <c r="I1488" s="1011"/>
      <c r="J1488" s="1010"/>
    </row>
    <row r="1489" spans="1:10" x14ac:dyDescent="0.3">
      <c r="A1489" s="936"/>
      <c r="B1489" s="939"/>
      <c r="C1489" s="1003"/>
      <c r="D1489" s="1006"/>
      <c r="E1489" s="947" t="s">
        <v>95</v>
      </c>
      <c r="F1489" s="949" t="s">
        <v>96</v>
      </c>
      <c r="G1489" s="1012" t="s">
        <v>97</v>
      </c>
      <c r="H1489" s="1014" t="s">
        <v>98</v>
      </c>
      <c r="I1489" s="1014" t="s">
        <v>98</v>
      </c>
      <c r="J1489" s="1016" t="s">
        <v>12</v>
      </c>
    </row>
    <row r="1490" spans="1:10" ht="14.4" thickBot="1" x14ac:dyDescent="0.35">
      <c r="A1490" s="937"/>
      <c r="B1490" s="940"/>
      <c r="C1490" s="1004"/>
      <c r="D1490" s="1007"/>
      <c r="E1490" s="948"/>
      <c r="F1490" s="950"/>
      <c r="G1490" s="1013"/>
      <c r="H1490" s="1015"/>
      <c r="I1490" s="1015"/>
      <c r="J1490" s="1017"/>
    </row>
    <row r="1491" spans="1:10" ht="23.4" x14ac:dyDescent="0.3">
      <c r="A1491" s="996" t="s">
        <v>111</v>
      </c>
      <c r="B1491" s="445"/>
      <c r="C1491" s="592" t="s">
        <v>300</v>
      </c>
      <c r="D1491" s="449" t="s">
        <v>292</v>
      </c>
      <c r="E1491" s="273">
        <v>0</v>
      </c>
      <c r="F1491" s="441">
        <f>E1491+F1409</f>
        <v>0</v>
      </c>
      <c r="G1491" s="593">
        <v>111.09</v>
      </c>
      <c r="H1491" s="609">
        <f t="shared" ref="H1491:H1504" si="305">E1491*G1491</f>
        <v>0</v>
      </c>
      <c r="I1491" s="612">
        <f>+G1491*F1491</f>
        <v>0</v>
      </c>
      <c r="J1491" s="357"/>
    </row>
    <row r="1492" spans="1:10" ht="23.4" x14ac:dyDescent="0.3">
      <c r="A1492" s="997"/>
      <c r="B1492" s="444"/>
      <c r="C1492" s="448" t="s">
        <v>293</v>
      </c>
      <c r="D1492" s="447" t="s">
        <v>294</v>
      </c>
      <c r="E1492" s="279">
        <v>0</v>
      </c>
      <c r="F1492" s="441">
        <f t="shared" ref="F1492:F1504" si="306">E1492+F1410</f>
        <v>0</v>
      </c>
      <c r="G1492" s="594">
        <v>11</v>
      </c>
      <c r="H1492" s="610">
        <f t="shared" si="305"/>
        <v>0</v>
      </c>
      <c r="I1492" s="613">
        <f>+G1492*F1492</f>
        <v>0</v>
      </c>
      <c r="J1492" s="358"/>
    </row>
    <row r="1493" spans="1:10" ht="23.4" x14ac:dyDescent="0.3">
      <c r="A1493" s="997"/>
      <c r="B1493" s="444"/>
      <c r="C1493" s="448" t="s">
        <v>332</v>
      </c>
      <c r="D1493" s="447" t="s">
        <v>466</v>
      </c>
      <c r="E1493" s="279">
        <v>0</v>
      </c>
      <c r="F1493" s="441">
        <f t="shared" si="306"/>
        <v>960</v>
      </c>
      <c r="G1493" s="594">
        <v>139.04</v>
      </c>
      <c r="H1493" s="610">
        <f t="shared" si="305"/>
        <v>0</v>
      </c>
      <c r="I1493" s="613">
        <f t="shared" ref="I1493:I1504" si="307">+G1493*F1493</f>
        <v>133478.39999999999</v>
      </c>
      <c r="J1493" s="358"/>
    </row>
    <row r="1494" spans="1:10" ht="23.4" x14ac:dyDescent="0.3">
      <c r="A1494" s="997"/>
      <c r="B1494" s="444"/>
      <c r="C1494" s="448" t="s">
        <v>449</v>
      </c>
      <c r="D1494" s="447" t="s">
        <v>450</v>
      </c>
      <c r="E1494" s="279">
        <f>30600+36720</f>
        <v>67320</v>
      </c>
      <c r="F1494" s="441">
        <f t="shared" si="306"/>
        <v>507960</v>
      </c>
      <c r="G1494" s="594">
        <v>20.5</v>
      </c>
      <c r="H1494" s="610">
        <f t="shared" si="305"/>
        <v>1380060</v>
      </c>
      <c r="I1494" s="613">
        <f t="shared" si="307"/>
        <v>10413180</v>
      </c>
      <c r="J1494" s="358"/>
    </row>
    <row r="1495" spans="1:10" ht="23.4" x14ac:dyDescent="0.3">
      <c r="A1495" s="997"/>
      <c r="B1495" s="444"/>
      <c r="C1495" s="448" t="s">
        <v>323</v>
      </c>
      <c r="D1495" s="447" t="s">
        <v>192</v>
      </c>
      <c r="E1495" s="279">
        <v>0</v>
      </c>
      <c r="F1495" s="441">
        <f t="shared" si="306"/>
        <v>219648</v>
      </c>
      <c r="G1495" s="594">
        <v>14.79</v>
      </c>
      <c r="H1495" s="610">
        <f t="shared" si="305"/>
        <v>0</v>
      </c>
      <c r="I1495" s="613">
        <f t="shared" si="307"/>
        <v>3248593.92</v>
      </c>
      <c r="J1495" s="358"/>
    </row>
    <row r="1496" spans="1:10" ht="23.4" x14ac:dyDescent="0.3">
      <c r="A1496" s="997"/>
      <c r="B1496" s="444"/>
      <c r="C1496" s="448" t="s">
        <v>332</v>
      </c>
      <c r="D1496" s="447" t="s">
        <v>294</v>
      </c>
      <c r="E1496" s="279">
        <f>640+1280+1280</f>
        <v>3200</v>
      </c>
      <c r="F1496" s="441">
        <f t="shared" si="306"/>
        <v>4160</v>
      </c>
      <c r="G1496" s="594">
        <v>139.04</v>
      </c>
      <c r="H1496" s="610">
        <f t="shared" si="305"/>
        <v>444928</v>
      </c>
      <c r="I1496" s="613">
        <f t="shared" si="307"/>
        <v>578406.40000000002</v>
      </c>
      <c r="J1496" s="358"/>
    </row>
    <row r="1497" spans="1:10" ht="23.4" x14ac:dyDescent="0.3">
      <c r="A1497" s="997"/>
      <c r="B1497" s="444"/>
      <c r="C1497" s="448" t="s">
        <v>384</v>
      </c>
      <c r="D1497" s="623" t="s">
        <v>447</v>
      </c>
      <c r="E1497" s="279">
        <v>0</v>
      </c>
      <c r="F1497" s="441">
        <f t="shared" si="306"/>
        <v>99364</v>
      </c>
      <c r="G1497" s="594">
        <v>20.5</v>
      </c>
      <c r="H1497" s="610">
        <f t="shared" si="305"/>
        <v>0</v>
      </c>
      <c r="I1497" s="613">
        <f t="shared" si="307"/>
        <v>2036962</v>
      </c>
      <c r="J1497" s="358"/>
    </row>
    <row r="1498" spans="1:10" ht="23.4" x14ac:dyDescent="0.3">
      <c r="A1498" s="997"/>
      <c r="B1498" s="444"/>
      <c r="C1498" s="448" t="s">
        <v>362</v>
      </c>
      <c r="D1498" s="623" t="s">
        <v>294</v>
      </c>
      <c r="E1498" s="279">
        <v>0</v>
      </c>
      <c r="F1498" s="441">
        <f t="shared" si="306"/>
        <v>16524</v>
      </c>
      <c r="G1498" s="594">
        <v>18.84</v>
      </c>
      <c r="H1498" s="610">
        <f t="shared" si="305"/>
        <v>0</v>
      </c>
      <c r="I1498" s="613">
        <f t="shared" si="307"/>
        <v>311312.15999999997</v>
      </c>
      <c r="J1498" s="358"/>
    </row>
    <row r="1499" spans="1:10" ht="23.4" x14ac:dyDescent="0.3">
      <c r="A1499" s="997"/>
      <c r="B1499" s="444"/>
      <c r="C1499" s="448" t="s">
        <v>376</v>
      </c>
      <c r="D1499" s="623" t="s">
        <v>257</v>
      </c>
      <c r="E1499" s="279">
        <f>183600+183600</f>
        <v>367200</v>
      </c>
      <c r="F1499" s="441">
        <f t="shared" si="306"/>
        <v>1263023</v>
      </c>
      <c r="G1499" s="594">
        <v>21.18</v>
      </c>
      <c r="H1499" s="610">
        <f t="shared" si="305"/>
        <v>7777296</v>
      </c>
      <c r="I1499" s="613">
        <f t="shared" si="307"/>
        <v>26750827.140000001</v>
      </c>
      <c r="J1499" s="358"/>
    </row>
    <row r="1500" spans="1:10" ht="23.4" x14ac:dyDescent="0.3">
      <c r="A1500" s="997"/>
      <c r="B1500" s="444"/>
      <c r="C1500" s="448" t="s">
        <v>378</v>
      </c>
      <c r="D1500" s="623" t="s">
        <v>379</v>
      </c>
      <c r="E1500" s="279">
        <v>0</v>
      </c>
      <c r="F1500" s="441">
        <f t="shared" si="306"/>
        <v>65690</v>
      </c>
      <c r="G1500" s="594">
        <v>21.28</v>
      </c>
      <c r="H1500" s="610">
        <f t="shared" si="305"/>
        <v>0</v>
      </c>
      <c r="I1500" s="613">
        <f t="shared" si="307"/>
        <v>1397883.2000000002</v>
      </c>
      <c r="J1500" s="358"/>
    </row>
    <row r="1501" spans="1:10" ht="23.4" x14ac:dyDescent="0.3">
      <c r="A1501" s="997"/>
      <c r="B1501" s="444"/>
      <c r="C1501" s="448" t="s">
        <v>332</v>
      </c>
      <c r="D1501" s="623" t="s">
        <v>447</v>
      </c>
      <c r="E1501" s="279">
        <v>0</v>
      </c>
      <c r="F1501" s="441">
        <f t="shared" si="306"/>
        <v>9920</v>
      </c>
      <c r="G1501" s="594">
        <v>139.04</v>
      </c>
      <c r="H1501" s="610">
        <f t="shared" si="305"/>
        <v>0</v>
      </c>
      <c r="I1501" s="613">
        <f t="shared" si="307"/>
        <v>1379276.7999999998</v>
      </c>
      <c r="J1501" s="358"/>
    </row>
    <row r="1502" spans="1:10" ht="23.4" x14ac:dyDescent="0.3">
      <c r="A1502" s="997"/>
      <c r="B1502" s="444"/>
      <c r="C1502" s="448" t="s">
        <v>470</v>
      </c>
      <c r="D1502" s="447" t="s">
        <v>192</v>
      </c>
      <c r="E1502" s="279">
        <v>0</v>
      </c>
      <c r="F1502" s="441">
        <f t="shared" si="306"/>
        <v>456192</v>
      </c>
      <c r="G1502" s="594">
        <v>14.55</v>
      </c>
      <c r="H1502" s="610">
        <f t="shared" si="305"/>
        <v>0</v>
      </c>
      <c r="I1502" s="613">
        <f t="shared" si="307"/>
        <v>6637593.6000000006</v>
      </c>
      <c r="J1502" s="358"/>
    </row>
    <row r="1503" spans="1:10" ht="23.4" x14ac:dyDescent="0.3">
      <c r="A1503" s="997"/>
      <c r="B1503" s="444"/>
      <c r="C1503" s="448" t="s">
        <v>384</v>
      </c>
      <c r="D1503" s="623" t="s">
        <v>206</v>
      </c>
      <c r="E1503" s="279">
        <v>0</v>
      </c>
      <c r="F1503" s="441">
        <f t="shared" si="306"/>
        <v>0</v>
      </c>
      <c r="G1503" s="594">
        <v>21.28</v>
      </c>
      <c r="H1503" s="610">
        <f t="shared" si="305"/>
        <v>0</v>
      </c>
      <c r="I1503" s="613">
        <f t="shared" si="307"/>
        <v>0</v>
      </c>
      <c r="J1503" s="358"/>
    </row>
    <row r="1504" spans="1:10" ht="24" thickBot="1" x14ac:dyDescent="0.35">
      <c r="A1504" s="997"/>
      <c r="B1504" s="444"/>
      <c r="C1504" s="448" t="s">
        <v>400</v>
      </c>
      <c r="D1504" s="450" t="s">
        <v>193</v>
      </c>
      <c r="E1504" s="279">
        <v>0</v>
      </c>
      <c r="F1504" s="441">
        <f t="shared" si="306"/>
        <v>1186</v>
      </c>
      <c r="G1504" s="594">
        <v>36.44</v>
      </c>
      <c r="H1504" s="610">
        <f t="shared" si="305"/>
        <v>0</v>
      </c>
      <c r="I1504" s="613">
        <f t="shared" si="307"/>
        <v>43217.84</v>
      </c>
      <c r="J1504" s="358"/>
    </row>
    <row r="1505" spans="1:10" ht="24" thickBot="1" x14ac:dyDescent="0.35">
      <c r="A1505" s="997"/>
      <c r="B1505" s="992" t="s">
        <v>295</v>
      </c>
      <c r="C1505" s="993"/>
      <c r="D1505" s="873"/>
      <c r="E1505" s="332"/>
      <c r="F1505" s="333"/>
      <c r="G1505" s="332"/>
      <c r="H1505" s="605">
        <f>SUM(H1491:H1504)</f>
        <v>9602284</v>
      </c>
      <c r="I1505" s="597">
        <f>SUM(I1491:I1504)</f>
        <v>52930731.460000008</v>
      </c>
      <c r="J1505" s="355"/>
    </row>
    <row r="1506" spans="1:10" ht="23.4" x14ac:dyDescent="0.3">
      <c r="A1506" s="997"/>
      <c r="B1506" s="871"/>
      <c r="C1506" s="282" t="s">
        <v>301</v>
      </c>
      <c r="D1506" s="440" t="s">
        <v>263</v>
      </c>
      <c r="E1506" s="283">
        <v>0</v>
      </c>
      <c r="F1506" s="323">
        <f t="shared" ref="F1506:F1516" si="308">E1506+F1424</f>
        <v>96375</v>
      </c>
      <c r="G1506" s="595">
        <v>160.44999999999999</v>
      </c>
      <c r="H1506" s="611">
        <f t="shared" ref="H1506:H1516" si="309">E1506*G1506</f>
        <v>0</v>
      </c>
      <c r="I1506" s="614">
        <f t="shared" ref="I1506:I1516" si="310">+G1506*F1506</f>
        <v>15463368.749999998</v>
      </c>
      <c r="J1506" s="379"/>
    </row>
    <row r="1507" spans="1:10" ht="23.4" x14ac:dyDescent="0.3">
      <c r="A1507" s="997"/>
      <c r="B1507" s="871"/>
      <c r="C1507" s="282" t="s">
        <v>317</v>
      </c>
      <c r="D1507" s="440" t="s">
        <v>263</v>
      </c>
      <c r="E1507" s="283">
        <v>0</v>
      </c>
      <c r="F1507" s="323">
        <f t="shared" si="308"/>
        <v>13084</v>
      </c>
      <c r="G1507" s="595">
        <v>160.44999999999999</v>
      </c>
      <c r="H1507" s="611">
        <f t="shared" si="309"/>
        <v>0</v>
      </c>
      <c r="I1507" s="614">
        <f t="shared" si="310"/>
        <v>2099327.7999999998</v>
      </c>
      <c r="J1507" s="379"/>
    </row>
    <row r="1508" spans="1:10" ht="23.4" x14ac:dyDescent="0.3">
      <c r="A1508" s="997"/>
      <c r="B1508" s="871"/>
      <c r="C1508" s="282" t="s">
        <v>318</v>
      </c>
      <c r="D1508" s="440" t="s">
        <v>263</v>
      </c>
      <c r="E1508" s="283">
        <v>0</v>
      </c>
      <c r="F1508" s="323">
        <f t="shared" si="308"/>
        <v>3375</v>
      </c>
      <c r="G1508" s="595">
        <v>160.44999999999999</v>
      </c>
      <c r="H1508" s="611">
        <f t="shared" si="309"/>
        <v>0</v>
      </c>
      <c r="I1508" s="614">
        <f t="shared" si="310"/>
        <v>541518.75</v>
      </c>
      <c r="J1508" s="379"/>
    </row>
    <row r="1509" spans="1:10" ht="23.4" x14ac:dyDescent="0.3">
      <c r="A1509" s="997"/>
      <c r="B1509" s="871"/>
      <c r="C1509" s="282" t="s">
        <v>321</v>
      </c>
      <c r="D1509" s="440" t="s">
        <v>100</v>
      </c>
      <c r="E1509" s="283">
        <v>0</v>
      </c>
      <c r="F1509" s="323">
        <f t="shared" si="308"/>
        <v>0</v>
      </c>
      <c r="G1509" s="595">
        <v>27</v>
      </c>
      <c r="H1509" s="611">
        <f t="shared" si="309"/>
        <v>0</v>
      </c>
      <c r="I1509" s="614">
        <f t="shared" si="310"/>
        <v>0</v>
      </c>
      <c r="J1509" s="379"/>
    </row>
    <row r="1510" spans="1:10" ht="23.4" x14ac:dyDescent="0.3">
      <c r="A1510" s="997"/>
      <c r="B1510" s="871"/>
      <c r="C1510" s="282" t="s">
        <v>321</v>
      </c>
      <c r="D1510" s="440" t="s">
        <v>329</v>
      </c>
      <c r="E1510" s="283">
        <v>79200</v>
      </c>
      <c r="F1510" s="323">
        <f t="shared" si="308"/>
        <v>348480</v>
      </c>
      <c r="G1510" s="595">
        <v>27.5</v>
      </c>
      <c r="H1510" s="611">
        <f t="shared" si="309"/>
        <v>2178000</v>
      </c>
      <c r="I1510" s="614">
        <f t="shared" si="310"/>
        <v>9583200</v>
      </c>
      <c r="J1510" s="379"/>
    </row>
    <row r="1511" spans="1:10" ht="23.4" x14ac:dyDescent="0.3">
      <c r="A1511" s="997"/>
      <c r="B1511" s="871"/>
      <c r="C1511" s="282" t="s">
        <v>307</v>
      </c>
      <c r="D1511" s="440" t="s">
        <v>329</v>
      </c>
      <c r="E1511" s="283">
        <v>2640</v>
      </c>
      <c r="F1511" s="323">
        <f t="shared" si="308"/>
        <v>11616</v>
      </c>
      <c r="G1511" s="595">
        <v>34.5</v>
      </c>
      <c r="H1511" s="611">
        <f t="shared" si="309"/>
        <v>91080</v>
      </c>
      <c r="I1511" s="614">
        <f t="shared" si="310"/>
        <v>400752</v>
      </c>
      <c r="J1511" s="379"/>
    </row>
    <row r="1512" spans="1:10" ht="23.4" x14ac:dyDescent="0.3">
      <c r="A1512" s="997"/>
      <c r="B1512" s="871"/>
      <c r="C1512" s="282" t="s">
        <v>342</v>
      </c>
      <c r="D1512" s="440" t="s">
        <v>263</v>
      </c>
      <c r="E1512" s="283">
        <v>0</v>
      </c>
      <c r="F1512" s="323">
        <f t="shared" si="308"/>
        <v>23191</v>
      </c>
      <c r="G1512" s="595">
        <v>160.44999999999999</v>
      </c>
      <c r="H1512" s="611">
        <f t="shared" si="309"/>
        <v>0</v>
      </c>
      <c r="I1512" s="614">
        <f t="shared" si="310"/>
        <v>3720995.9499999997</v>
      </c>
      <c r="J1512" s="379"/>
    </row>
    <row r="1513" spans="1:10" ht="23.4" x14ac:dyDescent="0.3">
      <c r="A1513" s="997"/>
      <c r="B1513" s="871"/>
      <c r="C1513" s="282" t="s">
        <v>438</v>
      </c>
      <c r="D1513" s="440" t="s">
        <v>263</v>
      </c>
      <c r="E1513" s="283">
        <v>0</v>
      </c>
      <c r="F1513" s="323">
        <f t="shared" si="308"/>
        <v>7000</v>
      </c>
      <c r="G1513" s="595">
        <v>160.44999999999999</v>
      </c>
      <c r="H1513" s="611">
        <f t="shared" si="309"/>
        <v>0</v>
      </c>
      <c r="I1513" s="614">
        <f t="shared" si="310"/>
        <v>1123150</v>
      </c>
      <c r="J1513" s="379"/>
    </row>
    <row r="1514" spans="1:10" ht="23.4" x14ac:dyDescent="0.3">
      <c r="A1514" s="997"/>
      <c r="B1514" s="871"/>
      <c r="C1514" s="282" t="s">
        <v>357</v>
      </c>
      <c r="D1514" s="440" t="s">
        <v>263</v>
      </c>
      <c r="E1514" s="283">
        <v>0</v>
      </c>
      <c r="F1514" s="323">
        <f t="shared" si="308"/>
        <v>19625</v>
      </c>
      <c r="G1514" s="595">
        <v>160.44999999999999</v>
      </c>
      <c r="H1514" s="611">
        <f t="shared" si="309"/>
        <v>0</v>
      </c>
      <c r="I1514" s="614">
        <f t="shared" si="310"/>
        <v>3148831.25</v>
      </c>
      <c r="J1514" s="379"/>
    </row>
    <row r="1515" spans="1:10" ht="23.4" x14ac:dyDescent="0.3">
      <c r="A1515" s="997"/>
      <c r="B1515" s="871"/>
      <c r="C1515" s="282" t="s">
        <v>358</v>
      </c>
      <c r="D1515" s="440" t="s">
        <v>263</v>
      </c>
      <c r="E1515" s="283">
        <v>0</v>
      </c>
      <c r="F1515" s="323">
        <f t="shared" si="308"/>
        <v>16125</v>
      </c>
      <c r="G1515" s="595">
        <v>160.44999999999999</v>
      </c>
      <c r="H1515" s="611">
        <f t="shared" si="309"/>
        <v>0</v>
      </c>
      <c r="I1515" s="614">
        <f t="shared" si="310"/>
        <v>2587256.25</v>
      </c>
      <c r="J1515" s="379"/>
    </row>
    <row r="1516" spans="1:10" ht="24" thickBot="1" x14ac:dyDescent="0.35">
      <c r="A1516" s="997"/>
      <c r="B1516" s="871"/>
      <c r="C1516" s="282" t="s">
        <v>353</v>
      </c>
      <c r="D1516" s="440" t="s">
        <v>263</v>
      </c>
      <c r="E1516" s="283">
        <v>0</v>
      </c>
      <c r="F1516" s="323">
        <f t="shared" si="308"/>
        <v>2200</v>
      </c>
      <c r="G1516" s="595">
        <v>160.44999999999999</v>
      </c>
      <c r="H1516" s="611">
        <f t="shared" si="309"/>
        <v>0</v>
      </c>
      <c r="I1516" s="614">
        <f t="shared" si="310"/>
        <v>352990</v>
      </c>
      <c r="J1516" s="379"/>
    </row>
    <row r="1517" spans="1:10" ht="24" thickBot="1" x14ac:dyDescent="0.35">
      <c r="A1517" s="997"/>
      <c r="B1517" s="992" t="s">
        <v>296</v>
      </c>
      <c r="C1517" s="993"/>
      <c r="D1517" s="873"/>
      <c r="E1517" s="332"/>
      <c r="F1517" s="333"/>
      <c r="G1517" s="332"/>
      <c r="H1517" s="605">
        <f>SUM(H1506:H1516)</f>
        <v>2269080</v>
      </c>
      <c r="I1517" s="597">
        <f>SUM(I1506:I1516)</f>
        <v>39021390.75</v>
      </c>
      <c r="J1517" s="355"/>
    </row>
    <row r="1518" spans="1:10" ht="23.4" x14ac:dyDescent="0.3">
      <c r="A1518" s="997"/>
      <c r="B1518" s="871"/>
      <c r="C1518" s="282" t="s">
        <v>303</v>
      </c>
      <c r="D1518" s="440"/>
      <c r="E1518" s="283">
        <v>0</v>
      </c>
      <c r="F1518" s="598">
        <f t="shared" ref="F1518:F1520" si="311">E1518+F1436</f>
        <v>0</v>
      </c>
      <c r="G1518" s="595">
        <v>10</v>
      </c>
      <c r="H1518" s="611">
        <f t="shared" ref="H1518:H1520" si="312">E1518*G1518</f>
        <v>0</v>
      </c>
      <c r="I1518" s="614">
        <f t="shared" ref="I1518" si="313">+G1518*F1518</f>
        <v>0</v>
      </c>
      <c r="J1518" s="379"/>
    </row>
    <row r="1519" spans="1:10" ht="23.4" x14ac:dyDescent="0.3">
      <c r="A1519" s="997"/>
      <c r="B1519" s="871"/>
      <c r="C1519" s="282" t="s">
        <v>308</v>
      </c>
      <c r="D1519" s="440" t="s">
        <v>309</v>
      </c>
      <c r="E1519" s="283">
        <v>0</v>
      </c>
      <c r="F1519" s="598">
        <f t="shared" si="311"/>
        <v>13</v>
      </c>
      <c r="G1519" s="595">
        <v>2500</v>
      </c>
      <c r="H1519" s="611">
        <f t="shared" si="312"/>
        <v>0</v>
      </c>
      <c r="I1519" s="614">
        <f>+G1519*F1519</f>
        <v>32500</v>
      </c>
      <c r="J1519" s="379"/>
    </row>
    <row r="1520" spans="1:10" ht="24" thickBot="1" x14ac:dyDescent="0.35">
      <c r="A1520" s="997"/>
      <c r="B1520" s="871"/>
      <c r="C1520" s="282" t="s">
        <v>343</v>
      </c>
      <c r="D1520" s="440" t="s">
        <v>344</v>
      </c>
      <c r="E1520" s="283">
        <v>0</v>
      </c>
      <c r="F1520" s="598">
        <f t="shared" si="311"/>
        <v>0</v>
      </c>
      <c r="G1520" s="596">
        <v>360</v>
      </c>
      <c r="H1520" s="611">
        <f t="shared" si="312"/>
        <v>0</v>
      </c>
      <c r="I1520" s="614">
        <f t="shared" ref="I1520" si="314">+G1520*F1520</f>
        <v>0</v>
      </c>
      <c r="J1520" s="379"/>
    </row>
    <row r="1521" spans="1:11" ht="24" thickBot="1" x14ac:dyDescent="0.35">
      <c r="A1521" s="997"/>
      <c r="B1521" s="992" t="s">
        <v>302</v>
      </c>
      <c r="C1521" s="993"/>
      <c r="D1521" s="873"/>
      <c r="E1521" s="332"/>
      <c r="F1521" s="333"/>
      <c r="G1521" s="332"/>
      <c r="H1521" s="605">
        <f>SUM(H1518:H1520)</f>
        <v>0</v>
      </c>
      <c r="I1521" s="597">
        <f>SUM(I1518:I1520)</f>
        <v>32500</v>
      </c>
      <c r="J1521" s="379"/>
    </row>
    <row r="1522" spans="1:11" ht="24" thickBot="1" x14ac:dyDescent="0.35">
      <c r="A1522" s="997"/>
      <c r="B1522" s="871"/>
      <c r="C1522" s="282"/>
      <c r="D1522" s="440"/>
      <c r="E1522" s="283"/>
      <c r="F1522" s="323"/>
      <c r="G1522" s="596"/>
      <c r="H1522" s="606"/>
      <c r="I1522" s="285">
        <f t="shared" ref="I1522" si="315">+G1522*F1522</f>
        <v>0</v>
      </c>
      <c r="J1522" s="379"/>
    </row>
    <row r="1523" spans="1:11" ht="24" thickBot="1" x14ac:dyDescent="0.35">
      <c r="A1523" s="998"/>
      <c r="B1523" s="992" t="s">
        <v>298</v>
      </c>
      <c r="C1523" s="993"/>
      <c r="D1523" s="869"/>
      <c r="E1523" s="332"/>
      <c r="F1523" s="333"/>
      <c r="G1523" s="332"/>
      <c r="H1523" s="597">
        <f>+H1517+H1505+H1521</f>
        <v>11871364</v>
      </c>
      <c r="I1523" s="597">
        <f>+I1517+I1505+I1521</f>
        <v>91984622.210000008</v>
      </c>
      <c r="J1523" s="379"/>
      <c r="K1523" s="620"/>
    </row>
    <row r="1524" spans="1:11" ht="23.4" x14ac:dyDescent="0.3">
      <c r="A1524" s="996" t="s">
        <v>109</v>
      </c>
      <c r="B1524" s="871"/>
      <c r="C1524" s="282" t="s">
        <v>312</v>
      </c>
      <c r="D1524" s="440" t="s">
        <v>193</v>
      </c>
      <c r="E1524" s="283">
        <v>0</v>
      </c>
      <c r="F1524" s="323">
        <f t="shared" ref="F1524:F1537" si="316">E1524+F1442</f>
        <v>7956</v>
      </c>
      <c r="G1524" s="621">
        <v>13.25</v>
      </c>
      <c r="H1524" s="615">
        <f t="shared" ref="H1524:H1543" si="317">E1524*G1524</f>
        <v>0</v>
      </c>
      <c r="I1524" s="614">
        <f t="shared" ref="I1524:I1543" si="318">+G1524*F1524</f>
        <v>105417</v>
      </c>
      <c r="J1524" s="379"/>
    </row>
    <row r="1525" spans="1:11" ht="23.4" x14ac:dyDescent="0.3">
      <c r="A1525" s="997"/>
      <c r="B1525" s="871"/>
      <c r="C1525" s="282" t="s">
        <v>313</v>
      </c>
      <c r="D1525" s="440"/>
      <c r="E1525" s="283">
        <v>0</v>
      </c>
      <c r="F1525" s="323">
        <f t="shared" si="316"/>
        <v>1</v>
      </c>
      <c r="G1525" s="622">
        <v>10000</v>
      </c>
      <c r="H1525" s="615">
        <f t="shared" si="317"/>
        <v>0</v>
      </c>
      <c r="I1525" s="614">
        <f t="shared" si="318"/>
        <v>10000</v>
      </c>
      <c r="J1525" s="379"/>
    </row>
    <row r="1526" spans="1:11" ht="23.4" x14ac:dyDescent="0.3">
      <c r="A1526" s="997"/>
      <c r="B1526" s="871"/>
      <c r="C1526" s="282" t="s">
        <v>313</v>
      </c>
      <c r="D1526" s="440"/>
      <c r="E1526" s="283">
        <v>0</v>
      </c>
      <c r="F1526" s="323">
        <f t="shared" si="316"/>
        <v>3</v>
      </c>
      <c r="G1526" s="622">
        <v>18000</v>
      </c>
      <c r="H1526" s="615">
        <f t="shared" si="317"/>
        <v>0</v>
      </c>
      <c r="I1526" s="614">
        <f t="shared" si="318"/>
        <v>54000</v>
      </c>
      <c r="J1526" s="379"/>
    </row>
    <row r="1527" spans="1:11" ht="23.4" x14ac:dyDescent="0.3">
      <c r="A1527" s="997"/>
      <c r="B1527" s="871"/>
      <c r="C1527" s="282" t="s">
        <v>328</v>
      </c>
      <c r="D1527" s="440" t="s">
        <v>193</v>
      </c>
      <c r="E1527" s="283">
        <v>0</v>
      </c>
      <c r="F1527" s="323">
        <f t="shared" si="316"/>
        <v>0</v>
      </c>
      <c r="G1527" s="621">
        <v>24.93</v>
      </c>
      <c r="H1527" s="615">
        <f t="shared" si="317"/>
        <v>0</v>
      </c>
      <c r="I1527" s="614">
        <f t="shared" si="318"/>
        <v>0</v>
      </c>
      <c r="J1527" s="379"/>
    </row>
    <row r="1528" spans="1:11" ht="23.4" x14ac:dyDescent="0.3">
      <c r="A1528" s="997"/>
      <c r="B1528" s="871"/>
      <c r="C1528" s="282" t="s">
        <v>335</v>
      </c>
      <c r="D1528" s="440" t="s">
        <v>99</v>
      </c>
      <c r="E1528" s="283">
        <v>0</v>
      </c>
      <c r="F1528" s="323">
        <f t="shared" si="316"/>
        <v>0</v>
      </c>
      <c r="G1528" s="621">
        <v>26</v>
      </c>
      <c r="H1528" s="615">
        <f t="shared" si="317"/>
        <v>0</v>
      </c>
      <c r="I1528" s="614">
        <f t="shared" si="318"/>
        <v>0</v>
      </c>
      <c r="J1528" s="379"/>
    </row>
    <row r="1529" spans="1:11" ht="23.4" x14ac:dyDescent="0.3">
      <c r="A1529" s="997"/>
      <c r="B1529" s="871"/>
      <c r="C1529" s="282" t="s">
        <v>336</v>
      </c>
      <c r="D1529" s="440" t="s">
        <v>193</v>
      </c>
      <c r="E1529" s="283">
        <v>0</v>
      </c>
      <c r="F1529" s="323">
        <f t="shared" si="316"/>
        <v>0</v>
      </c>
      <c r="G1529" s="621">
        <v>25.49</v>
      </c>
      <c r="H1529" s="615">
        <f t="shared" si="317"/>
        <v>0</v>
      </c>
      <c r="I1529" s="614">
        <f t="shared" si="318"/>
        <v>0</v>
      </c>
      <c r="J1529" s="379"/>
    </row>
    <row r="1530" spans="1:11" ht="23.4" x14ac:dyDescent="0.3">
      <c r="A1530" s="997"/>
      <c r="B1530" s="871"/>
      <c r="C1530" s="282" t="s">
        <v>337</v>
      </c>
      <c r="D1530" s="440" t="s">
        <v>115</v>
      </c>
      <c r="E1530" s="283">
        <v>0</v>
      </c>
      <c r="F1530" s="323">
        <f t="shared" si="316"/>
        <v>0</v>
      </c>
      <c r="G1530" s="621">
        <v>24.93</v>
      </c>
      <c r="H1530" s="615">
        <f t="shared" si="317"/>
        <v>0</v>
      </c>
      <c r="I1530" s="614">
        <f t="shared" si="318"/>
        <v>0</v>
      </c>
      <c r="J1530" s="379"/>
    </row>
    <row r="1531" spans="1:11" ht="23.4" x14ac:dyDescent="0.3">
      <c r="A1531" s="997"/>
      <c r="B1531" s="871"/>
      <c r="C1531" s="282" t="s">
        <v>338</v>
      </c>
      <c r="D1531" s="440" t="s">
        <v>311</v>
      </c>
      <c r="E1531" s="283">
        <v>0</v>
      </c>
      <c r="F1531" s="323">
        <f t="shared" si="316"/>
        <v>0</v>
      </c>
      <c r="G1531" s="621">
        <v>24.93</v>
      </c>
      <c r="H1531" s="615">
        <f t="shared" si="317"/>
        <v>0</v>
      </c>
      <c r="I1531" s="614">
        <f t="shared" si="318"/>
        <v>0</v>
      </c>
      <c r="J1531" s="379"/>
    </row>
    <row r="1532" spans="1:11" ht="23.4" x14ac:dyDescent="0.3">
      <c r="A1532" s="997"/>
      <c r="B1532" s="871"/>
      <c r="C1532" s="282" t="s">
        <v>339</v>
      </c>
      <c r="D1532" s="440" t="s">
        <v>99</v>
      </c>
      <c r="E1532" s="283">
        <v>0</v>
      </c>
      <c r="F1532" s="323">
        <f t="shared" si="316"/>
        <v>0</v>
      </c>
      <c r="G1532" s="621">
        <v>20.89</v>
      </c>
      <c r="H1532" s="615">
        <f t="shared" si="317"/>
        <v>0</v>
      </c>
      <c r="I1532" s="614">
        <f t="shared" si="318"/>
        <v>0</v>
      </c>
      <c r="J1532" s="379"/>
    </row>
    <row r="1533" spans="1:11" ht="23.4" x14ac:dyDescent="0.3">
      <c r="A1533" s="997"/>
      <c r="B1533" s="871"/>
      <c r="C1533" s="282" t="s">
        <v>445</v>
      </c>
      <c r="D1533" s="440" t="s">
        <v>350</v>
      </c>
      <c r="E1533" s="283">
        <v>0</v>
      </c>
      <c r="F1533" s="323">
        <f t="shared" si="316"/>
        <v>101088</v>
      </c>
      <c r="G1533" s="621">
        <v>37.4566666666</v>
      </c>
      <c r="H1533" s="615">
        <f t="shared" si="317"/>
        <v>0</v>
      </c>
      <c r="I1533" s="614">
        <f t="shared" si="318"/>
        <v>3786419.519993261</v>
      </c>
      <c r="J1533" s="379"/>
    </row>
    <row r="1534" spans="1:11" ht="23.4" x14ac:dyDescent="0.3">
      <c r="A1534" s="997"/>
      <c r="B1534" s="871"/>
      <c r="C1534" s="282" t="s">
        <v>446</v>
      </c>
      <c r="D1534" s="440" t="s">
        <v>350</v>
      </c>
      <c r="E1534" s="283">
        <v>0</v>
      </c>
      <c r="F1534" s="323">
        <f t="shared" si="316"/>
        <v>46800</v>
      </c>
      <c r="G1534" s="621">
        <v>37.89</v>
      </c>
      <c r="H1534" s="615">
        <f t="shared" si="317"/>
        <v>0</v>
      </c>
      <c r="I1534" s="614">
        <f t="shared" si="318"/>
        <v>1773252</v>
      </c>
      <c r="J1534" s="379"/>
    </row>
    <row r="1535" spans="1:11" ht="23.4" x14ac:dyDescent="0.3">
      <c r="A1535" s="997"/>
      <c r="B1535" s="871"/>
      <c r="C1535" s="282" t="s">
        <v>337</v>
      </c>
      <c r="D1535" s="440" t="s">
        <v>310</v>
      </c>
      <c r="E1535" s="283">
        <v>0</v>
      </c>
      <c r="F1535" s="323">
        <f t="shared" si="316"/>
        <v>0</v>
      </c>
      <c r="G1535" s="621">
        <v>24.93</v>
      </c>
      <c r="H1535" s="615">
        <f t="shared" si="317"/>
        <v>0</v>
      </c>
      <c r="I1535" s="614">
        <f t="shared" si="318"/>
        <v>0</v>
      </c>
      <c r="J1535" s="379"/>
    </row>
    <row r="1536" spans="1:11" ht="23.4" x14ac:dyDescent="0.3">
      <c r="A1536" s="997"/>
      <c r="B1536" s="871"/>
      <c r="C1536" s="282" t="s">
        <v>469</v>
      </c>
      <c r="D1536" s="440" t="s">
        <v>404</v>
      </c>
      <c r="E1536" s="283">
        <v>0</v>
      </c>
      <c r="F1536" s="323">
        <f t="shared" si="316"/>
        <v>342108</v>
      </c>
      <c r="G1536" s="621">
        <v>24.93</v>
      </c>
      <c r="H1536" s="615">
        <f t="shared" si="317"/>
        <v>0</v>
      </c>
      <c r="I1536" s="614">
        <f t="shared" si="318"/>
        <v>8528752.4399999995</v>
      </c>
      <c r="J1536" s="379"/>
    </row>
    <row r="1537" spans="1:10" ht="23.4" x14ac:dyDescent="0.3">
      <c r="A1537" s="997"/>
      <c r="B1537" s="871"/>
      <c r="C1537" s="282" t="s">
        <v>369</v>
      </c>
      <c r="D1537" s="440" t="s">
        <v>324</v>
      </c>
      <c r="E1537" s="283">
        <v>0</v>
      </c>
      <c r="F1537" s="323">
        <f t="shared" si="316"/>
        <v>1872</v>
      </c>
      <c r="G1537" s="621">
        <v>34.26</v>
      </c>
      <c r="H1537" s="615">
        <f t="shared" si="317"/>
        <v>0</v>
      </c>
      <c r="I1537" s="614">
        <f t="shared" si="318"/>
        <v>64134.719999999994</v>
      </c>
      <c r="J1537" s="379"/>
    </row>
    <row r="1538" spans="1:10" ht="23.4" x14ac:dyDescent="0.3">
      <c r="A1538" s="997"/>
      <c r="B1538" s="871"/>
      <c r="C1538" s="282" t="s">
        <v>385</v>
      </c>
      <c r="D1538" s="440" t="s">
        <v>467</v>
      </c>
      <c r="E1538" s="283">
        <v>0</v>
      </c>
      <c r="F1538" s="323">
        <v>0</v>
      </c>
      <c r="G1538" s="621">
        <v>37.89</v>
      </c>
      <c r="H1538" s="615">
        <f t="shared" si="317"/>
        <v>0</v>
      </c>
      <c r="I1538" s="614">
        <f t="shared" si="318"/>
        <v>0</v>
      </c>
      <c r="J1538" s="379"/>
    </row>
    <row r="1539" spans="1:10" ht="23.4" x14ac:dyDescent="0.3">
      <c r="A1539" s="997"/>
      <c r="B1539" s="871"/>
      <c r="C1539" s="282" t="s">
        <v>475</v>
      </c>
      <c r="D1539" s="440" t="s">
        <v>404</v>
      </c>
      <c r="E1539" s="283">
        <v>0</v>
      </c>
      <c r="F1539" s="323">
        <f t="shared" ref="F1539:F1543" si="319">E1539+F1457</f>
        <v>13104</v>
      </c>
      <c r="G1539" s="621">
        <v>39</v>
      </c>
      <c r="H1539" s="615">
        <f t="shared" si="317"/>
        <v>0</v>
      </c>
      <c r="I1539" s="614">
        <f t="shared" si="318"/>
        <v>511056</v>
      </c>
      <c r="J1539" s="379"/>
    </row>
    <row r="1540" spans="1:10" ht="23.4" x14ac:dyDescent="0.3">
      <c r="A1540" s="997"/>
      <c r="B1540" s="871"/>
      <c r="C1540" s="282" t="s">
        <v>338</v>
      </c>
      <c r="D1540" s="440" t="s">
        <v>192</v>
      </c>
      <c r="E1540" s="283">
        <v>0</v>
      </c>
      <c r="F1540" s="323">
        <f t="shared" si="319"/>
        <v>123318</v>
      </c>
      <c r="G1540" s="621">
        <v>21.22</v>
      </c>
      <c r="H1540" s="615">
        <f t="shared" si="317"/>
        <v>0</v>
      </c>
      <c r="I1540" s="614">
        <f t="shared" si="318"/>
        <v>2616807.96</v>
      </c>
      <c r="J1540" s="379"/>
    </row>
    <row r="1541" spans="1:10" ht="23.4" x14ac:dyDescent="0.3">
      <c r="A1541" s="997"/>
      <c r="B1541" s="871"/>
      <c r="C1541" s="282" t="s">
        <v>337</v>
      </c>
      <c r="D1541" s="440" t="s">
        <v>192</v>
      </c>
      <c r="E1541" s="283">
        <v>0</v>
      </c>
      <c r="F1541" s="323">
        <f t="shared" si="319"/>
        <v>0</v>
      </c>
      <c r="G1541" s="621">
        <v>21.22</v>
      </c>
      <c r="H1541" s="615">
        <f t="shared" si="317"/>
        <v>0</v>
      </c>
      <c r="I1541" s="614">
        <f t="shared" si="318"/>
        <v>0</v>
      </c>
      <c r="J1541" s="379"/>
    </row>
    <row r="1542" spans="1:10" ht="23.4" x14ac:dyDescent="0.3">
      <c r="A1542" s="997"/>
      <c r="B1542" s="871"/>
      <c r="C1542" s="282" t="s">
        <v>406</v>
      </c>
      <c r="D1542" s="440" t="s">
        <v>344</v>
      </c>
      <c r="E1542" s="283">
        <v>0</v>
      </c>
      <c r="F1542" s="323">
        <f t="shared" si="319"/>
        <v>0</v>
      </c>
      <c r="G1542" s="621">
        <v>10000</v>
      </c>
      <c r="H1542" s="615">
        <f t="shared" si="317"/>
        <v>0</v>
      </c>
      <c r="I1542" s="614">
        <f t="shared" si="318"/>
        <v>0</v>
      </c>
      <c r="J1542" s="379"/>
    </row>
    <row r="1543" spans="1:10" ht="24" thickBot="1" x14ac:dyDescent="0.35">
      <c r="A1543" s="997"/>
      <c r="B1543" s="871"/>
      <c r="C1543" s="282" t="s">
        <v>343</v>
      </c>
      <c r="D1543" s="440" t="s">
        <v>344</v>
      </c>
      <c r="E1543" s="283">
        <v>0</v>
      </c>
      <c r="F1543" s="323">
        <f t="shared" si="319"/>
        <v>24234</v>
      </c>
      <c r="G1543" s="621">
        <v>360</v>
      </c>
      <c r="H1543" s="615">
        <f t="shared" si="317"/>
        <v>0</v>
      </c>
      <c r="I1543" s="614">
        <f t="shared" si="318"/>
        <v>8724240</v>
      </c>
      <c r="J1543" s="379"/>
    </row>
    <row r="1544" spans="1:10" ht="24" thickBot="1" x14ac:dyDescent="0.35">
      <c r="A1544" s="998"/>
      <c r="B1544" s="992" t="s">
        <v>297</v>
      </c>
      <c r="C1544" s="993"/>
      <c r="D1544" s="873"/>
      <c r="E1544" s="332"/>
      <c r="F1544" s="333"/>
      <c r="G1544" s="332"/>
      <c r="H1544" s="605"/>
      <c r="I1544" s="597">
        <f>SUM(I1524:I1543)</f>
        <v>26174079.639993262</v>
      </c>
      <c r="J1544" s="379"/>
    </row>
    <row r="1545" spans="1:10" ht="23.4" x14ac:dyDescent="0.3">
      <c r="A1545" s="996" t="s">
        <v>110</v>
      </c>
      <c r="B1545" s="871"/>
      <c r="C1545" s="282" t="s">
        <v>304</v>
      </c>
      <c r="D1545" s="440" t="s">
        <v>263</v>
      </c>
      <c r="E1545" s="283">
        <v>2560</v>
      </c>
      <c r="F1545" s="323">
        <f t="shared" ref="F1545:F1564" si="320">E1545+F1463</f>
        <v>24960</v>
      </c>
      <c r="G1545" s="621">
        <v>430.02</v>
      </c>
      <c r="H1545" s="611">
        <f>E1545*G1545</f>
        <v>1100851.2</v>
      </c>
      <c r="I1545" s="614">
        <f t="shared" ref="I1545:I1564" si="321">+G1545*F1545</f>
        <v>10733299.199999999</v>
      </c>
      <c r="J1545" s="379"/>
    </row>
    <row r="1546" spans="1:10" ht="23.4" x14ac:dyDescent="0.3">
      <c r="A1546" s="997"/>
      <c r="B1546" s="871"/>
      <c r="C1546" s="282" t="s">
        <v>305</v>
      </c>
      <c r="D1546" s="440" t="s">
        <v>263</v>
      </c>
      <c r="E1546" s="283">
        <v>0</v>
      </c>
      <c r="F1546" s="323">
        <f t="shared" si="320"/>
        <v>0</v>
      </c>
      <c r="G1546" s="621">
        <v>445.38</v>
      </c>
      <c r="H1546" s="611">
        <f t="shared" ref="H1546:H1564" si="322">E1546*G1546</f>
        <v>0</v>
      </c>
      <c r="I1546" s="614">
        <f t="shared" si="321"/>
        <v>0</v>
      </c>
      <c r="J1546" s="379"/>
    </row>
    <row r="1547" spans="1:10" ht="23.4" x14ac:dyDescent="0.3">
      <c r="A1547" s="997"/>
      <c r="B1547" s="871"/>
      <c r="C1547" s="282" t="s">
        <v>341</v>
      </c>
      <c r="D1547" s="440" t="s">
        <v>263</v>
      </c>
      <c r="E1547" s="283">
        <v>0</v>
      </c>
      <c r="F1547" s="323">
        <f t="shared" si="320"/>
        <v>0</v>
      </c>
      <c r="G1547" s="621">
        <v>63.55</v>
      </c>
      <c r="H1547" s="611">
        <f t="shared" si="322"/>
        <v>0</v>
      </c>
      <c r="I1547" s="614">
        <f t="shared" si="321"/>
        <v>0</v>
      </c>
      <c r="J1547" s="379"/>
    </row>
    <row r="1548" spans="1:10" ht="23.4" x14ac:dyDescent="0.3">
      <c r="A1548" s="997"/>
      <c r="B1548" s="871"/>
      <c r="C1548" s="282" t="s">
        <v>306</v>
      </c>
      <c r="D1548" s="440" t="s">
        <v>263</v>
      </c>
      <c r="E1548" s="283">
        <v>11760</v>
      </c>
      <c r="F1548" s="323">
        <f t="shared" si="320"/>
        <v>440220</v>
      </c>
      <c r="G1548" s="621">
        <v>71.44</v>
      </c>
      <c r="H1548" s="611">
        <f t="shared" si="322"/>
        <v>840134.4</v>
      </c>
      <c r="I1548" s="614">
        <f t="shared" si="321"/>
        <v>31449316.800000001</v>
      </c>
      <c r="J1548" s="379"/>
    </row>
    <row r="1549" spans="1:10" ht="23.4" x14ac:dyDescent="0.3">
      <c r="A1549" s="997"/>
      <c r="B1549" s="871"/>
      <c r="C1549" s="282" t="s">
        <v>307</v>
      </c>
      <c r="D1549" s="440" t="s">
        <v>263</v>
      </c>
      <c r="E1549" s="283">
        <v>0</v>
      </c>
      <c r="F1549" s="323">
        <f t="shared" si="320"/>
        <v>0</v>
      </c>
      <c r="G1549" s="621">
        <v>36.5</v>
      </c>
      <c r="H1549" s="611">
        <f t="shared" si="322"/>
        <v>0</v>
      </c>
      <c r="I1549" s="614">
        <f t="shared" si="321"/>
        <v>0</v>
      </c>
      <c r="J1549" s="379"/>
    </row>
    <row r="1550" spans="1:10" ht="23.4" x14ac:dyDescent="0.3">
      <c r="A1550" s="997"/>
      <c r="B1550" s="871"/>
      <c r="C1550" s="282" t="s">
        <v>316</v>
      </c>
      <c r="D1550" s="440" t="s">
        <v>263</v>
      </c>
      <c r="E1550" s="283">
        <v>0</v>
      </c>
      <c r="F1550" s="323">
        <f t="shared" si="320"/>
        <v>4600</v>
      </c>
      <c r="G1550" s="621">
        <v>320.35000000000002</v>
      </c>
      <c r="H1550" s="611">
        <f t="shared" si="322"/>
        <v>0</v>
      </c>
      <c r="I1550" s="614">
        <f t="shared" si="321"/>
        <v>1473610</v>
      </c>
      <c r="J1550" s="379"/>
    </row>
    <row r="1551" spans="1:10" ht="23.4" x14ac:dyDescent="0.3">
      <c r="A1551" s="997"/>
      <c r="B1551" s="871"/>
      <c r="C1551" s="282" t="s">
        <v>333</v>
      </c>
      <c r="D1551" s="440" t="s">
        <v>263</v>
      </c>
      <c r="E1551" s="283">
        <v>0</v>
      </c>
      <c r="F1551" s="323">
        <f t="shared" si="320"/>
        <v>0</v>
      </c>
      <c r="G1551" s="621">
        <v>434.41</v>
      </c>
      <c r="H1551" s="611">
        <f t="shared" si="322"/>
        <v>0</v>
      </c>
      <c r="I1551" s="614">
        <f t="shared" si="321"/>
        <v>0</v>
      </c>
      <c r="J1551" s="379"/>
    </row>
    <row r="1552" spans="1:10" ht="23.4" x14ac:dyDescent="0.3">
      <c r="A1552" s="997"/>
      <c r="B1552" s="871"/>
      <c r="C1552" s="282" t="s">
        <v>313</v>
      </c>
      <c r="D1552" s="440" t="s">
        <v>263</v>
      </c>
      <c r="E1552" s="283">
        <v>0</v>
      </c>
      <c r="F1552" s="323">
        <f t="shared" si="320"/>
        <v>5</v>
      </c>
      <c r="G1552" s="621">
        <v>29690</v>
      </c>
      <c r="H1552" s="611">
        <f t="shared" si="322"/>
        <v>0</v>
      </c>
      <c r="I1552" s="614">
        <f t="shared" si="321"/>
        <v>148450</v>
      </c>
      <c r="J1552" s="379"/>
    </row>
    <row r="1553" spans="1:10" ht="23.4" x14ac:dyDescent="0.3">
      <c r="A1553" s="997"/>
      <c r="B1553" s="871"/>
      <c r="C1553" s="282" t="s">
        <v>313</v>
      </c>
      <c r="D1553" s="440" t="s">
        <v>263</v>
      </c>
      <c r="E1553" s="283">
        <v>0</v>
      </c>
      <c r="F1553" s="323">
        <f t="shared" si="320"/>
        <v>2</v>
      </c>
      <c r="G1553" s="621">
        <v>26445</v>
      </c>
      <c r="H1553" s="611">
        <f t="shared" si="322"/>
        <v>0</v>
      </c>
      <c r="I1553" s="614">
        <f t="shared" si="321"/>
        <v>52890</v>
      </c>
      <c r="J1553" s="379"/>
    </row>
    <row r="1554" spans="1:10" ht="23.4" x14ac:dyDescent="0.3">
      <c r="A1554" s="997"/>
      <c r="B1554" s="871"/>
      <c r="C1554" s="282" t="s">
        <v>354</v>
      </c>
      <c r="D1554" s="440" t="s">
        <v>401</v>
      </c>
      <c r="E1554" s="283">
        <v>0</v>
      </c>
      <c r="F1554" s="323">
        <f t="shared" si="320"/>
        <v>3750</v>
      </c>
      <c r="G1554" s="621">
        <v>50</v>
      </c>
      <c r="H1554" s="611">
        <f t="shared" si="322"/>
        <v>0</v>
      </c>
      <c r="I1554" s="614">
        <f t="shared" si="321"/>
        <v>187500</v>
      </c>
      <c r="J1554" s="379"/>
    </row>
    <row r="1555" spans="1:10" ht="23.4" x14ac:dyDescent="0.3">
      <c r="A1555" s="997"/>
      <c r="B1555" s="871"/>
      <c r="C1555" s="282" t="s">
        <v>354</v>
      </c>
      <c r="D1555" s="440" t="s">
        <v>401</v>
      </c>
      <c r="E1555" s="283">
        <v>0</v>
      </c>
      <c r="F1555" s="323">
        <f t="shared" si="320"/>
        <v>5267</v>
      </c>
      <c r="G1555" s="621">
        <v>45</v>
      </c>
      <c r="H1555" s="611">
        <f t="shared" si="322"/>
        <v>0</v>
      </c>
      <c r="I1555" s="614">
        <f t="shared" si="321"/>
        <v>237015</v>
      </c>
      <c r="J1555" s="379"/>
    </row>
    <row r="1556" spans="1:10" ht="23.4" x14ac:dyDescent="0.3">
      <c r="A1556" s="997"/>
      <c r="B1556" s="871"/>
      <c r="C1556" s="282" t="s">
        <v>366</v>
      </c>
      <c r="D1556" s="440" t="s">
        <v>263</v>
      </c>
      <c r="E1556" s="283">
        <v>0</v>
      </c>
      <c r="F1556" s="323">
        <f t="shared" si="320"/>
        <v>0</v>
      </c>
      <c r="G1556" s="621">
        <v>53.86</v>
      </c>
      <c r="H1556" s="611">
        <f t="shared" si="322"/>
        <v>0</v>
      </c>
      <c r="I1556" s="614">
        <f t="shared" si="321"/>
        <v>0</v>
      </c>
      <c r="J1556" s="379"/>
    </row>
    <row r="1557" spans="1:10" ht="23.4" x14ac:dyDescent="0.3">
      <c r="A1557" s="997"/>
      <c r="B1557" s="871"/>
      <c r="C1557" s="282" t="s">
        <v>386</v>
      </c>
      <c r="D1557" s="440" t="s">
        <v>481</v>
      </c>
      <c r="E1557" s="283">
        <v>0</v>
      </c>
      <c r="F1557" s="323">
        <f t="shared" si="320"/>
        <v>100</v>
      </c>
      <c r="G1557" s="621">
        <v>57.64</v>
      </c>
      <c r="H1557" s="611">
        <f t="shared" si="322"/>
        <v>0</v>
      </c>
      <c r="I1557" s="614">
        <f t="shared" si="321"/>
        <v>5764</v>
      </c>
      <c r="J1557" s="379"/>
    </row>
    <row r="1558" spans="1:10" ht="23.4" x14ac:dyDescent="0.3">
      <c r="A1558" s="997"/>
      <c r="B1558" s="871"/>
      <c r="C1558" s="282" t="s">
        <v>388</v>
      </c>
      <c r="D1558" s="440" t="s">
        <v>389</v>
      </c>
      <c r="E1558" s="283">
        <v>0</v>
      </c>
      <c r="F1558" s="284">
        <f t="shared" si="320"/>
        <v>2560</v>
      </c>
      <c r="G1558" s="621">
        <v>434.41</v>
      </c>
      <c r="H1558" s="611">
        <f t="shared" si="322"/>
        <v>0</v>
      </c>
      <c r="I1558" s="614">
        <f t="shared" si="321"/>
        <v>1112089.6000000001</v>
      </c>
      <c r="J1558" s="379"/>
    </row>
    <row r="1559" spans="1:10" ht="23.4" x14ac:dyDescent="0.3">
      <c r="A1559" s="997"/>
      <c r="B1559" s="871"/>
      <c r="C1559" s="282" t="s">
        <v>419</v>
      </c>
      <c r="D1559" s="440" t="s">
        <v>263</v>
      </c>
      <c r="E1559" s="283">
        <v>0</v>
      </c>
      <c r="F1559" s="284">
        <f t="shared" si="320"/>
        <v>9280</v>
      </c>
      <c r="G1559" s="621">
        <v>624.26</v>
      </c>
      <c r="H1559" s="611">
        <f t="shared" si="322"/>
        <v>0</v>
      </c>
      <c r="I1559" s="614">
        <f t="shared" si="321"/>
        <v>5793132.7999999998</v>
      </c>
      <c r="J1559" s="379"/>
    </row>
    <row r="1560" spans="1:10" ht="23.4" x14ac:dyDescent="0.3">
      <c r="A1560" s="997"/>
      <c r="B1560" s="871"/>
      <c r="C1560" s="282" t="s">
        <v>390</v>
      </c>
      <c r="D1560" s="440" t="s">
        <v>389</v>
      </c>
      <c r="E1560" s="283">
        <v>0</v>
      </c>
      <c r="F1560" s="323">
        <f t="shared" si="320"/>
        <v>7200</v>
      </c>
      <c r="G1560" s="621">
        <v>63.55</v>
      </c>
      <c r="H1560" s="611">
        <f t="shared" si="322"/>
        <v>0</v>
      </c>
      <c r="I1560" s="614">
        <f t="shared" si="321"/>
        <v>457560</v>
      </c>
      <c r="J1560" s="379"/>
    </row>
    <row r="1561" spans="1:10" ht="23.4" x14ac:dyDescent="0.3">
      <c r="A1561" s="997"/>
      <c r="B1561" s="871"/>
      <c r="C1561" s="282" t="s">
        <v>391</v>
      </c>
      <c r="D1561" s="440" t="s">
        <v>389</v>
      </c>
      <c r="E1561" s="283">
        <v>0</v>
      </c>
      <c r="F1561" s="323">
        <f t="shared" si="320"/>
        <v>8640</v>
      </c>
      <c r="G1561" s="621">
        <v>53.86</v>
      </c>
      <c r="H1561" s="611">
        <f t="shared" si="322"/>
        <v>0</v>
      </c>
      <c r="I1561" s="614">
        <f t="shared" si="321"/>
        <v>465350.40000000002</v>
      </c>
      <c r="J1561" s="379"/>
    </row>
    <row r="1562" spans="1:10" ht="23.4" x14ac:dyDescent="0.3">
      <c r="A1562" s="997"/>
      <c r="B1562" s="871"/>
      <c r="C1562" s="282" t="s">
        <v>432</v>
      </c>
      <c r="D1562" s="440" t="s">
        <v>401</v>
      </c>
      <c r="E1562" s="283">
        <v>0</v>
      </c>
      <c r="F1562" s="323">
        <f t="shared" si="320"/>
        <v>2307</v>
      </c>
      <c r="G1562" s="621">
        <v>45</v>
      </c>
      <c r="H1562" s="611">
        <f t="shared" si="322"/>
        <v>0</v>
      </c>
      <c r="I1562" s="614">
        <f t="shared" si="321"/>
        <v>103815</v>
      </c>
      <c r="J1562" s="379"/>
    </row>
    <row r="1563" spans="1:10" ht="23.4" x14ac:dyDescent="0.3">
      <c r="A1563" s="997"/>
      <c r="B1563" s="871"/>
      <c r="C1563" s="282" t="s">
        <v>313</v>
      </c>
      <c r="D1563" s="440"/>
      <c r="E1563" s="283">
        <v>0</v>
      </c>
      <c r="F1563" s="323">
        <f t="shared" si="320"/>
        <v>1</v>
      </c>
      <c r="G1563" s="621">
        <v>39450</v>
      </c>
      <c r="H1563" s="611">
        <f t="shared" si="322"/>
        <v>0</v>
      </c>
      <c r="I1563" s="614">
        <f t="shared" si="321"/>
        <v>39450</v>
      </c>
      <c r="J1563" s="379"/>
    </row>
    <row r="1564" spans="1:10" ht="24" thickBot="1" x14ac:dyDescent="0.35">
      <c r="A1564" s="997"/>
      <c r="B1564" s="871"/>
      <c r="C1564" s="282" t="s">
        <v>386</v>
      </c>
      <c r="D1564" s="440" t="s">
        <v>263</v>
      </c>
      <c r="E1564" s="283">
        <v>0</v>
      </c>
      <c r="F1564" s="323">
        <f t="shared" si="320"/>
        <v>2000</v>
      </c>
      <c r="G1564" s="621">
        <v>57.64</v>
      </c>
      <c r="H1564" s="611">
        <f t="shared" si="322"/>
        <v>0</v>
      </c>
      <c r="I1564" s="614">
        <f t="shared" si="321"/>
        <v>115280</v>
      </c>
      <c r="J1564" s="379"/>
    </row>
    <row r="1565" spans="1:10" ht="24" thickBot="1" x14ac:dyDescent="0.35">
      <c r="A1565" s="998"/>
      <c r="B1565" s="992" t="s">
        <v>299</v>
      </c>
      <c r="C1565" s="993"/>
      <c r="D1565" s="873"/>
      <c r="E1565" s="332"/>
      <c r="F1565" s="333"/>
      <c r="G1565" s="332"/>
      <c r="H1565" s="608">
        <f>SUM(H1545:H1564)</f>
        <v>1940985.6</v>
      </c>
      <c r="I1565" s="597">
        <f>SUM(I1545:I1564)</f>
        <v>52374522.799999997</v>
      </c>
      <c r="J1565" s="378"/>
    </row>
    <row r="1566" spans="1:10" ht="24" thickBot="1" x14ac:dyDescent="0.35">
      <c r="A1566" s="876"/>
      <c r="B1566" s="443"/>
      <c r="C1566" s="282"/>
      <c r="D1566" s="440"/>
      <c r="E1566" s="283"/>
      <c r="F1566" s="284"/>
      <c r="G1566" s="340"/>
      <c r="H1566" s="607"/>
      <c r="I1566" s="285"/>
      <c r="J1566" s="379"/>
    </row>
    <row r="1567" spans="1:10" ht="24" thickBot="1" x14ac:dyDescent="0.35">
      <c r="A1567" s="876"/>
      <c r="B1567" s="992" t="s">
        <v>243</v>
      </c>
      <c r="C1567" s="993"/>
      <c r="D1567" s="869"/>
      <c r="E1567" s="332"/>
      <c r="F1567" s="333"/>
      <c r="G1567" s="332"/>
      <c r="H1567" s="605"/>
      <c r="I1567" s="330"/>
      <c r="J1567" s="355"/>
    </row>
    <row r="1568" spans="1:10" ht="24.6" thickBot="1" x14ac:dyDescent="0.35">
      <c r="A1568" s="325"/>
      <c r="B1568" s="994" t="s">
        <v>183</v>
      </c>
      <c r="C1568" s="995"/>
      <c r="D1568" s="870"/>
      <c r="E1568" s="380"/>
      <c r="F1568" s="380"/>
      <c r="G1568" s="380"/>
      <c r="H1568" s="380"/>
      <c r="I1568" s="380">
        <f>+I1565+I1544+I1523</f>
        <v>170533224.64999327</v>
      </c>
      <c r="J1568" s="381"/>
    </row>
    <row r="1569" spans="1:10" ht="23.4" x14ac:dyDescent="0.3">
      <c r="A1569" s="935" t="s">
        <v>1</v>
      </c>
      <c r="B1569" s="938" t="s">
        <v>2</v>
      </c>
      <c r="C1569" s="1001" t="s">
        <v>3</v>
      </c>
      <c r="D1569" s="1005" t="s">
        <v>93</v>
      </c>
      <c r="E1569" s="1008">
        <v>44529</v>
      </c>
      <c r="F1569" s="945"/>
      <c r="G1569" s="945"/>
      <c r="H1569" s="945"/>
      <c r="I1569" s="945"/>
      <c r="J1569" s="946"/>
    </row>
    <row r="1570" spans="1:10" ht="23.4" x14ac:dyDescent="0.3">
      <c r="A1570" s="999"/>
      <c r="B1570" s="1000"/>
      <c r="C1570" s="1002"/>
      <c r="D1570" s="1006"/>
      <c r="E1570" s="1009" t="s">
        <v>94</v>
      </c>
      <c r="F1570" s="1010"/>
      <c r="G1570" s="1009" t="s">
        <v>252</v>
      </c>
      <c r="H1570" s="1011"/>
      <c r="I1570" s="1011"/>
      <c r="J1570" s="1010"/>
    </row>
    <row r="1571" spans="1:10" x14ac:dyDescent="0.3">
      <c r="A1571" s="936"/>
      <c r="B1571" s="939"/>
      <c r="C1571" s="1003"/>
      <c r="D1571" s="1006"/>
      <c r="E1571" s="947" t="s">
        <v>95</v>
      </c>
      <c r="F1571" s="949" t="s">
        <v>96</v>
      </c>
      <c r="G1571" s="1012" t="s">
        <v>97</v>
      </c>
      <c r="H1571" s="1014" t="s">
        <v>98</v>
      </c>
      <c r="I1571" s="1014" t="s">
        <v>98</v>
      </c>
      <c r="J1571" s="1016" t="s">
        <v>12</v>
      </c>
    </row>
    <row r="1572" spans="1:10" ht="14.4" thickBot="1" x14ac:dyDescent="0.35">
      <c r="A1572" s="937"/>
      <c r="B1572" s="940"/>
      <c r="C1572" s="1004"/>
      <c r="D1572" s="1007"/>
      <c r="E1572" s="948"/>
      <c r="F1572" s="950"/>
      <c r="G1572" s="1013"/>
      <c r="H1572" s="1015"/>
      <c r="I1572" s="1015"/>
      <c r="J1572" s="1017"/>
    </row>
    <row r="1573" spans="1:10" ht="23.4" x14ac:dyDescent="0.3">
      <c r="A1573" s="996" t="s">
        <v>111</v>
      </c>
      <c r="B1573" s="445"/>
      <c r="C1573" s="592" t="s">
        <v>300</v>
      </c>
      <c r="D1573" s="449" t="s">
        <v>292</v>
      </c>
      <c r="E1573" s="273">
        <v>0</v>
      </c>
      <c r="F1573" s="441">
        <f>E1573+F1491</f>
        <v>0</v>
      </c>
      <c r="G1573" s="593">
        <v>111.09</v>
      </c>
      <c r="H1573" s="609">
        <f t="shared" ref="H1573:H1586" si="323">E1573*G1573</f>
        <v>0</v>
      </c>
      <c r="I1573" s="612">
        <f>+G1573*F1573</f>
        <v>0</v>
      </c>
      <c r="J1573" s="357"/>
    </row>
    <row r="1574" spans="1:10" ht="23.4" x14ac:dyDescent="0.3">
      <c r="A1574" s="997"/>
      <c r="B1574" s="444"/>
      <c r="C1574" s="448" t="s">
        <v>293</v>
      </c>
      <c r="D1574" s="447" t="s">
        <v>294</v>
      </c>
      <c r="E1574" s="279">
        <v>0</v>
      </c>
      <c r="F1574" s="441">
        <f t="shared" ref="F1574:F1586" si="324">E1574+F1492</f>
        <v>0</v>
      </c>
      <c r="G1574" s="594">
        <v>11</v>
      </c>
      <c r="H1574" s="610">
        <f t="shared" si="323"/>
        <v>0</v>
      </c>
      <c r="I1574" s="613">
        <f>+G1574*F1574</f>
        <v>0</v>
      </c>
      <c r="J1574" s="358"/>
    </row>
    <row r="1575" spans="1:10" ht="23.4" x14ac:dyDescent="0.3">
      <c r="A1575" s="997"/>
      <c r="B1575" s="444"/>
      <c r="C1575" s="448" t="s">
        <v>332</v>
      </c>
      <c r="D1575" s="447" t="s">
        <v>466</v>
      </c>
      <c r="E1575" s="279">
        <v>0</v>
      </c>
      <c r="F1575" s="441">
        <f t="shared" si="324"/>
        <v>960</v>
      </c>
      <c r="G1575" s="594">
        <v>139.04</v>
      </c>
      <c r="H1575" s="610">
        <f t="shared" si="323"/>
        <v>0</v>
      </c>
      <c r="I1575" s="613">
        <f t="shared" ref="I1575:I1586" si="325">+G1575*F1575</f>
        <v>133478.39999999999</v>
      </c>
      <c r="J1575" s="358"/>
    </row>
    <row r="1576" spans="1:10" ht="23.4" x14ac:dyDescent="0.3">
      <c r="A1576" s="997"/>
      <c r="B1576" s="444"/>
      <c r="C1576" s="448" t="s">
        <v>449</v>
      </c>
      <c r="D1576" s="447" t="s">
        <v>450</v>
      </c>
      <c r="E1576" s="279">
        <f>30600+36720</f>
        <v>67320</v>
      </c>
      <c r="F1576" s="441">
        <f t="shared" si="324"/>
        <v>575280</v>
      </c>
      <c r="G1576" s="594">
        <v>20.5</v>
      </c>
      <c r="H1576" s="610">
        <f t="shared" si="323"/>
        <v>1380060</v>
      </c>
      <c r="I1576" s="613">
        <f t="shared" si="325"/>
        <v>11793240</v>
      </c>
      <c r="J1576" s="358"/>
    </row>
    <row r="1577" spans="1:10" ht="23.4" x14ac:dyDescent="0.3">
      <c r="A1577" s="997"/>
      <c r="B1577" s="444"/>
      <c r="C1577" s="448" t="s">
        <v>323</v>
      </c>
      <c r="D1577" s="447" t="s">
        <v>192</v>
      </c>
      <c r="E1577" s="279">
        <v>108470</v>
      </c>
      <c r="F1577" s="441">
        <f t="shared" si="324"/>
        <v>328118</v>
      </c>
      <c r="G1577" s="594">
        <v>14.79</v>
      </c>
      <c r="H1577" s="610">
        <f t="shared" si="323"/>
        <v>1604271.2999999998</v>
      </c>
      <c r="I1577" s="613">
        <f t="shared" si="325"/>
        <v>4852865.22</v>
      </c>
      <c r="J1577" s="358"/>
    </row>
    <row r="1578" spans="1:10" ht="23.4" x14ac:dyDescent="0.3">
      <c r="A1578" s="997"/>
      <c r="B1578" s="444"/>
      <c r="C1578" s="448" t="s">
        <v>332</v>
      </c>
      <c r="D1578" s="447" t="s">
        <v>294</v>
      </c>
      <c r="E1578" s="279">
        <v>0</v>
      </c>
      <c r="F1578" s="441">
        <f t="shared" si="324"/>
        <v>4160</v>
      </c>
      <c r="G1578" s="594">
        <v>139.04</v>
      </c>
      <c r="H1578" s="610">
        <f t="shared" si="323"/>
        <v>0</v>
      </c>
      <c r="I1578" s="613">
        <f t="shared" si="325"/>
        <v>578406.40000000002</v>
      </c>
      <c r="J1578" s="358"/>
    </row>
    <row r="1579" spans="1:10" ht="23.4" x14ac:dyDescent="0.3">
      <c r="A1579" s="997"/>
      <c r="B1579" s="444"/>
      <c r="C1579" s="448" t="s">
        <v>384</v>
      </c>
      <c r="D1579" s="623" t="s">
        <v>447</v>
      </c>
      <c r="E1579" s="279">
        <v>0</v>
      </c>
      <c r="F1579" s="441">
        <f t="shared" si="324"/>
        <v>99364</v>
      </c>
      <c r="G1579" s="594">
        <v>20.5</v>
      </c>
      <c r="H1579" s="610">
        <f t="shared" si="323"/>
        <v>0</v>
      </c>
      <c r="I1579" s="613">
        <f t="shared" si="325"/>
        <v>2036962</v>
      </c>
      <c r="J1579" s="358"/>
    </row>
    <row r="1580" spans="1:10" ht="23.4" x14ac:dyDescent="0.3">
      <c r="A1580" s="997"/>
      <c r="B1580" s="444"/>
      <c r="C1580" s="448" t="s">
        <v>362</v>
      </c>
      <c r="D1580" s="623" t="s">
        <v>294</v>
      </c>
      <c r="E1580" s="279">
        <v>0</v>
      </c>
      <c r="F1580" s="441">
        <f t="shared" si="324"/>
        <v>16524</v>
      </c>
      <c r="G1580" s="594">
        <v>18.84</v>
      </c>
      <c r="H1580" s="610">
        <f t="shared" si="323"/>
        <v>0</v>
      </c>
      <c r="I1580" s="613">
        <f t="shared" si="325"/>
        <v>311312.15999999997</v>
      </c>
      <c r="J1580" s="358"/>
    </row>
    <row r="1581" spans="1:10" ht="23.4" x14ac:dyDescent="0.3">
      <c r="A1581" s="997"/>
      <c r="B1581" s="444"/>
      <c r="C1581" s="448" t="s">
        <v>376</v>
      </c>
      <c r="D1581" s="623" t="s">
        <v>257</v>
      </c>
      <c r="E1581" s="279">
        <v>0</v>
      </c>
      <c r="F1581" s="441">
        <f t="shared" si="324"/>
        <v>1263023</v>
      </c>
      <c r="G1581" s="594">
        <v>21.18</v>
      </c>
      <c r="H1581" s="610">
        <f t="shared" si="323"/>
        <v>0</v>
      </c>
      <c r="I1581" s="613">
        <f t="shared" si="325"/>
        <v>26750827.140000001</v>
      </c>
      <c r="J1581" s="358"/>
    </row>
    <row r="1582" spans="1:10" ht="23.4" x14ac:dyDescent="0.3">
      <c r="A1582" s="997"/>
      <c r="B1582" s="444"/>
      <c r="C1582" s="448" t="s">
        <v>378</v>
      </c>
      <c r="D1582" s="623" t="s">
        <v>379</v>
      </c>
      <c r="E1582" s="279">
        <v>0</v>
      </c>
      <c r="F1582" s="441">
        <f t="shared" si="324"/>
        <v>65690</v>
      </c>
      <c r="G1582" s="594">
        <v>21.28</v>
      </c>
      <c r="H1582" s="610">
        <f t="shared" si="323"/>
        <v>0</v>
      </c>
      <c r="I1582" s="613">
        <f t="shared" si="325"/>
        <v>1397883.2000000002</v>
      </c>
      <c r="J1582" s="358"/>
    </row>
    <row r="1583" spans="1:10" ht="23.4" x14ac:dyDescent="0.3">
      <c r="A1583" s="997"/>
      <c r="B1583" s="444"/>
      <c r="C1583" s="448" t="s">
        <v>332</v>
      </c>
      <c r="D1583" s="623" t="s">
        <v>447</v>
      </c>
      <c r="E1583" s="279">
        <v>0</v>
      </c>
      <c r="F1583" s="441">
        <f t="shared" si="324"/>
        <v>9920</v>
      </c>
      <c r="G1583" s="594">
        <v>139.04</v>
      </c>
      <c r="H1583" s="610">
        <f t="shared" si="323"/>
        <v>0</v>
      </c>
      <c r="I1583" s="613">
        <f t="shared" si="325"/>
        <v>1379276.7999999998</v>
      </c>
      <c r="J1583" s="358"/>
    </row>
    <row r="1584" spans="1:10" ht="23.4" x14ac:dyDescent="0.3">
      <c r="A1584" s="997"/>
      <c r="B1584" s="444"/>
      <c r="C1584" s="448" t="s">
        <v>470</v>
      </c>
      <c r="D1584" s="447" t="s">
        <v>192</v>
      </c>
      <c r="E1584" s="279">
        <v>152064</v>
      </c>
      <c r="F1584" s="441">
        <f t="shared" si="324"/>
        <v>608256</v>
      </c>
      <c r="G1584" s="594">
        <v>14.55</v>
      </c>
      <c r="H1584" s="610">
        <f t="shared" si="323"/>
        <v>2212531.2000000002</v>
      </c>
      <c r="I1584" s="613">
        <f t="shared" si="325"/>
        <v>8850124.8000000007</v>
      </c>
      <c r="J1584" s="358"/>
    </row>
    <row r="1585" spans="1:10" ht="23.4" x14ac:dyDescent="0.3">
      <c r="A1585" s="997"/>
      <c r="B1585" s="444"/>
      <c r="C1585" s="448" t="s">
        <v>384</v>
      </c>
      <c r="D1585" s="623" t="s">
        <v>206</v>
      </c>
      <c r="E1585" s="279">
        <v>101100</v>
      </c>
      <c r="F1585" s="441">
        <f t="shared" si="324"/>
        <v>101100</v>
      </c>
      <c r="G1585" s="594">
        <v>21.28</v>
      </c>
      <c r="H1585" s="610">
        <f t="shared" si="323"/>
        <v>2151408</v>
      </c>
      <c r="I1585" s="613">
        <f t="shared" si="325"/>
        <v>2151408</v>
      </c>
      <c r="J1585" s="358"/>
    </row>
    <row r="1586" spans="1:10" ht="24" thickBot="1" x14ac:dyDescent="0.35">
      <c r="A1586" s="997"/>
      <c r="B1586" s="444"/>
      <c r="C1586" s="448" t="s">
        <v>400</v>
      </c>
      <c r="D1586" s="450" t="s">
        <v>193</v>
      </c>
      <c r="E1586" s="279">
        <v>0</v>
      </c>
      <c r="F1586" s="441">
        <f t="shared" si="324"/>
        <v>1186</v>
      </c>
      <c r="G1586" s="594">
        <v>36.44</v>
      </c>
      <c r="H1586" s="610">
        <f t="shared" si="323"/>
        <v>0</v>
      </c>
      <c r="I1586" s="613">
        <f t="shared" si="325"/>
        <v>43217.84</v>
      </c>
      <c r="J1586" s="358"/>
    </row>
    <row r="1587" spans="1:10" ht="24" thickBot="1" x14ac:dyDescent="0.35">
      <c r="A1587" s="997"/>
      <c r="B1587" s="992" t="s">
        <v>295</v>
      </c>
      <c r="C1587" s="993"/>
      <c r="D1587" s="882"/>
      <c r="E1587" s="332"/>
      <c r="F1587" s="333"/>
      <c r="G1587" s="332"/>
      <c r="H1587" s="605">
        <f>SUM(H1573:H1586)</f>
        <v>7348270.5</v>
      </c>
      <c r="I1587" s="597">
        <f>SUM(I1573:I1586)</f>
        <v>60279001.960000008</v>
      </c>
      <c r="J1587" s="355"/>
    </row>
    <row r="1588" spans="1:10" ht="23.4" x14ac:dyDescent="0.3">
      <c r="A1588" s="997"/>
      <c r="B1588" s="879"/>
      <c r="C1588" s="282" t="s">
        <v>301</v>
      </c>
      <c r="D1588" s="440" t="s">
        <v>263</v>
      </c>
      <c r="E1588" s="283">
        <v>7000</v>
      </c>
      <c r="F1588" s="323">
        <f t="shared" ref="F1588:F1598" si="326">E1588+F1506</f>
        <v>103375</v>
      </c>
      <c r="G1588" s="595">
        <v>160.44999999999999</v>
      </c>
      <c r="H1588" s="611">
        <f t="shared" ref="H1588:H1598" si="327">E1588*G1588</f>
        <v>1123150</v>
      </c>
      <c r="I1588" s="614">
        <f t="shared" ref="I1588:I1598" si="328">+G1588*F1588</f>
        <v>16586518.749999998</v>
      </c>
      <c r="J1588" s="379"/>
    </row>
    <row r="1589" spans="1:10" ht="23.4" x14ac:dyDescent="0.3">
      <c r="A1589" s="997"/>
      <c r="B1589" s="879"/>
      <c r="C1589" s="282" t="s">
        <v>317</v>
      </c>
      <c r="D1589" s="440" t="s">
        <v>263</v>
      </c>
      <c r="E1589" s="283">
        <v>0</v>
      </c>
      <c r="F1589" s="323">
        <f t="shared" si="326"/>
        <v>13084</v>
      </c>
      <c r="G1589" s="595">
        <v>160.44999999999999</v>
      </c>
      <c r="H1589" s="611">
        <f t="shared" si="327"/>
        <v>0</v>
      </c>
      <c r="I1589" s="614">
        <f t="shared" si="328"/>
        <v>2099327.7999999998</v>
      </c>
      <c r="J1589" s="379"/>
    </row>
    <row r="1590" spans="1:10" ht="23.4" x14ac:dyDescent="0.3">
      <c r="A1590" s="997"/>
      <c r="B1590" s="879"/>
      <c r="C1590" s="282" t="s">
        <v>318</v>
      </c>
      <c r="D1590" s="440" t="s">
        <v>263</v>
      </c>
      <c r="E1590" s="283">
        <v>0</v>
      </c>
      <c r="F1590" s="323">
        <f t="shared" si="326"/>
        <v>3375</v>
      </c>
      <c r="G1590" s="595">
        <v>160.44999999999999</v>
      </c>
      <c r="H1590" s="611">
        <f t="shared" si="327"/>
        <v>0</v>
      </c>
      <c r="I1590" s="614">
        <f t="shared" si="328"/>
        <v>541518.75</v>
      </c>
      <c r="J1590" s="379"/>
    </row>
    <row r="1591" spans="1:10" ht="23.4" x14ac:dyDescent="0.3">
      <c r="A1591" s="997"/>
      <c r="B1591" s="879"/>
      <c r="C1591" s="282" t="s">
        <v>321</v>
      </c>
      <c r="D1591" s="440" t="s">
        <v>100</v>
      </c>
      <c r="E1591" s="283">
        <v>0</v>
      </c>
      <c r="F1591" s="323">
        <f t="shared" si="326"/>
        <v>0</v>
      </c>
      <c r="G1591" s="595">
        <v>27</v>
      </c>
      <c r="H1591" s="611">
        <f t="shared" si="327"/>
        <v>0</v>
      </c>
      <c r="I1591" s="614">
        <f t="shared" si="328"/>
        <v>0</v>
      </c>
      <c r="J1591" s="379"/>
    </row>
    <row r="1592" spans="1:10" ht="23.4" x14ac:dyDescent="0.3">
      <c r="A1592" s="997"/>
      <c r="B1592" s="879"/>
      <c r="C1592" s="282" t="s">
        <v>321</v>
      </c>
      <c r="D1592" s="440" t="s">
        <v>329</v>
      </c>
      <c r="E1592" s="283">
        <v>55440</v>
      </c>
      <c r="F1592" s="323">
        <f t="shared" si="326"/>
        <v>403920</v>
      </c>
      <c r="G1592" s="595">
        <v>27.5</v>
      </c>
      <c r="H1592" s="611">
        <f t="shared" si="327"/>
        <v>1524600</v>
      </c>
      <c r="I1592" s="614">
        <f t="shared" si="328"/>
        <v>11107800</v>
      </c>
      <c r="J1592" s="379"/>
    </row>
    <row r="1593" spans="1:10" ht="23.4" x14ac:dyDescent="0.3">
      <c r="A1593" s="997"/>
      <c r="B1593" s="879"/>
      <c r="C1593" s="282" t="s">
        <v>307</v>
      </c>
      <c r="D1593" s="440" t="s">
        <v>329</v>
      </c>
      <c r="E1593" s="283">
        <v>1848</v>
      </c>
      <c r="F1593" s="323">
        <f t="shared" si="326"/>
        <v>13464</v>
      </c>
      <c r="G1593" s="595">
        <v>34.5</v>
      </c>
      <c r="H1593" s="611">
        <f t="shared" si="327"/>
        <v>63756</v>
      </c>
      <c r="I1593" s="614">
        <f t="shared" si="328"/>
        <v>464508</v>
      </c>
      <c r="J1593" s="379"/>
    </row>
    <row r="1594" spans="1:10" ht="23.4" x14ac:dyDescent="0.3">
      <c r="A1594" s="997"/>
      <c r="B1594" s="879"/>
      <c r="C1594" s="282" t="s">
        <v>342</v>
      </c>
      <c r="D1594" s="440" t="s">
        <v>263</v>
      </c>
      <c r="E1594" s="283">
        <v>0</v>
      </c>
      <c r="F1594" s="323">
        <f t="shared" si="326"/>
        <v>23191</v>
      </c>
      <c r="G1594" s="595">
        <v>160.44999999999999</v>
      </c>
      <c r="H1594" s="611">
        <f t="shared" si="327"/>
        <v>0</v>
      </c>
      <c r="I1594" s="614">
        <f t="shared" si="328"/>
        <v>3720995.9499999997</v>
      </c>
      <c r="J1594" s="379"/>
    </row>
    <row r="1595" spans="1:10" ht="23.4" x14ac:dyDescent="0.3">
      <c r="A1595" s="997"/>
      <c r="B1595" s="879"/>
      <c r="C1595" s="282" t="s">
        <v>438</v>
      </c>
      <c r="D1595" s="440" t="s">
        <v>263</v>
      </c>
      <c r="E1595" s="283">
        <v>0</v>
      </c>
      <c r="F1595" s="323">
        <f t="shared" si="326"/>
        <v>7000</v>
      </c>
      <c r="G1595" s="595">
        <v>160.44999999999999</v>
      </c>
      <c r="H1595" s="611">
        <f t="shared" si="327"/>
        <v>0</v>
      </c>
      <c r="I1595" s="614">
        <f t="shared" si="328"/>
        <v>1123150</v>
      </c>
      <c r="J1595" s="379"/>
    </row>
    <row r="1596" spans="1:10" ht="23.4" x14ac:dyDescent="0.3">
      <c r="A1596" s="997"/>
      <c r="B1596" s="879"/>
      <c r="C1596" s="282" t="s">
        <v>357</v>
      </c>
      <c r="D1596" s="440" t="s">
        <v>263</v>
      </c>
      <c r="E1596" s="283">
        <v>0</v>
      </c>
      <c r="F1596" s="323">
        <f t="shared" si="326"/>
        <v>19625</v>
      </c>
      <c r="G1596" s="595">
        <v>160.44999999999999</v>
      </c>
      <c r="H1596" s="611">
        <f t="shared" si="327"/>
        <v>0</v>
      </c>
      <c r="I1596" s="614">
        <f t="shared" si="328"/>
        <v>3148831.25</v>
      </c>
      <c r="J1596" s="379"/>
    </row>
    <row r="1597" spans="1:10" ht="23.4" x14ac:dyDescent="0.3">
      <c r="A1597" s="997"/>
      <c r="B1597" s="879"/>
      <c r="C1597" s="282" t="s">
        <v>358</v>
      </c>
      <c r="D1597" s="440" t="s">
        <v>263</v>
      </c>
      <c r="E1597" s="283">
        <v>5000</v>
      </c>
      <c r="F1597" s="323">
        <f t="shared" si="326"/>
        <v>21125</v>
      </c>
      <c r="G1597" s="595">
        <v>160.44999999999999</v>
      </c>
      <c r="H1597" s="611">
        <f t="shared" si="327"/>
        <v>802250</v>
      </c>
      <c r="I1597" s="614">
        <f t="shared" si="328"/>
        <v>3389506.2499999995</v>
      </c>
      <c r="J1597" s="379"/>
    </row>
    <row r="1598" spans="1:10" ht="24" thickBot="1" x14ac:dyDescent="0.35">
      <c r="A1598" s="997"/>
      <c r="B1598" s="879"/>
      <c r="C1598" s="282" t="s">
        <v>353</v>
      </c>
      <c r="D1598" s="440" t="s">
        <v>263</v>
      </c>
      <c r="E1598" s="283">
        <v>0</v>
      </c>
      <c r="F1598" s="323">
        <f t="shared" si="326"/>
        <v>2200</v>
      </c>
      <c r="G1598" s="595">
        <v>160.44999999999999</v>
      </c>
      <c r="H1598" s="611">
        <f t="shared" si="327"/>
        <v>0</v>
      </c>
      <c r="I1598" s="614">
        <f t="shared" si="328"/>
        <v>352990</v>
      </c>
      <c r="J1598" s="379"/>
    </row>
    <row r="1599" spans="1:10" ht="24" thickBot="1" x14ac:dyDescent="0.35">
      <c r="A1599" s="997"/>
      <c r="B1599" s="992" t="s">
        <v>296</v>
      </c>
      <c r="C1599" s="993"/>
      <c r="D1599" s="882"/>
      <c r="E1599" s="332"/>
      <c r="F1599" s="333"/>
      <c r="G1599" s="332"/>
      <c r="H1599" s="605">
        <f>SUM(H1588:H1598)</f>
        <v>3513756</v>
      </c>
      <c r="I1599" s="597">
        <f>SUM(I1588:I1598)</f>
        <v>42535146.75</v>
      </c>
      <c r="J1599" s="355"/>
    </row>
    <row r="1600" spans="1:10" ht="23.4" x14ac:dyDescent="0.3">
      <c r="A1600" s="997"/>
      <c r="B1600" s="879"/>
      <c r="C1600" s="282" t="s">
        <v>303</v>
      </c>
      <c r="D1600" s="440"/>
      <c r="E1600" s="283">
        <v>0</v>
      </c>
      <c r="F1600" s="598">
        <f t="shared" ref="F1600:F1602" si="329">E1600+F1518</f>
        <v>0</v>
      </c>
      <c r="G1600" s="595">
        <v>10</v>
      </c>
      <c r="H1600" s="611">
        <f t="shared" ref="H1600:H1602" si="330">E1600*G1600</f>
        <v>0</v>
      </c>
      <c r="I1600" s="614">
        <f t="shared" ref="I1600" si="331">+G1600*F1600</f>
        <v>0</v>
      </c>
      <c r="J1600" s="379"/>
    </row>
    <row r="1601" spans="1:10" ht="23.4" x14ac:dyDescent="0.3">
      <c r="A1601" s="997"/>
      <c r="B1601" s="879"/>
      <c r="C1601" s="282" t="s">
        <v>308</v>
      </c>
      <c r="D1601" s="440" t="s">
        <v>309</v>
      </c>
      <c r="E1601" s="283">
        <v>0</v>
      </c>
      <c r="F1601" s="598">
        <f t="shared" si="329"/>
        <v>13</v>
      </c>
      <c r="G1601" s="595">
        <v>2500</v>
      </c>
      <c r="H1601" s="611">
        <f t="shared" si="330"/>
        <v>0</v>
      </c>
      <c r="I1601" s="614">
        <f>+G1601*F1601</f>
        <v>32500</v>
      </c>
      <c r="J1601" s="379"/>
    </row>
    <row r="1602" spans="1:10" ht="24" thickBot="1" x14ac:dyDescent="0.35">
      <c r="A1602" s="997"/>
      <c r="B1602" s="879"/>
      <c r="C1602" s="282" t="s">
        <v>343</v>
      </c>
      <c r="D1602" s="440" t="s">
        <v>344</v>
      </c>
      <c r="E1602" s="283">
        <v>0</v>
      </c>
      <c r="F1602" s="598">
        <f t="shared" si="329"/>
        <v>0</v>
      </c>
      <c r="G1602" s="596">
        <v>360</v>
      </c>
      <c r="H1602" s="611">
        <f t="shared" si="330"/>
        <v>0</v>
      </c>
      <c r="I1602" s="614">
        <f t="shared" ref="I1602" si="332">+G1602*F1602</f>
        <v>0</v>
      </c>
      <c r="J1602" s="379"/>
    </row>
    <row r="1603" spans="1:10" ht="24" thickBot="1" x14ac:dyDescent="0.35">
      <c r="A1603" s="997"/>
      <c r="B1603" s="992" t="s">
        <v>302</v>
      </c>
      <c r="C1603" s="993"/>
      <c r="D1603" s="882"/>
      <c r="E1603" s="332"/>
      <c r="F1603" s="333"/>
      <c r="G1603" s="332"/>
      <c r="H1603" s="605">
        <f>SUM(H1600:H1602)</f>
        <v>0</v>
      </c>
      <c r="I1603" s="597">
        <f>SUM(I1600:I1602)</f>
        <v>32500</v>
      </c>
      <c r="J1603" s="379"/>
    </row>
    <row r="1604" spans="1:10" ht="24" thickBot="1" x14ac:dyDescent="0.35">
      <c r="A1604" s="997"/>
      <c r="B1604" s="879"/>
      <c r="C1604" s="282"/>
      <c r="D1604" s="440"/>
      <c r="E1604" s="283"/>
      <c r="F1604" s="323"/>
      <c r="G1604" s="596"/>
      <c r="H1604" s="606"/>
      <c r="I1604" s="285">
        <f t="shared" ref="I1604" si="333">+G1604*F1604</f>
        <v>0</v>
      </c>
      <c r="J1604" s="379"/>
    </row>
    <row r="1605" spans="1:10" ht="24" thickBot="1" x14ac:dyDescent="0.35">
      <c r="A1605" s="998"/>
      <c r="B1605" s="992" t="s">
        <v>298</v>
      </c>
      <c r="C1605" s="993"/>
      <c r="D1605" s="880"/>
      <c r="E1605" s="332"/>
      <c r="F1605" s="333"/>
      <c r="G1605" s="332"/>
      <c r="H1605" s="597">
        <f>+H1599+H1587+H1603</f>
        <v>10862026.5</v>
      </c>
      <c r="I1605" s="597">
        <f>+I1599+I1587+I1603</f>
        <v>102846648.71000001</v>
      </c>
      <c r="J1605" s="379"/>
    </row>
    <row r="1606" spans="1:10" ht="23.4" x14ac:dyDescent="0.3">
      <c r="A1606" s="996" t="s">
        <v>109</v>
      </c>
      <c r="B1606" s="879"/>
      <c r="C1606" s="282" t="s">
        <v>312</v>
      </c>
      <c r="D1606" s="440" t="s">
        <v>193</v>
      </c>
      <c r="E1606" s="283">
        <v>0</v>
      </c>
      <c r="F1606" s="323">
        <f t="shared" ref="F1606:F1619" si="334">E1606+F1524</f>
        <v>7956</v>
      </c>
      <c r="G1606" s="621">
        <v>13.25</v>
      </c>
      <c r="H1606" s="615">
        <f t="shared" ref="H1606:H1625" si="335">E1606*G1606</f>
        <v>0</v>
      </c>
      <c r="I1606" s="614">
        <f t="shared" ref="I1606:I1625" si="336">+G1606*F1606</f>
        <v>105417</v>
      </c>
      <c r="J1606" s="379"/>
    </row>
    <row r="1607" spans="1:10" ht="23.4" x14ac:dyDescent="0.3">
      <c r="A1607" s="997"/>
      <c r="B1607" s="879"/>
      <c r="C1607" s="282" t="s">
        <v>313</v>
      </c>
      <c r="D1607" s="440"/>
      <c r="E1607" s="283">
        <v>0</v>
      </c>
      <c r="F1607" s="323">
        <f t="shared" si="334"/>
        <v>1</v>
      </c>
      <c r="G1607" s="622">
        <v>10000</v>
      </c>
      <c r="H1607" s="615">
        <f t="shared" si="335"/>
        <v>0</v>
      </c>
      <c r="I1607" s="614">
        <f t="shared" si="336"/>
        <v>10000</v>
      </c>
      <c r="J1607" s="379"/>
    </row>
    <row r="1608" spans="1:10" ht="23.4" x14ac:dyDescent="0.3">
      <c r="A1608" s="997"/>
      <c r="B1608" s="879"/>
      <c r="C1608" s="282" t="s">
        <v>313</v>
      </c>
      <c r="D1608" s="440"/>
      <c r="E1608" s="283">
        <v>1</v>
      </c>
      <c r="F1608" s="323">
        <f t="shared" si="334"/>
        <v>4</v>
      </c>
      <c r="G1608" s="622">
        <v>18000</v>
      </c>
      <c r="H1608" s="615">
        <f t="shared" si="335"/>
        <v>18000</v>
      </c>
      <c r="I1608" s="614">
        <f t="shared" si="336"/>
        <v>72000</v>
      </c>
      <c r="J1608" s="379"/>
    </row>
    <row r="1609" spans="1:10" ht="23.4" x14ac:dyDescent="0.3">
      <c r="A1609" s="997"/>
      <c r="B1609" s="879"/>
      <c r="C1609" s="282" t="s">
        <v>328</v>
      </c>
      <c r="D1609" s="440" t="s">
        <v>193</v>
      </c>
      <c r="E1609" s="283">
        <v>0</v>
      </c>
      <c r="F1609" s="323">
        <f t="shared" si="334"/>
        <v>0</v>
      </c>
      <c r="G1609" s="621">
        <v>24.93</v>
      </c>
      <c r="H1609" s="615">
        <f t="shared" si="335"/>
        <v>0</v>
      </c>
      <c r="I1609" s="614">
        <f t="shared" si="336"/>
        <v>0</v>
      </c>
      <c r="J1609" s="379"/>
    </row>
    <row r="1610" spans="1:10" ht="23.4" x14ac:dyDescent="0.3">
      <c r="A1610" s="997"/>
      <c r="B1610" s="879"/>
      <c r="C1610" s="282" t="s">
        <v>335</v>
      </c>
      <c r="D1610" s="440" t="s">
        <v>99</v>
      </c>
      <c r="E1610" s="283">
        <v>0</v>
      </c>
      <c r="F1610" s="323">
        <f t="shared" si="334"/>
        <v>0</v>
      </c>
      <c r="G1610" s="621">
        <v>26</v>
      </c>
      <c r="H1610" s="615">
        <f t="shared" si="335"/>
        <v>0</v>
      </c>
      <c r="I1610" s="614">
        <f t="shared" si="336"/>
        <v>0</v>
      </c>
      <c r="J1610" s="379"/>
    </row>
    <row r="1611" spans="1:10" ht="23.4" x14ac:dyDescent="0.3">
      <c r="A1611" s="997"/>
      <c r="B1611" s="879"/>
      <c r="C1611" s="282" t="s">
        <v>336</v>
      </c>
      <c r="D1611" s="440" t="s">
        <v>193</v>
      </c>
      <c r="E1611" s="283">
        <v>0</v>
      </c>
      <c r="F1611" s="323">
        <f t="shared" si="334"/>
        <v>0</v>
      </c>
      <c r="G1611" s="621">
        <v>25.49</v>
      </c>
      <c r="H1611" s="615">
        <f t="shared" si="335"/>
        <v>0</v>
      </c>
      <c r="I1611" s="614">
        <f t="shared" si="336"/>
        <v>0</v>
      </c>
      <c r="J1611" s="379"/>
    </row>
    <row r="1612" spans="1:10" ht="23.4" x14ac:dyDescent="0.3">
      <c r="A1612" s="997"/>
      <c r="B1612" s="879"/>
      <c r="C1612" s="282" t="s">
        <v>337</v>
      </c>
      <c r="D1612" s="440" t="s">
        <v>115</v>
      </c>
      <c r="E1612" s="283">
        <v>0</v>
      </c>
      <c r="F1612" s="323">
        <f t="shared" si="334"/>
        <v>0</v>
      </c>
      <c r="G1612" s="621">
        <v>24.93</v>
      </c>
      <c r="H1612" s="615">
        <f t="shared" si="335"/>
        <v>0</v>
      </c>
      <c r="I1612" s="614">
        <f t="shared" si="336"/>
        <v>0</v>
      </c>
      <c r="J1612" s="379"/>
    </row>
    <row r="1613" spans="1:10" ht="23.4" x14ac:dyDescent="0.3">
      <c r="A1613" s="997"/>
      <c r="B1613" s="879"/>
      <c r="C1613" s="282" t="s">
        <v>338</v>
      </c>
      <c r="D1613" s="440" t="s">
        <v>311</v>
      </c>
      <c r="E1613" s="283">
        <v>0</v>
      </c>
      <c r="F1613" s="323">
        <f t="shared" si="334"/>
        <v>0</v>
      </c>
      <c r="G1613" s="621">
        <v>24.93</v>
      </c>
      <c r="H1613" s="615">
        <f t="shared" si="335"/>
        <v>0</v>
      </c>
      <c r="I1613" s="614">
        <f t="shared" si="336"/>
        <v>0</v>
      </c>
      <c r="J1613" s="379"/>
    </row>
    <row r="1614" spans="1:10" ht="23.4" x14ac:dyDescent="0.3">
      <c r="A1614" s="997"/>
      <c r="B1614" s="879"/>
      <c r="C1614" s="282" t="s">
        <v>339</v>
      </c>
      <c r="D1614" s="440" t="s">
        <v>99</v>
      </c>
      <c r="E1614" s="283">
        <v>0</v>
      </c>
      <c r="F1614" s="323">
        <f t="shared" si="334"/>
        <v>0</v>
      </c>
      <c r="G1614" s="621">
        <v>20.89</v>
      </c>
      <c r="H1614" s="615">
        <f t="shared" si="335"/>
        <v>0</v>
      </c>
      <c r="I1614" s="614">
        <f t="shared" si="336"/>
        <v>0</v>
      </c>
      <c r="J1614" s="379"/>
    </row>
    <row r="1615" spans="1:10" ht="23.4" x14ac:dyDescent="0.3">
      <c r="A1615" s="997"/>
      <c r="B1615" s="879"/>
      <c r="C1615" s="282" t="s">
        <v>445</v>
      </c>
      <c r="D1615" s="440" t="s">
        <v>350</v>
      </c>
      <c r="E1615" s="283">
        <v>0</v>
      </c>
      <c r="F1615" s="323">
        <f t="shared" si="334"/>
        <v>101088</v>
      </c>
      <c r="G1615" s="621">
        <v>37.4566666666</v>
      </c>
      <c r="H1615" s="615">
        <f t="shared" si="335"/>
        <v>0</v>
      </c>
      <c r="I1615" s="614">
        <f t="shared" si="336"/>
        <v>3786419.519993261</v>
      </c>
      <c r="J1615" s="379"/>
    </row>
    <row r="1616" spans="1:10" ht="23.4" x14ac:dyDescent="0.3">
      <c r="A1616" s="997"/>
      <c r="B1616" s="879"/>
      <c r="C1616" s="282" t="s">
        <v>446</v>
      </c>
      <c r="D1616" s="440" t="s">
        <v>350</v>
      </c>
      <c r="E1616" s="283">
        <v>0</v>
      </c>
      <c r="F1616" s="323">
        <f t="shared" si="334"/>
        <v>46800</v>
      </c>
      <c r="G1616" s="621">
        <v>37.89</v>
      </c>
      <c r="H1616" s="615">
        <f t="shared" si="335"/>
        <v>0</v>
      </c>
      <c r="I1616" s="614">
        <f t="shared" si="336"/>
        <v>1773252</v>
      </c>
      <c r="J1616" s="379"/>
    </row>
    <row r="1617" spans="1:10" ht="23.4" x14ac:dyDescent="0.3">
      <c r="A1617" s="997"/>
      <c r="B1617" s="879"/>
      <c r="C1617" s="282" t="s">
        <v>337</v>
      </c>
      <c r="D1617" s="440" t="s">
        <v>310</v>
      </c>
      <c r="E1617" s="283">
        <v>0</v>
      </c>
      <c r="F1617" s="323">
        <f t="shared" si="334"/>
        <v>0</v>
      </c>
      <c r="G1617" s="621">
        <v>24.93</v>
      </c>
      <c r="H1617" s="615">
        <f t="shared" si="335"/>
        <v>0</v>
      </c>
      <c r="I1617" s="614">
        <f t="shared" si="336"/>
        <v>0</v>
      </c>
      <c r="J1617" s="379"/>
    </row>
    <row r="1618" spans="1:10" ht="23.4" x14ac:dyDescent="0.3">
      <c r="A1618" s="997"/>
      <c r="B1618" s="879"/>
      <c r="C1618" s="282" t="s">
        <v>469</v>
      </c>
      <c r="D1618" s="440" t="s">
        <v>404</v>
      </c>
      <c r="E1618" s="283">
        <f>465426-342108</f>
        <v>123318</v>
      </c>
      <c r="F1618" s="323">
        <f t="shared" si="334"/>
        <v>465426</v>
      </c>
      <c r="G1618" s="621">
        <v>24.93</v>
      </c>
      <c r="H1618" s="615">
        <f t="shared" si="335"/>
        <v>3074317.7399999998</v>
      </c>
      <c r="I1618" s="614">
        <f t="shared" si="336"/>
        <v>11603070.18</v>
      </c>
      <c r="J1618" s="379"/>
    </row>
    <row r="1619" spans="1:10" ht="23.4" x14ac:dyDescent="0.3">
      <c r="A1619" s="997"/>
      <c r="B1619" s="879"/>
      <c r="C1619" s="282" t="s">
        <v>369</v>
      </c>
      <c r="D1619" s="440" t="s">
        <v>324</v>
      </c>
      <c r="E1619" s="283">
        <v>0</v>
      </c>
      <c r="F1619" s="323">
        <f t="shared" si="334"/>
        <v>1872</v>
      </c>
      <c r="G1619" s="621">
        <v>34.26</v>
      </c>
      <c r="H1619" s="615">
        <f t="shared" si="335"/>
        <v>0</v>
      </c>
      <c r="I1619" s="614">
        <f t="shared" si="336"/>
        <v>64134.719999999994</v>
      </c>
      <c r="J1619" s="379"/>
    </row>
    <row r="1620" spans="1:10" ht="23.4" x14ac:dyDescent="0.3">
      <c r="A1620" s="997"/>
      <c r="B1620" s="879"/>
      <c r="C1620" s="282" t="s">
        <v>385</v>
      </c>
      <c r="D1620" s="440" t="s">
        <v>467</v>
      </c>
      <c r="E1620" s="283">
        <v>0</v>
      </c>
      <c r="F1620" s="323">
        <v>0</v>
      </c>
      <c r="G1620" s="621">
        <v>37.89</v>
      </c>
      <c r="H1620" s="615">
        <f t="shared" si="335"/>
        <v>0</v>
      </c>
      <c r="I1620" s="614">
        <f t="shared" si="336"/>
        <v>0</v>
      </c>
      <c r="J1620" s="379"/>
    </row>
    <row r="1621" spans="1:10" ht="23.4" x14ac:dyDescent="0.3">
      <c r="A1621" s="997"/>
      <c r="B1621" s="879"/>
      <c r="C1621" s="282" t="s">
        <v>475</v>
      </c>
      <c r="D1621" s="440" t="s">
        <v>404</v>
      </c>
      <c r="E1621" s="283">
        <v>0</v>
      </c>
      <c r="F1621" s="323">
        <f t="shared" ref="F1621:F1625" si="337">E1621+F1539</f>
        <v>13104</v>
      </c>
      <c r="G1621" s="621">
        <v>39</v>
      </c>
      <c r="H1621" s="615">
        <f t="shared" si="335"/>
        <v>0</v>
      </c>
      <c r="I1621" s="614">
        <f t="shared" si="336"/>
        <v>511056</v>
      </c>
      <c r="J1621" s="379"/>
    </row>
    <row r="1622" spans="1:10" ht="23.4" x14ac:dyDescent="0.3">
      <c r="A1622" s="997"/>
      <c r="B1622" s="879"/>
      <c r="C1622" s="282" t="s">
        <v>338</v>
      </c>
      <c r="D1622" s="440" t="s">
        <v>192</v>
      </c>
      <c r="E1622" s="283">
        <v>0</v>
      </c>
      <c r="F1622" s="323">
        <f t="shared" si="337"/>
        <v>123318</v>
      </c>
      <c r="G1622" s="621">
        <v>21.22</v>
      </c>
      <c r="H1622" s="615">
        <f t="shared" si="335"/>
        <v>0</v>
      </c>
      <c r="I1622" s="614">
        <f t="shared" si="336"/>
        <v>2616807.96</v>
      </c>
      <c r="J1622" s="379"/>
    </row>
    <row r="1623" spans="1:10" ht="23.4" x14ac:dyDescent="0.3">
      <c r="A1623" s="997"/>
      <c r="B1623" s="879"/>
      <c r="C1623" s="282" t="s">
        <v>337</v>
      </c>
      <c r="D1623" s="440" t="s">
        <v>192</v>
      </c>
      <c r="E1623" s="283">
        <v>0</v>
      </c>
      <c r="F1623" s="323">
        <f t="shared" si="337"/>
        <v>0</v>
      </c>
      <c r="G1623" s="621">
        <v>21.22</v>
      </c>
      <c r="H1623" s="615">
        <f t="shared" si="335"/>
        <v>0</v>
      </c>
      <c r="I1623" s="614">
        <f t="shared" si="336"/>
        <v>0</v>
      </c>
      <c r="J1623" s="379"/>
    </row>
    <row r="1624" spans="1:10" ht="23.4" x14ac:dyDescent="0.3">
      <c r="A1624" s="997"/>
      <c r="B1624" s="879"/>
      <c r="C1624" s="282" t="s">
        <v>406</v>
      </c>
      <c r="D1624" s="440" t="s">
        <v>344</v>
      </c>
      <c r="E1624" s="283">
        <v>0</v>
      </c>
      <c r="F1624" s="323">
        <f t="shared" si="337"/>
        <v>0</v>
      </c>
      <c r="G1624" s="621">
        <v>10000</v>
      </c>
      <c r="H1624" s="615">
        <f t="shared" si="335"/>
        <v>0</v>
      </c>
      <c r="I1624" s="614">
        <f t="shared" si="336"/>
        <v>0</v>
      </c>
      <c r="J1624" s="379"/>
    </row>
    <row r="1625" spans="1:10" ht="24" thickBot="1" x14ac:dyDescent="0.35">
      <c r="A1625" s="997"/>
      <c r="B1625" s="879"/>
      <c r="C1625" s="282" t="s">
        <v>343</v>
      </c>
      <c r="D1625" s="440" t="s">
        <v>344</v>
      </c>
      <c r="E1625" s="283">
        <v>0</v>
      </c>
      <c r="F1625" s="323">
        <f t="shared" si="337"/>
        <v>24234</v>
      </c>
      <c r="G1625" s="621">
        <v>360</v>
      </c>
      <c r="H1625" s="615">
        <f t="shared" si="335"/>
        <v>0</v>
      </c>
      <c r="I1625" s="614">
        <f t="shared" si="336"/>
        <v>8724240</v>
      </c>
      <c r="J1625" s="379"/>
    </row>
    <row r="1626" spans="1:10" ht="24" thickBot="1" x14ac:dyDescent="0.35">
      <c r="A1626" s="998"/>
      <c r="B1626" s="992" t="s">
        <v>297</v>
      </c>
      <c r="C1626" s="993"/>
      <c r="D1626" s="882"/>
      <c r="E1626" s="332"/>
      <c r="F1626" s="333"/>
      <c r="G1626" s="332"/>
      <c r="H1626" s="605"/>
      <c r="I1626" s="597">
        <f>SUM(I1606:I1625)</f>
        <v>29266397.37999326</v>
      </c>
      <c r="J1626" s="379"/>
    </row>
    <row r="1627" spans="1:10" ht="23.4" x14ac:dyDescent="0.3">
      <c r="A1627" s="996" t="s">
        <v>110</v>
      </c>
      <c r="B1627" s="879"/>
      <c r="C1627" s="282" t="s">
        <v>304</v>
      </c>
      <c r="D1627" s="440" t="s">
        <v>263</v>
      </c>
      <c r="E1627" s="283">
        <v>0</v>
      </c>
      <c r="F1627" s="323">
        <f t="shared" ref="F1627:F1646" si="338">E1627+F1545</f>
        <v>24960</v>
      </c>
      <c r="G1627" s="621">
        <v>430.02</v>
      </c>
      <c r="H1627" s="611">
        <f>E1627*G1627</f>
        <v>0</v>
      </c>
      <c r="I1627" s="614">
        <f t="shared" ref="I1627:I1646" si="339">+G1627*F1627</f>
        <v>10733299.199999999</v>
      </c>
      <c r="J1627" s="379"/>
    </row>
    <row r="1628" spans="1:10" ht="23.4" x14ac:dyDescent="0.3">
      <c r="A1628" s="997"/>
      <c r="B1628" s="879"/>
      <c r="C1628" s="282" t="s">
        <v>305</v>
      </c>
      <c r="D1628" s="440" t="s">
        <v>263</v>
      </c>
      <c r="E1628" s="283">
        <v>0</v>
      </c>
      <c r="F1628" s="323">
        <f t="shared" si="338"/>
        <v>0</v>
      </c>
      <c r="G1628" s="621">
        <v>445.38</v>
      </c>
      <c r="H1628" s="611">
        <f t="shared" ref="H1628:H1646" si="340">E1628*G1628</f>
        <v>0</v>
      </c>
      <c r="I1628" s="614">
        <f t="shared" si="339"/>
        <v>0</v>
      </c>
      <c r="J1628" s="379"/>
    </row>
    <row r="1629" spans="1:10" ht="23.4" x14ac:dyDescent="0.3">
      <c r="A1629" s="997"/>
      <c r="B1629" s="879"/>
      <c r="C1629" s="282" t="s">
        <v>341</v>
      </c>
      <c r="D1629" s="440" t="s">
        <v>263</v>
      </c>
      <c r="E1629" s="283">
        <v>0</v>
      </c>
      <c r="F1629" s="323">
        <f t="shared" si="338"/>
        <v>0</v>
      </c>
      <c r="G1629" s="621">
        <v>63.55</v>
      </c>
      <c r="H1629" s="611">
        <f t="shared" si="340"/>
        <v>0</v>
      </c>
      <c r="I1629" s="614">
        <f t="shared" si="339"/>
        <v>0</v>
      </c>
      <c r="J1629" s="379"/>
    </row>
    <row r="1630" spans="1:10" ht="23.4" x14ac:dyDescent="0.3">
      <c r="A1630" s="997"/>
      <c r="B1630" s="879"/>
      <c r="C1630" s="282" t="s">
        <v>306</v>
      </c>
      <c r="D1630" s="440" t="s">
        <v>263</v>
      </c>
      <c r="E1630" s="283">
        <v>0</v>
      </c>
      <c r="F1630" s="323">
        <f t="shared" si="338"/>
        <v>440220</v>
      </c>
      <c r="G1630" s="621">
        <v>71.44</v>
      </c>
      <c r="H1630" s="611">
        <f t="shared" si="340"/>
        <v>0</v>
      </c>
      <c r="I1630" s="614">
        <f t="shared" si="339"/>
        <v>31449316.800000001</v>
      </c>
      <c r="J1630" s="379"/>
    </row>
    <row r="1631" spans="1:10" ht="23.4" x14ac:dyDescent="0.3">
      <c r="A1631" s="997"/>
      <c r="B1631" s="879"/>
      <c r="C1631" s="282" t="s">
        <v>307</v>
      </c>
      <c r="D1631" s="440" t="s">
        <v>263</v>
      </c>
      <c r="E1631" s="283">
        <v>0</v>
      </c>
      <c r="F1631" s="323">
        <f t="shared" si="338"/>
        <v>0</v>
      </c>
      <c r="G1631" s="621">
        <v>36.5</v>
      </c>
      <c r="H1631" s="611">
        <f t="shared" si="340"/>
        <v>0</v>
      </c>
      <c r="I1631" s="614">
        <f t="shared" si="339"/>
        <v>0</v>
      </c>
      <c r="J1631" s="379"/>
    </row>
    <row r="1632" spans="1:10" ht="23.4" x14ac:dyDescent="0.3">
      <c r="A1632" s="997"/>
      <c r="B1632" s="879"/>
      <c r="C1632" s="282" t="s">
        <v>316</v>
      </c>
      <c r="D1632" s="440" t="s">
        <v>263</v>
      </c>
      <c r="E1632" s="283">
        <v>0</v>
      </c>
      <c r="F1632" s="323">
        <f t="shared" si="338"/>
        <v>4600</v>
      </c>
      <c r="G1632" s="621">
        <v>320.35000000000002</v>
      </c>
      <c r="H1632" s="611">
        <f t="shared" si="340"/>
        <v>0</v>
      </c>
      <c r="I1632" s="614">
        <f t="shared" si="339"/>
        <v>1473610</v>
      </c>
      <c r="J1632" s="379"/>
    </row>
    <row r="1633" spans="1:10" ht="23.4" x14ac:dyDescent="0.3">
      <c r="A1633" s="997"/>
      <c r="B1633" s="879"/>
      <c r="C1633" s="282" t="s">
        <v>333</v>
      </c>
      <c r="D1633" s="440" t="s">
        <v>263</v>
      </c>
      <c r="E1633" s="283">
        <v>0</v>
      </c>
      <c r="F1633" s="323">
        <f t="shared" si="338"/>
        <v>0</v>
      </c>
      <c r="G1633" s="621">
        <v>434.41</v>
      </c>
      <c r="H1633" s="611">
        <f t="shared" si="340"/>
        <v>0</v>
      </c>
      <c r="I1633" s="614">
        <f t="shared" si="339"/>
        <v>0</v>
      </c>
      <c r="J1633" s="379"/>
    </row>
    <row r="1634" spans="1:10" ht="23.4" x14ac:dyDescent="0.3">
      <c r="A1634" s="997"/>
      <c r="B1634" s="879"/>
      <c r="C1634" s="282" t="s">
        <v>313</v>
      </c>
      <c r="D1634" s="440" t="s">
        <v>263</v>
      </c>
      <c r="E1634" s="283">
        <v>0</v>
      </c>
      <c r="F1634" s="323">
        <f t="shared" si="338"/>
        <v>5</v>
      </c>
      <c r="G1634" s="621">
        <v>29690</v>
      </c>
      <c r="H1634" s="611">
        <f t="shared" si="340"/>
        <v>0</v>
      </c>
      <c r="I1634" s="614">
        <f t="shared" si="339"/>
        <v>148450</v>
      </c>
      <c r="J1634" s="379"/>
    </row>
    <row r="1635" spans="1:10" ht="23.4" x14ac:dyDescent="0.3">
      <c r="A1635" s="997"/>
      <c r="B1635" s="879"/>
      <c r="C1635" s="282" t="s">
        <v>313</v>
      </c>
      <c r="D1635" s="440" t="s">
        <v>263</v>
      </c>
      <c r="E1635" s="283">
        <v>0</v>
      </c>
      <c r="F1635" s="323">
        <f t="shared" si="338"/>
        <v>2</v>
      </c>
      <c r="G1635" s="621">
        <v>26445</v>
      </c>
      <c r="H1635" s="611">
        <f t="shared" si="340"/>
        <v>0</v>
      </c>
      <c r="I1635" s="614">
        <f t="shared" si="339"/>
        <v>52890</v>
      </c>
      <c r="J1635" s="379"/>
    </row>
    <row r="1636" spans="1:10" ht="23.4" x14ac:dyDescent="0.3">
      <c r="A1636" s="997"/>
      <c r="B1636" s="879"/>
      <c r="C1636" s="282" t="s">
        <v>354</v>
      </c>
      <c r="D1636" s="440" t="s">
        <v>401</v>
      </c>
      <c r="E1636" s="283">
        <v>0</v>
      </c>
      <c r="F1636" s="323">
        <f t="shared" si="338"/>
        <v>3750</v>
      </c>
      <c r="G1636" s="621">
        <v>50</v>
      </c>
      <c r="H1636" s="611">
        <f t="shared" si="340"/>
        <v>0</v>
      </c>
      <c r="I1636" s="614">
        <f t="shared" si="339"/>
        <v>187500</v>
      </c>
      <c r="J1636" s="379"/>
    </row>
    <row r="1637" spans="1:10" ht="23.4" x14ac:dyDescent="0.3">
      <c r="A1637" s="997"/>
      <c r="B1637" s="879"/>
      <c r="C1637" s="282" t="s">
        <v>354</v>
      </c>
      <c r="D1637" s="440" t="s">
        <v>401</v>
      </c>
      <c r="E1637" s="283">
        <v>0</v>
      </c>
      <c r="F1637" s="323">
        <f t="shared" si="338"/>
        <v>5267</v>
      </c>
      <c r="G1637" s="621">
        <v>45</v>
      </c>
      <c r="H1637" s="611">
        <f t="shared" si="340"/>
        <v>0</v>
      </c>
      <c r="I1637" s="614">
        <f t="shared" si="339"/>
        <v>237015</v>
      </c>
      <c r="J1637" s="379"/>
    </row>
    <row r="1638" spans="1:10" ht="23.4" x14ac:dyDescent="0.3">
      <c r="A1638" s="997"/>
      <c r="B1638" s="879"/>
      <c r="C1638" s="282" t="s">
        <v>386</v>
      </c>
      <c r="D1638" s="440" t="s">
        <v>494</v>
      </c>
      <c r="E1638" s="283">
        <v>3658</v>
      </c>
      <c r="F1638" s="323">
        <f t="shared" si="338"/>
        <v>3658</v>
      </c>
      <c r="G1638" s="621">
        <v>57.64</v>
      </c>
      <c r="H1638" s="611">
        <f t="shared" si="340"/>
        <v>210847.12</v>
      </c>
      <c r="I1638" s="614">
        <f t="shared" si="339"/>
        <v>210847.12</v>
      </c>
      <c r="J1638" s="379"/>
    </row>
    <row r="1639" spans="1:10" ht="23.4" x14ac:dyDescent="0.3">
      <c r="A1639" s="997"/>
      <c r="B1639" s="879"/>
      <c r="C1639" s="282" t="s">
        <v>386</v>
      </c>
      <c r="D1639" s="440" t="s">
        <v>481</v>
      </c>
      <c r="E1639" s="283">
        <v>0</v>
      </c>
      <c r="F1639" s="323">
        <f t="shared" si="338"/>
        <v>100</v>
      </c>
      <c r="G1639" s="621">
        <v>57.64</v>
      </c>
      <c r="H1639" s="611">
        <f t="shared" si="340"/>
        <v>0</v>
      </c>
      <c r="I1639" s="614">
        <f t="shared" si="339"/>
        <v>5764</v>
      </c>
      <c r="J1639" s="379"/>
    </row>
    <row r="1640" spans="1:10" ht="23.4" x14ac:dyDescent="0.3">
      <c r="A1640" s="997"/>
      <c r="B1640" s="879"/>
      <c r="C1640" s="282" t="s">
        <v>388</v>
      </c>
      <c r="D1640" s="440" t="s">
        <v>389</v>
      </c>
      <c r="E1640" s="283">
        <v>0</v>
      </c>
      <c r="F1640" s="284">
        <f t="shared" si="338"/>
        <v>2560</v>
      </c>
      <c r="G1640" s="621">
        <v>434.41</v>
      </c>
      <c r="H1640" s="611">
        <f t="shared" si="340"/>
        <v>0</v>
      </c>
      <c r="I1640" s="614">
        <f t="shared" si="339"/>
        <v>1112089.6000000001</v>
      </c>
      <c r="J1640" s="379"/>
    </row>
    <row r="1641" spans="1:10" ht="23.4" x14ac:dyDescent="0.3">
      <c r="A1641" s="997"/>
      <c r="B1641" s="879"/>
      <c r="C1641" s="282" t="s">
        <v>419</v>
      </c>
      <c r="D1641" s="440" t="s">
        <v>263</v>
      </c>
      <c r="E1641" s="283">
        <v>0</v>
      </c>
      <c r="F1641" s="284">
        <f t="shared" si="338"/>
        <v>9280</v>
      </c>
      <c r="G1641" s="621">
        <v>624.26</v>
      </c>
      <c r="H1641" s="611">
        <f t="shared" si="340"/>
        <v>0</v>
      </c>
      <c r="I1641" s="614">
        <f t="shared" si="339"/>
        <v>5793132.7999999998</v>
      </c>
      <c r="J1641" s="379"/>
    </row>
    <row r="1642" spans="1:10" ht="23.4" x14ac:dyDescent="0.3">
      <c r="A1642" s="997"/>
      <c r="B1642" s="879"/>
      <c r="C1642" s="282" t="s">
        <v>390</v>
      </c>
      <c r="D1642" s="440" t="s">
        <v>389</v>
      </c>
      <c r="E1642" s="283">
        <v>0</v>
      </c>
      <c r="F1642" s="323">
        <f t="shared" si="338"/>
        <v>7200</v>
      </c>
      <c r="G1642" s="621">
        <v>63.55</v>
      </c>
      <c r="H1642" s="611">
        <f t="shared" si="340"/>
        <v>0</v>
      </c>
      <c r="I1642" s="614">
        <f t="shared" si="339"/>
        <v>457560</v>
      </c>
      <c r="J1642" s="379"/>
    </row>
    <row r="1643" spans="1:10" ht="23.4" x14ac:dyDescent="0.3">
      <c r="A1643" s="997"/>
      <c r="B1643" s="879"/>
      <c r="C1643" s="282" t="s">
        <v>391</v>
      </c>
      <c r="D1643" s="440" t="s">
        <v>389</v>
      </c>
      <c r="E1643" s="283">
        <v>0</v>
      </c>
      <c r="F1643" s="323">
        <f t="shared" si="338"/>
        <v>8640</v>
      </c>
      <c r="G1643" s="621">
        <v>53.86</v>
      </c>
      <c r="H1643" s="611">
        <f t="shared" si="340"/>
        <v>0</v>
      </c>
      <c r="I1643" s="614">
        <f t="shared" si="339"/>
        <v>465350.40000000002</v>
      </c>
      <c r="J1643" s="379"/>
    </row>
    <row r="1644" spans="1:10" ht="23.4" x14ac:dyDescent="0.3">
      <c r="A1644" s="997"/>
      <c r="B1644" s="879"/>
      <c r="C1644" s="282" t="s">
        <v>432</v>
      </c>
      <c r="D1644" s="440" t="s">
        <v>401</v>
      </c>
      <c r="E1644" s="283">
        <v>0</v>
      </c>
      <c r="F1644" s="323">
        <f t="shared" si="338"/>
        <v>2307</v>
      </c>
      <c r="G1644" s="621">
        <v>45</v>
      </c>
      <c r="H1644" s="611">
        <f t="shared" si="340"/>
        <v>0</v>
      </c>
      <c r="I1644" s="614">
        <f t="shared" si="339"/>
        <v>103815</v>
      </c>
      <c r="J1644" s="379"/>
    </row>
    <row r="1645" spans="1:10" ht="23.4" x14ac:dyDescent="0.3">
      <c r="A1645" s="997"/>
      <c r="B1645" s="879"/>
      <c r="C1645" s="282" t="s">
        <v>313</v>
      </c>
      <c r="D1645" s="440"/>
      <c r="E1645" s="283">
        <v>0</v>
      </c>
      <c r="F1645" s="323">
        <f t="shared" si="338"/>
        <v>1</v>
      </c>
      <c r="G1645" s="621">
        <v>39450</v>
      </c>
      <c r="H1645" s="611">
        <f t="shared" si="340"/>
        <v>0</v>
      </c>
      <c r="I1645" s="614">
        <f t="shared" si="339"/>
        <v>39450</v>
      </c>
      <c r="J1645" s="379"/>
    </row>
    <row r="1646" spans="1:10" ht="24" thickBot="1" x14ac:dyDescent="0.35">
      <c r="A1646" s="997"/>
      <c r="B1646" s="879"/>
      <c r="C1646" s="282" t="s">
        <v>386</v>
      </c>
      <c r="D1646" s="440" t="s">
        <v>263</v>
      </c>
      <c r="E1646" s="283">
        <v>0</v>
      </c>
      <c r="F1646" s="323">
        <f t="shared" si="338"/>
        <v>2000</v>
      </c>
      <c r="G1646" s="621">
        <v>57.64</v>
      </c>
      <c r="H1646" s="611">
        <f t="shared" si="340"/>
        <v>0</v>
      </c>
      <c r="I1646" s="614">
        <f t="shared" si="339"/>
        <v>115280</v>
      </c>
      <c r="J1646" s="379"/>
    </row>
    <row r="1647" spans="1:10" ht="24" thickBot="1" x14ac:dyDescent="0.35">
      <c r="A1647" s="998"/>
      <c r="B1647" s="992" t="s">
        <v>299</v>
      </c>
      <c r="C1647" s="993"/>
      <c r="D1647" s="882"/>
      <c r="E1647" s="332"/>
      <c r="F1647" s="333"/>
      <c r="G1647" s="332"/>
      <c r="H1647" s="608">
        <f>SUM(H1627:H1646)</f>
        <v>210847.12</v>
      </c>
      <c r="I1647" s="597">
        <f>SUM(I1627:I1646)</f>
        <v>52585369.919999994</v>
      </c>
      <c r="J1647" s="378"/>
    </row>
    <row r="1648" spans="1:10" ht="24" thickBot="1" x14ac:dyDescent="0.35">
      <c r="A1648" s="886"/>
      <c r="B1648" s="443"/>
      <c r="C1648" s="282"/>
      <c r="D1648" s="440"/>
      <c r="E1648" s="283"/>
      <c r="F1648" s="284"/>
      <c r="G1648" s="340"/>
      <c r="H1648" s="607"/>
      <c r="I1648" s="285"/>
      <c r="J1648" s="379"/>
    </row>
    <row r="1649" spans="1:10" ht="24" thickBot="1" x14ac:dyDescent="0.35">
      <c r="A1649" s="886"/>
      <c r="B1649" s="992" t="s">
        <v>243</v>
      </c>
      <c r="C1649" s="993"/>
      <c r="D1649" s="880"/>
      <c r="E1649" s="332"/>
      <c r="F1649" s="333"/>
      <c r="G1649" s="332"/>
      <c r="H1649" s="605"/>
      <c r="I1649" s="330"/>
      <c r="J1649" s="355"/>
    </row>
    <row r="1650" spans="1:10" ht="24.6" thickBot="1" x14ac:dyDescent="0.35">
      <c r="A1650" s="325"/>
      <c r="B1650" s="994" t="s">
        <v>183</v>
      </c>
      <c r="C1650" s="995"/>
      <c r="D1650" s="881"/>
      <c r="E1650" s="380"/>
      <c r="F1650" s="380"/>
      <c r="G1650" s="380"/>
      <c r="H1650" s="380"/>
      <c r="I1650" s="380">
        <f>+I1647+I1626+I1605</f>
        <v>184698416.00999326</v>
      </c>
      <c r="J1650" s="381"/>
    </row>
    <row r="1651" spans="1:10" ht="23.4" x14ac:dyDescent="0.3">
      <c r="A1651" s="935" t="s">
        <v>1</v>
      </c>
      <c r="B1651" s="938" t="s">
        <v>2</v>
      </c>
      <c r="C1651" s="1001" t="s">
        <v>3</v>
      </c>
      <c r="D1651" s="1005" t="s">
        <v>93</v>
      </c>
      <c r="E1651" s="1008">
        <v>44530</v>
      </c>
      <c r="F1651" s="945"/>
      <c r="G1651" s="945"/>
      <c r="H1651" s="945"/>
      <c r="I1651" s="945"/>
      <c r="J1651" s="946"/>
    </row>
    <row r="1652" spans="1:10" ht="23.4" x14ac:dyDescent="0.3">
      <c r="A1652" s="999"/>
      <c r="B1652" s="1000"/>
      <c r="C1652" s="1002"/>
      <c r="D1652" s="1006"/>
      <c r="E1652" s="1009" t="s">
        <v>94</v>
      </c>
      <c r="F1652" s="1010"/>
      <c r="G1652" s="1009" t="s">
        <v>252</v>
      </c>
      <c r="H1652" s="1011"/>
      <c r="I1652" s="1011"/>
      <c r="J1652" s="1010"/>
    </row>
    <row r="1653" spans="1:10" x14ac:dyDescent="0.3">
      <c r="A1653" s="936"/>
      <c r="B1653" s="939"/>
      <c r="C1653" s="1003"/>
      <c r="D1653" s="1006"/>
      <c r="E1653" s="947" t="s">
        <v>95</v>
      </c>
      <c r="F1653" s="949" t="s">
        <v>96</v>
      </c>
      <c r="G1653" s="1012" t="s">
        <v>97</v>
      </c>
      <c r="H1653" s="1014" t="s">
        <v>98</v>
      </c>
      <c r="I1653" s="1014" t="s">
        <v>98</v>
      </c>
      <c r="J1653" s="1016" t="s">
        <v>12</v>
      </c>
    </row>
    <row r="1654" spans="1:10" ht="14.4" thickBot="1" x14ac:dyDescent="0.35">
      <c r="A1654" s="937"/>
      <c r="B1654" s="940"/>
      <c r="C1654" s="1004"/>
      <c r="D1654" s="1007"/>
      <c r="E1654" s="948"/>
      <c r="F1654" s="950"/>
      <c r="G1654" s="1013"/>
      <c r="H1654" s="1015"/>
      <c r="I1654" s="1015"/>
      <c r="J1654" s="1017"/>
    </row>
    <row r="1655" spans="1:10" ht="23.4" x14ac:dyDescent="0.3">
      <c r="A1655" s="996" t="s">
        <v>111</v>
      </c>
      <c r="B1655" s="445"/>
      <c r="C1655" s="592" t="s">
        <v>300</v>
      </c>
      <c r="D1655" s="449" t="s">
        <v>292</v>
      </c>
      <c r="E1655" s="273">
        <v>158800</v>
      </c>
      <c r="F1655" s="441">
        <f>E1655+F1573</f>
        <v>158800</v>
      </c>
      <c r="G1655" s="593">
        <v>111.09</v>
      </c>
      <c r="H1655" s="609">
        <f t="shared" ref="H1655:H1668" si="341">E1655*G1655</f>
        <v>17641092</v>
      </c>
      <c r="I1655" s="612">
        <f>+G1655*F1655</f>
        <v>17641092</v>
      </c>
      <c r="J1655" s="357"/>
    </row>
    <row r="1656" spans="1:10" ht="23.4" x14ac:dyDescent="0.3">
      <c r="A1656" s="997"/>
      <c r="B1656" s="444"/>
      <c r="C1656" s="448" t="s">
        <v>293</v>
      </c>
      <c r="D1656" s="447" t="s">
        <v>294</v>
      </c>
      <c r="E1656" s="279">
        <v>0</v>
      </c>
      <c r="F1656" s="441">
        <f t="shared" ref="F1656:F1668" si="342">E1656+F1574</f>
        <v>0</v>
      </c>
      <c r="G1656" s="594">
        <v>11</v>
      </c>
      <c r="H1656" s="610">
        <f t="shared" si="341"/>
        <v>0</v>
      </c>
      <c r="I1656" s="613">
        <f>+G1656*F1656</f>
        <v>0</v>
      </c>
      <c r="J1656" s="358"/>
    </row>
    <row r="1657" spans="1:10" ht="23.4" x14ac:dyDescent="0.3">
      <c r="A1657" s="997"/>
      <c r="B1657" s="444"/>
      <c r="C1657" s="448" t="s">
        <v>332</v>
      </c>
      <c r="D1657" s="447" t="s">
        <v>466</v>
      </c>
      <c r="E1657" s="279">
        <v>0</v>
      </c>
      <c r="F1657" s="441">
        <f t="shared" si="342"/>
        <v>960</v>
      </c>
      <c r="G1657" s="594">
        <v>139.04</v>
      </c>
      <c r="H1657" s="610">
        <f t="shared" si="341"/>
        <v>0</v>
      </c>
      <c r="I1657" s="613">
        <f t="shared" ref="I1657:I1668" si="343">+G1657*F1657</f>
        <v>133478.39999999999</v>
      </c>
      <c r="J1657" s="358"/>
    </row>
    <row r="1658" spans="1:10" ht="23.4" x14ac:dyDescent="0.3">
      <c r="A1658" s="997"/>
      <c r="B1658" s="444"/>
      <c r="C1658" s="448" t="s">
        <v>449</v>
      </c>
      <c r="D1658" s="447" t="s">
        <v>450</v>
      </c>
      <c r="E1658" s="279">
        <f>30600+36720+30600+36720</f>
        <v>134640</v>
      </c>
      <c r="F1658" s="441">
        <f t="shared" si="342"/>
        <v>709920</v>
      </c>
      <c r="G1658" s="594">
        <v>20.5</v>
      </c>
      <c r="H1658" s="610">
        <f t="shared" si="341"/>
        <v>2760120</v>
      </c>
      <c r="I1658" s="613">
        <f t="shared" si="343"/>
        <v>14553360</v>
      </c>
      <c r="J1658" s="358"/>
    </row>
    <row r="1659" spans="1:10" ht="23.4" x14ac:dyDescent="0.3">
      <c r="A1659" s="997"/>
      <c r="B1659" s="444"/>
      <c r="C1659" s="448" t="s">
        <v>323</v>
      </c>
      <c r="D1659" s="447" t="s">
        <v>192</v>
      </c>
      <c r="E1659" s="279">
        <v>0</v>
      </c>
      <c r="F1659" s="441">
        <f t="shared" si="342"/>
        <v>328118</v>
      </c>
      <c r="G1659" s="594">
        <v>14.79</v>
      </c>
      <c r="H1659" s="610">
        <f t="shared" si="341"/>
        <v>0</v>
      </c>
      <c r="I1659" s="613">
        <f t="shared" si="343"/>
        <v>4852865.22</v>
      </c>
      <c r="J1659" s="358"/>
    </row>
    <row r="1660" spans="1:10" ht="23.4" x14ac:dyDescent="0.3">
      <c r="A1660" s="997"/>
      <c r="B1660" s="444"/>
      <c r="C1660" s="448" t="s">
        <v>332</v>
      </c>
      <c r="D1660" s="447" t="s">
        <v>294</v>
      </c>
      <c r="E1660" s="279">
        <v>0</v>
      </c>
      <c r="F1660" s="441">
        <f t="shared" si="342"/>
        <v>4160</v>
      </c>
      <c r="G1660" s="594">
        <v>139.04</v>
      </c>
      <c r="H1660" s="610">
        <f t="shared" si="341"/>
        <v>0</v>
      </c>
      <c r="I1660" s="613">
        <f t="shared" si="343"/>
        <v>578406.40000000002</v>
      </c>
      <c r="J1660" s="358"/>
    </row>
    <row r="1661" spans="1:10" ht="23.4" x14ac:dyDescent="0.3">
      <c r="A1661" s="997"/>
      <c r="B1661" s="444"/>
      <c r="C1661" s="448" t="s">
        <v>384</v>
      </c>
      <c r="D1661" s="623" t="s">
        <v>447</v>
      </c>
      <c r="E1661" s="279">
        <v>0</v>
      </c>
      <c r="F1661" s="441">
        <f t="shared" si="342"/>
        <v>99364</v>
      </c>
      <c r="G1661" s="594">
        <v>20.5</v>
      </c>
      <c r="H1661" s="610">
        <f t="shared" si="341"/>
        <v>0</v>
      </c>
      <c r="I1661" s="613">
        <f t="shared" si="343"/>
        <v>2036962</v>
      </c>
      <c r="J1661" s="358"/>
    </row>
    <row r="1662" spans="1:10" ht="23.4" x14ac:dyDescent="0.3">
      <c r="A1662" s="997"/>
      <c r="B1662" s="444"/>
      <c r="C1662" s="448" t="s">
        <v>362</v>
      </c>
      <c r="D1662" s="623" t="s">
        <v>294</v>
      </c>
      <c r="E1662" s="279">
        <v>0</v>
      </c>
      <c r="F1662" s="441">
        <f t="shared" si="342"/>
        <v>16524</v>
      </c>
      <c r="G1662" s="594">
        <v>18.84</v>
      </c>
      <c r="H1662" s="610">
        <f t="shared" si="341"/>
        <v>0</v>
      </c>
      <c r="I1662" s="613">
        <f t="shared" si="343"/>
        <v>311312.15999999997</v>
      </c>
      <c r="J1662" s="358"/>
    </row>
    <row r="1663" spans="1:10" ht="23.4" x14ac:dyDescent="0.3">
      <c r="A1663" s="997"/>
      <c r="B1663" s="444"/>
      <c r="C1663" s="448" t="s">
        <v>376</v>
      </c>
      <c r="D1663" s="623" t="s">
        <v>257</v>
      </c>
      <c r="E1663" s="279">
        <v>66096</v>
      </c>
      <c r="F1663" s="441">
        <f t="shared" si="342"/>
        <v>1329119</v>
      </c>
      <c r="G1663" s="594">
        <v>21.18</v>
      </c>
      <c r="H1663" s="610">
        <f t="shared" si="341"/>
        <v>1399913.28</v>
      </c>
      <c r="I1663" s="613">
        <f t="shared" si="343"/>
        <v>28150740.419999998</v>
      </c>
      <c r="J1663" s="358"/>
    </row>
    <row r="1664" spans="1:10" ht="23.4" x14ac:dyDescent="0.3">
      <c r="A1664" s="997"/>
      <c r="B1664" s="444"/>
      <c r="C1664" s="448" t="s">
        <v>378</v>
      </c>
      <c r="D1664" s="623" t="s">
        <v>379</v>
      </c>
      <c r="E1664" s="279">
        <v>0</v>
      </c>
      <c r="F1664" s="441">
        <f t="shared" si="342"/>
        <v>65690</v>
      </c>
      <c r="G1664" s="594">
        <v>21.28</v>
      </c>
      <c r="H1664" s="610">
        <f t="shared" si="341"/>
        <v>0</v>
      </c>
      <c r="I1664" s="613">
        <f t="shared" si="343"/>
        <v>1397883.2000000002</v>
      </c>
      <c r="J1664" s="358"/>
    </row>
    <row r="1665" spans="1:10" ht="23.4" x14ac:dyDescent="0.3">
      <c r="A1665" s="997"/>
      <c r="B1665" s="444"/>
      <c r="C1665" s="448" t="s">
        <v>332</v>
      </c>
      <c r="D1665" s="623" t="s">
        <v>447</v>
      </c>
      <c r="E1665" s="279">
        <v>0</v>
      </c>
      <c r="F1665" s="441">
        <f t="shared" si="342"/>
        <v>9920</v>
      </c>
      <c r="G1665" s="594">
        <v>139.04</v>
      </c>
      <c r="H1665" s="610">
        <f t="shared" si="341"/>
        <v>0</v>
      </c>
      <c r="I1665" s="613">
        <f t="shared" si="343"/>
        <v>1379276.7999999998</v>
      </c>
      <c r="J1665" s="358"/>
    </row>
    <row r="1666" spans="1:10" ht="23.4" x14ac:dyDescent="0.3">
      <c r="A1666" s="997"/>
      <c r="B1666" s="444"/>
      <c r="C1666" s="448" t="s">
        <v>470</v>
      </c>
      <c r="D1666" s="447" t="s">
        <v>192</v>
      </c>
      <c r="E1666" s="279">
        <v>0</v>
      </c>
      <c r="F1666" s="441">
        <f t="shared" si="342"/>
        <v>608256</v>
      </c>
      <c r="G1666" s="594">
        <v>14.55</v>
      </c>
      <c r="H1666" s="610">
        <f t="shared" si="341"/>
        <v>0</v>
      </c>
      <c r="I1666" s="613">
        <f t="shared" si="343"/>
        <v>8850124.8000000007</v>
      </c>
      <c r="J1666" s="358"/>
    </row>
    <row r="1667" spans="1:10" ht="23.4" x14ac:dyDescent="0.3">
      <c r="A1667" s="997"/>
      <c r="B1667" s="444"/>
      <c r="C1667" s="448" t="s">
        <v>384</v>
      </c>
      <c r="D1667" s="623" t="s">
        <v>206</v>
      </c>
      <c r="E1667" s="279">
        <v>0</v>
      </c>
      <c r="F1667" s="441">
        <f t="shared" si="342"/>
        <v>101100</v>
      </c>
      <c r="G1667" s="594">
        <v>21.28</v>
      </c>
      <c r="H1667" s="610">
        <f t="shared" si="341"/>
        <v>0</v>
      </c>
      <c r="I1667" s="613">
        <f t="shared" si="343"/>
        <v>2151408</v>
      </c>
      <c r="J1667" s="358"/>
    </row>
    <row r="1668" spans="1:10" ht="24" thickBot="1" x14ac:dyDescent="0.35">
      <c r="A1668" s="997"/>
      <c r="B1668" s="444"/>
      <c r="C1668" s="448" t="s">
        <v>400</v>
      </c>
      <c r="D1668" s="450" t="s">
        <v>193</v>
      </c>
      <c r="E1668" s="279">
        <v>0</v>
      </c>
      <c r="F1668" s="441">
        <f t="shared" si="342"/>
        <v>1186</v>
      </c>
      <c r="G1668" s="594">
        <v>36.44</v>
      </c>
      <c r="H1668" s="610">
        <f t="shared" si="341"/>
        <v>0</v>
      </c>
      <c r="I1668" s="613">
        <f t="shared" si="343"/>
        <v>43217.84</v>
      </c>
      <c r="J1668" s="358"/>
    </row>
    <row r="1669" spans="1:10" ht="24" thickBot="1" x14ac:dyDescent="0.35">
      <c r="A1669" s="997"/>
      <c r="B1669" s="992" t="s">
        <v>295</v>
      </c>
      <c r="C1669" s="993"/>
      <c r="D1669" s="887"/>
      <c r="E1669" s="332"/>
      <c r="F1669" s="333"/>
      <c r="G1669" s="332"/>
      <c r="H1669" s="605">
        <f>SUM(H1655:H1668)</f>
        <v>21801125.280000001</v>
      </c>
      <c r="I1669" s="597">
        <f>SUM(I1655:I1668)</f>
        <v>82080127.239999995</v>
      </c>
      <c r="J1669" s="355"/>
    </row>
    <row r="1670" spans="1:10" ht="23.4" x14ac:dyDescent="0.3">
      <c r="A1670" s="997"/>
      <c r="B1670" s="889"/>
      <c r="C1670" s="282" t="s">
        <v>301</v>
      </c>
      <c r="D1670" s="440" t="s">
        <v>263</v>
      </c>
      <c r="E1670" s="283">
        <v>0</v>
      </c>
      <c r="F1670" s="323">
        <f t="shared" ref="F1670:F1680" si="344">E1670+F1588</f>
        <v>103375</v>
      </c>
      <c r="G1670" s="595">
        <v>160.44999999999999</v>
      </c>
      <c r="H1670" s="611">
        <f t="shared" ref="H1670:H1680" si="345">E1670*G1670</f>
        <v>0</v>
      </c>
      <c r="I1670" s="614">
        <f t="shared" ref="I1670:I1680" si="346">+G1670*F1670</f>
        <v>16586518.749999998</v>
      </c>
      <c r="J1670" s="379"/>
    </row>
    <row r="1671" spans="1:10" ht="23.4" x14ac:dyDescent="0.3">
      <c r="A1671" s="997"/>
      <c r="B1671" s="889"/>
      <c r="C1671" s="282" t="s">
        <v>317</v>
      </c>
      <c r="D1671" s="440" t="s">
        <v>263</v>
      </c>
      <c r="E1671" s="283">
        <v>0</v>
      </c>
      <c r="F1671" s="323">
        <f t="shared" si="344"/>
        <v>13084</v>
      </c>
      <c r="G1671" s="595">
        <v>160.44999999999999</v>
      </c>
      <c r="H1671" s="611">
        <f t="shared" si="345"/>
        <v>0</v>
      </c>
      <c r="I1671" s="614">
        <f t="shared" si="346"/>
        <v>2099327.7999999998</v>
      </c>
      <c r="J1671" s="379"/>
    </row>
    <row r="1672" spans="1:10" ht="23.4" x14ac:dyDescent="0.3">
      <c r="A1672" s="997"/>
      <c r="B1672" s="889"/>
      <c r="C1672" s="282" t="s">
        <v>318</v>
      </c>
      <c r="D1672" s="440" t="s">
        <v>263</v>
      </c>
      <c r="E1672" s="283">
        <v>0</v>
      </c>
      <c r="F1672" s="323">
        <f t="shared" si="344"/>
        <v>3375</v>
      </c>
      <c r="G1672" s="595">
        <v>160.44999999999999</v>
      </c>
      <c r="H1672" s="611">
        <f t="shared" si="345"/>
        <v>0</v>
      </c>
      <c r="I1672" s="614">
        <f t="shared" si="346"/>
        <v>541518.75</v>
      </c>
      <c r="J1672" s="379"/>
    </row>
    <row r="1673" spans="1:10" ht="23.4" x14ac:dyDescent="0.3">
      <c r="A1673" s="997"/>
      <c r="B1673" s="889"/>
      <c r="C1673" s="282" t="s">
        <v>321</v>
      </c>
      <c r="D1673" s="440" t="s">
        <v>100</v>
      </c>
      <c r="E1673" s="283">
        <v>0</v>
      </c>
      <c r="F1673" s="323">
        <f t="shared" si="344"/>
        <v>0</v>
      </c>
      <c r="G1673" s="595">
        <v>27</v>
      </c>
      <c r="H1673" s="611">
        <f t="shared" si="345"/>
        <v>0</v>
      </c>
      <c r="I1673" s="614">
        <f t="shared" si="346"/>
        <v>0</v>
      </c>
      <c r="J1673" s="379"/>
    </row>
    <row r="1674" spans="1:10" ht="23.4" x14ac:dyDescent="0.3">
      <c r="A1674" s="997"/>
      <c r="B1674" s="889"/>
      <c r="C1674" s="282" t="s">
        <v>321</v>
      </c>
      <c r="D1674" s="440" t="s">
        <v>329</v>
      </c>
      <c r="E1674" s="283">
        <v>79200</v>
      </c>
      <c r="F1674" s="323">
        <f t="shared" si="344"/>
        <v>483120</v>
      </c>
      <c r="G1674" s="595">
        <v>27.5</v>
      </c>
      <c r="H1674" s="611">
        <f t="shared" si="345"/>
        <v>2178000</v>
      </c>
      <c r="I1674" s="614">
        <f t="shared" si="346"/>
        <v>13285800</v>
      </c>
      <c r="J1674" s="379"/>
    </row>
    <row r="1675" spans="1:10" ht="23.4" x14ac:dyDescent="0.3">
      <c r="A1675" s="997"/>
      <c r="B1675" s="889"/>
      <c r="C1675" s="282" t="s">
        <v>307</v>
      </c>
      <c r="D1675" s="440" t="s">
        <v>329</v>
      </c>
      <c r="E1675" s="283">
        <v>2640</v>
      </c>
      <c r="F1675" s="323">
        <f t="shared" si="344"/>
        <v>16104</v>
      </c>
      <c r="G1675" s="595">
        <v>34.5</v>
      </c>
      <c r="H1675" s="611">
        <f t="shared" si="345"/>
        <v>91080</v>
      </c>
      <c r="I1675" s="614">
        <f t="shared" si="346"/>
        <v>555588</v>
      </c>
      <c r="J1675" s="379"/>
    </row>
    <row r="1676" spans="1:10" ht="23.4" x14ac:dyDescent="0.3">
      <c r="A1676" s="997"/>
      <c r="B1676" s="889"/>
      <c r="C1676" s="282" t="s">
        <v>342</v>
      </c>
      <c r="D1676" s="440" t="s">
        <v>263</v>
      </c>
      <c r="E1676" s="283">
        <v>0</v>
      </c>
      <c r="F1676" s="323">
        <f t="shared" si="344"/>
        <v>23191</v>
      </c>
      <c r="G1676" s="595">
        <v>160.44999999999999</v>
      </c>
      <c r="H1676" s="611">
        <f t="shared" si="345"/>
        <v>0</v>
      </c>
      <c r="I1676" s="614">
        <f t="shared" si="346"/>
        <v>3720995.9499999997</v>
      </c>
      <c r="J1676" s="379"/>
    </row>
    <row r="1677" spans="1:10" ht="23.4" x14ac:dyDescent="0.3">
      <c r="A1677" s="997"/>
      <c r="B1677" s="889"/>
      <c r="C1677" s="282" t="s">
        <v>438</v>
      </c>
      <c r="D1677" s="440" t="s">
        <v>263</v>
      </c>
      <c r="E1677" s="283">
        <v>0</v>
      </c>
      <c r="F1677" s="323">
        <f t="shared" si="344"/>
        <v>7000</v>
      </c>
      <c r="G1677" s="595">
        <v>160.44999999999999</v>
      </c>
      <c r="H1677" s="611">
        <f t="shared" si="345"/>
        <v>0</v>
      </c>
      <c r="I1677" s="614">
        <f t="shared" si="346"/>
        <v>1123150</v>
      </c>
      <c r="J1677" s="379"/>
    </row>
    <row r="1678" spans="1:10" ht="23.4" x14ac:dyDescent="0.3">
      <c r="A1678" s="997"/>
      <c r="B1678" s="889"/>
      <c r="C1678" s="282" t="s">
        <v>357</v>
      </c>
      <c r="D1678" s="440" t="s">
        <v>263</v>
      </c>
      <c r="E1678" s="283">
        <v>0</v>
      </c>
      <c r="F1678" s="323">
        <f t="shared" si="344"/>
        <v>19625</v>
      </c>
      <c r="G1678" s="595">
        <v>160.44999999999999</v>
      </c>
      <c r="H1678" s="611">
        <f t="shared" si="345"/>
        <v>0</v>
      </c>
      <c r="I1678" s="614">
        <f t="shared" si="346"/>
        <v>3148831.25</v>
      </c>
      <c r="J1678" s="379"/>
    </row>
    <row r="1679" spans="1:10" ht="23.4" x14ac:dyDescent="0.3">
      <c r="A1679" s="997"/>
      <c r="B1679" s="889"/>
      <c r="C1679" s="282" t="s">
        <v>358</v>
      </c>
      <c r="D1679" s="440" t="s">
        <v>263</v>
      </c>
      <c r="E1679" s="283">
        <v>0</v>
      </c>
      <c r="F1679" s="323">
        <f t="shared" si="344"/>
        <v>21125</v>
      </c>
      <c r="G1679" s="595">
        <v>160.44999999999999</v>
      </c>
      <c r="H1679" s="611">
        <f t="shared" si="345"/>
        <v>0</v>
      </c>
      <c r="I1679" s="614">
        <f t="shared" si="346"/>
        <v>3389506.2499999995</v>
      </c>
      <c r="J1679" s="379"/>
    </row>
    <row r="1680" spans="1:10" ht="24" thickBot="1" x14ac:dyDescent="0.35">
      <c r="A1680" s="997"/>
      <c r="B1680" s="889"/>
      <c r="C1680" s="282" t="s">
        <v>353</v>
      </c>
      <c r="D1680" s="440" t="s">
        <v>263</v>
      </c>
      <c r="E1680" s="283">
        <v>0</v>
      </c>
      <c r="F1680" s="323">
        <f t="shared" si="344"/>
        <v>2200</v>
      </c>
      <c r="G1680" s="595">
        <v>160.44999999999999</v>
      </c>
      <c r="H1680" s="611">
        <f t="shared" si="345"/>
        <v>0</v>
      </c>
      <c r="I1680" s="614">
        <f t="shared" si="346"/>
        <v>352990</v>
      </c>
      <c r="J1680" s="379"/>
    </row>
    <row r="1681" spans="1:11" ht="24" thickBot="1" x14ac:dyDescent="0.35">
      <c r="A1681" s="997"/>
      <c r="B1681" s="992" t="s">
        <v>296</v>
      </c>
      <c r="C1681" s="993"/>
      <c r="D1681" s="887"/>
      <c r="E1681" s="332"/>
      <c r="F1681" s="333"/>
      <c r="G1681" s="332"/>
      <c r="H1681" s="605">
        <f>SUM(H1670:H1680)</f>
        <v>2269080</v>
      </c>
      <c r="I1681" s="597">
        <f>SUM(I1670:I1680)</f>
        <v>44804226.75</v>
      </c>
      <c r="J1681" s="355"/>
    </row>
    <row r="1682" spans="1:11" ht="23.4" x14ac:dyDescent="0.3">
      <c r="A1682" s="997"/>
      <c r="B1682" s="889"/>
      <c r="C1682" s="282" t="s">
        <v>303</v>
      </c>
      <c r="D1682" s="440"/>
      <c r="E1682" s="283">
        <v>0</v>
      </c>
      <c r="F1682" s="598">
        <f t="shared" ref="F1682:F1684" si="347">E1682+F1600</f>
        <v>0</v>
      </c>
      <c r="G1682" s="595">
        <v>10</v>
      </c>
      <c r="H1682" s="611">
        <f t="shared" ref="H1682:H1684" si="348">E1682*G1682</f>
        <v>0</v>
      </c>
      <c r="I1682" s="614">
        <f t="shared" ref="I1682" si="349">+G1682*F1682</f>
        <v>0</v>
      </c>
      <c r="J1682" s="379"/>
    </row>
    <row r="1683" spans="1:11" ht="23.4" x14ac:dyDescent="0.3">
      <c r="A1683" s="997"/>
      <c r="B1683" s="889"/>
      <c r="C1683" s="282" t="s">
        <v>308</v>
      </c>
      <c r="D1683" s="440" t="s">
        <v>309</v>
      </c>
      <c r="E1683" s="283">
        <v>0</v>
      </c>
      <c r="F1683" s="598">
        <f t="shared" si="347"/>
        <v>13</v>
      </c>
      <c r="G1683" s="595">
        <v>2500</v>
      </c>
      <c r="H1683" s="611">
        <f t="shared" si="348"/>
        <v>0</v>
      </c>
      <c r="I1683" s="614">
        <f>+G1683*F1683</f>
        <v>32500</v>
      </c>
      <c r="J1683" s="379"/>
    </row>
    <row r="1684" spans="1:11" ht="24" thickBot="1" x14ac:dyDescent="0.35">
      <c r="A1684" s="997"/>
      <c r="B1684" s="889"/>
      <c r="C1684" s="282" t="s">
        <v>343</v>
      </c>
      <c r="D1684" s="440" t="s">
        <v>344</v>
      </c>
      <c r="E1684" s="283">
        <v>0</v>
      </c>
      <c r="F1684" s="598">
        <f t="shared" si="347"/>
        <v>0</v>
      </c>
      <c r="G1684" s="596">
        <v>360</v>
      </c>
      <c r="H1684" s="611">
        <f t="shared" si="348"/>
        <v>0</v>
      </c>
      <c r="I1684" s="614">
        <f t="shared" ref="I1684" si="350">+G1684*F1684</f>
        <v>0</v>
      </c>
      <c r="J1684" s="379"/>
    </row>
    <row r="1685" spans="1:11" ht="24" thickBot="1" x14ac:dyDescent="0.35">
      <c r="A1685" s="997"/>
      <c r="B1685" s="992" t="s">
        <v>302</v>
      </c>
      <c r="C1685" s="993"/>
      <c r="D1685" s="887"/>
      <c r="E1685" s="332"/>
      <c r="F1685" s="333"/>
      <c r="G1685" s="332"/>
      <c r="H1685" s="605">
        <f>SUM(H1682:H1684)</f>
        <v>0</v>
      </c>
      <c r="I1685" s="597">
        <f>SUM(I1682:I1684)</f>
        <v>32500</v>
      </c>
      <c r="J1685" s="379"/>
    </row>
    <row r="1686" spans="1:11" ht="24" thickBot="1" x14ac:dyDescent="0.35">
      <c r="A1686" s="997"/>
      <c r="B1686" s="889"/>
      <c r="C1686" s="282"/>
      <c r="D1686" s="440"/>
      <c r="E1686" s="283"/>
      <c r="F1686" s="323"/>
      <c r="G1686" s="596"/>
      <c r="H1686" s="606"/>
      <c r="I1686" s="285">
        <f t="shared" ref="I1686" si="351">+G1686*F1686</f>
        <v>0</v>
      </c>
      <c r="J1686" s="379"/>
    </row>
    <row r="1687" spans="1:11" ht="24" thickBot="1" x14ac:dyDescent="0.35">
      <c r="A1687" s="998"/>
      <c r="B1687" s="992" t="s">
        <v>298</v>
      </c>
      <c r="C1687" s="993"/>
      <c r="D1687" s="890"/>
      <c r="E1687" s="332"/>
      <c r="F1687" s="333"/>
      <c r="G1687" s="332"/>
      <c r="H1687" s="597">
        <f>+H1681+H1669+H1685</f>
        <v>24070205.280000001</v>
      </c>
      <c r="I1687" s="597">
        <f>+I1681+I1669+I1685</f>
        <v>126916853.98999999</v>
      </c>
      <c r="J1687" s="379"/>
      <c r="K1687" s="620"/>
    </row>
    <row r="1688" spans="1:11" ht="23.4" x14ac:dyDescent="0.3">
      <c r="A1688" s="996" t="s">
        <v>109</v>
      </c>
      <c r="B1688" s="889"/>
      <c r="C1688" s="282" t="s">
        <v>312</v>
      </c>
      <c r="D1688" s="440" t="s">
        <v>193</v>
      </c>
      <c r="E1688" s="283">
        <v>0</v>
      </c>
      <c r="F1688" s="323">
        <f t="shared" ref="F1688:F1701" si="352">E1688+F1606</f>
        <v>7956</v>
      </c>
      <c r="G1688" s="621">
        <v>13.25</v>
      </c>
      <c r="H1688" s="615">
        <f t="shared" ref="H1688:H1708" si="353">E1688*G1688</f>
        <v>0</v>
      </c>
      <c r="I1688" s="614">
        <f t="shared" ref="I1688:I1708" si="354">+G1688*F1688</f>
        <v>105417</v>
      </c>
      <c r="J1688" s="379"/>
    </row>
    <row r="1689" spans="1:11" ht="23.4" x14ac:dyDescent="0.3">
      <c r="A1689" s="997"/>
      <c r="B1689" s="889"/>
      <c r="C1689" s="282" t="s">
        <v>313</v>
      </c>
      <c r="D1689" s="440"/>
      <c r="E1689" s="899">
        <v>1</v>
      </c>
      <c r="F1689" s="323">
        <f t="shared" si="352"/>
        <v>2</v>
      </c>
      <c r="G1689" s="622">
        <v>10000</v>
      </c>
      <c r="H1689" s="615">
        <f t="shared" si="353"/>
        <v>10000</v>
      </c>
      <c r="I1689" s="614">
        <f t="shared" si="354"/>
        <v>20000</v>
      </c>
      <c r="J1689" s="379"/>
    </row>
    <row r="1690" spans="1:11" ht="23.4" x14ac:dyDescent="0.3">
      <c r="A1690" s="997"/>
      <c r="B1690" s="889"/>
      <c r="C1690" s="282" t="s">
        <v>313</v>
      </c>
      <c r="D1690" s="440"/>
      <c r="E1690" s="283">
        <v>0</v>
      </c>
      <c r="F1690" s="323">
        <f t="shared" si="352"/>
        <v>4</v>
      </c>
      <c r="G1690" s="622">
        <v>18000</v>
      </c>
      <c r="H1690" s="615">
        <f t="shared" si="353"/>
        <v>0</v>
      </c>
      <c r="I1690" s="614">
        <f t="shared" si="354"/>
        <v>72000</v>
      </c>
      <c r="J1690" s="379"/>
    </row>
    <row r="1691" spans="1:11" ht="23.4" x14ac:dyDescent="0.3">
      <c r="A1691" s="997"/>
      <c r="B1691" s="889"/>
      <c r="C1691" s="282" t="s">
        <v>510</v>
      </c>
      <c r="D1691" s="440" t="s">
        <v>404</v>
      </c>
      <c r="E1691" s="283">
        <f>183456+67392+125424+91728</f>
        <v>468000</v>
      </c>
      <c r="F1691" s="898">
        <f t="shared" si="352"/>
        <v>468000</v>
      </c>
      <c r="G1691" s="621">
        <v>39</v>
      </c>
      <c r="H1691" s="615">
        <f t="shared" si="353"/>
        <v>18252000</v>
      </c>
      <c r="I1691" s="614">
        <f t="shared" si="354"/>
        <v>18252000</v>
      </c>
      <c r="J1691" s="379"/>
    </row>
    <row r="1692" spans="1:11" ht="23.4" x14ac:dyDescent="0.3">
      <c r="A1692" s="997"/>
      <c r="B1692" s="889"/>
      <c r="C1692" s="282" t="s">
        <v>503</v>
      </c>
      <c r="D1692" s="440" t="s">
        <v>192</v>
      </c>
      <c r="E1692" s="283">
        <v>246636</v>
      </c>
      <c r="F1692" s="898">
        <f t="shared" si="352"/>
        <v>246636</v>
      </c>
      <c r="G1692" s="621">
        <v>21.22</v>
      </c>
      <c r="H1692" s="615">
        <f t="shared" si="353"/>
        <v>5233615.92</v>
      </c>
      <c r="I1692" s="614">
        <f t="shared" si="354"/>
        <v>5233615.92</v>
      </c>
      <c r="J1692" s="379"/>
    </row>
    <row r="1693" spans="1:11" ht="23.4" x14ac:dyDescent="0.3">
      <c r="A1693" s="997"/>
      <c r="B1693" s="889"/>
      <c r="C1693" s="282" t="s">
        <v>507</v>
      </c>
      <c r="D1693" s="440" t="s">
        <v>509</v>
      </c>
      <c r="E1693" s="283">
        <v>5616</v>
      </c>
      <c r="F1693" s="898">
        <f t="shared" si="352"/>
        <v>5616</v>
      </c>
      <c r="G1693" s="621">
        <v>37.89</v>
      </c>
      <c r="H1693" s="615">
        <f t="shared" si="353"/>
        <v>212790.24</v>
      </c>
      <c r="I1693" s="614">
        <f t="shared" si="354"/>
        <v>212790.24</v>
      </c>
      <c r="J1693" s="379"/>
    </row>
    <row r="1694" spans="1:11" ht="23.4" x14ac:dyDescent="0.3">
      <c r="A1694" s="997"/>
      <c r="B1694" s="889"/>
      <c r="C1694" s="282" t="s">
        <v>504</v>
      </c>
      <c r="D1694" s="440" t="s">
        <v>404</v>
      </c>
      <c r="E1694" s="283">
        <v>63648</v>
      </c>
      <c r="F1694" s="898">
        <f t="shared" si="352"/>
        <v>63648</v>
      </c>
      <c r="G1694" s="621">
        <v>24.93</v>
      </c>
      <c r="H1694" s="615">
        <f t="shared" si="353"/>
        <v>1586744.64</v>
      </c>
      <c r="I1694" s="614">
        <f t="shared" si="354"/>
        <v>1586744.64</v>
      </c>
      <c r="J1694" s="379"/>
    </row>
    <row r="1695" spans="1:11" ht="23.4" x14ac:dyDescent="0.3">
      <c r="A1695" s="997"/>
      <c r="B1695" s="889"/>
      <c r="C1695" s="282" t="s">
        <v>505</v>
      </c>
      <c r="D1695" s="440" t="s">
        <v>192</v>
      </c>
      <c r="E1695" s="283">
        <f>250614+461448+35802</f>
        <v>747864</v>
      </c>
      <c r="F1695" s="898">
        <f t="shared" si="352"/>
        <v>747864</v>
      </c>
      <c r="G1695" s="621">
        <v>21.22</v>
      </c>
      <c r="H1695" s="615">
        <f t="shared" si="353"/>
        <v>15869674.08</v>
      </c>
      <c r="I1695" s="614">
        <f t="shared" si="354"/>
        <v>15869674.08</v>
      </c>
      <c r="J1695" s="379"/>
    </row>
    <row r="1696" spans="1:11" ht="23.4" x14ac:dyDescent="0.3">
      <c r="A1696" s="997"/>
      <c r="B1696" s="889"/>
      <c r="C1696" s="282" t="s">
        <v>506</v>
      </c>
      <c r="D1696" s="440" t="s">
        <v>192</v>
      </c>
      <c r="E1696" s="283">
        <v>322218</v>
      </c>
      <c r="F1696" s="898">
        <f t="shared" si="352"/>
        <v>322218</v>
      </c>
      <c r="G1696" s="621">
        <v>20.76</v>
      </c>
      <c r="H1696" s="615">
        <f t="shared" si="353"/>
        <v>6689245.6800000006</v>
      </c>
      <c r="I1696" s="614">
        <f t="shared" si="354"/>
        <v>6689245.6800000006</v>
      </c>
      <c r="J1696" s="379"/>
    </row>
    <row r="1697" spans="1:10" ht="23.4" x14ac:dyDescent="0.3">
      <c r="A1697" s="997"/>
      <c r="B1697" s="889"/>
      <c r="C1697" s="282" t="s">
        <v>445</v>
      </c>
      <c r="D1697" s="440" t="s">
        <v>350</v>
      </c>
      <c r="E1697" s="283">
        <v>0</v>
      </c>
      <c r="F1697" s="323">
        <f t="shared" si="352"/>
        <v>101088</v>
      </c>
      <c r="G1697" s="621">
        <v>37.4566666666</v>
      </c>
      <c r="H1697" s="615">
        <f t="shared" si="353"/>
        <v>0</v>
      </c>
      <c r="I1697" s="614">
        <f t="shared" si="354"/>
        <v>3786419.519993261</v>
      </c>
      <c r="J1697" s="379"/>
    </row>
    <row r="1698" spans="1:10" ht="23.4" x14ac:dyDescent="0.3">
      <c r="A1698" s="997"/>
      <c r="B1698" s="889"/>
      <c r="C1698" s="282" t="s">
        <v>446</v>
      </c>
      <c r="D1698" s="440" t="s">
        <v>350</v>
      </c>
      <c r="E1698" s="283">
        <v>0</v>
      </c>
      <c r="F1698" s="323">
        <f t="shared" si="352"/>
        <v>46800</v>
      </c>
      <c r="G1698" s="621">
        <v>37.89</v>
      </c>
      <c r="H1698" s="615">
        <f t="shared" si="353"/>
        <v>0</v>
      </c>
      <c r="I1698" s="614">
        <f t="shared" si="354"/>
        <v>1773252</v>
      </c>
      <c r="J1698" s="379"/>
    </row>
    <row r="1699" spans="1:10" ht="23.4" x14ac:dyDescent="0.3">
      <c r="A1699" s="997"/>
      <c r="B1699" s="889"/>
      <c r="C1699" s="282" t="s">
        <v>337</v>
      </c>
      <c r="D1699" s="440" t="s">
        <v>310</v>
      </c>
      <c r="E1699" s="283">
        <f>123318+155142</f>
        <v>278460</v>
      </c>
      <c r="F1699" s="898">
        <f t="shared" si="352"/>
        <v>278460</v>
      </c>
      <c r="G1699" s="621">
        <v>24.93</v>
      </c>
      <c r="H1699" s="615">
        <f t="shared" si="353"/>
        <v>6942007.7999999998</v>
      </c>
      <c r="I1699" s="614">
        <f t="shared" si="354"/>
        <v>6942007.7999999998</v>
      </c>
      <c r="J1699" s="379"/>
    </row>
    <row r="1700" spans="1:10" ht="23.4" x14ac:dyDescent="0.3">
      <c r="A1700" s="997"/>
      <c r="B1700" s="889"/>
      <c r="C1700" s="282" t="s">
        <v>469</v>
      </c>
      <c r="D1700" s="440" t="s">
        <v>404</v>
      </c>
      <c r="E1700" s="283">
        <v>0</v>
      </c>
      <c r="F1700" s="323">
        <f t="shared" si="352"/>
        <v>465426</v>
      </c>
      <c r="G1700" s="621">
        <v>24.93</v>
      </c>
      <c r="H1700" s="615">
        <f t="shared" si="353"/>
        <v>0</v>
      </c>
      <c r="I1700" s="614">
        <f t="shared" si="354"/>
        <v>11603070.18</v>
      </c>
      <c r="J1700" s="379"/>
    </row>
    <row r="1701" spans="1:10" ht="23.4" x14ac:dyDescent="0.3">
      <c r="A1701" s="997"/>
      <c r="B1701" s="889"/>
      <c r="C1701" s="282" t="s">
        <v>369</v>
      </c>
      <c r="D1701" s="440" t="s">
        <v>324</v>
      </c>
      <c r="E1701" s="283">
        <v>0</v>
      </c>
      <c r="F1701" s="323">
        <f t="shared" si="352"/>
        <v>1872</v>
      </c>
      <c r="G1701" s="621">
        <v>34.26</v>
      </c>
      <c r="H1701" s="615">
        <f t="shared" si="353"/>
        <v>0</v>
      </c>
      <c r="I1701" s="614">
        <f t="shared" si="354"/>
        <v>64134.719999999994</v>
      </c>
      <c r="J1701" s="379"/>
    </row>
    <row r="1702" spans="1:10" ht="23.4" x14ac:dyDescent="0.3">
      <c r="A1702" s="997"/>
      <c r="B1702" s="889"/>
      <c r="C1702" s="282" t="s">
        <v>507</v>
      </c>
      <c r="D1702" s="440" t="s">
        <v>294</v>
      </c>
      <c r="E1702" s="283">
        <v>3744</v>
      </c>
      <c r="F1702" s="898">
        <f>+E1702</f>
        <v>3744</v>
      </c>
      <c r="G1702" s="621">
        <v>37.89</v>
      </c>
      <c r="H1702" s="615">
        <f t="shared" si="353"/>
        <v>141860.16</v>
      </c>
      <c r="I1702" s="614">
        <f>+G1702*F1702</f>
        <v>141860.16</v>
      </c>
      <c r="J1702" s="379"/>
    </row>
    <row r="1703" spans="1:10" ht="23.4" x14ac:dyDescent="0.3">
      <c r="A1703" s="997"/>
      <c r="B1703" s="889"/>
      <c r="C1703" s="282" t="s">
        <v>475</v>
      </c>
      <c r="D1703" s="440" t="s">
        <v>404</v>
      </c>
      <c r="E1703" s="283">
        <v>0</v>
      </c>
      <c r="F1703" s="323">
        <f t="shared" ref="F1703:F1706" si="355">E1703+F1621</f>
        <v>13104</v>
      </c>
      <c r="G1703" s="621">
        <v>39</v>
      </c>
      <c r="H1703" s="615">
        <f t="shared" si="353"/>
        <v>0</v>
      </c>
      <c r="I1703" s="614">
        <f t="shared" si="354"/>
        <v>511056</v>
      </c>
      <c r="J1703" s="379"/>
    </row>
    <row r="1704" spans="1:10" ht="23.4" x14ac:dyDescent="0.3">
      <c r="A1704" s="997"/>
      <c r="B1704" s="889"/>
      <c r="C1704" s="282" t="s">
        <v>338</v>
      </c>
      <c r="D1704" s="440" t="s">
        <v>192</v>
      </c>
      <c r="E1704" s="283">
        <v>0</v>
      </c>
      <c r="F1704" s="323">
        <f t="shared" si="355"/>
        <v>123318</v>
      </c>
      <c r="G1704" s="621">
        <v>21.22</v>
      </c>
      <c r="H1704" s="615">
        <f t="shared" si="353"/>
        <v>0</v>
      </c>
      <c r="I1704" s="614">
        <f t="shared" si="354"/>
        <v>2616807.96</v>
      </c>
      <c r="J1704" s="379"/>
    </row>
    <row r="1705" spans="1:10" ht="23.4" x14ac:dyDescent="0.3">
      <c r="A1705" s="997"/>
      <c r="B1705" s="889"/>
      <c r="C1705" s="282" t="s">
        <v>507</v>
      </c>
      <c r="D1705" s="440" t="s">
        <v>508</v>
      </c>
      <c r="E1705" s="283">
        <v>20592</v>
      </c>
      <c r="F1705" s="898">
        <f t="shared" si="355"/>
        <v>20592</v>
      </c>
      <c r="G1705" s="621">
        <v>37.89</v>
      </c>
      <c r="H1705" s="615">
        <f t="shared" si="353"/>
        <v>780230.88</v>
      </c>
      <c r="I1705" s="614">
        <f t="shared" si="354"/>
        <v>780230.88</v>
      </c>
      <c r="J1705" s="379"/>
    </row>
    <row r="1706" spans="1:10" ht="23.4" x14ac:dyDescent="0.3">
      <c r="A1706" s="997"/>
      <c r="B1706" s="889"/>
      <c r="C1706" s="282" t="s">
        <v>507</v>
      </c>
      <c r="D1706" s="440" t="s">
        <v>511</v>
      </c>
      <c r="E1706" s="283">
        <v>10726</v>
      </c>
      <c r="F1706" s="898">
        <f t="shared" si="355"/>
        <v>10726</v>
      </c>
      <c r="G1706" s="621">
        <v>37.89</v>
      </c>
      <c r="H1706" s="615">
        <f t="shared" si="353"/>
        <v>406408.14</v>
      </c>
      <c r="I1706" s="614">
        <f t="shared" si="354"/>
        <v>406408.14</v>
      </c>
      <c r="J1706" s="379"/>
    </row>
    <row r="1707" spans="1:10" ht="23.4" x14ac:dyDescent="0.3">
      <c r="A1707" s="997"/>
      <c r="B1707" s="897"/>
      <c r="C1707" s="282" t="s">
        <v>507</v>
      </c>
      <c r="D1707" s="440" t="s">
        <v>511</v>
      </c>
      <c r="E1707" s="283">
        <v>1872</v>
      </c>
      <c r="F1707" s="898">
        <f>+E1707</f>
        <v>1872</v>
      </c>
      <c r="G1707" s="621">
        <v>37.11</v>
      </c>
      <c r="H1707" s="615">
        <f t="shared" si="353"/>
        <v>69469.919999999998</v>
      </c>
      <c r="I1707" s="614">
        <f t="shared" si="354"/>
        <v>69469.919999999998</v>
      </c>
      <c r="J1707" s="379"/>
    </row>
    <row r="1708" spans="1:10" ht="24" thickBot="1" x14ac:dyDescent="0.35">
      <c r="A1708" s="997"/>
      <c r="B1708" s="889"/>
      <c r="C1708" s="282" t="s">
        <v>343</v>
      </c>
      <c r="D1708" s="440" t="s">
        <v>344</v>
      </c>
      <c r="E1708" s="283">
        <v>0</v>
      </c>
      <c r="F1708" s="323">
        <f>E1708+F1625</f>
        <v>24234</v>
      </c>
      <c r="G1708" s="621">
        <v>360</v>
      </c>
      <c r="H1708" s="615">
        <f t="shared" si="353"/>
        <v>0</v>
      </c>
      <c r="I1708" s="614">
        <f t="shared" si="354"/>
        <v>8724240</v>
      </c>
      <c r="J1708" s="379"/>
    </row>
    <row r="1709" spans="1:10" ht="24" thickBot="1" x14ac:dyDescent="0.35">
      <c r="A1709" s="998"/>
      <c r="B1709" s="992" t="s">
        <v>297</v>
      </c>
      <c r="C1709" s="993"/>
      <c r="D1709" s="887"/>
      <c r="E1709" s="332"/>
      <c r="F1709" s="333"/>
      <c r="G1709" s="332"/>
      <c r="H1709" s="605"/>
      <c r="I1709" s="597">
        <f>SUM(I1688:I1708)</f>
        <v>85460444.839993253</v>
      </c>
      <c r="J1709" s="379"/>
    </row>
    <row r="1710" spans="1:10" ht="23.4" x14ac:dyDescent="0.3">
      <c r="A1710" s="996" t="s">
        <v>110</v>
      </c>
      <c r="B1710" s="889"/>
      <c r="C1710" s="282" t="s">
        <v>304</v>
      </c>
      <c r="D1710" s="440" t="s">
        <v>263</v>
      </c>
      <c r="E1710" s="899">
        <f>640+960+5000+2970+5000+5000+5000+1325+2760</f>
        <v>28655</v>
      </c>
      <c r="F1710" s="323">
        <f t="shared" ref="F1710:F1728" si="356">E1710+F1627</f>
        <v>53615</v>
      </c>
      <c r="G1710" s="621">
        <v>430.02</v>
      </c>
      <c r="H1710" s="611">
        <f>E1710*G1710</f>
        <v>12322223.1</v>
      </c>
      <c r="I1710" s="614">
        <f t="shared" ref="I1710:I1730" si="357">+G1710*F1710</f>
        <v>23055522.300000001</v>
      </c>
      <c r="J1710" s="379"/>
    </row>
    <row r="1711" spans="1:10" ht="23.4" x14ac:dyDescent="0.3">
      <c r="A1711" s="997"/>
      <c r="B1711" s="889"/>
      <c r="C1711" s="282" t="s">
        <v>305</v>
      </c>
      <c r="D1711" s="440" t="s">
        <v>263</v>
      </c>
      <c r="E1711" s="283">
        <v>0</v>
      </c>
      <c r="F1711" s="323">
        <f t="shared" si="356"/>
        <v>0</v>
      </c>
      <c r="G1711" s="621">
        <v>445.38</v>
      </c>
      <c r="H1711" s="611">
        <f t="shared" ref="H1711:H1730" si="358">E1711*G1711</f>
        <v>0</v>
      </c>
      <c r="I1711" s="614">
        <f t="shared" si="357"/>
        <v>0</v>
      </c>
      <c r="J1711" s="379"/>
    </row>
    <row r="1712" spans="1:10" ht="23.4" x14ac:dyDescent="0.3">
      <c r="A1712" s="997"/>
      <c r="B1712" s="889"/>
      <c r="C1712" s="282" t="s">
        <v>341</v>
      </c>
      <c r="D1712" s="440" t="s">
        <v>263</v>
      </c>
      <c r="E1712" s="283">
        <v>0</v>
      </c>
      <c r="F1712" s="323">
        <f t="shared" si="356"/>
        <v>0</v>
      </c>
      <c r="G1712" s="621">
        <v>63.55</v>
      </c>
      <c r="H1712" s="611">
        <f t="shared" si="358"/>
        <v>0</v>
      </c>
      <c r="I1712" s="614">
        <f t="shared" si="357"/>
        <v>0</v>
      </c>
      <c r="J1712" s="379"/>
    </row>
    <row r="1713" spans="1:10" ht="23.4" x14ac:dyDescent="0.3">
      <c r="A1713" s="997"/>
      <c r="B1713" s="889"/>
      <c r="C1713" s="282" t="s">
        <v>306</v>
      </c>
      <c r="D1713" s="440" t="s">
        <v>263</v>
      </c>
      <c r="E1713" s="899">
        <f>25200+25200+3444+25200+22920+2200+25200+5000</f>
        <v>134364</v>
      </c>
      <c r="F1713" s="323">
        <f t="shared" si="356"/>
        <v>574584</v>
      </c>
      <c r="G1713" s="621">
        <v>71.44</v>
      </c>
      <c r="H1713" s="611">
        <f t="shared" si="358"/>
        <v>9598964.1600000001</v>
      </c>
      <c r="I1713" s="614">
        <f t="shared" si="357"/>
        <v>41048280.960000001</v>
      </c>
      <c r="J1713" s="379"/>
    </row>
    <row r="1714" spans="1:10" ht="23.4" x14ac:dyDescent="0.3">
      <c r="A1714" s="997"/>
      <c r="B1714" s="889"/>
      <c r="C1714" s="282" t="s">
        <v>307</v>
      </c>
      <c r="D1714" s="440" t="s">
        <v>263</v>
      </c>
      <c r="E1714" s="283">
        <v>0</v>
      </c>
      <c r="F1714" s="323">
        <f t="shared" si="356"/>
        <v>0</v>
      </c>
      <c r="G1714" s="621">
        <v>36.5</v>
      </c>
      <c r="H1714" s="611">
        <f t="shared" si="358"/>
        <v>0</v>
      </c>
      <c r="I1714" s="614">
        <f t="shared" si="357"/>
        <v>0</v>
      </c>
      <c r="J1714" s="379"/>
    </row>
    <row r="1715" spans="1:10" ht="23.4" x14ac:dyDescent="0.3">
      <c r="A1715" s="997"/>
      <c r="B1715" s="889"/>
      <c r="C1715" s="282" t="s">
        <v>316</v>
      </c>
      <c r="D1715" s="440" t="s">
        <v>263</v>
      </c>
      <c r="E1715" s="899">
        <f>1600+5600+3380+800</f>
        <v>11380</v>
      </c>
      <c r="F1715" s="323">
        <f t="shared" si="356"/>
        <v>15980</v>
      </c>
      <c r="G1715" s="621">
        <v>320.35000000000002</v>
      </c>
      <c r="H1715" s="611">
        <f t="shared" si="358"/>
        <v>3645583.0000000005</v>
      </c>
      <c r="I1715" s="614">
        <f t="shared" si="357"/>
        <v>5119193</v>
      </c>
      <c r="J1715" s="379"/>
    </row>
    <row r="1716" spans="1:10" ht="23.4" x14ac:dyDescent="0.3">
      <c r="A1716" s="997"/>
      <c r="B1716" s="889"/>
      <c r="C1716" s="282" t="s">
        <v>333</v>
      </c>
      <c r="D1716" s="440" t="s">
        <v>263</v>
      </c>
      <c r="E1716" s="283">
        <v>0</v>
      </c>
      <c r="F1716" s="323">
        <f t="shared" si="356"/>
        <v>0</v>
      </c>
      <c r="G1716" s="621">
        <v>434.41</v>
      </c>
      <c r="H1716" s="611">
        <f t="shared" si="358"/>
        <v>0</v>
      </c>
      <c r="I1716" s="614">
        <f t="shared" si="357"/>
        <v>0</v>
      </c>
      <c r="J1716" s="379"/>
    </row>
    <row r="1717" spans="1:10" ht="23.4" x14ac:dyDescent="0.3">
      <c r="A1717" s="997"/>
      <c r="B1717" s="889"/>
      <c r="C1717" s="282" t="s">
        <v>313</v>
      </c>
      <c r="D1717" s="440" t="s">
        <v>263</v>
      </c>
      <c r="E1717" s="283">
        <v>0</v>
      </c>
      <c r="F1717" s="323">
        <f t="shared" si="356"/>
        <v>5</v>
      </c>
      <c r="G1717" s="621">
        <v>29690</v>
      </c>
      <c r="H1717" s="611">
        <f t="shared" si="358"/>
        <v>0</v>
      </c>
      <c r="I1717" s="614">
        <f t="shared" si="357"/>
        <v>148450</v>
      </c>
      <c r="J1717" s="379"/>
    </row>
    <row r="1718" spans="1:10" ht="23.4" x14ac:dyDescent="0.3">
      <c r="A1718" s="997"/>
      <c r="B1718" s="889"/>
      <c r="C1718" s="282" t="s">
        <v>313</v>
      </c>
      <c r="D1718" s="440" t="s">
        <v>263</v>
      </c>
      <c r="E1718" s="283">
        <v>6</v>
      </c>
      <c r="F1718" s="323">
        <f t="shared" si="356"/>
        <v>8</v>
      </c>
      <c r="G1718" s="621">
        <v>26445</v>
      </c>
      <c r="H1718" s="611">
        <f t="shared" si="358"/>
        <v>158670</v>
      </c>
      <c r="I1718" s="614">
        <f t="shared" si="357"/>
        <v>211560</v>
      </c>
      <c r="J1718" s="379"/>
    </row>
    <row r="1719" spans="1:10" ht="23.4" x14ac:dyDescent="0.3">
      <c r="A1719" s="997"/>
      <c r="B1719" s="889"/>
      <c r="C1719" s="282" t="s">
        <v>354</v>
      </c>
      <c r="D1719" s="440" t="s">
        <v>401</v>
      </c>
      <c r="E1719" s="283">
        <v>0</v>
      </c>
      <c r="F1719" s="323">
        <f t="shared" si="356"/>
        <v>3750</v>
      </c>
      <c r="G1719" s="621">
        <v>50</v>
      </c>
      <c r="H1719" s="611">
        <f t="shared" si="358"/>
        <v>0</v>
      </c>
      <c r="I1719" s="614">
        <f t="shared" si="357"/>
        <v>187500</v>
      </c>
      <c r="J1719" s="379"/>
    </row>
    <row r="1720" spans="1:10" ht="23.4" x14ac:dyDescent="0.3">
      <c r="A1720" s="997"/>
      <c r="B1720" s="889"/>
      <c r="C1720" s="282" t="s">
        <v>354</v>
      </c>
      <c r="D1720" s="440" t="s">
        <v>401</v>
      </c>
      <c r="E1720" s="283">
        <v>0</v>
      </c>
      <c r="F1720" s="323">
        <f t="shared" si="356"/>
        <v>5267</v>
      </c>
      <c r="G1720" s="621">
        <v>45</v>
      </c>
      <c r="H1720" s="611">
        <f t="shared" si="358"/>
        <v>0</v>
      </c>
      <c r="I1720" s="614">
        <f t="shared" si="357"/>
        <v>237015</v>
      </c>
      <c r="J1720" s="379"/>
    </row>
    <row r="1721" spans="1:10" ht="23.4" x14ac:dyDescent="0.3">
      <c r="A1721" s="997"/>
      <c r="B1721" s="889"/>
      <c r="C1721" s="282" t="s">
        <v>386</v>
      </c>
      <c r="D1721" s="440" t="s">
        <v>494</v>
      </c>
      <c r="E1721" s="283">
        <v>0</v>
      </c>
      <c r="F1721" s="323">
        <f t="shared" si="356"/>
        <v>3658</v>
      </c>
      <c r="G1721" s="621">
        <v>57.64</v>
      </c>
      <c r="H1721" s="611">
        <f t="shared" si="358"/>
        <v>0</v>
      </c>
      <c r="I1721" s="614">
        <f t="shared" si="357"/>
        <v>210847.12</v>
      </c>
      <c r="J1721" s="379"/>
    </row>
    <row r="1722" spans="1:10" ht="23.4" x14ac:dyDescent="0.3">
      <c r="A1722" s="997"/>
      <c r="B1722" s="889"/>
      <c r="C1722" s="282" t="s">
        <v>386</v>
      </c>
      <c r="D1722" s="440" t="s">
        <v>481</v>
      </c>
      <c r="E1722" s="283">
        <v>0</v>
      </c>
      <c r="F1722" s="323">
        <f t="shared" si="356"/>
        <v>100</v>
      </c>
      <c r="G1722" s="621">
        <v>57.64</v>
      </c>
      <c r="H1722" s="611">
        <f t="shared" si="358"/>
        <v>0</v>
      </c>
      <c r="I1722" s="614">
        <f t="shared" si="357"/>
        <v>5764</v>
      </c>
      <c r="J1722" s="379"/>
    </row>
    <row r="1723" spans="1:10" ht="23.4" x14ac:dyDescent="0.3">
      <c r="A1723" s="997"/>
      <c r="B1723" s="889"/>
      <c r="C1723" s="282" t="s">
        <v>388</v>
      </c>
      <c r="D1723" s="440" t="s">
        <v>389</v>
      </c>
      <c r="E1723" s="283">
        <v>0</v>
      </c>
      <c r="F1723" s="284">
        <f t="shared" si="356"/>
        <v>2560</v>
      </c>
      <c r="G1723" s="621">
        <v>434.41</v>
      </c>
      <c r="H1723" s="611">
        <f t="shared" si="358"/>
        <v>0</v>
      </c>
      <c r="I1723" s="614">
        <f t="shared" si="357"/>
        <v>1112089.6000000001</v>
      </c>
      <c r="J1723" s="379"/>
    </row>
    <row r="1724" spans="1:10" ht="23.4" x14ac:dyDescent="0.3">
      <c r="A1724" s="997"/>
      <c r="B1724" s="889"/>
      <c r="C1724" s="282" t="s">
        <v>419</v>
      </c>
      <c r="D1724" s="440" t="s">
        <v>263</v>
      </c>
      <c r="E1724" s="283">
        <v>0</v>
      </c>
      <c r="F1724" s="284">
        <f t="shared" si="356"/>
        <v>9280</v>
      </c>
      <c r="G1724" s="621">
        <v>624.26</v>
      </c>
      <c r="H1724" s="611">
        <f t="shared" si="358"/>
        <v>0</v>
      </c>
      <c r="I1724" s="614">
        <f t="shared" si="357"/>
        <v>5793132.7999999998</v>
      </c>
      <c r="J1724" s="379"/>
    </row>
    <row r="1725" spans="1:10" ht="23.4" x14ac:dyDescent="0.3">
      <c r="A1725" s="997"/>
      <c r="B1725" s="889"/>
      <c r="C1725" s="282" t="s">
        <v>390</v>
      </c>
      <c r="D1725" s="440" t="s">
        <v>389</v>
      </c>
      <c r="E1725" s="283">
        <v>0</v>
      </c>
      <c r="F1725" s="323">
        <f t="shared" si="356"/>
        <v>7200</v>
      </c>
      <c r="G1725" s="621">
        <v>63.55</v>
      </c>
      <c r="H1725" s="611">
        <f t="shared" si="358"/>
        <v>0</v>
      </c>
      <c r="I1725" s="614">
        <f t="shared" si="357"/>
        <v>457560</v>
      </c>
      <c r="J1725" s="379"/>
    </row>
    <row r="1726" spans="1:10" ht="23.4" x14ac:dyDescent="0.3">
      <c r="A1726" s="997"/>
      <c r="B1726" s="889"/>
      <c r="C1726" s="282" t="s">
        <v>391</v>
      </c>
      <c r="D1726" s="440" t="s">
        <v>389</v>
      </c>
      <c r="E1726" s="283">
        <v>0</v>
      </c>
      <c r="F1726" s="323">
        <f t="shared" si="356"/>
        <v>8640</v>
      </c>
      <c r="G1726" s="621">
        <v>53.86</v>
      </c>
      <c r="H1726" s="611">
        <f t="shared" si="358"/>
        <v>0</v>
      </c>
      <c r="I1726" s="614">
        <f t="shared" si="357"/>
        <v>465350.40000000002</v>
      </c>
      <c r="J1726" s="379"/>
    </row>
    <row r="1727" spans="1:10" ht="23.4" x14ac:dyDescent="0.3">
      <c r="A1727" s="997"/>
      <c r="B1727" s="889"/>
      <c r="C1727" s="282" t="s">
        <v>432</v>
      </c>
      <c r="D1727" s="440" t="s">
        <v>401</v>
      </c>
      <c r="E1727" s="283">
        <v>0</v>
      </c>
      <c r="F1727" s="323">
        <f t="shared" si="356"/>
        <v>2307</v>
      </c>
      <c r="G1727" s="621">
        <v>45</v>
      </c>
      <c r="H1727" s="611">
        <f t="shared" si="358"/>
        <v>0</v>
      </c>
      <c r="I1727" s="614">
        <f t="shared" si="357"/>
        <v>103815</v>
      </c>
      <c r="J1727" s="379"/>
    </row>
    <row r="1728" spans="1:10" ht="23.4" x14ac:dyDescent="0.3">
      <c r="A1728" s="997"/>
      <c r="B1728" s="889"/>
      <c r="C1728" s="282" t="s">
        <v>313</v>
      </c>
      <c r="D1728" s="440"/>
      <c r="E1728" s="283">
        <v>7</v>
      </c>
      <c r="F1728" s="323">
        <f t="shared" si="356"/>
        <v>8</v>
      </c>
      <c r="G1728" s="621">
        <v>39450</v>
      </c>
      <c r="H1728" s="611">
        <f t="shared" si="358"/>
        <v>276150</v>
      </c>
      <c r="I1728" s="614">
        <f t="shared" si="357"/>
        <v>315600</v>
      </c>
      <c r="J1728" s="379"/>
    </row>
    <row r="1729" spans="1:10" ht="23.4" x14ac:dyDescent="0.3">
      <c r="A1729" s="997"/>
      <c r="B1729" s="896"/>
      <c r="C1729" s="282" t="s">
        <v>402</v>
      </c>
      <c r="D1729" s="440" t="s">
        <v>501</v>
      </c>
      <c r="E1729" s="899">
        <v>30400</v>
      </c>
      <c r="F1729" s="323">
        <f>+E1729</f>
        <v>30400</v>
      </c>
      <c r="G1729" s="621">
        <v>10</v>
      </c>
      <c r="H1729" s="611">
        <f t="shared" si="358"/>
        <v>304000</v>
      </c>
      <c r="I1729" s="614">
        <f t="shared" si="357"/>
        <v>304000</v>
      </c>
      <c r="J1729" s="379"/>
    </row>
    <row r="1730" spans="1:10" ht="24" thickBot="1" x14ac:dyDescent="0.35">
      <c r="A1730" s="997"/>
      <c r="B1730" s="889"/>
      <c r="C1730" s="282" t="s">
        <v>386</v>
      </c>
      <c r="D1730" s="440" t="s">
        <v>263</v>
      </c>
      <c r="E1730" s="283">
        <v>0</v>
      </c>
      <c r="F1730" s="323">
        <f>E1730+F1646</f>
        <v>2000</v>
      </c>
      <c r="G1730" s="621">
        <v>57.64</v>
      </c>
      <c r="H1730" s="611">
        <f t="shared" si="358"/>
        <v>0</v>
      </c>
      <c r="I1730" s="614">
        <f t="shared" si="357"/>
        <v>115280</v>
      </c>
      <c r="J1730" s="379"/>
    </row>
    <row r="1731" spans="1:10" ht="24" thickBot="1" x14ac:dyDescent="0.35">
      <c r="A1731" s="998"/>
      <c r="B1731" s="992" t="s">
        <v>299</v>
      </c>
      <c r="C1731" s="993"/>
      <c r="D1731" s="887"/>
      <c r="E1731" s="332"/>
      <c r="F1731" s="333"/>
      <c r="G1731" s="332"/>
      <c r="H1731" s="608">
        <f>SUM(H1710:H1730)</f>
        <v>26305590.259999998</v>
      </c>
      <c r="I1731" s="597">
        <f>SUM(I1710:I1730)</f>
        <v>78890960.180000007</v>
      </c>
      <c r="J1731" s="378"/>
    </row>
    <row r="1732" spans="1:10" ht="24" thickBot="1" x14ac:dyDescent="0.35">
      <c r="A1732" s="894"/>
      <c r="B1732" s="443"/>
      <c r="C1732" s="282"/>
      <c r="D1732" s="440"/>
      <c r="E1732" s="283"/>
      <c r="F1732" s="284"/>
      <c r="G1732" s="340"/>
      <c r="H1732" s="607"/>
      <c r="I1732" s="285"/>
      <c r="J1732" s="379"/>
    </row>
    <row r="1733" spans="1:10" ht="24" thickBot="1" x14ac:dyDescent="0.35">
      <c r="A1733" s="894"/>
      <c r="B1733" s="992" t="s">
        <v>243</v>
      </c>
      <c r="C1733" s="993"/>
      <c r="D1733" s="890"/>
      <c r="E1733" s="332"/>
      <c r="F1733" s="333"/>
      <c r="G1733" s="332"/>
      <c r="H1733" s="605"/>
      <c r="I1733" s="330"/>
      <c r="J1733" s="355"/>
    </row>
    <row r="1734" spans="1:10" ht="24.6" thickBot="1" x14ac:dyDescent="0.35">
      <c r="A1734" s="325"/>
      <c r="B1734" s="994" t="s">
        <v>183</v>
      </c>
      <c r="C1734" s="995"/>
      <c r="D1734" s="891"/>
      <c r="E1734" s="380"/>
      <c r="F1734" s="380"/>
      <c r="G1734" s="380"/>
      <c r="H1734" s="380"/>
      <c r="I1734" s="380">
        <f>+I1731+I1709+I1687</f>
        <v>291268259.00999326</v>
      </c>
      <c r="J1734" s="381"/>
    </row>
  </sheetData>
  <mergeCells count="505">
    <mergeCell ref="B1649:C1649"/>
    <mergeCell ref="B1650:C1650"/>
    <mergeCell ref="A1573:A1605"/>
    <mergeCell ref="B1587:C1587"/>
    <mergeCell ref="B1599:C1599"/>
    <mergeCell ref="B1603:C1603"/>
    <mergeCell ref="B1605:C1605"/>
    <mergeCell ref="A1606:A1626"/>
    <mergeCell ref="B1626:C1626"/>
    <mergeCell ref="A1627:A1647"/>
    <mergeCell ref="B1647:C1647"/>
    <mergeCell ref="A1569:A1572"/>
    <mergeCell ref="B1569:B1572"/>
    <mergeCell ref="C1569:C1572"/>
    <mergeCell ref="D1569:D1572"/>
    <mergeCell ref="E1569:J1569"/>
    <mergeCell ref="E1570:F1570"/>
    <mergeCell ref="G1570:J1570"/>
    <mergeCell ref="E1571:E1572"/>
    <mergeCell ref="F1571:F1572"/>
    <mergeCell ref="G1571:G1572"/>
    <mergeCell ref="H1571:H1572"/>
    <mergeCell ref="I1571:I1572"/>
    <mergeCell ref="J1571:J1572"/>
    <mergeCell ref="B1567:C1567"/>
    <mergeCell ref="B1568:C1568"/>
    <mergeCell ref="A1491:A1523"/>
    <mergeCell ref="B1505:C1505"/>
    <mergeCell ref="B1517:C1517"/>
    <mergeCell ref="B1521:C1521"/>
    <mergeCell ref="B1523:C1523"/>
    <mergeCell ref="A1524:A1544"/>
    <mergeCell ref="B1544:C1544"/>
    <mergeCell ref="A1545:A1565"/>
    <mergeCell ref="B1565:C1565"/>
    <mergeCell ref="A1487:A1490"/>
    <mergeCell ref="B1487:B1490"/>
    <mergeCell ref="C1487:C1490"/>
    <mergeCell ref="D1487:D1490"/>
    <mergeCell ref="E1487:J1487"/>
    <mergeCell ref="E1488:F1488"/>
    <mergeCell ref="G1488:J1488"/>
    <mergeCell ref="E1489:E1490"/>
    <mergeCell ref="F1489:F1490"/>
    <mergeCell ref="G1489:G1490"/>
    <mergeCell ref="H1489:H1490"/>
    <mergeCell ref="I1489:I1490"/>
    <mergeCell ref="J1489:J1490"/>
    <mergeCell ref="B1485:C1485"/>
    <mergeCell ref="B1486:C1486"/>
    <mergeCell ref="A1409:A1441"/>
    <mergeCell ref="B1423:C1423"/>
    <mergeCell ref="B1435:C1435"/>
    <mergeCell ref="B1439:C1439"/>
    <mergeCell ref="B1441:C1441"/>
    <mergeCell ref="A1442:A1462"/>
    <mergeCell ref="B1462:C1462"/>
    <mergeCell ref="A1463:A1483"/>
    <mergeCell ref="B1483:C1483"/>
    <mergeCell ref="A1405:A1408"/>
    <mergeCell ref="B1405:B1408"/>
    <mergeCell ref="C1405:C1408"/>
    <mergeCell ref="D1405:D1408"/>
    <mergeCell ref="E1405:J1405"/>
    <mergeCell ref="E1406:F1406"/>
    <mergeCell ref="G1406:J1406"/>
    <mergeCell ref="E1407:E1408"/>
    <mergeCell ref="F1407:F1408"/>
    <mergeCell ref="G1407:G1408"/>
    <mergeCell ref="H1407:H1408"/>
    <mergeCell ref="I1407:I1408"/>
    <mergeCell ref="J1407:J1408"/>
    <mergeCell ref="B1403:C1403"/>
    <mergeCell ref="B1404:C1404"/>
    <mergeCell ref="A1327:A1359"/>
    <mergeCell ref="B1341:C1341"/>
    <mergeCell ref="B1353:C1353"/>
    <mergeCell ref="B1357:C1357"/>
    <mergeCell ref="B1359:C1359"/>
    <mergeCell ref="A1360:A1380"/>
    <mergeCell ref="B1380:C1380"/>
    <mergeCell ref="A1381:A1401"/>
    <mergeCell ref="B1401:C1401"/>
    <mergeCell ref="A1323:A1326"/>
    <mergeCell ref="B1323:B1326"/>
    <mergeCell ref="C1323:C1326"/>
    <mergeCell ref="D1323:D1326"/>
    <mergeCell ref="E1323:J1323"/>
    <mergeCell ref="E1324:F1324"/>
    <mergeCell ref="G1324:J1324"/>
    <mergeCell ref="E1325:E1326"/>
    <mergeCell ref="F1325:F1326"/>
    <mergeCell ref="G1325:G1326"/>
    <mergeCell ref="H1325:H1326"/>
    <mergeCell ref="I1325:I1326"/>
    <mergeCell ref="J1325:J1326"/>
    <mergeCell ref="B1239:C1239"/>
    <mergeCell ref="B1240:C1240"/>
    <mergeCell ref="A1163:A1195"/>
    <mergeCell ref="B1177:C1177"/>
    <mergeCell ref="B1189:C1189"/>
    <mergeCell ref="B1193:C1193"/>
    <mergeCell ref="B1195:C1195"/>
    <mergeCell ref="A1196:A1216"/>
    <mergeCell ref="B1216:C1216"/>
    <mergeCell ref="A1217:A1237"/>
    <mergeCell ref="B1237:C1237"/>
    <mergeCell ref="A1159:A1162"/>
    <mergeCell ref="B1159:B1162"/>
    <mergeCell ref="C1159:C1162"/>
    <mergeCell ref="D1159:D1162"/>
    <mergeCell ref="E1159:J1159"/>
    <mergeCell ref="E1160:F1160"/>
    <mergeCell ref="G1160:J1160"/>
    <mergeCell ref="E1161:E1162"/>
    <mergeCell ref="F1161:F1162"/>
    <mergeCell ref="G1161:G1162"/>
    <mergeCell ref="H1161:H1162"/>
    <mergeCell ref="I1161:I1162"/>
    <mergeCell ref="J1161:J1162"/>
    <mergeCell ref="B1075:C1075"/>
    <mergeCell ref="B1076:C1076"/>
    <mergeCell ref="A999:A1031"/>
    <mergeCell ref="B1013:C1013"/>
    <mergeCell ref="B1025:C1025"/>
    <mergeCell ref="B1029:C1029"/>
    <mergeCell ref="B1031:C1031"/>
    <mergeCell ref="A1032:A1052"/>
    <mergeCell ref="B1052:C1052"/>
    <mergeCell ref="A1053:A1073"/>
    <mergeCell ref="B1073:C1073"/>
    <mergeCell ref="A995:A998"/>
    <mergeCell ref="B995:B998"/>
    <mergeCell ref="C995:C998"/>
    <mergeCell ref="D995:D998"/>
    <mergeCell ref="E995:J995"/>
    <mergeCell ref="E996:F996"/>
    <mergeCell ref="G996:J996"/>
    <mergeCell ref="E997:E998"/>
    <mergeCell ref="F997:F998"/>
    <mergeCell ref="G997:G998"/>
    <mergeCell ref="H997:H998"/>
    <mergeCell ref="I997:I998"/>
    <mergeCell ref="J997:J998"/>
    <mergeCell ref="B829:C829"/>
    <mergeCell ref="B830:C830"/>
    <mergeCell ref="A753:A785"/>
    <mergeCell ref="B767:C767"/>
    <mergeCell ref="B779:C779"/>
    <mergeCell ref="B783:C783"/>
    <mergeCell ref="B785:C785"/>
    <mergeCell ref="A786:A806"/>
    <mergeCell ref="B806:C806"/>
    <mergeCell ref="A807:A827"/>
    <mergeCell ref="B827:C827"/>
    <mergeCell ref="A749:A752"/>
    <mergeCell ref="B749:B752"/>
    <mergeCell ref="C749:C752"/>
    <mergeCell ref="D749:D752"/>
    <mergeCell ref="E749:J749"/>
    <mergeCell ref="E750:F750"/>
    <mergeCell ref="G750:J750"/>
    <mergeCell ref="E751:E752"/>
    <mergeCell ref="F751:F752"/>
    <mergeCell ref="G751:G752"/>
    <mergeCell ref="H751:H752"/>
    <mergeCell ref="I751:I752"/>
    <mergeCell ref="J751:J752"/>
    <mergeCell ref="B747:C747"/>
    <mergeCell ref="B748:C748"/>
    <mergeCell ref="A671:A703"/>
    <mergeCell ref="B685:C685"/>
    <mergeCell ref="B697:C697"/>
    <mergeCell ref="B701:C701"/>
    <mergeCell ref="B703:C703"/>
    <mergeCell ref="A704:A724"/>
    <mergeCell ref="B724:C724"/>
    <mergeCell ref="A725:A745"/>
    <mergeCell ref="B745:C745"/>
    <mergeCell ref="A667:A670"/>
    <mergeCell ref="B667:B670"/>
    <mergeCell ref="C667:C670"/>
    <mergeCell ref="D667:D670"/>
    <mergeCell ref="E667:J667"/>
    <mergeCell ref="E668:F668"/>
    <mergeCell ref="G668:J668"/>
    <mergeCell ref="E669:E670"/>
    <mergeCell ref="F669:F670"/>
    <mergeCell ref="G669:G670"/>
    <mergeCell ref="H669:H670"/>
    <mergeCell ref="I669:I670"/>
    <mergeCell ref="J669:J670"/>
    <mergeCell ref="B665:C665"/>
    <mergeCell ref="B666:C666"/>
    <mergeCell ref="A589:A621"/>
    <mergeCell ref="B603:C603"/>
    <mergeCell ref="B615:C615"/>
    <mergeCell ref="B619:C619"/>
    <mergeCell ref="B621:C621"/>
    <mergeCell ref="A622:A642"/>
    <mergeCell ref="B642:C642"/>
    <mergeCell ref="A643:A663"/>
    <mergeCell ref="B663:C663"/>
    <mergeCell ref="A585:A588"/>
    <mergeCell ref="B585:B588"/>
    <mergeCell ref="C585:C588"/>
    <mergeCell ref="D585:D588"/>
    <mergeCell ref="E585:J585"/>
    <mergeCell ref="E586:F586"/>
    <mergeCell ref="G586:J586"/>
    <mergeCell ref="E587:E588"/>
    <mergeCell ref="F587:F588"/>
    <mergeCell ref="G587:G588"/>
    <mergeCell ref="H587:H588"/>
    <mergeCell ref="I587:I588"/>
    <mergeCell ref="J587:J588"/>
    <mergeCell ref="B583:C583"/>
    <mergeCell ref="B584:C584"/>
    <mergeCell ref="A507:A539"/>
    <mergeCell ref="B521:C521"/>
    <mergeCell ref="B533:C533"/>
    <mergeCell ref="B537:C537"/>
    <mergeCell ref="B539:C539"/>
    <mergeCell ref="A540:A560"/>
    <mergeCell ref="B560:C560"/>
    <mergeCell ref="A561:A581"/>
    <mergeCell ref="B581:C581"/>
    <mergeCell ref="A503:A506"/>
    <mergeCell ref="B503:B506"/>
    <mergeCell ref="C503:C506"/>
    <mergeCell ref="D503:D506"/>
    <mergeCell ref="E503:J503"/>
    <mergeCell ref="E504:F504"/>
    <mergeCell ref="G504:J504"/>
    <mergeCell ref="E505:E506"/>
    <mergeCell ref="F505:F506"/>
    <mergeCell ref="G505:G506"/>
    <mergeCell ref="H505:H506"/>
    <mergeCell ref="I505:I506"/>
    <mergeCell ref="J505:J506"/>
    <mergeCell ref="B501:C501"/>
    <mergeCell ref="B502:C502"/>
    <mergeCell ref="A425:A457"/>
    <mergeCell ref="B439:C439"/>
    <mergeCell ref="B451:C451"/>
    <mergeCell ref="B455:C455"/>
    <mergeCell ref="B457:C457"/>
    <mergeCell ref="A458:A478"/>
    <mergeCell ref="B478:C478"/>
    <mergeCell ref="A479:A499"/>
    <mergeCell ref="B499:C499"/>
    <mergeCell ref="A421:A424"/>
    <mergeCell ref="B421:B424"/>
    <mergeCell ref="C421:C424"/>
    <mergeCell ref="D421:D424"/>
    <mergeCell ref="E421:J421"/>
    <mergeCell ref="E422:F422"/>
    <mergeCell ref="G422:J422"/>
    <mergeCell ref="E423:E424"/>
    <mergeCell ref="F423:F424"/>
    <mergeCell ref="G423:G424"/>
    <mergeCell ref="H423:H424"/>
    <mergeCell ref="I423:I424"/>
    <mergeCell ref="J423:J424"/>
    <mergeCell ref="A179:A211"/>
    <mergeCell ref="B193:C193"/>
    <mergeCell ref="B205:C205"/>
    <mergeCell ref="B209:C209"/>
    <mergeCell ref="B211:C211"/>
    <mergeCell ref="B256:C256"/>
    <mergeCell ref="A212:A232"/>
    <mergeCell ref="B232:C232"/>
    <mergeCell ref="A233:A253"/>
    <mergeCell ref="B253:C253"/>
    <mergeCell ref="B255:C255"/>
    <mergeCell ref="A175:A178"/>
    <mergeCell ref="B175:B178"/>
    <mergeCell ref="C175:C178"/>
    <mergeCell ref="D175:D178"/>
    <mergeCell ref="E175:J175"/>
    <mergeCell ref="E176:F176"/>
    <mergeCell ref="G176:J176"/>
    <mergeCell ref="E177:E178"/>
    <mergeCell ref="F177:F178"/>
    <mergeCell ref="G177:G178"/>
    <mergeCell ref="H177:H178"/>
    <mergeCell ref="I177:I178"/>
    <mergeCell ref="J177:J178"/>
    <mergeCell ref="A97:A129"/>
    <mergeCell ref="B111:C111"/>
    <mergeCell ref="B123:C123"/>
    <mergeCell ref="B127:C127"/>
    <mergeCell ref="B129:C129"/>
    <mergeCell ref="B174:C174"/>
    <mergeCell ref="A130:A150"/>
    <mergeCell ref="B150:C150"/>
    <mergeCell ref="A151:A171"/>
    <mergeCell ref="B171:C171"/>
    <mergeCell ref="B173:C173"/>
    <mergeCell ref="A93:A96"/>
    <mergeCell ref="B93:B96"/>
    <mergeCell ref="C93:C96"/>
    <mergeCell ref="D93:D96"/>
    <mergeCell ref="E93:J93"/>
    <mergeCell ref="E94:F94"/>
    <mergeCell ref="G94:J94"/>
    <mergeCell ref="E95:E96"/>
    <mergeCell ref="F95:F96"/>
    <mergeCell ref="G95:G96"/>
    <mergeCell ref="H95:H96"/>
    <mergeCell ref="I95:I96"/>
    <mergeCell ref="J95:J96"/>
    <mergeCell ref="B91:C91"/>
    <mergeCell ref="B92:C92"/>
    <mergeCell ref="A15:A47"/>
    <mergeCell ref="B29:C29"/>
    <mergeCell ref="B41:C41"/>
    <mergeCell ref="B45:C45"/>
    <mergeCell ref="B47:C47"/>
    <mergeCell ref="A48:A68"/>
    <mergeCell ref="B68:C68"/>
    <mergeCell ref="A69:A89"/>
    <mergeCell ref="B89:C89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A257:A260"/>
    <mergeCell ref="B257:B260"/>
    <mergeCell ref="C257:C260"/>
    <mergeCell ref="D257:D260"/>
    <mergeCell ref="E257:J257"/>
    <mergeCell ref="E258:F258"/>
    <mergeCell ref="G258:J258"/>
    <mergeCell ref="E259:E260"/>
    <mergeCell ref="F259:F260"/>
    <mergeCell ref="G259:G260"/>
    <mergeCell ref="H259:H260"/>
    <mergeCell ref="I259:I260"/>
    <mergeCell ref="J259:J260"/>
    <mergeCell ref="B338:C338"/>
    <mergeCell ref="A294:A314"/>
    <mergeCell ref="B314:C314"/>
    <mergeCell ref="A315:A335"/>
    <mergeCell ref="B335:C335"/>
    <mergeCell ref="B337:C337"/>
    <mergeCell ref="A261:A293"/>
    <mergeCell ref="B275:C275"/>
    <mergeCell ref="B287:C287"/>
    <mergeCell ref="B291:C291"/>
    <mergeCell ref="B293:C293"/>
    <mergeCell ref="A339:A342"/>
    <mergeCell ref="B339:B342"/>
    <mergeCell ref="C339:C342"/>
    <mergeCell ref="D339:D342"/>
    <mergeCell ref="E339:J339"/>
    <mergeCell ref="E340:F340"/>
    <mergeCell ref="G340:J340"/>
    <mergeCell ref="E341:E342"/>
    <mergeCell ref="F341:F342"/>
    <mergeCell ref="G341:G342"/>
    <mergeCell ref="H341:H342"/>
    <mergeCell ref="I341:I342"/>
    <mergeCell ref="J341:J342"/>
    <mergeCell ref="B420:C420"/>
    <mergeCell ref="A376:A396"/>
    <mergeCell ref="B396:C396"/>
    <mergeCell ref="A397:A417"/>
    <mergeCell ref="B417:C417"/>
    <mergeCell ref="B419:C419"/>
    <mergeCell ref="A343:A375"/>
    <mergeCell ref="B357:C357"/>
    <mergeCell ref="B369:C369"/>
    <mergeCell ref="B373:C373"/>
    <mergeCell ref="B375:C375"/>
    <mergeCell ref="A831:A834"/>
    <mergeCell ref="B831:B834"/>
    <mergeCell ref="C831:C834"/>
    <mergeCell ref="D831:D834"/>
    <mergeCell ref="E831:J831"/>
    <mergeCell ref="E832:F832"/>
    <mergeCell ref="G832:J832"/>
    <mergeCell ref="E833:E834"/>
    <mergeCell ref="F833:F834"/>
    <mergeCell ref="G833:G834"/>
    <mergeCell ref="H833:H834"/>
    <mergeCell ref="I833:I834"/>
    <mergeCell ref="J833:J834"/>
    <mergeCell ref="B911:C911"/>
    <mergeCell ref="B912:C912"/>
    <mergeCell ref="A835:A867"/>
    <mergeCell ref="B849:C849"/>
    <mergeCell ref="B861:C861"/>
    <mergeCell ref="B865:C865"/>
    <mergeCell ref="B867:C867"/>
    <mergeCell ref="A868:A888"/>
    <mergeCell ref="B888:C888"/>
    <mergeCell ref="A889:A909"/>
    <mergeCell ref="B909:C909"/>
    <mergeCell ref="A913:A916"/>
    <mergeCell ref="B913:B916"/>
    <mergeCell ref="C913:C916"/>
    <mergeCell ref="D913:D916"/>
    <mergeCell ref="E913:J913"/>
    <mergeCell ref="E914:F914"/>
    <mergeCell ref="G914:J914"/>
    <mergeCell ref="E915:E916"/>
    <mergeCell ref="F915:F916"/>
    <mergeCell ref="G915:G916"/>
    <mergeCell ref="H915:H916"/>
    <mergeCell ref="I915:I916"/>
    <mergeCell ref="J915:J916"/>
    <mergeCell ref="B993:C993"/>
    <mergeCell ref="B994:C994"/>
    <mergeCell ref="A917:A949"/>
    <mergeCell ref="B931:C931"/>
    <mergeCell ref="B943:C943"/>
    <mergeCell ref="B947:C947"/>
    <mergeCell ref="B949:C949"/>
    <mergeCell ref="A950:A970"/>
    <mergeCell ref="B970:C970"/>
    <mergeCell ref="A971:A991"/>
    <mergeCell ref="B991:C991"/>
    <mergeCell ref="A1077:A1080"/>
    <mergeCell ref="B1077:B1080"/>
    <mergeCell ref="C1077:C1080"/>
    <mergeCell ref="D1077:D1080"/>
    <mergeCell ref="E1077:J1077"/>
    <mergeCell ref="E1078:F1078"/>
    <mergeCell ref="G1078:J1078"/>
    <mergeCell ref="E1079:E1080"/>
    <mergeCell ref="F1079:F1080"/>
    <mergeCell ref="G1079:G1080"/>
    <mergeCell ref="H1079:H1080"/>
    <mergeCell ref="I1079:I1080"/>
    <mergeCell ref="J1079:J1080"/>
    <mergeCell ref="B1157:C1157"/>
    <mergeCell ref="B1158:C1158"/>
    <mergeCell ref="A1081:A1113"/>
    <mergeCell ref="B1095:C1095"/>
    <mergeCell ref="B1107:C1107"/>
    <mergeCell ref="B1111:C1111"/>
    <mergeCell ref="B1113:C1113"/>
    <mergeCell ref="A1114:A1134"/>
    <mergeCell ref="B1134:C1134"/>
    <mergeCell ref="A1135:A1155"/>
    <mergeCell ref="B1155:C1155"/>
    <mergeCell ref="A1241:A1244"/>
    <mergeCell ref="B1241:B1244"/>
    <mergeCell ref="C1241:C1244"/>
    <mergeCell ref="D1241:D1244"/>
    <mergeCell ref="E1241:J1241"/>
    <mergeCell ref="E1242:F1242"/>
    <mergeCell ref="G1242:J1242"/>
    <mergeCell ref="E1243:E1244"/>
    <mergeCell ref="F1243:F1244"/>
    <mergeCell ref="G1243:G1244"/>
    <mergeCell ref="H1243:H1244"/>
    <mergeCell ref="I1243:I1244"/>
    <mergeCell ref="J1243:J1244"/>
    <mergeCell ref="B1321:C1321"/>
    <mergeCell ref="B1322:C1322"/>
    <mergeCell ref="A1245:A1277"/>
    <mergeCell ref="B1259:C1259"/>
    <mergeCell ref="B1271:C1271"/>
    <mergeCell ref="B1275:C1275"/>
    <mergeCell ref="B1277:C1277"/>
    <mergeCell ref="A1278:A1298"/>
    <mergeCell ref="B1298:C1298"/>
    <mergeCell ref="A1299:A1319"/>
    <mergeCell ref="B1319:C1319"/>
    <mergeCell ref="A1651:A1654"/>
    <mergeCell ref="B1651:B1654"/>
    <mergeCell ref="C1651:C1654"/>
    <mergeCell ref="D1651:D1654"/>
    <mergeCell ref="E1651:J1651"/>
    <mergeCell ref="E1652:F1652"/>
    <mergeCell ref="G1652:J1652"/>
    <mergeCell ref="E1653:E1654"/>
    <mergeCell ref="F1653:F1654"/>
    <mergeCell ref="G1653:G1654"/>
    <mergeCell ref="H1653:H1654"/>
    <mergeCell ref="I1653:I1654"/>
    <mergeCell ref="J1653:J1654"/>
    <mergeCell ref="B1733:C1733"/>
    <mergeCell ref="B1734:C1734"/>
    <mergeCell ref="A1655:A1687"/>
    <mergeCell ref="B1669:C1669"/>
    <mergeCell ref="B1681:C1681"/>
    <mergeCell ref="B1685:C1685"/>
    <mergeCell ref="B1687:C1687"/>
    <mergeCell ref="A1688:A1709"/>
    <mergeCell ref="B1709:C1709"/>
    <mergeCell ref="A1710:A1731"/>
    <mergeCell ref="B1731:C1731"/>
  </mergeCells>
  <pageMargins left="0.19685039370078741" right="0.19685039370078741" top="0.19685039370078741" bottom="0.19685039370078741" header="0.19685039370078741" footer="0.19685039370078741"/>
  <pageSetup paperSize="9" scale="32" orientation="portrait" verticalDpi="300" r:id="rId1"/>
  <rowBreaks count="21" manualBreakCount="21">
    <brk id="10" max="8" man="1"/>
    <brk id="92" max="8" man="1"/>
    <brk id="174" max="8" man="1"/>
    <brk id="256" max="8" man="1"/>
    <brk id="338" max="8" man="1"/>
    <brk id="420" max="8" man="1"/>
    <brk id="502" max="8" man="1"/>
    <brk id="584" max="8" man="1"/>
    <brk id="666" max="8" man="1"/>
    <brk id="748" max="8" man="1"/>
    <brk id="830" max="8" man="1"/>
    <brk id="912" max="8" man="1"/>
    <brk id="994" max="8" man="1"/>
    <brk id="1076" max="8" man="1"/>
    <brk id="1158" max="8" man="1"/>
    <brk id="1240" max="8" man="1"/>
    <brk id="1322" max="8" man="1"/>
    <brk id="1404" max="8" man="1"/>
    <brk id="1486" max="8" man="1"/>
    <brk id="1568" max="8" man="1"/>
    <brk id="1650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CC"/>
  </sheetPr>
  <dimension ref="A1:N26"/>
  <sheetViews>
    <sheetView view="pageBreakPreview" topLeftCell="A8" zoomScale="48" zoomScaleNormal="70" zoomScaleSheetLayoutView="48" workbookViewId="0">
      <pane xSplit="3" topLeftCell="D1" activePane="topRight" state="frozen"/>
      <selection pane="topRight" activeCell="G15" sqref="G15"/>
    </sheetView>
  </sheetViews>
  <sheetFormatPr defaultColWidth="9.109375" defaultRowHeight="13.8" x14ac:dyDescent="0.3"/>
  <cols>
    <col min="1" max="1" width="11.33203125" style="229" customWidth="1"/>
    <col min="2" max="2" width="51.109375" style="269" customWidth="1"/>
    <col min="3" max="3" width="38.109375" style="229" customWidth="1"/>
    <col min="4" max="4" width="38" style="222" customWidth="1"/>
    <col min="5" max="5" width="26.5546875" style="222" customWidth="1"/>
    <col min="6" max="6" width="39.109375" style="223" customWidth="1"/>
    <col min="7" max="7" width="33.44140625" style="222" customWidth="1"/>
    <col min="8" max="8" width="39" style="222" customWidth="1"/>
    <col min="9" max="9" width="41.44140625" style="222" customWidth="1"/>
    <col min="10" max="10" width="40.44140625" style="224" customWidth="1"/>
    <col min="11" max="11" width="9.109375" style="229"/>
    <col min="12" max="12" width="8.44140625" style="229" customWidth="1"/>
    <col min="13" max="14" width="9.109375" style="229" hidden="1" customWidth="1"/>
    <col min="15" max="16384" width="9.109375" style="229"/>
  </cols>
  <sheetData>
    <row r="1" spans="1:10" x14ac:dyDescent="0.3">
      <c r="A1" s="229" t="s">
        <v>345</v>
      </c>
    </row>
    <row r="7" spans="1:10" ht="67.2" customHeight="1" x14ac:dyDescent="0.3">
      <c r="A7" s="220" t="s">
        <v>0</v>
      </c>
    </row>
    <row r="9" spans="1:10" ht="81" customHeight="1" x14ac:dyDescent="0.3">
      <c r="A9" s="961" t="s">
        <v>413</v>
      </c>
      <c r="B9" s="962"/>
      <c r="C9" s="962"/>
      <c r="D9" s="962"/>
      <c r="E9" s="962"/>
      <c r="F9" s="962"/>
      <c r="G9" s="962"/>
      <c r="H9" s="962"/>
      <c r="I9" s="962"/>
      <c r="J9" s="962"/>
    </row>
    <row r="10" spans="1:10" ht="24.6" customHeight="1" thickBot="1" x14ac:dyDescent="0.35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0" ht="41.4" customHeight="1" x14ac:dyDescent="0.3">
      <c r="A11" s="935" t="s">
        <v>1</v>
      </c>
      <c r="B11" s="941" t="s">
        <v>3</v>
      </c>
      <c r="C11" s="941" t="s">
        <v>245</v>
      </c>
      <c r="D11" s="1033" t="s">
        <v>502</v>
      </c>
      <c r="E11" s="1034"/>
      <c r="F11" s="1034"/>
      <c r="G11" s="1034"/>
      <c r="H11" s="1035"/>
      <c r="I11" s="1029" t="s">
        <v>251</v>
      </c>
      <c r="J11" s="1029" t="s">
        <v>250</v>
      </c>
    </row>
    <row r="12" spans="1:10" ht="41.4" customHeight="1" x14ac:dyDescent="0.3">
      <c r="A12" s="999"/>
      <c r="B12" s="1018"/>
      <c r="C12" s="1018"/>
      <c r="D12" s="1023" t="s">
        <v>253</v>
      </c>
      <c r="E12" s="1032"/>
      <c r="F12" s="1024"/>
      <c r="G12" s="1023" t="s">
        <v>248</v>
      </c>
      <c r="H12" s="1024"/>
      <c r="I12" s="1030"/>
      <c r="J12" s="1030"/>
    </row>
    <row r="13" spans="1:10" ht="25.95" customHeight="1" x14ac:dyDescent="0.3">
      <c r="A13" s="936"/>
      <c r="B13" s="942"/>
      <c r="C13" s="942"/>
      <c r="D13" s="1019" t="s">
        <v>246</v>
      </c>
      <c r="E13" s="1021" t="s">
        <v>9</v>
      </c>
      <c r="F13" s="1036" t="s">
        <v>247</v>
      </c>
      <c r="G13" s="1025" t="s">
        <v>249</v>
      </c>
      <c r="H13" s="1027" t="s">
        <v>247</v>
      </c>
      <c r="I13" s="1030"/>
      <c r="J13" s="1030"/>
    </row>
    <row r="14" spans="1:10" ht="25.95" customHeight="1" thickBot="1" x14ac:dyDescent="0.35">
      <c r="A14" s="937"/>
      <c r="B14" s="943"/>
      <c r="C14" s="943"/>
      <c r="D14" s="1020"/>
      <c r="E14" s="1022"/>
      <c r="F14" s="1037"/>
      <c r="G14" s="1026"/>
      <c r="H14" s="1028"/>
      <c r="I14" s="1031"/>
      <c r="J14" s="1031"/>
    </row>
    <row r="15" spans="1:10" ht="60.6" customHeight="1" x14ac:dyDescent="0.3">
      <c r="A15" s="271" t="s">
        <v>111</v>
      </c>
      <c r="B15" s="587" t="s">
        <v>239</v>
      </c>
      <c r="C15" s="564">
        <f>'01 Prod Physique Boites'!E1074</f>
        <v>5774600</v>
      </c>
      <c r="D15" s="565">
        <f>+'01 Prod Physique Boites'!L2322</f>
        <v>3634755</v>
      </c>
      <c r="E15" s="566">
        <f>IFERROR(D15/C15,"-")</f>
        <v>0.62943840265992446</v>
      </c>
      <c r="F15" s="567">
        <f>+'02 Prod Valorisée Boites'!G2343</f>
        <v>51377852.577100001</v>
      </c>
      <c r="G15" s="565">
        <f>+'03 Prod Accessoires'!K1266</f>
        <v>2387910</v>
      </c>
      <c r="H15" s="568">
        <f>+'03 Prod Accessoires'!Q1266</f>
        <v>13685886.219000001</v>
      </c>
      <c r="I15" s="568">
        <f>+'02 Prod Valorisée Boites'!J2343</f>
        <v>78588401.480000004</v>
      </c>
      <c r="J15" s="569">
        <f>+'04 Ventes'!I1669</f>
        <v>82080127.239999995</v>
      </c>
    </row>
    <row r="16" spans="1:10" ht="60.6" customHeight="1" x14ac:dyDescent="0.3">
      <c r="A16" s="658" t="s">
        <v>111</v>
      </c>
      <c r="B16" s="588" t="s">
        <v>240</v>
      </c>
      <c r="C16" s="570">
        <f>'01 Prod Physique Boites'!E1505</f>
        <v>1157500</v>
      </c>
      <c r="D16" s="571">
        <f>+'01 Prod Physique Boites'!L2337</f>
        <v>682014</v>
      </c>
      <c r="E16" s="572">
        <f t="shared" ref="E16:E24" si="0">IFERROR(D16/C16,"-")</f>
        <v>0.58921295896328296</v>
      </c>
      <c r="F16" s="573">
        <f>+'02 Prod Valorisée Boites'!G2358</f>
        <v>27784544.936999999</v>
      </c>
      <c r="G16" s="571">
        <f>+'03 Prod Accessoires'!K1274</f>
        <v>996874</v>
      </c>
      <c r="H16" s="574">
        <f>+'03 Prod Accessoires'!Q1274</f>
        <v>7297663.8184000002</v>
      </c>
      <c r="I16" s="574">
        <f>+'02 Prod Valorisée Boites'!J2358</f>
        <v>39407040.299999997</v>
      </c>
      <c r="J16" s="575">
        <f>+'04 Ventes'!I1681</f>
        <v>44804226.75</v>
      </c>
    </row>
    <row r="17" spans="1:10" ht="60.6" customHeight="1" thickBot="1" x14ac:dyDescent="0.35">
      <c r="A17" s="277" t="s">
        <v>111</v>
      </c>
      <c r="B17" s="278" t="s">
        <v>241</v>
      </c>
      <c r="C17" s="570"/>
      <c r="D17" s="571"/>
      <c r="E17" s="572" t="str">
        <f t="shared" si="0"/>
        <v>-</v>
      </c>
      <c r="F17" s="573"/>
      <c r="G17" s="571"/>
      <c r="H17" s="574"/>
      <c r="I17" s="574"/>
      <c r="J17" s="575">
        <f>+'04 Ventes'!I1685</f>
        <v>32500</v>
      </c>
    </row>
    <row r="18" spans="1:10" s="300" customFormat="1" ht="60.6" customHeight="1" thickBot="1" x14ac:dyDescent="0.35">
      <c r="A18" s="324" t="s">
        <v>111</v>
      </c>
      <c r="B18" s="439" t="s">
        <v>242</v>
      </c>
      <c r="C18" s="576">
        <f>SUM(C15:C17)</f>
        <v>6932100</v>
      </c>
      <c r="D18" s="577">
        <f t="shared" ref="D18:J18" si="1">SUM(D15:D17)</f>
        <v>4316769</v>
      </c>
      <c r="E18" s="578">
        <f t="shared" si="0"/>
        <v>0.62272168606915657</v>
      </c>
      <c r="F18" s="579">
        <f>SUM(F15:F17)</f>
        <v>79162397.5141</v>
      </c>
      <c r="G18" s="577">
        <f t="shared" si="1"/>
        <v>3384784</v>
      </c>
      <c r="H18" s="579">
        <f t="shared" si="1"/>
        <v>20983550.0374</v>
      </c>
      <c r="I18" s="579">
        <f>SUM(I15:I17)</f>
        <v>117995441.78</v>
      </c>
      <c r="J18" s="580">
        <f t="shared" si="1"/>
        <v>126916853.98999999</v>
      </c>
    </row>
    <row r="19" spans="1:10" ht="60.6" customHeight="1" x14ac:dyDescent="0.3">
      <c r="A19" s="271" t="s">
        <v>109</v>
      </c>
      <c r="B19" s="587" t="s">
        <v>239</v>
      </c>
      <c r="C19" s="564">
        <f>'01 Prod Physique Boites'!E1117</f>
        <v>2816600</v>
      </c>
      <c r="D19" s="565">
        <f>+'01 Prod Physique Boites'!L2365</f>
        <v>2920086</v>
      </c>
      <c r="E19" s="566">
        <f t="shared" si="0"/>
        <v>1.036741461336363</v>
      </c>
      <c r="F19" s="567">
        <f>+'02 Prod Valorisée Boites'!G2386</f>
        <v>54108770.274000004</v>
      </c>
      <c r="G19" s="565">
        <f>+'03 Prod Accessoires'!K1284</f>
        <v>885250</v>
      </c>
      <c r="H19" s="568">
        <f>+'03 Prod Accessoires'!Q1284</f>
        <v>2526139.625</v>
      </c>
      <c r="I19" s="568">
        <f>+'02 Prod Valorisée Boites'!J2386</f>
        <v>75669569.819999993</v>
      </c>
      <c r="J19" s="581">
        <f>+'04 Ventes'!I1709</f>
        <v>85460444.839993253</v>
      </c>
    </row>
    <row r="20" spans="1:10" ht="60.6" customHeight="1" thickBot="1" x14ac:dyDescent="0.35">
      <c r="A20" s="658" t="s">
        <v>109</v>
      </c>
      <c r="B20" s="301" t="s">
        <v>241</v>
      </c>
      <c r="C20" s="582"/>
      <c r="D20" s="571"/>
      <c r="E20" s="572" t="str">
        <f t="shared" si="0"/>
        <v>-</v>
      </c>
      <c r="F20" s="573"/>
      <c r="G20" s="571"/>
      <c r="H20" s="574"/>
      <c r="I20" s="574"/>
      <c r="J20" s="583"/>
    </row>
    <row r="21" spans="1:10" s="300" customFormat="1" ht="60.6" customHeight="1" thickBot="1" x14ac:dyDescent="0.35">
      <c r="A21" s="324" t="s">
        <v>109</v>
      </c>
      <c r="B21" s="439" t="s">
        <v>243</v>
      </c>
      <c r="C21" s="576">
        <f>SUM(C19:C20)</f>
        <v>2816600</v>
      </c>
      <c r="D21" s="577">
        <f t="shared" ref="D21:J21" si="2">SUM(D19:D20)</f>
        <v>2920086</v>
      </c>
      <c r="E21" s="578">
        <f t="shared" si="0"/>
        <v>1.036741461336363</v>
      </c>
      <c r="F21" s="579">
        <f t="shared" si="2"/>
        <v>54108770.274000004</v>
      </c>
      <c r="G21" s="577">
        <f t="shared" si="2"/>
        <v>885250</v>
      </c>
      <c r="H21" s="579">
        <f t="shared" si="2"/>
        <v>2526139.625</v>
      </c>
      <c r="I21" s="579">
        <f t="shared" si="2"/>
        <v>75669569.819999993</v>
      </c>
      <c r="J21" s="580">
        <f t="shared" si="2"/>
        <v>85460444.839993253</v>
      </c>
    </row>
    <row r="22" spans="1:10" ht="60.6" customHeight="1" x14ac:dyDescent="0.3">
      <c r="A22" s="271" t="s">
        <v>110</v>
      </c>
      <c r="B22" s="589" t="s">
        <v>240</v>
      </c>
      <c r="C22" s="568">
        <f>'01 Prod Physique Boites'!E1144</f>
        <v>745700</v>
      </c>
      <c r="D22" s="565">
        <f>+'01 Prod Physique Boites'!L2392</f>
        <v>648236</v>
      </c>
      <c r="E22" s="566">
        <f t="shared" si="0"/>
        <v>0.8692986455679228</v>
      </c>
      <c r="F22" s="567">
        <f>+'02 Prod Valorisée Boites'!G2413</f>
        <v>44471487.314399995</v>
      </c>
      <c r="G22" s="565">
        <f>+'03 Prod Accessoires'!K1316</f>
        <v>1940430</v>
      </c>
      <c r="H22" s="568">
        <f>+'03 Prod Accessoires'!Q1316</f>
        <v>15169888.389599999</v>
      </c>
      <c r="I22" s="568">
        <f>+'02 Prod Valorisée Boites'!J2413</f>
        <v>80766093.939999998</v>
      </c>
      <c r="J22" s="581">
        <f>+'04 Ventes'!I1731</f>
        <v>78890960.180000007</v>
      </c>
    </row>
    <row r="23" spans="1:10" ht="60.6" customHeight="1" thickBot="1" x14ac:dyDescent="0.35">
      <c r="A23" s="658" t="s">
        <v>110</v>
      </c>
      <c r="B23" s="309" t="s">
        <v>241</v>
      </c>
      <c r="C23" s="574"/>
      <c r="D23" s="584"/>
      <c r="E23" s="585" t="str">
        <f t="shared" si="0"/>
        <v>-</v>
      </c>
      <c r="F23" s="586"/>
      <c r="G23" s="571"/>
      <c r="H23" s="574"/>
      <c r="I23" s="574"/>
      <c r="J23" s="583"/>
    </row>
    <row r="24" spans="1:10" s="300" customFormat="1" ht="60.6" customHeight="1" thickBot="1" x14ac:dyDescent="0.35">
      <c r="A24" s="324" t="s">
        <v>110</v>
      </c>
      <c r="B24" s="439" t="s">
        <v>244</v>
      </c>
      <c r="C24" s="576">
        <f>SUM(C22:C23)</f>
        <v>745700</v>
      </c>
      <c r="D24" s="577">
        <f t="shared" ref="D24:J24" si="3">SUM(D22:D23)</f>
        <v>648236</v>
      </c>
      <c r="E24" s="578">
        <f t="shared" si="0"/>
        <v>0.8692986455679228</v>
      </c>
      <c r="F24" s="579">
        <f t="shared" si="3"/>
        <v>44471487.314399995</v>
      </c>
      <c r="G24" s="577">
        <f t="shared" si="3"/>
        <v>1940430</v>
      </c>
      <c r="H24" s="579">
        <f t="shared" si="3"/>
        <v>15169888.389599999</v>
      </c>
      <c r="I24" s="579">
        <f t="shared" si="3"/>
        <v>80766093.939999998</v>
      </c>
      <c r="J24" s="580">
        <f t="shared" si="3"/>
        <v>78890960.180000007</v>
      </c>
    </row>
    <row r="25" spans="1:10" ht="57.6" customHeight="1" thickBot="1" x14ac:dyDescent="0.35">
      <c r="A25" s="659"/>
      <c r="B25" s="562" t="s">
        <v>183</v>
      </c>
      <c r="C25" s="563">
        <f>+C18+C21+C24</f>
        <v>10494400</v>
      </c>
      <c r="D25" s="590">
        <f t="shared" ref="D25:J25" si="4">+D18+D21+D24</f>
        <v>7885091</v>
      </c>
      <c r="E25" s="591">
        <f>IFERROR(D25/C25,"-")</f>
        <v>0.75136177389846015</v>
      </c>
      <c r="F25" s="590">
        <f>+F18+F21+F24</f>
        <v>177742655.10249999</v>
      </c>
      <c r="G25" s="590">
        <f t="shared" si="4"/>
        <v>6210464</v>
      </c>
      <c r="H25" s="590">
        <f t="shared" si="4"/>
        <v>38679578.052000001</v>
      </c>
      <c r="I25" s="590">
        <f>+I18+I21+I24</f>
        <v>274431105.53999996</v>
      </c>
      <c r="J25" s="660">
        <f t="shared" si="4"/>
        <v>291268259.00999326</v>
      </c>
    </row>
    <row r="26" spans="1:10" ht="25.2" customHeight="1" x14ac:dyDescent="0.3"/>
  </sheetData>
  <autoFilter ref="A11:A25" xr:uid="{00000000-0009-0000-0000-000004000000}"/>
  <mergeCells count="14">
    <mergeCell ref="A9:J9"/>
    <mergeCell ref="A11:A14"/>
    <mergeCell ref="B11:B14"/>
    <mergeCell ref="C11:C14"/>
    <mergeCell ref="D13:D14"/>
    <mergeCell ref="E13:E14"/>
    <mergeCell ref="G12:H12"/>
    <mergeCell ref="G13:G14"/>
    <mergeCell ref="H13:H14"/>
    <mergeCell ref="I11:I14"/>
    <mergeCell ref="J11:J14"/>
    <mergeCell ref="D12:F12"/>
    <mergeCell ref="D11:H11"/>
    <mergeCell ref="F13:F14"/>
  </mergeCells>
  <pageMargins left="0.19685039370078741" right="0.19685039370078741" top="0.19685039370078741" bottom="0.19685039370078741" header="0.19685039370078741" footer="0.19685039370078741"/>
  <pageSetup paperSize="9" scale="32" orientation="landscape" verticalDpi="300" r:id="rId1"/>
  <ignoredErrors>
    <ignoredError sqref="E15:E2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7:T478"/>
  <sheetViews>
    <sheetView view="pageBreakPreview" topLeftCell="A449" zoomScale="50" zoomScaleNormal="70" zoomScaleSheetLayoutView="50" workbookViewId="0">
      <pane xSplit="2" topLeftCell="C1" activePane="topRight" state="frozen"/>
      <selection pane="topRight" activeCell="J474" sqref="J474"/>
    </sheetView>
  </sheetViews>
  <sheetFormatPr defaultColWidth="9.109375" defaultRowHeight="13.8" x14ac:dyDescent="0.3"/>
  <cols>
    <col min="1" max="1" width="10.109375" style="229" customWidth="1"/>
    <col min="2" max="2" width="32.44140625" style="221" customWidth="1"/>
    <col min="3" max="4" width="32.33203125" style="222" customWidth="1"/>
    <col min="5" max="5" width="32.33203125" style="223" customWidth="1"/>
    <col min="6" max="7" width="24.6640625" style="222" customWidth="1"/>
    <col min="8" max="8" width="24.6640625" style="224" customWidth="1"/>
    <col min="9" max="9" width="24.6640625" style="223" customWidth="1"/>
    <col min="10" max="10" width="21.109375" style="222" customWidth="1"/>
    <col min="11" max="12" width="15.6640625" style="222" customWidth="1"/>
    <col min="13" max="13" width="17.109375" style="262" customWidth="1"/>
    <col min="14" max="15" width="15.6640625" style="222" customWidth="1"/>
    <col min="16" max="16" width="20.6640625" style="262" customWidth="1"/>
    <col min="17" max="18" width="15.6640625" style="222" customWidth="1"/>
    <col min="19" max="19" width="16.109375" style="224" customWidth="1"/>
    <col min="20" max="20" width="23.33203125" style="224" bestFit="1" customWidth="1"/>
    <col min="21" max="16384" width="9.109375" style="229"/>
  </cols>
  <sheetData>
    <row r="7" spans="1:20" ht="67.2" customHeight="1" x14ac:dyDescent="0.3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3">
      <c r="A9" s="961" t="s">
        <v>414</v>
      </c>
      <c r="B9" s="962"/>
      <c r="C9" s="962"/>
      <c r="D9" s="962"/>
      <c r="E9" s="962"/>
      <c r="F9" s="962"/>
      <c r="G9" s="962"/>
      <c r="H9" s="962"/>
      <c r="I9" s="962"/>
      <c r="J9" s="962"/>
      <c r="K9" s="962"/>
      <c r="L9" s="962"/>
      <c r="M9" s="962"/>
      <c r="N9" s="962"/>
      <c r="O9" s="962"/>
      <c r="P9" s="962"/>
      <c r="Q9" s="962"/>
      <c r="R9" s="962"/>
      <c r="S9" s="962"/>
      <c r="T9" s="962"/>
    </row>
    <row r="10" spans="1:20" ht="24.6" customHeight="1" thickBot="1" x14ac:dyDescent="0.35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3.4" x14ac:dyDescent="0.3">
      <c r="A11" s="935" t="s">
        <v>1</v>
      </c>
      <c r="B11" s="944" t="s">
        <v>2</v>
      </c>
      <c r="C11" s="944" t="s">
        <v>226</v>
      </c>
      <c r="D11" s="945"/>
      <c r="E11" s="946"/>
      <c r="F11" s="944" t="s">
        <v>415</v>
      </c>
      <c r="G11" s="945"/>
      <c r="H11" s="945"/>
      <c r="I11" s="946"/>
      <c r="J11" s="1040" t="s">
        <v>223</v>
      </c>
      <c r="K11" s="944" t="s">
        <v>211</v>
      </c>
      <c r="L11" s="945"/>
      <c r="M11" s="946"/>
      <c r="N11" s="945" t="s">
        <v>212</v>
      </c>
      <c r="O11" s="945"/>
      <c r="P11" s="946"/>
      <c r="Q11" s="944" t="s">
        <v>213</v>
      </c>
      <c r="R11" s="945"/>
      <c r="S11" s="945"/>
      <c r="T11" s="1042" t="s">
        <v>210</v>
      </c>
    </row>
    <row r="12" spans="1:20" ht="87.6" thickBot="1" x14ac:dyDescent="0.35">
      <c r="A12" s="1038"/>
      <c r="B12" s="1039"/>
      <c r="C12" s="235" t="s">
        <v>227</v>
      </c>
      <c r="D12" s="236" t="s">
        <v>224</v>
      </c>
      <c r="E12" s="237" t="s">
        <v>225</v>
      </c>
      <c r="F12" s="238" t="s">
        <v>382</v>
      </c>
      <c r="G12" s="236" t="s">
        <v>220</v>
      </c>
      <c r="H12" s="239" t="s">
        <v>221</v>
      </c>
      <c r="I12" s="240" t="s">
        <v>222</v>
      </c>
      <c r="J12" s="1041"/>
      <c r="K12" s="235" t="s">
        <v>214</v>
      </c>
      <c r="L12" s="239" t="s">
        <v>215</v>
      </c>
      <c r="M12" s="241" t="s">
        <v>228</v>
      </c>
      <c r="N12" s="242" t="s">
        <v>216</v>
      </c>
      <c r="O12" s="239" t="s">
        <v>217</v>
      </c>
      <c r="P12" s="241" t="s">
        <v>229</v>
      </c>
      <c r="Q12" s="235" t="s">
        <v>218</v>
      </c>
      <c r="R12" s="239" t="s">
        <v>219</v>
      </c>
      <c r="S12" s="243" t="s">
        <v>230</v>
      </c>
      <c r="T12" s="1043"/>
    </row>
    <row r="13" spans="1:20" ht="23.4" x14ac:dyDescent="0.3">
      <c r="A13" s="244" t="s">
        <v>111</v>
      </c>
      <c r="B13" s="245" t="s">
        <v>16</v>
      </c>
      <c r="C13" s="474">
        <f>+D13+E13</f>
        <v>30</v>
      </c>
      <c r="D13" s="246">
        <v>30</v>
      </c>
      <c r="E13" s="247">
        <v>0</v>
      </c>
      <c r="F13" s="618">
        <v>15000</v>
      </c>
      <c r="G13" s="475">
        <f>+H13+I13</f>
        <v>16289</v>
      </c>
      <c r="H13" s="624">
        <v>15872</v>
      </c>
      <c r="I13" s="626">
        <v>417</v>
      </c>
      <c r="J13" s="629">
        <v>480</v>
      </c>
      <c r="K13" s="474">
        <f>+L13-E13</f>
        <v>450</v>
      </c>
      <c r="L13" s="475">
        <f>+J13-D13</f>
        <v>450</v>
      </c>
      <c r="M13" s="476">
        <f>IFERROR(K13/L13,"-")</f>
        <v>1</v>
      </c>
      <c r="N13" s="477">
        <f>+O13-C13</f>
        <v>420</v>
      </c>
      <c r="O13" s="475">
        <f>+K13</f>
        <v>450</v>
      </c>
      <c r="P13" s="478">
        <f>IFERROR(N13/O13,"-")</f>
        <v>0.93333333333333335</v>
      </c>
      <c r="Q13" s="475">
        <f>IFERROR(N13-(J13-(J13*H13/G13)),"-")</f>
        <v>407.71195285161764</v>
      </c>
      <c r="R13" s="475">
        <f>+N13</f>
        <v>420</v>
      </c>
      <c r="S13" s="479">
        <f>IFERROR(Q13/R13,"-")</f>
        <v>0.97074274488480394</v>
      </c>
      <c r="T13" s="480">
        <f>IFERROR(M13*P13*S13,"-")</f>
        <v>0.90602656189248365</v>
      </c>
    </row>
    <row r="14" spans="1:20" ht="23.4" x14ac:dyDescent="0.3">
      <c r="A14" s="248" t="s">
        <v>111</v>
      </c>
      <c r="B14" s="249" t="s">
        <v>234</v>
      </c>
      <c r="C14" s="481">
        <f t="shared" ref="C14:C28" si="0">+D14+E14</f>
        <v>120</v>
      </c>
      <c r="D14" s="250">
        <v>30</v>
      </c>
      <c r="E14" s="251">
        <v>90</v>
      </c>
      <c r="F14" s="619">
        <v>100000</v>
      </c>
      <c r="G14" s="483">
        <f t="shared" ref="G14:G19" si="1">+H14+I14</f>
        <v>73650</v>
      </c>
      <c r="H14" s="254">
        <v>73440</v>
      </c>
      <c r="I14" s="627">
        <v>210</v>
      </c>
      <c r="J14" s="630">
        <v>600</v>
      </c>
      <c r="K14" s="481">
        <f t="shared" ref="K14:K17" si="2">+L14-E14</f>
        <v>480</v>
      </c>
      <c r="L14" s="483">
        <f t="shared" ref="L14:L28" si="3">+J14-D14</f>
        <v>570</v>
      </c>
      <c r="M14" s="484">
        <f t="shared" ref="M14:M17" si="4">IFERROR(K14/L14,"-")</f>
        <v>0.84210526315789469</v>
      </c>
      <c r="N14" s="485">
        <f t="shared" ref="N14:N28" si="5">+O14-C14</f>
        <v>360</v>
      </c>
      <c r="O14" s="483">
        <f t="shared" ref="O14:O28" si="6">+K14</f>
        <v>480</v>
      </c>
      <c r="P14" s="486">
        <f>IFERROR(N14/O14,"-")</f>
        <v>0.75</v>
      </c>
      <c r="Q14" s="483">
        <f t="shared" ref="Q14:Q28" si="7">IFERROR(N14-(J14-(J14*H14/G14)),"-")</f>
        <v>358.28920570264768</v>
      </c>
      <c r="R14" s="483">
        <f t="shared" ref="R14:R28" si="8">+N14</f>
        <v>360</v>
      </c>
      <c r="S14" s="487">
        <f t="shared" ref="S14:S28" si="9">IFERROR(Q14/R14,"-")</f>
        <v>0.99524779361846583</v>
      </c>
      <c r="T14" s="488">
        <f t="shared" ref="T14:T28" si="10">IFERROR(M14*P14*S14,"-")</f>
        <v>0.62857755386429415</v>
      </c>
    </row>
    <row r="15" spans="1:20" ht="23.4" x14ac:dyDescent="0.3">
      <c r="A15" s="248" t="s">
        <v>111</v>
      </c>
      <c r="B15" s="249" t="s">
        <v>233</v>
      </c>
      <c r="C15" s="481">
        <f t="shared" si="0"/>
        <v>0</v>
      </c>
      <c r="D15" s="250">
        <v>0</v>
      </c>
      <c r="E15" s="251">
        <v>0</v>
      </c>
      <c r="F15" s="619">
        <v>80000</v>
      </c>
      <c r="G15" s="483">
        <f t="shared" si="1"/>
        <v>0</v>
      </c>
      <c r="H15" s="254">
        <v>0</v>
      </c>
      <c r="I15" s="627">
        <v>0</v>
      </c>
      <c r="J15" s="630">
        <v>0</v>
      </c>
      <c r="K15" s="481">
        <f t="shared" si="2"/>
        <v>0</v>
      </c>
      <c r="L15" s="483">
        <f t="shared" si="3"/>
        <v>0</v>
      </c>
      <c r="M15" s="484" t="str">
        <f t="shared" si="4"/>
        <v>-</v>
      </c>
      <c r="N15" s="485">
        <f t="shared" si="5"/>
        <v>0</v>
      </c>
      <c r="O15" s="483">
        <f t="shared" si="6"/>
        <v>0</v>
      </c>
      <c r="P15" s="486" t="str">
        <f t="shared" ref="P15:P28" si="11">IFERROR(N15/O15,"-")</f>
        <v>-</v>
      </c>
      <c r="Q15" s="483" t="str">
        <f t="shared" si="7"/>
        <v>-</v>
      </c>
      <c r="R15" s="483">
        <f t="shared" si="8"/>
        <v>0</v>
      </c>
      <c r="S15" s="487" t="str">
        <f t="shared" si="9"/>
        <v>-</v>
      </c>
      <c r="T15" s="488" t="str">
        <f t="shared" si="10"/>
        <v>-</v>
      </c>
    </row>
    <row r="16" spans="1:20" ht="23.4" x14ac:dyDescent="0.3">
      <c r="A16" s="252" t="s">
        <v>111</v>
      </c>
      <c r="B16" s="249" t="s">
        <v>236</v>
      </c>
      <c r="C16" s="481">
        <f t="shared" si="0"/>
        <v>335</v>
      </c>
      <c r="D16" s="250">
        <v>30</v>
      </c>
      <c r="E16" s="251">
        <f>40+45+40+180</f>
        <v>305</v>
      </c>
      <c r="F16" s="619">
        <v>110000</v>
      </c>
      <c r="G16" s="483">
        <f t="shared" si="1"/>
        <v>25508</v>
      </c>
      <c r="H16" s="254">
        <v>25344</v>
      </c>
      <c r="I16" s="627">
        <v>164</v>
      </c>
      <c r="J16" s="630">
        <v>480</v>
      </c>
      <c r="K16" s="481">
        <f t="shared" si="2"/>
        <v>145</v>
      </c>
      <c r="L16" s="483">
        <f t="shared" si="3"/>
        <v>450</v>
      </c>
      <c r="M16" s="484">
        <f t="shared" si="4"/>
        <v>0.32222222222222224</v>
      </c>
      <c r="N16" s="485">
        <f t="shared" si="5"/>
        <v>-190</v>
      </c>
      <c r="O16" s="483">
        <f t="shared" si="6"/>
        <v>145</v>
      </c>
      <c r="P16" s="486">
        <f t="shared" si="11"/>
        <v>-1.3103448275862069</v>
      </c>
      <c r="Q16" s="483">
        <f t="shared" si="7"/>
        <v>-193.08609063823116</v>
      </c>
      <c r="R16" s="483">
        <f t="shared" si="8"/>
        <v>-190</v>
      </c>
      <c r="S16" s="487">
        <f t="shared" si="9"/>
        <v>1.0162425823064798</v>
      </c>
      <c r="T16" s="488">
        <f t="shared" si="10"/>
        <v>-0.42908020141829145</v>
      </c>
    </row>
    <row r="17" spans="1:20" ht="23.4" x14ac:dyDescent="0.3">
      <c r="A17" s="248" t="s">
        <v>111</v>
      </c>
      <c r="B17" s="249" t="s">
        <v>235</v>
      </c>
      <c r="C17" s="481">
        <f t="shared" si="0"/>
        <v>0</v>
      </c>
      <c r="D17" s="250">
        <v>0</v>
      </c>
      <c r="E17" s="251">
        <v>0</v>
      </c>
      <c r="F17" s="619">
        <v>50000</v>
      </c>
      <c r="G17" s="483">
        <f t="shared" si="1"/>
        <v>0</v>
      </c>
      <c r="H17" s="254">
        <v>0</v>
      </c>
      <c r="I17" s="627">
        <v>0</v>
      </c>
      <c r="J17" s="630">
        <v>0</v>
      </c>
      <c r="K17" s="481">
        <f t="shared" si="2"/>
        <v>0</v>
      </c>
      <c r="L17" s="483">
        <f t="shared" si="3"/>
        <v>0</v>
      </c>
      <c r="M17" s="484" t="str">
        <f t="shared" si="4"/>
        <v>-</v>
      </c>
      <c r="N17" s="485">
        <f t="shared" si="5"/>
        <v>0</v>
      </c>
      <c r="O17" s="483">
        <f t="shared" si="6"/>
        <v>0</v>
      </c>
      <c r="P17" s="486" t="str">
        <f t="shared" si="11"/>
        <v>-</v>
      </c>
      <c r="Q17" s="483" t="str">
        <f t="shared" si="7"/>
        <v>-</v>
      </c>
      <c r="R17" s="483">
        <f t="shared" si="8"/>
        <v>0</v>
      </c>
      <c r="S17" s="487" t="str">
        <f t="shared" si="9"/>
        <v>-</v>
      </c>
      <c r="T17" s="488" t="str">
        <f t="shared" si="10"/>
        <v>-</v>
      </c>
    </row>
    <row r="18" spans="1:20" ht="23.4" x14ac:dyDescent="0.3">
      <c r="A18" s="248">
        <v>5</v>
      </c>
      <c r="B18" s="249" t="s">
        <v>22</v>
      </c>
      <c r="C18" s="481">
        <f t="shared" si="0"/>
        <v>480</v>
      </c>
      <c r="D18" s="250">
        <v>30</v>
      </c>
      <c r="E18" s="251">
        <v>450</v>
      </c>
      <c r="F18" s="619">
        <v>80000</v>
      </c>
      <c r="G18" s="483">
        <f t="shared" si="1"/>
        <v>0</v>
      </c>
      <c r="H18" s="482">
        <v>0</v>
      </c>
      <c r="I18" s="631">
        <v>0</v>
      </c>
      <c r="J18" s="630">
        <v>480</v>
      </c>
      <c r="K18" s="481">
        <f>+L18-E18</f>
        <v>0</v>
      </c>
      <c r="L18" s="483">
        <f t="shared" si="3"/>
        <v>450</v>
      </c>
      <c r="M18" s="484">
        <f>IFERROR(K18/L18,"-")</f>
        <v>0</v>
      </c>
      <c r="N18" s="485">
        <f t="shared" si="5"/>
        <v>-480</v>
      </c>
      <c r="O18" s="483">
        <f t="shared" si="6"/>
        <v>0</v>
      </c>
      <c r="P18" s="486" t="str">
        <f t="shared" si="11"/>
        <v>-</v>
      </c>
      <c r="Q18" s="483" t="str">
        <f t="shared" si="7"/>
        <v>-</v>
      </c>
      <c r="R18" s="483">
        <f t="shared" si="8"/>
        <v>-480</v>
      </c>
      <c r="S18" s="487" t="str">
        <f t="shared" si="9"/>
        <v>-</v>
      </c>
      <c r="T18" s="488" t="str">
        <f t="shared" si="10"/>
        <v>-</v>
      </c>
    </row>
    <row r="19" spans="1:20" ht="23.4" x14ac:dyDescent="0.3">
      <c r="A19" s="248" t="s">
        <v>111</v>
      </c>
      <c r="B19" s="249" t="s">
        <v>23</v>
      </c>
      <c r="C19" s="481">
        <f t="shared" si="0"/>
        <v>120</v>
      </c>
      <c r="D19" s="250">
        <v>30</v>
      </c>
      <c r="E19" s="251">
        <v>90</v>
      </c>
      <c r="F19" s="619">
        <v>14000</v>
      </c>
      <c r="G19" s="483">
        <f t="shared" si="1"/>
        <v>10561</v>
      </c>
      <c r="H19" s="254">
        <v>10500</v>
      </c>
      <c r="I19" s="627">
        <v>61</v>
      </c>
      <c r="J19" s="630">
        <v>480</v>
      </c>
      <c r="K19" s="481">
        <f t="shared" ref="K19:K28" si="12">+L19-E19</f>
        <v>360</v>
      </c>
      <c r="L19" s="483">
        <f t="shared" si="3"/>
        <v>450</v>
      </c>
      <c r="M19" s="484">
        <f t="shared" ref="M19:M28" si="13">IFERROR(K19/L19,"-")</f>
        <v>0.8</v>
      </c>
      <c r="N19" s="485">
        <f t="shared" si="5"/>
        <v>240</v>
      </c>
      <c r="O19" s="483">
        <f t="shared" si="6"/>
        <v>360</v>
      </c>
      <c r="P19" s="486">
        <f t="shared" si="11"/>
        <v>0.66666666666666663</v>
      </c>
      <c r="Q19" s="483">
        <f t="shared" si="7"/>
        <v>237.22753527128111</v>
      </c>
      <c r="R19" s="483">
        <f t="shared" si="8"/>
        <v>240</v>
      </c>
      <c r="S19" s="487">
        <f t="shared" si="9"/>
        <v>0.98844806363033799</v>
      </c>
      <c r="T19" s="488">
        <f t="shared" si="10"/>
        <v>0.52717230060284692</v>
      </c>
    </row>
    <row r="20" spans="1:20" ht="23.4" x14ac:dyDescent="0.3">
      <c r="A20" s="248" t="s">
        <v>111</v>
      </c>
      <c r="B20" s="253" t="s">
        <v>231</v>
      </c>
      <c r="C20" s="489">
        <f t="shared" si="0"/>
        <v>240</v>
      </c>
      <c r="D20" s="250">
        <f>60+30</f>
        <v>90</v>
      </c>
      <c r="E20" s="251">
        <f>120+30</f>
        <v>150</v>
      </c>
      <c r="F20" s="619">
        <v>4500</v>
      </c>
      <c r="G20" s="483">
        <f>+H20+I20</f>
        <v>27865</v>
      </c>
      <c r="H20" s="254">
        <v>27749</v>
      </c>
      <c r="I20" s="322">
        <v>116</v>
      </c>
      <c r="J20" s="630">
        <v>960</v>
      </c>
      <c r="K20" s="489">
        <f t="shared" si="12"/>
        <v>720</v>
      </c>
      <c r="L20" s="250">
        <f t="shared" si="3"/>
        <v>870</v>
      </c>
      <c r="M20" s="490">
        <f t="shared" si="13"/>
        <v>0.82758620689655171</v>
      </c>
      <c r="N20" s="491">
        <f t="shared" si="5"/>
        <v>480</v>
      </c>
      <c r="O20" s="250">
        <f t="shared" si="6"/>
        <v>720</v>
      </c>
      <c r="P20" s="492">
        <f t="shared" si="11"/>
        <v>0.66666666666666663</v>
      </c>
      <c r="Q20" s="250">
        <f t="shared" si="7"/>
        <v>476.0035887313835</v>
      </c>
      <c r="R20" s="250">
        <f t="shared" si="8"/>
        <v>480</v>
      </c>
      <c r="S20" s="493">
        <f t="shared" si="9"/>
        <v>0.99167414319038227</v>
      </c>
      <c r="T20" s="494">
        <f t="shared" si="10"/>
        <v>0.54713056176021091</v>
      </c>
    </row>
    <row r="21" spans="1:20" ht="24" thickBot="1" x14ac:dyDescent="0.35">
      <c r="A21" s="255" t="s">
        <v>111</v>
      </c>
      <c r="B21" s="256" t="s">
        <v>232</v>
      </c>
      <c r="C21" s="495">
        <f t="shared" si="0"/>
        <v>590</v>
      </c>
      <c r="D21" s="257">
        <f>60+60+20</f>
        <v>140</v>
      </c>
      <c r="E21" s="258">
        <f>60+120+30+180+60</f>
        <v>450</v>
      </c>
      <c r="F21" s="625">
        <v>5000</v>
      </c>
      <c r="G21" s="505">
        <f t="shared" ref="G21:G28" si="14">+H21+I21</f>
        <v>13411</v>
      </c>
      <c r="H21" s="259">
        <v>13371</v>
      </c>
      <c r="I21" s="628">
        <f>25+15</f>
        <v>40</v>
      </c>
      <c r="J21" s="633">
        <v>960</v>
      </c>
      <c r="K21" s="495">
        <f t="shared" si="12"/>
        <v>370</v>
      </c>
      <c r="L21" s="257">
        <f t="shared" si="3"/>
        <v>820</v>
      </c>
      <c r="M21" s="496">
        <f t="shared" si="13"/>
        <v>0.45121951219512196</v>
      </c>
      <c r="N21" s="497">
        <f t="shared" si="5"/>
        <v>-220</v>
      </c>
      <c r="O21" s="257">
        <f t="shared" si="6"/>
        <v>370</v>
      </c>
      <c r="P21" s="498">
        <f t="shared" si="11"/>
        <v>-0.59459459459459463</v>
      </c>
      <c r="Q21" s="257">
        <f t="shared" si="7"/>
        <v>-222.86332115427638</v>
      </c>
      <c r="R21" s="257">
        <f t="shared" si="8"/>
        <v>-220</v>
      </c>
      <c r="S21" s="499">
        <f t="shared" si="9"/>
        <v>1.0130150961558018</v>
      </c>
      <c r="T21" s="500">
        <f t="shared" si="10"/>
        <v>-0.27178453799301999</v>
      </c>
    </row>
    <row r="22" spans="1:20" ht="23.4" x14ac:dyDescent="0.3">
      <c r="A22" s="252" t="s">
        <v>109</v>
      </c>
      <c r="B22" s="260" t="s">
        <v>29</v>
      </c>
      <c r="C22" s="481">
        <f t="shared" si="0"/>
        <v>0</v>
      </c>
      <c r="D22" s="250">
        <v>0</v>
      </c>
      <c r="E22" s="251">
        <v>0</v>
      </c>
      <c r="F22" s="482">
        <v>80000</v>
      </c>
      <c r="G22" s="483">
        <f t="shared" si="14"/>
        <v>0</v>
      </c>
      <c r="H22" s="482">
        <v>0</v>
      </c>
      <c r="I22" s="631">
        <v>0</v>
      </c>
      <c r="J22" s="629">
        <v>0</v>
      </c>
      <c r="K22" s="481">
        <f t="shared" si="12"/>
        <v>0</v>
      </c>
      <c r="L22" s="483">
        <f t="shared" si="3"/>
        <v>0</v>
      </c>
      <c r="M22" s="484" t="str">
        <f t="shared" si="13"/>
        <v>-</v>
      </c>
      <c r="N22" s="485">
        <f t="shared" si="5"/>
        <v>0</v>
      </c>
      <c r="O22" s="483">
        <f t="shared" si="6"/>
        <v>0</v>
      </c>
      <c r="P22" s="486" t="str">
        <f t="shared" si="11"/>
        <v>-</v>
      </c>
      <c r="Q22" s="483" t="str">
        <f t="shared" si="7"/>
        <v>-</v>
      </c>
      <c r="R22" s="483">
        <f t="shared" si="8"/>
        <v>0</v>
      </c>
      <c r="S22" s="501" t="str">
        <f t="shared" si="9"/>
        <v>-</v>
      </c>
      <c r="T22" s="502" t="str">
        <f t="shared" si="10"/>
        <v>-</v>
      </c>
    </row>
    <row r="23" spans="1:20" ht="23.4" x14ac:dyDescent="0.3">
      <c r="A23" s="248" t="s">
        <v>109</v>
      </c>
      <c r="B23" s="260" t="s">
        <v>31</v>
      </c>
      <c r="C23" s="481">
        <f t="shared" si="0"/>
        <v>0</v>
      </c>
      <c r="D23" s="250">
        <v>0</v>
      </c>
      <c r="E23" s="251">
        <v>0</v>
      </c>
      <c r="F23" s="482">
        <v>50000</v>
      </c>
      <c r="G23" s="483">
        <f t="shared" si="14"/>
        <v>0</v>
      </c>
      <c r="H23" s="482">
        <v>0</v>
      </c>
      <c r="I23" s="631">
        <v>0</v>
      </c>
      <c r="J23" s="630">
        <v>0</v>
      </c>
      <c r="K23" s="481">
        <f t="shared" si="12"/>
        <v>0</v>
      </c>
      <c r="L23" s="483">
        <f t="shared" si="3"/>
        <v>0</v>
      </c>
      <c r="M23" s="484" t="str">
        <f t="shared" si="13"/>
        <v>-</v>
      </c>
      <c r="N23" s="485">
        <f t="shared" si="5"/>
        <v>0</v>
      </c>
      <c r="O23" s="483">
        <f t="shared" si="6"/>
        <v>0</v>
      </c>
      <c r="P23" s="486" t="str">
        <f t="shared" si="11"/>
        <v>-</v>
      </c>
      <c r="Q23" s="483" t="str">
        <f t="shared" si="7"/>
        <v>-</v>
      </c>
      <c r="R23" s="483">
        <f t="shared" si="8"/>
        <v>0</v>
      </c>
      <c r="S23" s="501" t="str">
        <f t="shared" si="9"/>
        <v>-</v>
      </c>
      <c r="T23" s="502" t="str">
        <f t="shared" si="10"/>
        <v>-</v>
      </c>
    </row>
    <row r="24" spans="1:20" ht="24" thickBot="1" x14ac:dyDescent="0.35">
      <c r="A24" s="255" t="s">
        <v>109</v>
      </c>
      <c r="B24" s="261" t="s">
        <v>32</v>
      </c>
      <c r="C24" s="503">
        <f t="shared" si="0"/>
        <v>0</v>
      </c>
      <c r="D24" s="257">
        <v>0</v>
      </c>
      <c r="E24" s="258">
        <v>0</v>
      </c>
      <c r="F24" s="504">
        <v>110000</v>
      </c>
      <c r="G24" s="505">
        <f t="shared" si="14"/>
        <v>0</v>
      </c>
      <c r="H24" s="504">
        <v>0</v>
      </c>
      <c r="I24" s="632">
        <v>0</v>
      </c>
      <c r="J24" s="633">
        <v>0</v>
      </c>
      <c r="K24" s="503">
        <f t="shared" si="12"/>
        <v>0</v>
      </c>
      <c r="L24" s="505">
        <f t="shared" si="3"/>
        <v>0</v>
      </c>
      <c r="M24" s="506" t="str">
        <f t="shared" si="13"/>
        <v>-</v>
      </c>
      <c r="N24" s="507">
        <f t="shared" si="5"/>
        <v>0</v>
      </c>
      <c r="O24" s="505">
        <f t="shared" si="6"/>
        <v>0</v>
      </c>
      <c r="P24" s="508" t="str">
        <f t="shared" si="11"/>
        <v>-</v>
      </c>
      <c r="Q24" s="505" t="str">
        <f t="shared" si="7"/>
        <v>-</v>
      </c>
      <c r="R24" s="505">
        <f t="shared" si="8"/>
        <v>0</v>
      </c>
      <c r="S24" s="509" t="str">
        <f t="shared" si="9"/>
        <v>-</v>
      </c>
      <c r="T24" s="510" t="str">
        <f t="shared" si="10"/>
        <v>-</v>
      </c>
    </row>
    <row r="25" spans="1:20" ht="23.4" x14ac:dyDescent="0.3">
      <c r="A25" s="248" t="s">
        <v>110</v>
      </c>
      <c r="B25" s="249" t="s">
        <v>238</v>
      </c>
      <c r="C25" s="481">
        <f t="shared" si="0"/>
        <v>0</v>
      </c>
      <c r="D25" s="250">
        <v>0</v>
      </c>
      <c r="E25" s="251">
        <v>0</v>
      </c>
      <c r="F25" s="482">
        <v>6500</v>
      </c>
      <c r="G25" s="483">
        <f t="shared" si="14"/>
        <v>0</v>
      </c>
      <c r="H25" s="482">
        <v>0</v>
      </c>
      <c r="I25" s="631">
        <v>0</v>
      </c>
      <c r="J25" s="630">
        <v>0</v>
      </c>
      <c r="K25" s="481">
        <f t="shared" si="12"/>
        <v>0</v>
      </c>
      <c r="L25" s="483">
        <f t="shared" si="3"/>
        <v>0</v>
      </c>
      <c r="M25" s="484" t="str">
        <f t="shared" si="13"/>
        <v>-</v>
      </c>
      <c r="N25" s="485">
        <f t="shared" si="5"/>
        <v>0</v>
      </c>
      <c r="O25" s="483">
        <f t="shared" si="6"/>
        <v>0</v>
      </c>
      <c r="P25" s="486" t="str">
        <f t="shared" si="11"/>
        <v>-</v>
      </c>
      <c r="Q25" s="483" t="str">
        <f t="shared" si="7"/>
        <v>-</v>
      </c>
      <c r="R25" s="483">
        <f t="shared" si="8"/>
        <v>0</v>
      </c>
      <c r="S25" s="501" t="str">
        <f t="shared" si="9"/>
        <v>-</v>
      </c>
      <c r="T25" s="502" t="str">
        <f t="shared" si="10"/>
        <v>-</v>
      </c>
    </row>
    <row r="26" spans="1:20" ht="23.4" x14ac:dyDescent="0.3">
      <c r="A26" s="252" t="s">
        <v>110</v>
      </c>
      <c r="B26" s="249" t="s">
        <v>40</v>
      </c>
      <c r="C26" s="481">
        <f t="shared" si="0"/>
        <v>0</v>
      </c>
      <c r="D26" s="250">
        <v>0</v>
      </c>
      <c r="E26" s="251">
        <v>0</v>
      </c>
      <c r="F26" s="482">
        <v>2800</v>
      </c>
      <c r="G26" s="483">
        <f t="shared" si="14"/>
        <v>0</v>
      </c>
      <c r="H26" s="482"/>
      <c r="I26" s="631"/>
      <c r="J26" s="630">
        <v>0</v>
      </c>
      <c r="K26" s="481">
        <f t="shared" si="12"/>
        <v>0</v>
      </c>
      <c r="L26" s="483">
        <f t="shared" si="3"/>
        <v>0</v>
      </c>
      <c r="M26" s="484" t="str">
        <f t="shared" si="13"/>
        <v>-</v>
      </c>
      <c r="N26" s="485">
        <f t="shared" si="5"/>
        <v>0</v>
      </c>
      <c r="O26" s="483">
        <f t="shared" si="6"/>
        <v>0</v>
      </c>
      <c r="P26" s="486" t="str">
        <f t="shared" si="11"/>
        <v>-</v>
      </c>
      <c r="Q26" s="483" t="str">
        <f t="shared" si="7"/>
        <v>-</v>
      </c>
      <c r="R26" s="483">
        <f t="shared" si="8"/>
        <v>0</v>
      </c>
      <c r="S26" s="501" t="str">
        <f t="shared" si="9"/>
        <v>-</v>
      </c>
      <c r="T26" s="502" t="str">
        <f t="shared" si="10"/>
        <v>-</v>
      </c>
    </row>
    <row r="27" spans="1:20" ht="23.4" x14ac:dyDescent="0.3">
      <c r="A27" s="248" t="s">
        <v>110</v>
      </c>
      <c r="B27" s="249" t="s">
        <v>42</v>
      </c>
      <c r="C27" s="481">
        <f t="shared" si="0"/>
        <v>0</v>
      </c>
      <c r="D27" s="250">
        <v>0</v>
      </c>
      <c r="E27" s="251">
        <v>0</v>
      </c>
      <c r="F27" s="482">
        <v>25000</v>
      </c>
      <c r="G27" s="483">
        <f t="shared" si="14"/>
        <v>0</v>
      </c>
      <c r="H27" s="482">
        <v>0</v>
      </c>
      <c r="I27" s="631">
        <v>0</v>
      </c>
      <c r="J27" s="630">
        <v>0</v>
      </c>
      <c r="K27" s="481">
        <f t="shared" si="12"/>
        <v>0</v>
      </c>
      <c r="L27" s="483">
        <f t="shared" si="3"/>
        <v>0</v>
      </c>
      <c r="M27" s="484" t="str">
        <f t="shared" si="13"/>
        <v>-</v>
      </c>
      <c r="N27" s="485">
        <f t="shared" si="5"/>
        <v>0</v>
      </c>
      <c r="O27" s="483">
        <f t="shared" si="6"/>
        <v>0</v>
      </c>
      <c r="P27" s="486" t="str">
        <f t="shared" si="11"/>
        <v>-</v>
      </c>
      <c r="Q27" s="483" t="str">
        <f t="shared" si="7"/>
        <v>-</v>
      </c>
      <c r="R27" s="483">
        <f t="shared" si="8"/>
        <v>0</v>
      </c>
      <c r="S27" s="501" t="str">
        <f t="shared" si="9"/>
        <v>-</v>
      </c>
      <c r="T27" s="502" t="str">
        <f t="shared" si="10"/>
        <v>-</v>
      </c>
    </row>
    <row r="28" spans="1:20" ht="47.4" thickBot="1" x14ac:dyDescent="0.35">
      <c r="A28" s="635" t="s">
        <v>110</v>
      </c>
      <c r="B28" s="261" t="s">
        <v>237</v>
      </c>
      <c r="C28" s="636">
        <f t="shared" si="0"/>
        <v>0</v>
      </c>
      <c r="D28" s="637">
        <v>0</v>
      </c>
      <c r="E28" s="638">
        <v>0</v>
      </c>
      <c r="F28" s="639">
        <v>25000</v>
      </c>
      <c r="G28" s="640">
        <f t="shared" si="14"/>
        <v>0</v>
      </c>
      <c r="H28" s="639">
        <v>0</v>
      </c>
      <c r="I28" s="641">
        <v>0</v>
      </c>
      <c r="J28" s="634">
        <v>0</v>
      </c>
      <c r="K28" s="636">
        <f t="shared" si="12"/>
        <v>0</v>
      </c>
      <c r="L28" s="640">
        <f t="shared" si="3"/>
        <v>0</v>
      </c>
      <c r="M28" s="642" t="str">
        <f t="shared" si="13"/>
        <v>-</v>
      </c>
      <c r="N28" s="643">
        <f t="shared" si="5"/>
        <v>0</v>
      </c>
      <c r="O28" s="640">
        <f t="shared" si="6"/>
        <v>0</v>
      </c>
      <c r="P28" s="644" t="str">
        <f t="shared" si="11"/>
        <v>-</v>
      </c>
      <c r="Q28" s="640" t="str">
        <f t="shared" si="7"/>
        <v>-</v>
      </c>
      <c r="R28" s="640">
        <f t="shared" si="8"/>
        <v>0</v>
      </c>
      <c r="S28" s="645" t="str">
        <f t="shared" si="9"/>
        <v>-</v>
      </c>
      <c r="T28" s="646" t="str">
        <f t="shared" si="10"/>
        <v>-</v>
      </c>
    </row>
    <row r="29" spans="1:20" ht="23.4" x14ac:dyDescent="0.3">
      <c r="A29" s="935" t="s">
        <v>1</v>
      </c>
      <c r="B29" s="944" t="s">
        <v>2</v>
      </c>
      <c r="C29" s="944" t="s">
        <v>226</v>
      </c>
      <c r="D29" s="945"/>
      <c r="E29" s="946"/>
      <c r="F29" s="944" t="s">
        <v>420</v>
      </c>
      <c r="G29" s="945"/>
      <c r="H29" s="945"/>
      <c r="I29" s="946"/>
      <c r="J29" s="1040" t="s">
        <v>223</v>
      </c>
      <c r="K29" s="944" t="s">
        <v>211</v>
      </c>
      <c r="L29" s="945"/>
      <c r="M29" s="946"/>
      <c r="N29" s="945" t="s">
        <v>212</v>
      </c>
      <c r="O29" s="945"/>
      <c r="P29" s="946"/>
      <c r="Q29" s="944" t="s">
        <v>213</v>
      </c>
      <c r="R29" s="945"/>
      <c r="S29" s="945"/>
      <c r="T29" s="1042" t="s">
        <v>210</v>
      </c>
    </row>
    <row r="30" spans="1:20" ht="87.6" thickBot="1" x14ac:dyDescent="0.35">
      <c r="A30" s="1038"/>
      <c r="B30" s="1039"/>
      <c r="C30" s="235" t="s">
        <v>227</v>
      </c>
      <c r="D30" s="236" t="s">
        <v>224</v>
      </c>
      <c r="E30" s="237" t="s">
        <v>225</v>
      </c>
      <c r="F30" s="238" t="s">
        <v>382</v>
      </c>
      <c r="G30" s="236" t="s">
        <v>220</v>
      </c>
      <c r="H30" s="239" t="s">
        <v>221</v>
      </c>
      <c r="I30" s="240" t="s">
        <v>222</v>
      </c>
      <c r="J30" s="1041"/>
      <c r="K30" s="235" t="s">
        <v>214</v>
      </c>
      <c r="L30" s="239" t="s">
        <v>215</v>
      </c>
      <c r="M30" s="241" t="s">
        <v>228</v>
      </c>
      <c r="N30" s="242" t="s">
        <v>216</v>
      </c>
      <c r="O30" s="239" t="s">
        <v>217</v>
      </c>
      <c r="P30" s="241" t="s">
        <v>229</v>
      </c>
      <c r="Q30" s="235" t="s">
        <v>218</v>
      </c>
      <c r="R30" s="239" t="s">
        <v>219</v>
      </c>
      <c r="S30" s="243" t="s">
        <v>230</v>
      </c>
      <c r="T30" s="1043"/>
    </row>
    <row r="31" spans="1:20" ht="23.4" x14ac:dyDescent="0.3">
      <c r="A31" s="244" t="s">
        <v>111</v>
      </c>
      <c r="B31" s="245" t="s">
        <v>16</v>
      </c>
      <c r="C31" s="474">
        <f>+D31+E31</f>
        <v>30</v>
      </c>
      <c r="D31" s="246">
        <v>30</v>
      </c>
      <c r="E31" s="247">
        <v>0</v>
      </c>
      <c r="F31" s="618">
        <v>15000</v>
      </c>
      <c r="G31" s="475">
        <f>+H31+I31</f>
        <v>19636</v>
      </c>
      <c r="H31" s="624">
        <v>19456</v>
      </c>
      <c r="I31" s="626">
        <v>180</v>
      </c>
      <c r="J31" s="629">
        <v>480</v>
      </c>
      <c r="K31" s="474">
        <f>+L31-E31</f>
        <v>450</v>
      </c>
      <c r="L31" s="475">
        <f>+J31-D31</f>
        <v>450</v>
      </c>
      <c r="M31" s="476">
        <f>IFERROR(K31/L31,"-")</f>
        <v>1</v>
      </c>
      <c r="N31" s="477">
        <f>+O31-C31</f>
        <v>420</v>
      </c>
      <c r="O31" s="475">
        <f>+K31</f>
        <v>450</v>
      </c>
      <c r="P31" s="478">
        <f>IFERROR(N31/O31,"-")</f>
        <v>0.93333333333333335</v>
      </c>
      <c r="Q31" s="475">
        <f>IFERROR(N31-(J31-(J31*H31/G31)),"-")</f>
        <v>415.5999185170096</v>
      </c>
      <c r="R31" s="475">
        <f>+N31</f>
        <v>420</v>
      </c>
      <c r="S31" s="479">
        <f>IFERROR(Q31/R31,"-")</f>
        <v>0.98952361551668955</v>
      </c>
      <c r="T31" s="480">
        <f>IFERROR(M31*P31*S31,"-")</f>
        <v>0.92355537448224356</v>
      </c>
    </row>
    <row r="32" spans="1:20" ht="23.4" x14ac:dyDescent="0.3">
      <c r="A32" s="248" t="s">
        <v>111</v>
      </c>
      <c r="B32" s="249" t="s">
        <v>234</v>
      </c>
      <c r="C32" s="481">
        <f t="shared" ref="C32:C46" si="15">+D32+E32</f>
        <v>210</v>
      </c>
      <c r="D32" s="250">
        <v>30</v>
      </c>
      <c r="E32" s="251">
        <f>90+60+30</f>
        <v>180</v>
      </c>
      <c r="F32" s="619">
        <v>100000</v>
      </c>
      <c r="G32" s="483">
        <f t="shared" ref="G32:G37" si="16">+H32+I32</f>
        <v>88173</v>
      </c>
      <c r="H32" s="254">
        <v>87516</v>
      </c>
      <c r="I32" s="627">
        <v>657</v>
      </c>
      <c r="J32" s="630">
        <v>600</v>
      </c>
      <c r="K32" s="481">
        <f t="shared" ref="K32:K35" si="17">+L32-E32</f>
        <v>390</v>
      </c>
      <c r="L32" s="483">
        <f t="shared" ref="L32:L46" si="18">+J32-D32</f>
        <v>570</v>
      </c>
      <c r="M32" s="484">
        <f t="shared" ref="M32:M35" si="19">IFERROR(K32/L32,"-")</f>
        <v>0.68421052631578949</v>
      </c>
      <c r="N32" s="485">
        <f t="shared" ref="N32:N46" si="20">+O32-C32</f>
        <v>180</v>
      </c>
      <c r="O32" s="483">
        <f t="shared" ref="O32:O46" si="21">+K32</f>
        <v>390</v>
      </c>
      <c r="P32" s="486">
        <f>IFERROR(N32/O32,"-")</f>
        <v>0.46153846153846156</v>
      </c>
      <c r="Q32" s="483">
        <f t="shared" ref="Q32:Q46" si="22">IFERROR(N32-(J32-(J32*H32/G32)),"-")</f>
        <v>175.52924364601404</v>
      </c>
      <c r="R32" s="483">
        <f t="shared" ref="R32:R46" si="23">+N32</f>
        <v>180</v>
      </c>
      <c r="S32" s="487">
        <f t="shared" ref="S32:S46" si="24">IFERROR(Q32/R32,"-")</f>
        <v>0.97516246470007795</v>
      </c>
      <c r="T32" s="488">
        <f t="shared" ref="T32:T46" si="25">IFERROR(M32*P32*S32,"-")</f>
        <v>0.30794604148423516</v>
      </c>
    </row>
    <row r="33" spans="1:20" ht="23.4" x14ac:dyDescent="0.3">
      <c r="A33" s="248" t="s">
        <v>111</v>
      </c>
      <c r="B33" s="249" t="s">
        <v>233</v>
      </c>
      <c r="C33" s="481">
        <f t="shared" si="15"/>
        <v>0</v>
      </c>
      <c r="D33" s="250">
        <v>0</v>
      </c>
      <c r="E33" s="251">
        <v>0</v>
      </c>
      <c r="F33" s="619">
        <v>80000</v>
      </c>
      <c r="G33" s="483">
        <f t="shared" si="16"/>
        <v>0</v>
      </c>
      <c r="H33" s="254">
        <v>0</v>
      </c>
      <c r="I33" s="627">
        <v>0</v>
      </c>
      <c r="J33" s="630">
        <v>0</v>
      </c>
      <c r="K33" s="481">
        <f t="shared" si="17"/>
        <v>0</v>
      </c>
      <c r="L33" s="483">
        <f t="shared" si="18"/>
        <v>0</v>
      </c>
      <c r="M33" s="484" t="str">
        <f t="shared" si="19"/>
        <v>-</v>
      </c>
      <c r="N33" s="485">
        <f t="shared" si="20"/>
        <v>0</v>
      </c>
      <c r="O33" s="483">
        <f t="shared" si="21"/>
        <v>0</v>
      </c>
      <c r="P33" s="486" t="str">
        <f t="shared" ref="P33:P46" si="26">IFERROR(N33/O33,"-")</f>
        <v>-</v>
      </c>
      <c r="Q33" s="483" t="str">
        <f t="shared" si="22"/>
        <v>-</v>
      </c>
      <c r="R33" s="483">
        <f t="shared" si="23"/>
        <v>0</v>
      </c>
      <c r="S33" s="487" t="str">
        <f t="shared" si="24"/>
        <v>-</v>
      </c>
      <c r="T33" s="488" t="str">
        <f t="shared" si="25"/>
        <v>-</v>
      </c>
    </row>
    <row r="34" spans="1:20" ht="23.4" x14ac:dyDescent="0.3">
      <c r="A34" s="252" t="s">
        <v>111</v>
      </c>
      <c r="B34" s="249" t="s">
        <v>236</v>
      </c>
      <c r="C34" s="481">
        <f t="shared" si="15"/>
        <v>450</v>
      </c>
      <c r="D34" s="250">
        <v>30</v>
      </c>
      <c r="E34" s="251">
        <f>7*60</f>
        <v>420</v>
      </c>
      <c r="F34" s="619">
        <v>110000</v>
      </c>
      <c r="G34" s="483">
        <f t="shared" si="16"/>
        <v>0</v>
      </c>
      <c r="H34" s="254">
        <v>0</v>
      </c>
      <c r="I34" s="627">
        <v>0</v>
      </c>
      <c r="J34" s="630">
        <v>480</v>
      </c>
      <c r="K34" s="481">
        <f t="shared" si="17"/>
        <v>30</v>
      </c>
      <c r="L34" s="483">
        <f t="shared" si="18"/>
        <v>450</v>
      </c>
      <c r="M34" s="484">
        <f t="shared" si="19"/>
        <v>6.6666666666666666E-2</v>
      </c>
      <c r="N34" s="485">
        <f t="shared" si="20"/>
        <v>-420</v>
      </c>
      <c r="O34" s="483">
        <f t="shared" si="21"/>
        <v>30</v>
      </c>
      <c r="P34" s="486">
        <f t="shared" si="26"/>
        <v>-14</v>
      </c>
      <c r="Q34" s="483" t="str">
        <f t="shared" si="22"/>
        <v>-</v>
      </c>
      <c r="R34" s="483">
        <f t="shared" si="23"/>
        <v>-420</v>
      </c>
      <c r="S34" s="487" t="str">
        <f t="shared" si="24"/>
        <v>-</v>
      </c>
      <c r="T34" s="488" t="str">
        <f t="shared" si="25"/>
        <v>-</v>
      </c>
    </row>
    <row r="35" spans="1:20" ht="23.4" x14ac:dyDescent="0.3">
      <c r="A35" s="248" t="s">
        <v>111</v>
      </c>
      <c r="B35" s="249" t="s">
        <v>235</v>
      </c>
      <c r="C35" s="481">
        <f t="shared" si="15"/>
        <v>0</v>
      </c>
      <c r="D35" s="250">
        <v>0</v>
      </c>
      <c r="E35" s="251">
        <v>0</v>
      </c>
      <c r="F35" s="619">
        <v>50000</v>
      </c>
      <c r="G35" s="483">
        <f t="shared" si="16"/>
        <v>0</v>
      </c>
      <c r="H35" s="254">
        <v>0</v>
      </c>
      <c r="I35" s="627">
        <v>0</v>
      </c>
      <c r="J35" s="630">
        <v>0</v>
      </c>
      <c r="K35" s="481">
        <f t="shared" si="17"/>
        <v>0</v>
      </c>
      <c r="L35" s="483">
        <f t="shared" si="18"/>
        <v>0</v>
      </c>
      <c r="M35" s="484" t="str">
        <f t="shared" si="19"/>
        <v>-</v>
      </c>
      <c r="N35" s="485">
        <f t="shared" si="20"/>
        <v>0</v>
      </c>
      <c r="O35" s="483">
        <f t="shared" si="21"/>
        <v>0</v>
      </c>
      <c r="P35" s="486" t="str">
        <f t="shared" si="26"/>
        <v>-</v>
      </c>
      <c r="Q35" s="483" t="str">
        <f t="shared" si="22"/>
        <v>-</v>
      </c>
      <c r="R35" s="483">
        <f t="shared" si="23"/>
        <v>0</v>
      </c>
      <c r="S35" s="487" t="str">
        <f t="shared" si="24"/>
        <v>-</v>
      </c>
      <c r="T35" s="488" t="str">
        <f t="shared" si="25"/>
        <v>-</v>
      </c>
    </row>
    <row r="36" spans="1:20" ht="23.4" x14ac:dyDescent="0.3">
      <c r="A36" s="248">
        <v>5</v>
      </c>
      <c r="B36" s="249" t="s">
        <v>22</v>
      </c>
      <c r="C36" s="481">
        <f t="shared" si="15"/>
        <v>480</v>
      </c>
      <c r="D36" s="250">
        <v>30</v>
      </c>
      <c r="E36" s="251">
        <v>450</v>
      </c>
      <c r="F36" s="619">
        <v>80000</v>
      </c>
      <c r="G36" s="483">
        <f t="shared" si="16"/>
        <v>0</v>
      </c>
      <c r="H36" s="482">
        <v>0</v>
      </c>
      <c r="I36" s="631">
        <v>0</v>
      </c>
      <c r="J36" s="630">
        <v>480</v>
      </c>
      <c r="K36" s="481">
        <f>+L36-E36</f>
        <v>0</v>
      </c>
      <c r="L36" s="483">
        <f t="shared" si="18"/>
        <v>450</v>
      </c>
      <c r="M36" s="484">
        <f>IFERROR(K36/L36,"-")</f>
        <v>0</v>
      </c>
      <c r="N36" s="485">
        <f t="shared" si="20"/>
        <v>-480</v>
      </c>
      <c r="O36" s="483">
        <f t="shared" si="21"/>
        <v>0</v>
      </c>
      <c r="P36" s="486" t="str">
        <f t="shared" si="26"/>
        <v>-</v>
      </c>
      <c r="Q36" s="483" t="str">
        <f t="shared" si="22"/>
        <v>-</v>
      </c>
      <c r="R36" s="483">
        <f t="shared" si="23"/>
        <v>-480</v>
      </c>
      <c r="S36" s="487" t="str">
        <f t="shared" si="24"/>
        <v>-</v>
      </c>
      <c r="T36" s="488" t="str">
        <f t="shared" si="25"/>
        <v>-</v>
      </c>
    </row>
    <row r="37" spans="1:20" ht="23.4" x14ac:dyDescent="0.3">
      <c r="A37" s="248" t="s">
        <v>111</v>
      </c>
      <c r="B37" s="249" t="s">
        <v>23</v>
      </c>
      <c r="C37" s="481">
        <f t="shared" si="15"/>
        <v>200</v>
      </c>
      <c r="D37" s="250">
        <v>30</v>
      </c>
      <c r="E37" s="251">
        <f>90+80</f>
        <v>170</v>
      </c>
      <c r="F37" s="619">
        <v>14000</v>
      </c>
      <c r="G37" s="483">
        <f t="shared" si="16"/>
        <v>6201</v>
      </c>
      <c r="H37" s="254">
        <v>6125</v>
      </c>
      <c r="I37" s="627">
        <v>76</v>
      </c>
      <c r="J37" s="630">
        <v>480</v>
      </c>
      <c r="K37" s="481">
        <f t="shared" ref="K37:K46" si="27">+L37-E37</f>
        <v>280</v>
      </c>
      <c r="L37" s="483">
        <f t="shared" si="18"/>
        <v>450</v>
      </c>
      <c r="M37" s="484">
        <f t="shared" ref="M37:M46" si="28">IFERROR(K37/L37,"-")</f>
        <v>0.62222222222222223</v>
      </c>
      <c r="N37" s="485">
        <f t="shared" si="20"/>
        <v>80</v>
      </c>
      <c r="O37" s="483">
        <f t="shared" si="21"/>
        <v>280</v>
      </c>
      <c r="P37" s="486">
        <f t="shared" si="26"/>
        <v>0.2857142857142857</v>
      </c>
      <c r="Q37" s="483">
        <f t="shared" si="22"/>
        <v>74.117077890662813</v>
      </c>
      <c r="R37" s="483">
        <f t="shared" si="23"/>
        <v>80</v>
      </c>
      <c r="S37" s="487">
        <f t="shared" si="24"/>
        <v>0.92646347363328518</v>
      </c>
      <c r="T37" s="488">
        <f t="shared" si="25"/>
        <v>0.16470461753480625</v>
      </c>
    </row>
    <row r="38" spans="1:20" ht="23.4" x14ac:dyDescent="0.3">
      <c r="A38" s="248" t="s">
        <v>111</v>
      </c>
      <c r="B38" s="253" t="s">
        <v>231</v>
      </c>
      <c r="C38" s="489">
        <f t="shared" si="15"/>
        <v>320</v>
      </c>
      <c r="D38" s="250">
        <f>60+20+60</f>
        <v>140</v>
      </c>
      <c r="E38" s="251">
        <f>120+30+30</f>
        <v>180</v>
      </c>
      <c r="F38" s="619">
        <v>4500</v>
      </c>
      <c r="G38" s="483">
        <f>+H38+I38</f>
        <v>19519</v>
      </c>
      <c r="H38" s="254">
        <f>3236+16172</f>
        <v>19408</v>
      </c>
      <c r="I38" s="322">
        <f>10+101</f>
        <v>111</v>
      </c>
      <c r="J38" s="630">
        <v>960</v>
      </c>
      <c r="K38" s="489">
        <f t="shared" si="27"/>
        <v>640</v>
      </c>
      <c r="L38" s="250">
        <f t="shared" si="18"/>
        <v>820</v>
      </c>
      <c r="M38" s="490">
        <f t="shared" si="28"/>
        <v>0.78048780487804881</v>
      </c>
      <c r="N38" s="491">
        <f t="shared" si="20"/>
        <v>320</v>
      </c>
      <c r="O38" s="250">
        <f t="shared" si="21"/>
        <v>640</v>
      </c>
      <c r="P38" s="492">
        <f t="shared" si="26"/>
        <v>0.5</v>
      </c>
      <c r="Q38" s="250">
        <f t="shared" si="22"/>
        <v>314.54070392950462</v>
      </c>
      <c r="R38" s="250">
        <f t="shared" si="23"/>
        <v>320</v>
      </c>
      <c r="S38" s="493">
        <f t="shared" si="24"/>
        <v>0.98293969977970197</v>
      </c>
      <c r="T38" s="494">
        <f t="shared" si="25"/>
        <v>0.38358622430427397</v>
      </c>
    </row>
    <row r="39" spans="1:20" ht="24" thickBot="1" x14ac:dyDescent="0.35">
      <c r="A39" s="255" t="s">
        <v>111</v>
      </c>
      <c r="B39" s="256" t="s">
        <v>232</v>
      </c>
      <c r="C39" s="495">
        <f t="shared" si="15"/>
        <v>240</v>
      </c>
      <c r="D39" s="257">
        <f>60+20+60</f>
        <v>140</v>
      </c>
      <c r="E39" s="258">
        <f>20+60+20</f>
        <v>100</v>
      </c>
      <c r="F39" s="625">
        <v>5000</v>
      </c>
      <c r="G39" s="505">
        <f t="shared" ref="G39:G46" si="29">+H39+I39</f>
        <v>29000</v>
      </c>
      <c r="H39" s="259">
        <v>28876</v>
      </c>
      <c r="I39" s="628">
        <v>124</v>
      </c>
      <c r="J39" s="633">
        <v>960</v>
      </c>
      <c r="K39" s="495">
        <f t="shared" si="27"/>
        <v>720</v>
      </c>
      <c r="L39" s="257">
        <f t="shared" si="18"/>
        <v>820</v>
      </c>
      <c r="M39" s="496">
        <f t="shared" si="28"/>
        <v>0.87804878048780488</v>
      </c>
      <c r="N39" s="497">
        <f t="shared" si="20"/>
        <v>480</v>
      </c>
      <c r="O39" s="257">
        <f t="shared" si="21"/>
        <v>720</v>
      </c>
      <c r="P39" s="498">
        <f t="shared" si="26"/>
        <v>0.66666666666666663</v>
      </c>
      <c r="Q39" s="257">
        <f t="shared" si="22"/>
        <v>475.89517241379315</v>
      </c>
      <c r="R39" s="257">
        <f t="shared" si="23"/>
        <v>480</v>
      </c>
      <c r="S39" s="499">
        <f t="shared" si="24"/>
        <v>0.99144827586206907</v>
      </c>
      <c r="T39" s="500">
        <f t="shared" si="25"/>
        <v>0.58035996635828435</v>
      </c>
    </row>
    <row r="40" spans="1:20" ht="23.4" x14ac:dyDescent="0.3">
      <c r="A40" s="252" t="s">
        <v>109</v>
      </c>
      <c r="B40" s="260" t="s">
        <v>29</v>
      </c>
      <c r="C40" s="481">
        <f t="shared" si="15"/>
        <v>0</v>
      </c>
      <c r="D40" s="250">
        <v>0</v>
      </c>
      <c r="E40" s="251">
        <v>0</v>
      </c>
      <c r="F40" s="482">
        <v>80000</v>
      </c>
      <c r="G40" s="483">
        <f t="shared" si="29"/>
        <v>0</v>
      </c>
      <c r="H40" s="482">
        <v>0</v>
      </c>
      <c r="I40" s="631">
        <v>0</v>
      </c>
      <c r="J40" s="629">
        <v>0</v>
      </c>
      <c r="K40" s="481">
        <f t="shared" si="27"/>
        <v>0</v>
      </c>
      <c r="L40" s="483">
        <f t="shared" si="18"/>
        <v>0</v>
      </c>
      <c r="M40" s="484" t="str">
        <f t="shared" si="28"/>
        <v>-</v>
      </c>
      <c r="N40" s="485">
        <f t="shared" si="20"/>
        <v>0</v>
      </c>
      <c r="O40" s="483">
        <f t="shared" si="21"/>
        <v>0</v>
      </c>
      <c r="P40" s="486" t="str">
        <f t="shared" si="26"/>
        <v>-</v>
      </c>
      <c r="Q40" s="483" t="str">
        <f t="shared" si="22"/>
        <v>-</v>
      </c>
      <c r="R40" s="483">
        <f t="shared" si="23"/>
        <v>0</v>
      </c>
      <c r="S40" s="501" t="str">
        <f t="shared" si="24"/>
        <v>-</v>
      </c>
      <c r="T40" s="502" t="str">
        <f t="shared" si="25"/>
        <v>-</v>
      </c>
    </row>
    <row r="41" spans="1:20" ht="23.4" x14ac:dyDescent="0.3">
      <c r="A41" s="248" t="s">
        <v>109</v>
      </c>
      <c r="B41" s="260" t="s">
        <v>31</v>
      </c>
      <c r="C41" s="481">
        <f t="shared" si="15"/>
        <v>0</v>
      </c>
      <c r="D41" s="250">
        <v>0</v>
      </c>
      <c r="E41" s="251">
        <v>0</v>
      </c>
      <c r="F41" s="482">
        <v>50000</v>
      </c>
      <c r="G41" s="483">
        <f t="shared" si="29"/>
        <v>0</v>
      </c>
      <c r="H41" s="482">
        <v>0</v>
      </c>
      <c r="I41" s="631">
        <v>0</v>
      </c>
      <c r="J41" s="630">
        <v>0</v>
      </c>
      <c r="K41" s="481">
        <f t="shared" si="27"/>
        <v>0</v>
      </c>
      <c r="L41" s="483">
        <f t="shared" si="18"/>
        <v>0</v>
      </c>
      <c r="M41" s="484" t="str">
        <f t="shared" si="28"/>
        <v>-</v>
      </c>
      <c r="N41" s="485">
        <f t="shared" si="20"/>
        <v>0</v>
      </c>
      <c r="O41" s="483">
        <f t="shared" si="21"/>
        <v>0</v>
      </c>
      <c r="P41" s="486" t="str">
        <f t="shared" si="26"/>
        <v>-</v>
      </c>
      <c r="Q41" s="483" t="str">
        <f t="shared" si="22"/>
        <v>-</v>
      </c>
      <c r="R41" s="483">
        <f t="shared" si="23"/>
        <v>0</v>
      </c>
      <c r="S41" s="501" t="str">
        <f t="shared" si="24"/>
        <v>-</v>
      </c>
      <c r="T41" s="502" t="str">
        <f t="shared" si="25"/>
        <v>-</v>
      </c>
    </row>
    <row r="42" spans="1:20" ht="24" thickBot="1" x14ac:dyDescent="0.35">
      <c r="A42" s="255" t="s">
        <v>109</v>
      </c>
      <c r="B42" s="261" t="s">
        <v>32</v>
      </c>
      <c r="C42" s="503">
        <f t="shared" si="15"/>
        <v>0</v>
      </c>
      <c r="D42" s="257">
        <v>0</v>
      </c>
      <c r="E42" s="258">
        <v>0</v>
      </c>
      <c r="F42" s="504">
        <v>110000</v>
      </c>
      <c r="G42" s="505">
        <f t="shared" si="29"/>
        <v>0</v>
      </c>
      <c r="H42" s="504">
        <v>0</v>
      </c>
      <c r="I42" s="632">
        <v>0</v>
      </c>
      <c r="J42" s="633">
        <v>0</v>
      </c>
      <c r="K42" s="503">
        <f t="shared" si="27"/>
        <v>0</v>
      </c>
      <c r="L42" s="505">
        <f t="shared" si="18"/>
        <v>0</v>
      </c>
      <c r="M42" s="506" t="str">
        <f t="shared" si="28"/>
        <v>-</v>
      </c>
      <c r="N42" s="507">
        <f t="shared" si="20"/>
        <v>0</v>
      </c>
      <c r="O42" s="505">
        <f t="shared" si="21"/>
        <v>0</v>
      </c>
      <c r="P42" s="508" t="str">
        <f t="shared" si="26"/>
        <v>-</v>
      </c>
      <c r="Q42" s="505" t="str">
        <f t="shared" si="22"/>
        <v>-</v>
      </c>
      <c r="R42" s="505">
        <f t="shared" si="23"/>
        <v>0</v>
      </c>
      <c r="S42" s="509" t="str">
        <f t="shared" si="24"/>
        <v>-</v>
      </c>
      <c r="T42" s="510" t="str">
        <f t="shared" si="25"/>
        <v>-</v>
      </c>
    </row>
    <row r="43" spans="1:20" ht="23.4" x14ac:dyDescent="0.3">
      <c r="A43" s="248" t="s">
        <v>110</v>
      </c>
      <c r="B43" s="249" t="s">
        <v>238</v>
      </c>
      <c r="C43" s="481">
        <f t="shared" si="15"/>
        <v>0</v>
      </c>
      <c r="D43" s="250">
        <v>0</v>
      </c>
      <c r="E43" s="251">
        <v>0</v>
      </c>
      <c r="F43" s="482">
        <v>6500</v>
      </c>
      <c r="G43" s="483">
        <f t="shared" si="29"/>
        <v>0</v>
      </c>
      <c r="H43" s="482">
        <v>0</v>
      </c>
      <c r="I43" s="631">
        <v>0</v>
      </c>
      <c r="J43" s="630">
        <v>0</v>
      </c>
      <c r="K43" s="481">
        <f t="shared" si="27"/>
        <v>0</v>
      </c>
      <c r="L43" s="483">
        <f t="shared" si="18"/>
        <v>0</v>
      </c>
      <c r="M43" s="484" t="str">
        <f t="shared" si="28"/>
        <v>-</v>
      </c>
      <c r="N43" s="485">
        <f t="shared" si="20"/>
        <v>0</v>
      </c>
      <c r="O43" s="483">
        <f t="shared" si="21"/>
        <v>0</v>
      </c>
      <c r="P43" s="486" t="str">
        <f t="shared" si="26"/>
        <v>-</v>
      </c>
      <c r="Q43" s="483" t="str">
        <f t="shared" si="22"/>
        <v>-</v>
      </c>
      <c r="R43" s="483">
        <f t="shared" si="23"/>
        <v>0</v>
      </c>
      <c r="S43" s="501" t="str">
        <f t="shared" si="24"/>
        <v>-</v>
      </c>
      <c r="T43" s="502" t="str">
        <f t="shared" si="25"/>
        <v>-</v>
      </c>
    </row>
    <row r="44" spans="1:20" ht="23.4" x14ac:dyDescent="0.3">
      <c r="A44" s="252" t="s">
        <v>110</v>
      </c>
      <c r="B44" s="249" t="s">
        <v>40</v>
      </c>
      <c r="C44" s="481">
        <f t="shared" si="15"/>
        <v>0</v>
      </c>
      <c r="D44" s="250">
        <v>0</v>
      </c>
      <c r="E44" s="251">
        <v>0</v>
      </c>
      <c r="F44" s="482">
        <v>2800</v>
      </c>
      <c r="G44" s="483">
        <f t="shared" si="29"/>
        <v>0</v>
      </c>
      <c r="H44" s="482"/>
      <c r="I44" s="631"/>
      <c r="J44" s="630">
        <v>0</v>
      </c>
      <c r="K44" s="481">
        <f t="shared" si="27"/>
        <v>0</v>
      </c>
      <c r="L44" s="483">
        <f t="shared" si="18"/>
        <v>0</v>
      </c>
      <c r="M44" s="484" t="str">
        <f t="shared" si="28"/>
        <v>-</v>
      </c>
      <c r="N44" s="485">
        <f t="shared" si="20"/>
        <v>0</v>
      </c>
      <c r="O44" s="483">
        <f t="shared" si="21"/>
        <v>0</v>
      </c>
      <c r="P44" s="486" t="str">
        <f t="shared" si="26"/>
        <v>-</v>
      </c>
      <c r="Q44" s="483" t="str">
        <f t="shared" si="22"/>
        <v>-</v>
      </c>
      <c r="R44" s="483">
        <f t="shared" si="23"/>
        <v>0</v>
      </c>
      <c r="S44" s="501" t="str">
        <f t="shared" si="24"/>
        <v>-</v>
      </c>
      <c r="T44" s="502" t="str">
        <f t="shared" si="25"/>
        <v>-</v>
      </c>
    </row>
    <row r="45" spans="1:20" ht="23.4" x14ac:dyDescent="0.3">
      <c r="A45" s="248" t="s">
        <v>110</v>
      </c>
      <c r="B45" s="249" t="s">
        <v>42</v>
      </c>
      <c r="C45" s="481">
        <f t="shared" si="15"/>
        <v>0</v>
      </c>
      <c r="D45" s="250">
        <v>0</v>
      </c>
      <c r="E45" s="251">
        <v>0</v>
      </c>
      <c r="F45" s="482">
        <v>25000</v>
      </c>
      <c r="G45" s="483">
        <f t="shared" si="29"/>
        <v>0</v>
      </c>
      <c r="H45" s="482">
        <v>0</v>
      </c>
      <c r="I45" s="631">
        <v>0</v>
      </c>
      <c r="J45" s="630">
        <v>0</v>
      </c>
      <c r="K45" s="481">
        <f t="shared" si="27"/>
        <v>0</v>
      </c>
      <c r="L45" s="483">
        <f t="shared" si="18"/>
        <v>0</v>
      </c>
      <c r="M45" s="484" t="str">
        <f t="shared" si="28"/>
        <v>-</v>
      </c>
      <c r="N45" s="485">
        <f t="shared" si="20"/>
        <v>0</v>
      </c>
      <c r="O45" s="483">
        <f t="shared" si="21"/>
        <v>0</v>
      </c>
      <c r="P45" s="486" t="str">
        <f t="shared" si="26"/>
        <v>-</v>
      </c>
      <c r="Q45" s="483" t="str">
        <f t="shared" si="22"/>
        <v>-</v>
      </c>
      <c r="R45" s="483">
        <f t="shared" si="23"/>
        <v>0</v>
      </c>
      <c r="S45" s="501" t="str">
        <f t="shared" si="24"/>
        <v>-</v>
      </c>
      <c r="T45" s="502" t="str">
        <f t="shared" si="25"/>
        <v>-</v>
      </c>
    </row>
    <row r="46" spans="1:20" ht="47.4" thickBot="1" x14ac:dyDescent="0.35">
      <c r="A46" s="635" t="s">
        <v>110</v>
      </c>
      <c r="B46" s="261" t="s">
        <v>237</v>
      </c>
      <c r="C46" s="636">
        <f t="shared" si="15"/>
        <v>0</v>
      </c>
      <c r="D46" s="637">
        <v>0</v>
      </c>
      <c r="E46" s="638">
        <v>0</v>
      </c>
      <c r="F46" s="639">
        <v>25000</v>
      </c>
      <c r="G46" s="640">
        <f t="shared" si="29"/>
        <v>0</v>
      </c>
      <c r="H46" s="639">
        <v>0</v>
      </c>
      <c r="I46" s="641">
        <v>0</v>
      </c>
      <c r="J46" s="634">
        <v>0</v>
      </c>
      <c r="K46" s="636">
        <f t="shared" si="27"/>
        <v>0</v>
      </c>
      <c r="L46" s="640">
        <f t="shared" si="18"/>
        <v>0</v>
      </c>
      <c r="M46" s="642" t="str">
        <f t="shared" si="28"/>
        <v>-</v>
      </c>
      <c r="N46" s="643">
        <f t="shared" si="20"/>
        <v>0</v>
      </c>
      <c r="O46" s="640">
        <f t="shared" si="21"/>
        <v>0</v>
      </c>
      <c r="P46" s="644" t="str">
        <f t="shared" si="26"/>
        <v>-</v>
      </c>
      <c r="Q46" s="640" t="str">
        <f t="shared" si="22"/>
        <v>-</v>
      </c>
      <c r="R46" s="640">
        <f t="shared" si="23"/>
        <v>0</v>
      </c>
      <c r="S46" s="645" t="str">
        <f t="shared" si="24"/>
        <v>-</v>
      </c>
      <c r="T46" s="646" t="str">
        <f t="shared" si="25"/>
        <v>-</v>
      </c>
    </row>
    <row r="47" spans="1:20" ht="23.4" x14ac:dyDescent="0.3">
      <c r="A47" s="935" t="s">
        <v>1</v>
      </c>
      <c r="B47" s="944" t="s">
        <v>2</v>
      </c>
      <c r="C47" s="944" t="s">
        <v>226</v>
      </c>
      <c r="D47" s="945"/>
      <c r="E47" s="946"/>
      <c r="F47" s="944" t="s">
        <v>424</v>
      </c>
      <c r="G47" s="945"/>
      <c r="H47" s="945"/>
      <c r="I47" s="946"/>
      <c r="J47" s="1040" t="s">
        <v>223</v>
      </c>
      <c r="K47" s="944" t="s">
        <v>211</v>
      </c>
      <c r="L47" s="945"/>
      <c r="M47" s="946"/>
      <c r="N47" s="945" t="s">
        <v>212</v>
      </c>
      <c r="O47" s="945"/>
      <c r="P47" s="946"/>
      <c r="Q47" s="944" t="s">
        <v>213</v>
      </c>
      <c r="R47" s="945"/>
      <c r="S47" s="945"/>
      <c r="T47" s="1042" t="s">
        <v>210</v>
      </c>
    </row>
    <row r="48" spans="1:20" ht="87.6" thickBot="1" x14ac:dyDescent="0.35">
      <c r="A48" s="1038"/>
      <c r="B48" s="1039"/>
      <c r="C48" s="235" t="s">
        <v>227</v>
      </c>
      <c r="D48" s="236" t="s">
        <v>224</v>
      </c>
      <c r="E48" s="237" t="s">
        <v>225</v>
      </c>
      <c r="F48" s="238" t="s">
        <v>382</v>
      </c>
      <c r="G48" s="236" t="s">
        <v>220</v>
      </c>
      <c r="H48" s="239" t="s">
        <v>221</v>
      </c>
      <c r="I48" s="240" t="s">
        <v>222</v>
      </c>
      <c r="J48" s="1041"/>
      <c r="K48" s="235" t="s">
        <v>214</v>
      </c>
      <c r="L48" s="239" t="s">
        <v>215</v>
      </c>
      <c r="M48" s="241" t="s">
        <v>228</v>
      </c>
      <c r="N48" s="242" t="s">
        <v>216</v>
      </c>
      <c r="O48" s="239" t="s">
        <v>217</v>
      </c>
      <c r="P48" s="241" t="s">
        <v>229</v>
      </c>
      <c r="Q48" s="235" t="s">
        <v>218</v>
      </c>
      <c r="R48" s="239" t="s">
        <v>219</v>
      </c>
      <c r="S48" s="243" t="s">
        <v>230</v>
      </c>
      <c r="T48" s="1043"/>
    </row>
    <row r="49" spans="1:20" ht="23.4" x14ac:dyDescent="0.3">
      <c r="A49" s="244" t="s">
        <v>111</v>
      </c>
      <c r="B49" s="245" t="s">
        <v>16</v>
      </c>
      <c r="C49" s="474">
        <f>+D49+E49</f>
        <v>210</v>
      </c>
      <c r="D49" s="246">
        <v>30</v>
      </c>
      <c r="E49" s="247">
        <f>120+60</f>
        <v>180</v>
      </c>
      <c r="F49" s="618">
        <v>15000</v>
      </c>
      <c r="G49" s="475">
        <f>+H49+I49</f>
        <v>9388</v>
      </c>
      <c r="H49" s="624">
        <v>9216</v>
      </c>
      <c r="I49" s="626">
        <v>172</v>
      </c>
      <c r="J49" s="629">
        <v>480</v>
      </c>
      <c r="K49" s="474">
        <f>+L49-E49</f>
        <v>270</v>
      </c>
      <c r="L49" s="475">
        <f>+J49-D49</f>
        <v>450</v>
      </c>
      <c r="M49" s="476">
        <f>IFERROR(K49/L49,"-")</f>
        <v>0.6</v>
      </c>
      <c r="N49" s="477">
        <f>+O49-C49</f>
        <v>60</v>
      </c>
      <c r="O49" s="475">
        <f>+K49</f>
        <v>270</v>
      </c>
      <c r="P49" s="478">
        <f>IFERROR(N49/O49,"-")</f>
        <v>0.22222222222222221</v>
      </c>
      <c r="Q49" s="475">
        <f>IFERROR(N49-(J49-(J49*H49/G49)),"-")</f>
        <v>51.205794631444405</v>
      </c>
      <c r="R49" s="475">
        <f>+N49</f>
        <v>60</v>
      </c>
      <c r="S49" s="479">
        <f>IFERROR(Q49/R49,"-")</f>
        <v>0.85342991052407347</v>
      </c>
      <c r="T49" s="480">
        <f>IFERROR(M49*P49*S49,"-")</f>
        <v>0.11379065473654312</v>
      </c>
    </row>
    <row r="50" spans="1:20" ht="23.4" x14ac:dyDescent="0.3">
      <c r="A50" s="248" t="s">
        <v>111</v>
      </c>
      <c r="B50" s="249" t="s">
        <v>234</v>
      </c>
      <c r="C50" s="481">
        <f t="shared" ref="C50:C64" si="30">+D50+E50</f>
        <v>90</v>
      </c>
      <c r="D50" s="250">
        <v>30</v>
      </c>
      <c r="E50" s="251">
        <f>30+30</f>
        <v>60</v>
      </c>
      <c r="F50" s="619">
        <v>100000</v>
      </c>
      <c r="G50" s="483">
        <f t="shared" ref="G50:G55" si="31">+H50+I50</f>
        <v>92060</v>
      </c>
      <c r="H50" s="254">
        <v>91800</v>
      </c>
      <c r="I50" s="627">
        <v>260</v>
      </c>
      <c r="J50" s="630">
        <v>600</v>
      </c>
      <c r="K50" s="481">
        <f t="shared" ref="K50:K53" si="32">+L50-E50</f>
        <v>510</v>
      </c>
      <c r="L50" s="483">
        <f t="shared" ref="L50:L64" si="33">+J50-D50</f>
        <v>570</v>
      </c>
      <c r="M50" s="484">
        <f t="shared" ref="M50:M53" si="34">IFERROR(K50/L50,"-")</f>
        <v>0.89473684210526316</v>
      </c>
      <c r="N50" s="485">
        <f t="shared" ref="N50:N64" si="35">+O50-C50</f>
        <v>420</v>
      </c>
      <c r="O50" s="483">
        <f t="shared" ref="O50:O64" si="36">+K50</f>
        <v>510</v>
      </c>
      <c r="P50" s="486">
        <f>IFERROR(N50/O50,"-")</f>
        <v>0.82352941176470584</v>
      </c>
      <c r="Q50" s="483">
        <f t="shared" ref="Q50:Q64" si="37">IFERROR(N50-(J50-(J50*H50/G50)),"-")</f>
        <v>418.30545296545733</v>
      </c>
      <c r="R50" s="483">
        <f t="shared" ref="R50:R64" si="38">+N50</f>
        <v>420</v>
      </c>
      <c r="S50" s="487">
        <f t="shared" ref="S50:S64" si="39">IFERROR(Q50/R50,"-")</f>
        <v>0.99596536420346982</v>
      </c>
      <c r="T50" s="488">
        <f t="shared" ref="T50:T64" si="40">IFERROR(M50*P50*S50,"-")</f>
        <v>0.73386921572887243</v>
      </c>
    </row>
    <row r="51" spans="1:20" ht="23.4" x14ac:dyDescent="0.3">
      <c r="A51" s="248" t="s">
        <v>111</v>
      </c>
      <c r="B51" s="249" t="s">
        <v>233</v>
      </c>
      <c r="C51" s="481">
        <f t="shared" si="30"/>
        <v>0</v>
      </c>
      <c r="D51" s="250"/>
      <c r="E51" s="251"/>
      <c r="F51" s="619">
        <v>80000</v>
      </c>
      <c r="G51" s="483">
        <f t="shared" si="31"/>
        <v>0</v>
      </c>
      <c r="H51" s="254"/>
      <c r="I51" s="627"/>
      <c r="J51" s="630"/>
      <c r="K51" s="481">
        <f t="shared" si="32"/>
        <v>0</v>
      </c>
      <c r="L51" s="483">
        <f t="shared" si="33"/>
        <v>0</v>
      </c>
      <c r="M51" s="484" t="str">
        <f t="shared" si="34"/>
        <v>-</v>
      </c>
      <c r="N51" s="485">
        <f t="shared" si="35"/>
        <v>0</v>
      </c>
      <c r="O51" s="483">
        <f t="shared" si="36"/>
        <v>0</v>
      </c>
      <c r="P51" s="486" t="str">
        <f t="shared" ref="P51:P64" si="41">IFERROR(N51/O51,"-")</f>
        <v>-</v>
      </c>
      <c r="Q51" s="483" t="str">
        <f t="shared" si="37"/>
        <v>-</v>
      </c>
      <c r="R51" s="483">
        <f t="shared" si="38"/>
        <v>0</v>
      </c>
      <c r="S51" s="487" t="str">
        <f t="shared" si="39"/>
        <v>-</v>
      </c>
      <c r="T51" s="488" t="str">
        <f t="shared" si="40"/>
        <v>-</v>
      </c>
    </row>
    <row r="52" spans="1:20" ht="23.4" x14ac:dyDescent="0.3">
      <c r="A52" s="252" t="s">
        <v>111</v>
      </c>
      <c r="B52" s="249" t="s">
        <v>236</v>
      </c>
      <c r="C52" s="481">
        <f t="shared" si="30"/>
        <v>210</v>
      </c>
      <c r="D52" s="250">
        <v>30</v>
      </c>
      <c r="E52" s="251">
        <f>120+60</f>
        <v>180</v>
      </c>
      <c r="F52" s="619">
        <v>110000</v>
      </c>
      <c r="G52" s="483">
        <f t="shared" si="31"/>
        <v>50846</v>
      </c>
      <c r="H52" s="254">
        <v>50688</v>
      </c>
      <c r="I52" s="627">
        <v>158</v>
      </c>
      <c r="J52" s="630">
        <v>480</v>
      </c>
      <c r="K52" s="481">
        <f t="shared" si="32"/>
        <v>270</v>
      </c>
      <c r="L52" s="483">
        <f t="shared" si="33"/>
        <v>450</v>
      </c>
      <c r="M52" s="484">
        <f t="shared" si="34"/>
        <v>0.6</v>
      </c>
      <c r="N52" s="485">
        <f t="shared" si="35"/>
        <v>60</v>
      </c>
      <c r="O52" s="483">
        <f t="shared" si="36"/>
        <v>270</v>
      </c>
      <c r="P52" s="486">
        <f t="shared" si="41"/>
        <v>0.22222222222222221</v>
      </c>
      <c r="Q52" s="483">
        <f t="shared" si="37"/>
        <v>58.508437241867625</v>
      </c>
      <c r="R52" s="483">
        <f t="shared" si="38"/>
        <v>60</v>
      </c>
      <c r="S52" s="487">
        <f t="shared" si="39"/>
        <v>0.97514062069779373</v>
      </c>
      <c r="T52" s="488">
        <f t="shared" si="40"/>
        <v>0.13001874942637248</v>
      </c>
    </row>
    <row r="53" spans="1:20" ht="23.4" x14ac:dyDescent="0.3">
      <c r="A53" s="248" t="s">
        <v>111</v>
      </c>
      <c r="B53" s="249" t="s">
        <v>235</v>
      </c>
      <c r="C53" s="481">
        <f t="shared" si="30"/>
        <v>0</v>
      </c>
      <c r="D53" s="250"/>
      <c r="E53" s="251"/>
      <c r="F53" s="619">
        <v>50000</v>
      </c>
      <c r="G53" s="483">
        <f t="shared" si="31"/>
        <v>0</v>
      </c>
      <c r="H53" s="254"/>
      <c r="I53" s="627"/>
      <c r="J53" s="630"/>
      <c r="K53" s="481">
        <f t="shared" si="32"/>
        <v>0</v>
      </c>
      <c r="L53" s="483">
        <f t="shared" si="33"/>
        <v>0</v>
      </c>
      <c r="M53" s="484" t="str">
        <f t="shared" si="34"/>
        <v>-</v>
      </c>
      <c r="N53" s="485">
        <f t="shared" si="35"/>
        <v>0</v>
      </c>
      <c r="O53" s="483">
        <f t="shared" si="36"/>
        <v>0</v>
      </c>
      <c r="P53" s="486" t="str">
        <f t="shared" si="41"/>
        <v>-</v>
      </c>
      <c r="Q53" s="483" t="str">
        <f t="shared" si="37"/>
        <v>-</v>
      </c>
      <c r="R53" s="483">
        <f t="shared" si="38"/>
        <v>0</v>
      </c>
      <c r="S53" s="487" t="str">
        <f t="shared" si="39"/>
        <v>-</v>
      </c>
      <c r="T53" s="488" t="str">
        <f t="shared" si="40"/>
        <v>-</v>
      </c>
    </row>
    <row r="54" spans="1:20" ht="23.4" x14ac:dyDescent="0.3">
      <c r="A54" s="248">
        <v>5</v>
      </c>
      <c r="B54" s="249" t="s">
        <v>22</v>
      </c>
      <c r="C54" s="481">
        <f t="shared" si="30"/>
        <v>480</v>
      </c>
      <c r="D54" s="250">
        <v>30</v>
      </c>
      <c r="E54" s="251">
        <v>450</v>
      </c>
      <c r="F54" s="619">
        <v>80000</v>
      </c>
      <c r="G54" s="483">
        <f t="shared" si="31"/>
        <v>0</v>
      </c>
      <c r="H54" s="482">
        <v>0</v>
      </c>
      <c r="I54" s="631">
        <v>0</v>
      </c>
      <c r="J54" s="630">
        <v>480</v>
      </c>
      <c r="K54" s="481">
        <f>+L54-E54</f>
        <v>0</v>
      </c>
      <c r="L54" s="483">
        <f t="shared" si="33"/>
        <v>450</v>
      </c>
      <c r="M54" s="484">
        <f>IFERROR(K54/L54,"-")</f>
        <v>0</v>
      </c>
      <c r="N54" s="485">
        <f t="shared" si="35"/>
        <v>-480</v>
      </c>
      <c r="O54" s="483">
        <f t="shared" si="36"/>
        <v>0</v>
      </c>
      <c r="P54" s="486" t="str">
        <f t="shared" si="41"/>
        <v>-</v>
      </c>
      <c r="Q54" s="483" t="str">
        <f t="shared" si="37"/>
        <v>-</v>
      </c>
      <c r="R54" s="483">
        <f t="shared" si="38"/>
        <v>-480</v>
      </c>
      <c r="S54" s="487" t="str">
        <f t="shared" si="39"/>
        <v>-</v>
      </c>
      <c r="T54" s="488" t="str">
        <f t="shared" si="40"/>
        <v>-</v>
      </c>
    </row>
    <row r="55" spans="1:20" ht="23.4" x14ac:dyDescent="0.3">
      <c r="A55" s="248" t="s">
        <v>111</v>
      </c>
      <c r="B55" s="249" t="s">
        <v>23</v>
      </c>
      <c r="C55" s="481">
        <f t="shared" si="30"/>
        <v>150</v>
      </c>
      <c r="D55" s="250">
        <v>30</v>
      </c>
      <c r="E55" s="251">
        <v>120</v>
      </c>
      <c r="F55" s="619">
        <v>14000</v>
      </c>
      <c r="G55" s="483">
        <f t="shared" si="31"/>
        <v>12328</v>
      </c>
      <c r="H55" s="254">
        <v>12250</v>
      </c>
      <c r="I55" s="627">
        <v>78</v>
      </c>
      <c r="J55" s="630">
        <v>480</v>
      </c>
      <c r="K55" s="481">
        <f t="shared" ref="K55:K64" si="42">+L55-E55</f>
        <v>330</v>
      </c>
      <c r="L55" s="483">
        <f t="shared" si="33"/>
        <v>450</v>
      </c>
      <c r="M55" s="484">
        <f t="shared" ref="M55:M64" si="43">IFERROR(K55/L55,"-")</f>
        <v>0.73333333333333328</v>
      </c>
      <c r="N55" s="485">
        <f t="shared" si="35"/>
        <v>180</v>
      </c>
      <c r="O55" s="483">
        <f t="shared" si="36"/>
        <v>330</v>
      </c>
      <c r="P55" s="486">
        <f t="shared" si="41"/>
        <v>0.54545454545454541</v>
      </c>
      <c r="Q55" s="483">
        <f t="shared" si="37"/>
        <v>176.96301103179752</v>
      </c>
      <c r="R55" s="483">
        <f t="shared" si="38"/>
        <v>180</v>
      </c>
      <c r="S55" s="487">
        <f t="shared" si="39"/>
        <v>0.9831278390655418</v>
      </c>
      <c r="T55" s="488">
        <f t="shared" si="40"/>
        <v>0.39325113562621666</v>
      </c>
    </row>
    <row r="56" spans="1:20" ht="23.4" x14ac:dyDescent="0.3">
      <c r="A56" s="248" t="s">
        <v>111</v>
      </c>
      <c r="B56" s="253" t="s">
        <v>231</v>
      </c>
      <c r="C56" s="489">
        <f t="shared" si="30"/>
        <v>555</v>
      </c>
      <c r="D56" s="250">
        <f>30+30+60+180</f>
        <v>300</v>
      </c>
      <c r="E56" s="251">
        <f>180+45+30</f>
        <v>255</v>
      </c>
      <c r="F56" s="619">
        <v>4500</v>
      </c>
      <c r="G56" s="483">
        <f>+H56+I56</f>
        <v>15978</v>
      </c>
      <c r="H56" s="254">
        <v>15884</v>
      </c>
      <c r="I56" s="322">
        <v>94</v>
      </c>
      <c r="J56" s="630">
        <v>960</v>
      </c>
      <c r="K56" s="489">
        <f t="shared" si="42"/>
        <v>405</v>
      </c>
      <c r="L56" s="250">
        <f t="shared" si="33"/>
        <v>660</v>
      </c>
      <c r="M56" s="490">
        <f t="shared" si="43"/>
        <v>0.61363636363636365</v>
      </c>
      <c r="N56" s="491">
        <f t="shared" si="35"/>
        <v>-150</v>
      </c>
      <c r="O56" s="250">
        <f t="shared" si="36"/>
        <v>405</v>
      </c>
      <c r="P56" s="492">
        <f t="shared" si="41"/>
        <v>-0.37037037037037035</v>
      </c>
      <c r="Q56" s="250">
        <f t="shared" si="37"/>
        <v>-155.647765677807</v>
      </c>
      <c r="R56" s="250">
        <f t="shared" si="38"/>
        <v>-150</v>
      </c>
      <c r="S56" s="493">
        <f t="shared" si="39"/>
        <v>1.0376517711853801</v>
      </c>
      <c r="T56" s="494">
        <f t="shared" si="40"/>
        <v>-0.23582994799667728</v>
      </c>
    </row>
    <row r="57" spans="1:20" ht="24" thickBot="1" x14ac:dyDescent="0.35">
      <c r="A57" s="255" t="s">
        <v>111</v>
      </c>
      <c r="B57" s="256" t="s">
        <v>232</v>
      </c>
      <c r="C57" s="495">
        <f t="shared" si="30"/>
        <v>315</v>
      </c>
      <c r="D57" s="257">
        <f>30+30+60</f>
        <v>120</v>
      </c>
      <c r="E57" s="258">
        <f>45+120+30</f>
        <v>195</v>
      </c>
      <c r="F57" s="625">
        <v>5000</v>
      </c>
      <c r="G57" s="505">
        <f t="shared" ref="G57:G64" si="44">+H57+I57</f>
        <v>26893</v>
      </c>
      <c r="H57" s="259">
        <f>19481+7251</f>
        <v>26732</v>
      </c>
      <c r="I57" s="628">
        <f>42+119</f>
        <v>161</v>
      </c>
      <c r="J57" s="633">
        <v>960</v>
      </c>
      <c r="K57" s="495">
        <f t="shared" si="42"/>
        <v>645</v>
      </c>
      <c r="L57" s="257">
        <f t="shared" si="33"/>
        <v>840</v>
      </c>
      <c r="M57" s="496">
        <f t="shared" si="43"/>
        <v>0.7678571428571429</v>
      </c>
      <c r="N57" s="497">
        <f t="shared" si="35"/>
        <v>330</v>
      </c>
      <c r="O57" s="257">
        <f t="shared" si="36"/>
        <v>645</v>
      </c>
      <c r="P57" s="498">
        <f t="shared" si="41"/>
        <v>0.51162790697674421</v>
      </c>
      <c r="Q57" s="257">
        <f t="shared" si="37"/>
        <v>324.25277953370767</v>
      </c>
      <c r="R57" s="257">
        <f t="shared" si="38"/>
        <v>330</v>
      </c>
      <c r="S57" s="499">
        <f t="shared" si="39"/>
        <v>0.9825841804051747</v>
      </c>
      <c r="T57" s="500">
        <f t="shared" si="40"/>
        <v>0.38601521373060438</v>
      </c>
    </row>
    <row r="58" spans="1:20" ht="23.4" x14ac:dyDescent="0.3">
      <c r="A58" s="252" t="s">
        <v>109</v>
      </c>
      <c r="B58" s="260" t="s">
        <v>29</v>
      </c>
      <c r="C58" s="481">
        <f t="shared" si="30"/>
        <v>0</v>
      </c>
      <c r="D58" s="250">
        <v>0</v>
      </c>
      <c r="E58" s="251">
        <v>0</v>
      </c>
      <c r="F58" s="482">
        <v>80000</v>
      </c>
      <c r="G58" s="483">
        <f t="shared" si="44"/>
        <v>0</v>
      </c>
      <c r="H58" s="482">
        <v>0</v>
      </c>
      <c r="I58" s="631">
        <v>0</v>
      </c>
      <c r="J58" s="629">
        <v>0</v>
      </c>
      <c r="K58" s="481">
        <f t="shared" si="42"/>
        <v>0</v>
      </c>
      <c r="L58" s="483">
        <f t="shared" si="33"/>
        <v>0</v>
      </c>
      <c r="M58" s="484" t="str">
        <f t="shared" si="43"/>
        <v>-</v>
      </c>
      <c r="N58" s="485">
        <f t="shared" si="35"/>
        <v>0</v>
      </c>
      <c r="O58" s="483">
        <f t="shared" si="36"/>
        <v>0</v>
      </c>
      <c r="P58" s="486" t="str">
        <f t="shared" si="41"/>
        <v>-</v>
      </c>
      <c r="Q58" s="483" t="str">
        <f t="shared" si="37"/>
        <v>-</v>
      </c>
      <c r="R58" s="483">
        <f t="shared" si="38"/>
        <v>0</v>
      </c>
      <c r="S58" s="501" t="str">
        <f t="shared" si="39"/>
        <v>-</v>
      </c>
      <c r="T58" s="502" t="str">
        <f t="shared" si="40"/>
        <v>-</v>
      </c>
    </row>
    <row r="59" spans="1:20" ht="23.4" x14ac:dyDescent="0.3">
      <c r="A59" s="248" t="s">
        <v>109</v>
      </c>
      <c r="B59" s="260" t="s">
        <v>31</v>
      </c>
      <c r="C59" s="481">
        <f t="shared" si="30"/>
        <v>0</v>
      </c>
      <c r="D59" s="250">
        <v>0</v>
      </c>
      <c r="E59" s="251">
        <v>0</v>
      </c>
      <c r="F59" s="482">
        <v>50000</v>
      </c>
      <c r="G59" s="483">
        <f t="shared" si="44"/>
        <v>0</v>
      </c>
      <c r="H59" s="482">
        <v>0</v>
      </c>
      <c r="I59" s="631">
        <v>0</v>
      </c>
      <c r="J59" s="630">
        <v>0</v>
      </c>
      <c r="K59" s="481">
        <f t="shared" si="42"/>
        <v>0</v>
      </c>
      <c r="L59" s="483">
        <f t="shared" si="33"/>
        <v>0</v>
      </c>
      <c r="M59" s="484" t="str">
        <f t="shared" si="43"/>
        <v>-</v>
      </c>
      <c r="N59" s="485">
        <f t="shared" si="35"/>
        <v>0</v>
      </c>
      <c r="O59" s="483">
        <f t="shared" si="36"/>
        <v>0</v>
      </c>
      <c r="P59" s="486" t="str">
        <f t="shared" si="41"/>
        <v>-</v>
      </c>
      <c r="Q59" s="483" t="str">
        <f t="shared" si="37"/>
        <v>-</v>
      </c>
      <c r="R59" s="483">
        <f t="shared" si="38"/>
        <v>0</v>
      </c>
      <c r="S59" s="501" t="str">
        <f t="shared" si="39"/>
        <v>-</v>
      </c>
      <c r="T59" s="502" t="str">
        <f t="shared" si="40"/>
        <v>-</v>
      </c>
    </row>
    <row r="60" spans="1:20" ht="24" thickBot="1" x14ac:dyDescent="0.35">
      <c r="A60" s="255" t="s">
        <v>109</v>
      </c>
      <c r="B60" s="261" t="s">
        <v>32</v>
      </c>
      <c r="C60" s="503">
        <f t="shared" si="30"/>
        <v>0</v>
      </c>
      <c r="D60" s="257">
        <v>0</v>
      </c>
      <c r="E60" s="258">
        <v>0</v>
      </c>
      <c r="F60" s="504">
        <v>110000</v>
      </c>
      <c r="G60" s="505">
        <f t="shared" si="44"/>
        <v>0</v>
      </c>
      <c r="H60" s="504">
        <v>0</v>
      </c>
      <c r="I60" s="632">
        <v>0</v>
      </c>
      <c r="J60" s="633">
        <v>0</v>
      </c>
      <c r="K60" s="503">
        <f t="shared" si="42"/>
        <v>0</v>
      </c>
      <c r="L60" s="505">
        <f t="shared" si="33"/>
        <v>0</v>
      </c>
      <c r="M60" s="506" t="str">
        <f t="shared" si="43"/>
        <v>-</v>
      </c>
      <c r="N60" s="507">
        <f t="shared" si="35"/>
        <v>0</v>
      </c>
      <c r="O60" s="505">
        <f t="shared" si="36"/>
        <v>0</v>
      </c>
      <c r="P60" s="508" t="str">
        <f t="shared" si="41"/>
        <v>-</v>
      </c>
      <c r="Q60" s="505" t="str">
        <f t="shared" si="37"/>
        <v>-</v>
      </c>
      <c r="R60" s="505">
        <f t="shared" si="38"/>
        <v>0</v>
      </c>
      <c r="S60" s="509" t="str">
        <f t="shared" si="39"/>
        <v>-</v>
      </c>
      <c r="T60" s="510" t="str">
        <f t="shared" si="40"/>
        <v>-</v>
      </c>
    </row>
    <row r="61" spans="1:20" ht="23.4" x14ac:dyDescent="0.3">
      <c r="A61" s="248" t="s">
        <v>110</v>
      </c>
      <c r="B61" s="249" t="s">
        <v>238</v>
      </c>
      <c r="C61" s="481">
        <f t="shared" si="30"/>
        <v>0</v>
      </c>
      <c r="D61" s="250">
        <v>0</v>
      </c>
      <c r="E61" s="251">
        <v>0</v>
      </c>
      <c r="F61" s="482">
        <v>6500</v>
      </c>
      <c r="G61" s="483">
        <f t="shared" si="44"/>
        <v>0</v>
      </c>
      <c r="H61" s="482">
        <v>0</v>
      </c>
      <c r="I61" s="631">
        <v>0</v>
      </c>
      <c r="J61" s="630">
        <v>0</v>
      </c>
      <c r="K61" s="481">
        <f t="shared" si="42"/>
        <v>0</v>
      </c>
      <c r="L61" s="483">
        <f t="shared" si="33"/>
        <v>0</v>
      </c>
      <c r="M61" s="484" t="str">
        <f t="shared" si="43"/>
        <v>-</v>
      </c>
      <c r="N61" s="485">
        <f t="shared" si="35"/>
        <v>0</v>
      </c>
      <c r="O61" s="483">
        <f t="shared" si="36"/>
        <v>0</v>
      </c>
      <c r="P61" s="486" t="str">
        <f t="shared" si="41"/>
        <v>-</v>
      </c>
      <c r="Q61" s="483" t="str">
        <f t="shared" si="37"/>
        <v>-</v>
      </c>
      <c r="R61" s="483">
        <f t="shared" si="38"/>
        <v>0</v>
      </c>
      <c r="S61" s="501" t="str">
        <f t="shared" si="39"/>
        <v>-</v>
      </c>
      <c r="T61" s="502" t="str">
        <f t="shared" si="40"/>
        <v>-</v>
      </c>
    </row>
    <row r="62" spans="1:20" ht="23.4" x14ac:dyDescent="0.3">
      <c r="A62" s="252" t="s">
        <v>110</v>
      </c>
      <c r="B62" s="249" t="s">
        <v>40</v>
      </c>
      <c r="C62" s="481">
        <f t="shared" si="30"/>
        <v>0</v>
      </c>
      <c r="D62" s="250">
        <v>0</v>
      </c>
      <c r="E62" s="251">
        <v>0</v>
      </c>
      <c r="F62" s="482">
        <v>2800</v>
      </c>
      <c r="G62" s="483">
        <f t="shared" si="44"/>
        <v>0</v>
      </c>
      <c r="H62" s="482"/>
      <c r="I62" s="631"/>
      <c r="J62" s="630">
        <v>0</v>
      </c>
      <c r="K62" s="481">
        <f t="shared" si="42"/>
        <v>0</v>
      </c>
      <c r="L62" s="483">
        <f t="shared" si="33"/>
        <v>0</v>
      </c>
      <c r="M62" s="484" t="str">
        <f t="shared" si="43"/>
        <v>-</v>
      </c>
      <c r="N62" s="485">
        <f t="shared" si="35"/>
        <v>0</v>
      </c>
      <c r="O62" s="483">
        <f t="shared" si="36"/>
        <v>0</v>
      </c>
      <c r="P62" s="486" t="str">
        <f t="shared" si="41"/>
        <v>-</v>
      </c>
      <c r="Q62" s="483" t="str">
        <f t="shared" si="37"/>
        <v>-</v>
      </c>
      <c r="R62" s="483">
        <f t="shared" si="38"/>
        <v>0</v>
      </c>
      <c r="S62" s="501" t="str">
        <f t="shared" si="39"/>
        <v>-</v>
      </c>
      <c r="T62" s="502" t="str">
        <f t="shared" si="40"/>
        <v>-</v>
      </c>
    </row>
    <row r="63" spans="1:20" ht="23.4" x14ac:dyDescent="0.3">
      <c r="A63" s="248" t="s">
        <v>110</v>
      </c>
      <c r="B63" s="249" t="s">
        <v>42</v>
      </c>
      <c r="C63" s="481">
        <f t="shared" si="30"/>
        <v>0</v>
      </c>
      <c r="D63" s="250">
        <v>0</v>
      </c>
      <c r="E63" s="251">
        <v>0</v>
      </c>
      <c r="F63" s="482">
        <v>25000</v>
      </c>
      <c r="G63" s="483">
        <f t="shared" si="44"/>
        <v>0</v>
      </c>
      <c r="H63" s="482">
        <v>0</v>
      </c>
      <c r="I63" s="631">
        <v>0</v>
      </c>
      <c r="J63" s="630">
        <v>0</v>
      </c>
      <c r="K63" s="481">
        <f t="shared" si="42"/>
        <v>0</v>
      </c>
      <c r="L63" s="483">
        <f t="shared" si="33"/>
        <v>0</v>
      </c>
      <c r="M63" s="484" t="str">
        <f t="shared" si="43"/>
        <v>-</v>
      </c>
      <c r="N63" s="485">
        <f t="shared" si="35"/>
        <v>0</v>
      </c>
      <c r="O63" s="483">
        <f t="shared" si="36"/>
        <v>0</v>
      </c>
      <c r="P63" s="486" t="str">
        <f t="shared" si="41"/>
        <v>-</v>
      </c>
      <c r="Q63" s="483" t="str">
        <f t="shared" si="37"/>
        <v>-</v>
      </c>
      <c r="R63" s="483">
        <f t="shared" si="38"/>
        <v>0</v>
      </c>
      <c r="S63" s="501" t="str">
        <f t="shared" si="39"/>
        <v>-</v>
      </c>
      <c r="T63" s="502" t="str">
        <f t="shared" si="40"/>
        <v>-</v>
      </c>
    </row>
    <row r="64" spans="1:20" ht="47.4" thickBot="1" x14ac:dyDescent="0.35">
      <c r="A64" s="635" t="s">
        <v>110</v>
      </c>
      <c r="B64" s="261" t="s">
        <v>237</v>
      </c>
      <c r="C64" s="636">
        <f t="shared" si="30"/>
        <v>0</v>
      </c>
      <c r="D64" s="637">
        <v>0</v>
      </c>
      <c r="E64" s="638">
        <v>0</v>
      </c>
      <c r="F64" s="639">
        <v>25000</v>
      </c>
      <c r="G64" s="640">
        <f t="shared" si="44"/>
        <v>0</v>
      </c>
      <c r="H64" s="639">
        <v>0</v>
      </c>
      <c r="I64" s="641">
        <v>0</v>
      </c>
      <c r="J64" s="634">
        <v>0</v>
      </c>
      <c r="K64" s="636">
        <f t="shared" si="42"/>
        <v>0</v>
      </c>
      <c r="L64" s="640">
        <f t="shared" si="33"/>
        <v>0</v>
      </c>
      <c r="M64" s="642" t="str">
        <f t="shared" si="43"/>
        <v>-</v>
      </c>
      <c r="N64" s="643">
        <f t="shared" si="35"/>
        <v>0</v>
      </c>
      <c r="O64" s="640">
        <f t="shared" si="36"/>
        <v>0</v>
      </c>
      <c r="P64" s="644" t="str">
        <f t="shared" si="41"/>
        <v>-</v>
      </c>
      <c r="Q64" s="640" t="str">
        <f t="shared" si="37"/>
        <v>-</v>
      </c>
      <c r="R64" s="640">
        <f t="shared" si="38"/>
        <v>0</v>
      </c>
      <c r="S64" s="645" t="str">
        <f t="shared" si="39"/>
        <v>-</v>
      </c>
      <c r="T64" s="646" t="str">
        <f t="shared" si="40"/>
        <v>-</v>
      </c>
    </row>
    <row r="65" spans="1:20" ht="23.4" x14ac:dyDescent="0.3">
      <c r="A65" s="935" t="s">
        <v>1</v>
      </c>
      <c r="B65" s="944" t="s">
        <v>2</v>
      </c>
      <c r="C65" s="944" t="s">
        <v>226</v>
      </c>
      <c r="D65" s="945"/>
      <c r="E65" s="946"/>
      <c r="F65" s="944" t="s">
        <v>427</v>
      </c>
      <c r="G65" s="945"/>
      <c r="H65" s="945"/>
      <c r="I65" s="946"/>
      <c r="J65" s="1040" t="s">
        <v>223</v>
      </c>
      <c r="K65" s="944" t="s">
        <v>211</v>
      </c>
      <c r="L65" s="945"/>
      <c r="M65" s="946"/>
      <c r="N65" s="945" t="s">
        <v>212</v>
      </c>
      <c r="O65" s="945"/>
      <c r="P65" s="946"/>
      <c r="Q65" s="944" t="s">
        <v>213</v>
      </c>
      <c r="R65" s="945"/>
      <c r="S65" s="945"/>
      <c r="T65" s="1042" t="s">
        <v>210</v>
      </c>
    </row>
    <row r="66" spans="1:20" ht="87.6" thickBot="1" x14ac:dyDescent="0.35">
      <c r="A66" s="1038"/>
      <c r="B66" s="1039"/>
      <c r="C66" s="235" t="s">
        <v>227</v>
      </c>
      <c r="D66" s="236" t="s">
        <v>224</v>
      </c>
      <c r="E66" s="237" t="s">
        <v>225</v>
      </c>
      <c r="F66" s="238" t="s">
        <v>382</v>
      </c>
      <c r="G66" s="236" t="s">
        <v>220</v>
      </c>
      <c r="H66" s="239" t="s">
        <v>221</v>
      </c>
      <c r="I66" s="240" t="s">
        <v>222</v>
      </c>
      <c r="J66" s="1041"/>
      <c r="K66" s="235" t="s">
        <v>214</v>
      </c>
      <c r="L66" s="239" t="s">
        <v>215</v>
      </c>
      <c r="M66" s="241" t="s">
        <v>228</v>
      </c>
      <c r="N66" s="242" t="s">
        <v>216</v>
      </c>
      <c r="O66" s="239" t="s">
        <v>217</v>
      </c>
      <c r="P66" s="241" t="s">
        <v>229</v>
      </c>
      <c r="Q66" s="235" t="s">
        <v>218</v>
      </c>
      <c r="R66" s="239" t="s">
        <v>219</v>
      </c>
      <c r="S66" s="243" t="s">
        <v>230</v>
      </c>
      <c r="T66" s="1043"/>
    </row>
    <row r="67" spans="1:20" ht="23.4" x14ac:dyDescent="0.3">
      <c r="A67" s="244" t="s">
        <v>111</v>
      </c>
      <c r="B67" s="245" t="s">
        <v>16</v>
      </c>
      <c r="C67" s="474">
        <f>+D67+E67</f>
        <v>0</v>
      </c>
      <c r="D67" s="246">
        <v>0</v>
      </c>
      <c r="E67" s="247">
        <v>0</v>
      </c>
      <c r="F67" s="618">
        <v>15000</v>
      </c>
      <c r="G67" s="475">
        <f>+H67+I67</f>
        <v>0</v>
      </c>
      <c r="H67" s="624">
        <v>0</v>
      </c>
      <c r="I67" s="626">
        <v>0</v>
      </c>
      <c r="J67" s="629">
        <v>0</v>
      </c>
      <c r="K67" s="474">
        <f>+L67-E67</f>
        <v>0</v>
      </c>
      <c r="L67" s="475">
        <f>+J67-D67</f>
        <v>0</v>
      </c>
      <c r="M67" s="476" t="str">
        <f>IFERROR(K67/L67,"-")</f>
        <v>-</v>
      </c>
      <c r="N67" s="477">
        <f>+O67-C67</f>
        <v>0</v>
      </c>
      <c r="O67" s="475">
        <f>+K67</f>
        <v>0</v>
      </c>
      <c r="P67" s="478" t="str">
        <f>IFERROR(N67/O67,"-")</f>
        <v>-</v>
      </c>
      <c r="Q67" s="475" t="str">
        <f>IFERROR(N67-(J67-(J67*H67/G67)),"-")</f>
        <v>-</v>
      </c>
      <c r="R67" s="475">
        <f>+N67</f>
        <v>0</v>
      </c>
      <c r="S67" s="479" t="str">
        <f>IFERROR(Q67/R67,"-")</f>
        <v>-</v>
      </c>
      <c r="T67" s="480" t="str">
        <f>IFERROR(M67*P67*S67,"-")</f>
        <v>-</v>
      </c>
    </row>
    <row r="68" spans="1:20" ht="23.4" x14ac:dyDescent="0.3">
      <c r="A68" s="248" t="s">
        <v>111</v>
      </c>
      <c r="B68" s="249" t="s">
        <v>234</v>
      </c>
      <c r="C68" s="481">
        <f t="shared" ref="C68:C82" si="45">+D68+E68</f>
        <v>95</v>
      </c>
      <c r="D68" s="250">
        <v>30</v>
      </c>
      <c r="E68" s="251">
        <f>15+30+20</f>
        <v>65</v>
      </c>
      <c r="F68" s="619">
        <v>100000</v>
      </c>
      <c r="G68" s="483">
        <f t="shared" ref="G68:G73" si="46">+H68+I68</f>
        <v>73609</v>
      </c>
      <c r="H68" s="254">
        <v>73440</v>
      </c>
      <c r="I68" s="627">
        <v>169</v>
      </c>
      <c r="J68" s="630">
        <v>600</v>
      </c>
      <c r="K68" s="481">
        <f t="shared" ref="K68:K71" si="47">+L68-E68</f>
        <v>505</v>
      </c>
      <c r="L68" s="483">
        <f t="shared" ref="L68:L82" si="48">+J68-D68</f>
        <v>570</v>
      </c>
      <c r="M68" s="484">
        <f t="shared" ref="M68:M71" si="49">IFERROR(K68/L68,"-")</f>
        <v>0.88596491228070173</v>
      </c>
      <c r="N68" s="485">
        <f t="shared" ref="N68:N82" si="50">+O68-C68</f>
        <v>410</v>
      </c>
      <c r="O68" s="483">
        <f t="shared" ref="O68:O82" si="51">+K68</f>
        <v>505</v>
      </c>
      <c r="P68" s="486">
        <f>IFERROR(N68/O68,"-")</f>
        <v>0.81188118811881194</v>
      </c>
      <c r="Q68" s="483">
        <f t="shared" ref="Q68:Q82" si="52">IFERROR(N68-(J68-(J68*H68/G68)),"-")</f>
        <v>408.62245105897375</v>
      </c>
      <c r="R68" s="483">
        <f t="shared" ref="R68:R82" si="53">+N68</f>
        <v>410</v>
      </c>
      <c r="S68" s="487">
        <f t="shared" ref="S68:S82" si="54">IFERROR(Q68/R68,"-")</f>
        <v>0.99664012453408235</v>
      </c>
      <c r="T68" s="488">
        <f t="shared" ref="T68:T82" si="55">IFERROR(M68*P68*S68,"-")</f>
        <v>0.71688149308591886</v>
      </c>
    </row>
    <row r="69" spans="1:20" ht="23.4" x14ac:dyDescent="0.3">
      <c r="A69" s="248" t="s">
        <v>111</v>
      </c>
      <c r="B69" s="249" t="s">
        <v>233</v>
      </c>
      <c r="C69" s="481">
        <f t="shared" si="45"/>
        <v>0</v>
      </c>
      <c r="D69" s="250">
        <v>0</v>
      </c>
      <c r="E69" s="251">
        <v>0</v>
      </c>
      <c r="F69" s="619">
        <v>80000</v>
      </c>
      <c r="G69" s="483">
        <f t="shared" si="46"/>
        <v>0</v>
      </c>
      <c r="H69" s="254">
        <v>0</v>
      </c>
      <c r="I69" s="627">
        <v>0</v>
      </c>
      <c r="J69" s="630">
        <v>0</v>
      </c>
      <c r="K69" s="481">
        <f t="shared" si="47"/>
        <v>0</v>
      </c>
      <c r="L69" s="483">
        <f t="shared" si="48"/>
        <v>0</v>
      </c>
      <c r="M69" s="484" t="str">
        <f t="shared" si="49"/>
        <v>-</v>
      </c>
      <c r="N69" s="485">
        <f t="shared" si="50"/>
        <v>0</v>
      </c>
      <c r="O69" s="483">
        <f t="shared" si="51"/>
        <v>0</v>
      </c>
      <c r="P69" s="486" t="str">
        <f t="shared" ref="P69:P82" si="56">IFERROR(N69/O69,"-")</f>
        <v>-</v>
      </c>
      <c r="Q69" s="483" t="str">
        <f t="shared" si="52"/>
        <v>-</v>
      </c>
      <c r="R69" s="483">
        <f t="shared" si="53"/>
        <v>0</v>
      </c>
      <c r="S69" s="487" t="str">
        <f t="shared" si="54"/>
        <v>-</v>
      </c>
      <c r="T69" s="488" t="str">
        <f t="shared" si="55"/>
        <v>-</v>
      </c>
    </row>
    <row r="70" spans="1:20" ht="23.4" x14ac:dyDescent="0.3">
      <c r="A70" s="252" t="s">
        <v>111</v>
      </c>
      <c r="B70" s="249" t="s">
        <v>236</v>
      </c>
      <c r="C70" s="481">
        <f t="shared" si="45"/>
        <v>0</v>
      </c>
      <c r="D70" s="250">
        <v>0</v>
      </c>
      <c r="E70" s="251">
        <v>0</v>
      </c>
      <c r="F70" s="619">
        <v>110000</v>
      </c>
      <c r="G70" s="483">
        <f t="shared" si="46"/>
        <v>0</v>
      </c>
      <c r="H70" s="254">
        <v>0</v>
      </c>
      <c r="I70" s="627">
        <v>0</v>
      </c>
      <c r="J70" s="630">
        <v>0</v>
      </c>
      <c r="K70" s="481">
        <f t="shared" si="47"/>
        <v>0</v>
      </c>
      <c r="L70" s="483">
        <f t="shared" si="48"/>
        <v>0</v>
      </c>
      <c r="M70" s="484" t="str">
        <f t="shared" si="49"/>
        <v>-</v>
      </c>
      <c r="N70" s="485">
        <f t="shared" si="50"/>
        <v>0</v>
      </c>
      <c r="O70" s="483">
        <f t="shared" si="51"/>
        <v>0</v>
      </c>
      <c r="P70" s="486" t="str">
        <f t="shared" si="56"/>
        <v>-</v>
      </c>
      <c r="Q70" s="483" t="str">
        <f t="shared" si="52"/>
        <v>-</v>
      </c>
      <c r="R70" s="483">
        <f t="shared" si="53"/>
        <v>0</v>
      </c>
      <c r="S70" s="487" t="str">
        <f t="shared" si="54"/>
        <v>-</v>
      </c>
      <c r="T70" s="488" t="str">
        <f t="shared" si="55"/>
        <v>-</v>
      </c>
    </row>
    <row r="71" spans="1:20" ht="23.4" x14ac:dyDescent="0.3">
      <c r="A71" s="248" t="s">
        <v>111</v>
      </c>
      <c r="B71" s="249" t="s">
        <v>235</v>
      </c>
      <c r="C71" s="481">
        <f t="shared" si="45"/>
        <v>0</v>
      </c>
      <c r="D71" s="250">
        <v>0</v>
      </c>
      <c r="E71" s="251">
        <v>0</v>
      </c>
      <c r="F71" s="619">
        <v>50000</v>
      </c>
      <c r="G71" s="483">
        <f t="shared" si="46"/>
        <v>0</v>
      </c>
      <c r="H71" s="254">
        <v>0</v>
      </c>
      <c r="I71" s="627">
        <v>0</v>
      </c>
      <c r="J71" s="630">
        <v>0</v>
      </c>
      <c r="K71" s="481">
        <f t="shared" si="47"/>
        <v>0</v>
      </c>
      <c r="L71" s="483">
        <f t="shared" si="48"/>
        <v>0</v>
      </c>
      <c r="M71" s="484" t="str">
        <f t="shared" si="49"/>
        <v>-</v>
      </c>
      <c r="N71" s="485">
        <f t="shared" si="50"/>
        <v>0</v>
      </c>
      <c r="O71" s="483">
        <f t="shared" si="51"/>
        <v>0</v>
      </c>
      <c r="P71" s="486" t="str">
        <f t="shared" si="56"/>
        <v>-</v>
      </c>
      <c r="Q71" s="483" t="str">
        <f t="shared" si="52"/>
        <v>-</v>
      </c>
      <c r="R71" s="483">
        <f t="shared" si="53"/>
        <v>0</v>
      </c>
      <c r="S71" s="487" t="str">
        <f t="shared" si="54"/>
        <v>-</v>
      </c>
      <c r="T71" s="488" t="str">
        <f t="shared" si="55"/>
        <v>-</v>
      </c>
    </row>
    <row r="72" spans="1:20" ht="23.4" x14ac:dyDescent="0.3">
      <c r="A72" s="248">
        <v>5</v>
      </c>
      <c r="B72" s="249" t="s">
        <v>22</v>
      </c>
      <c r="C72" s="481">
        <f t="shared" si="45"/>
        <v>0</v>
      </c>
      <c r="D72" s="250">
        <v>0</v>
      </c>
      <c r="E72" s="251">
        <v>0</v>
      </c>
      <c r="F72" s="619">
        <v>80000</v>
      </c>
      <c r="G72" s="483">
        <f t="shared" si="46"/>
        <v>0</v>
      </c>
      <c r="H72" s="482">
        <v>0</v>
      </c>
      <c r="I72" s="631">
        <v>0</v>
      </c>
      <c r="J72" s="630">
        <v>0</v>
      </c>
      <c r="K72" s="481">
        <f>+L72-E72</f>
        <v>0</v>
      </c>
      <c r="L72" s="483">
        <f t="shared" si="48"/>
        <v>0</v>
      </c>
      <c r="M72" s="484" t="str">
        <f>IFERROR(K72/L72,"-")</f>
        <v>-</v>
      </c>
      <c r="N72" s="485">
        <f t="shared" si="50"/>
        <v>0</v>
      </c>
      <c r="O72" s="483">
        <f t="shared" si="51"/>
        <v>0</v>
      </c>
      <c r="P72" s="486" t="str">
        <f t="shared" si="56"/>
        <v>-</v>
      </c>
      <c r="Q72" s="483" t="str">
        <f t="shared" si="52"/>
        <v>-</v>
      </c>
      <c r="R72" s="483">
        <f t="shared" si="53"/>
        <v>0</v>
      </c>
      <c r="S72" s="487" t="str">
        <f t="shared" si="54"/>
        <v>-</v>
      </c>
      <c r="T72" s="488" t="str">
        <f t="shared" si="55"/>
        <v>-</v>
      </c>
    </row>
    <row r="73" spans="1:20" ht="23.4" x14ac:dyDescent="0.3">
      <c r="A73" s="248" t="s">
        <v>111</v>
      </c>
      <c r="B73" s="249" t="s">
        <v>23</v>
      </c>
      <c r="C73" s="481">
        <f t="shared" si="45"/>
        <v>0</v>
      </c>
      <c r="D73" s="250">
        <v>0</v>
      </c>
      <c r="E73" s="251">
        <v>0</v>
      </c>
      <c r="F73" s="619">
        <v>14000</v>
      </c>
      <c r="G73" s="483">
        <f t="shared" si="46"/>
        <v>0</v>
      </c>
      <c r="H73" s="254">
        <v>0</v>
      </c>
      <c r="I73" s="627">
        <v>0</v>
      </c>
      <c r="J73" s="630">
        <v>0</v>
      </c>
      <c r="K73" s="481">
        <f t="shared" ref="K73:K82" si="57">+L73-E73</f>
        <v>0</v>
      </c>
      <c r="L73" s="483">
        <f t="shared" si="48"/>
        <v>0</v>
      </c>
      <c r="M73" s="484" t="str">
        <f t="shared" ref="M73:M82" si="58">IFERROR(K73/L73,"-")</f>
        <v>-</v>
      </c>
      <c r="N73" s="485">
        <f t="shared" si="50"/>
        <v>0</v>
      </c>
      <c r="O73" s="483">
        <f t="shared" si="51"/>
        <v>0</v>
      </c>
      <c r="P73" s="486" t="str">
        <f t="shared" si="56"/>
        <v>-</v>
      </c>
      <c r="Q73" s="483" t="str">
        <f t="shared" si="52"/>
        <v>-</v>
      </c>
      <c r="R73" s="483">
        <f t="shared" si="53"/>
        <v>0</v>
      </c>
      <c r="S73" s="487" t="str">
        <f t="shared" si="54"/>
        <v>-</v>
      </c>
      <c r="T73" s="488" t="str">
        <f t="shared" si="55"/>
        <v>-</v>
      </c>
    </row>
    <row r="74" spans="1:20" ht="23.4" x14ac:dyDescent="0.3">
      <c r="A74" s="248" t="s">
        <v>111</v>
      </c>
      <c r="B74" s="253" t="s">
        <v>231</v>
      </c>
      <c r="C74" s="489">
        <f t="shared" si="45"/>
        <v>270</v>
      </c>
      <c r="D74" s="250">
        <f>30+60</f>
        <v>90</v>
      </c>
      <c r="E74" s="251">
        <v>180</v>
      </c>
      <c r="F74" s="619">
        <v>4500</v>
      </c>
      <c r="G74" s="483">
        <f>+H74+I74</f>
        <v>3705</v>
      </c>
      <c r="H74" s="254">
        <v>3648</v>
      </c>
      <c r="I74" s="322">
        <v>57</v>
      </c>
      <c r="J74" s="630">
        <v>480</v>
      </c>
      <c r="K74" s="489">
        <f t="shared" si="57"/>
        <v>210</v>
      </c>
      <c r="L74" s="250">
        <f t="shared" si="48"/>
        <v>390</v>
      </c>
      <c r="M74" s="490">
        <f t="shared" si="58"/>
        <v>0.53846153846153844</v>
      </c>
      <c r="N74" s="491">
        <f t="shared" si="50"/>
        <v>-60</v>
      </c>
      <c r="O74" s="250">
        <f t="shared" si="51"/>
        <v>210</v>
      </c>
      <c r="P74" s="492">
        <f t="shared" si="56"/>
        <v>-0.2857142857142857</v>
      </c>
      <c r="Q74" s="250">
        <f t="shared" si="52"/>
        <v>-67.384615384615358</v>
      </c>
      <c r="R74" s="250">
        <f t="shared" si="53"/>
        <v>-60</v>
      </c>
      <c r="S74" s="493">
        <f t="shared" si="54"/>
        <v>1.1230769230769226</v>
      </c>
      <c r="T74" s="494">
        <f t="shared" si="55"/>
        <v>-0.17278106508875732</v>
      </c>
    </row>
    <row r="75" spans="1:20" ht="24" thickBot="1" x14ac:dyDescent="0.35">
      <c r="A75" s="255" t="s">
        <v>111</v>
      </c>
      <c r="B75" s="256" t="s">
        <v>232</v>
      </c>
      <c r="C75" s="495">
        <f t="shared" si="45"/>
        <v>0</v>
      </c>
      <c r="D75" s="257">
        <v>0</v>
      </c>
      <c r="E75" s="258">
        <v>0</v>
      </c>
      <c r="F75" s="625">
        <v>5000</v>
      </c>
      <c r="G75" s="505">
        <f t="shared" ref="G75:G82" si="59">+H75+I75</f>
        <v>0</v>
      </c>
      <c r="H75" s="259">
        <v>0</v>
      </c>
      <c r="I75" s="628">
        <v>0</v>
      </c>
      <c r="J75" s="633">
        <v>0</v>
      </c>
      <c r="K75" s="495">
        <f t="shared" si="57"/>
        <v>0</v>
      </c>
      <c r="L75" s="257">
        <f t="shared" si="48"/>
        <v>0</v>
      </c>
      <c r="M75" s="496" t="str">
        <f t="shared" si="58"/>
        <v>-</v>
      </c>
      <c r="N75" s="497">
        <f t="shared" si="50"/>
        <v>0</v>
      </c>
      <c r="O75" s="257">
        <f t="shared" si="51"/>
        <v>0</v>
      </c>
      <c r="P75" s="498" t="str">
        <f t="shared" si="56"/>
        <v>-</v>
      </c>
      <c r="Q75" s="257" t="str">
        <f t="shared" si="52"/>
        <v>-</v>
      </c>
      <c r="R75" s="257">
        <f t="shared" si="53"/>
        <v>0</v>
      </c>
      <c r="S75" s="499" t="str">
        <f t="shared" si="54"/>
        <v>-</v>
      </c>
      <c r="T75" s="500" t="str">
        <f t="shared" si="55"/>
        <v>-</v>
      </c>
    </row>
    <row r="76" spans="1:20" ht="23.4" x14ac:dyDescent="0.3">
      <c r="A76" s="252" t="s">
        <v>109</v>
      </c>
      <c r="B76" s="260" t="s">
        <v>29</v>
      </c>
      <c r="C76" s="481">
        <f t="shared" si="45"/>
        <v>0</v>
      </c>
      <c r="D76" s="250">
        <v>0</v>
      </c>
      <c r="E76" s="251">
        <v>0</v>
      </c>
      <c r="F76" s="482">
        <v>80000</v>
      </c>
      <c r="G76" s="483">
        <f t="shared" si="59"/>
        <v>0</v>
      </c>
      <c r="H76" s="482">
        <v>0</v>
      </c>
      <c r="I76" s="631">
        <v>0</v>
      </c>
      <c r="J76" s="629">
        <v>0</v>
      </c>
      <c r="K76" s="481">
        <f t="shared" si="57"/>
        <v>0</v>
      </c>
      <c r="L76" s="483">
        <f t="shared" si="48"/>
        <v>0</v>
      </c>
      <c r="M76" s="484" t="str">
        <f t="shared" si="58"/>
        <v>-</v>
      </c>
      <c r="N76" s="485">
        <f t="shared" si="50"/>
        <v>0</v>
      </c>
      <c r="O76" s="483">
        <f t="shared" si="51"/>
        <v>0</v>
      </c>
      <c r="P76" s="486" t="str">
        <f t="shared" si="56"/>
        <v>-</v>
      </c>
      <c r="Q76" s="483" t="str">
        <f t="shared" si="52"/>
        <v>-</v>
      </c>
      <c r="R76" s="483">
        <f t="shared" si="53"/>
        <v>0</v>
      </c>
      <c r="S76" s="501" t="str">
        <f t="shared" si="54"/>
        <v>-</v>
      </c>
      <c r="T76" s="502" t="str">
        <f t="shared" si="55"/>
        <v>-</v>
      </c>
    </row>
    <row r="77" spans="1:20" ht="23.4" x14ac:dyDescent="0.3">
      <c r="A77" s="248" t="s">
        <v>109</v>
      </c>
      <c r="B77" s="260" t="s">
        <v>31</v>
      </c>
      <c r="C77" s="481">
        <f t="shared" si="45"/>
        <v>0</v>
      </c>
      <c r="D77" s="250">
        <v>0</v>
      </c>
      <c r="E77" s="251">
        <v>0</v>
      </c>
      <c r="F77" s="482">
        <v>50000</v>
      </c>
      <c r="G77" s="483">
        <f t="shared" si="59"/>
        <v>0</v>
      </c>
      <c r="H77" s="482">
        <v>0</v>
      </c>
      <c r="I77" s="631">
        <v>0</v>
      </c>
      <c r="J77" s="630">
        <v>0</v>
      </c>
      <c r="K77" s="481">
        <f t="shared" si="57"/>
        <v>0</v>
      </c>
      <c r="L77" s="483">
        <f t="shared" si="48"/>
        <v>0</v>
      </c>
      <c r="M77" s="484" t="str">
        <f t="shared" si="58"/>
        <v>-</v>
      </c>
      <c r="N77" s="485">
        <f t="shared" si="50"/>
        <v>0</v>
      </c>
      <c r="O77" s="483">
        <f t="shared" si="51"/>
        <v>0</v>
      </c>
      <c r="P77" s="486" t="str">
        <f t="shared" si="56"/>
        <v>-</v>
      </c>
      <c r="Q77" s="483" t="str">
        <f t="shared" si="52"/>
        <v>-</v>
      </c>
      <c r="R77" s="483">
        <f t="shared" si="53"/>
        <v>0</v>
      </c>
      <c r="S77" s="501" t="str">
        <f t="shared" si="54"/>
        <v>-</v>
      </c>
      <c r="T77" s="502" t="str">
        <f t="shared" si="55"/>
        <v>-</v>
      </c>
    </row>
    <row r="78" spans="1:20" ht="24" thickBot="1" x14ac:dyDescent="0.35">
      <c r="A78" s="255" t="s">
        <v>109</v>
      </c>
      <c r="B78" s="261" t="s">
        <v>32</v>
      </c>
      <c r="C78" s="503">
        <f t="shared" si="45"/>
        <v>0</v>
      </c>
      <c r="D78" s="257">
        <v>0</v>
      </c>
      <c r="E78" s="258">
        <v>0</v>
      </c>
      <c r="F78" s="504">
        <v>110000</v>
      </c>
      <c r="G78" s="505">
        <f t="shared" si="59"/>
        <v>0</v>
      </c>
      <c r="H78" s="504">
        <v>0</v>
      </c>
      <c r="I78" s="632">
        <v>0</v>
      </c>
      <c r="J78" s="633">
        <v>0</v>
      </c>
      <c r="K78" s="503">
        <f t="shared" si="57"/>
        <v>0</v>
      </c>
      <c r="L78" s="505">
        <f t="shared" si="48"/>
        <v>0</v>
      </c>
      <c r="M78" s="506" t="str">
        <f t="shared" si="58"/>
        <v>-</v>
      </c>
      <c r="N78" s="507">
        <f t="shared" si="50"/>
        <v>0</v>
      </c>
      <c r="O78" s="505">
        <f t="shared" si="51"/>
        <v>0</v>
      </c>
      <c r="P78" s="508" t="str">
        <f t="shared" si="56"/>
        <v>-</v>
      </c>
      <c r="Q78" s="505" t="str">
        <f t="shared" si="52"/>
        <v>-</v>
      </c>
      <c r="R78" s="505">
        <f t="shared" si="53"/>
        <v>0</v>
      </c>
      <c r="S78" s="509" t="str">
        <f t="shared" si="54"/>
        <v>-</v>
      </c>
      <c r="T78" s="510" t="str">
        <f t="shared" si="55"/>
        <v>-</v>
      </c>
    </row>
    <row r="79" spans="1:20" ht="23.4" x14ac:dyDescent="0.3">
      <c r="A79" s="248" t="s">
        <v>110</v>
      </c>
      <c r="B79" s="249" t="s">
        <v>238</v>
      </c>
      <c r="C79" s="481">
        <f t="shared" si="45"/>
        <v>0</v>
      </c>
      <c r="D79" s="250">
        <v>0</v>
      </c>
      <c r="E79" s="251">
        <v>0</v>
      </c>
      <c r="F79" s="482">
        <v>6500</v>
      </c>
      <c r="G79" s="483">
        <f t="shared" si="59"/>
        <v>0</v>
      </c>
      <c r="H79" s="482">
        <v>0</v>
      </c>
      <c r="I79" s="631">
        <v>0</v>
      </c>
      <c r="J79" s="630">
        <v>0</v>
      </c>
      <c r="K79" s="481">
        <f t="shared" si="57"/>
        <v>0</v>
      </c>
      <c r="L79" s="483">
        <f t="shared" si="48"/>
        <v>0</v>
      </c>
      <c r="M79" s="484" t="str">
        <f t="shared" si="58"/>
        <v>-</v>
      </c>
      <c r="N79" s="485">
        <f t="shared" si="50"/>
        <v>0</v>
      </c>
      <c r="O79" s="483">
        <f t="shared" si="51"/>
        <v>0</v>
      </c>
      <c r="P79" s="486" t="str">
        <f t="shared" si="56"/>
        <v>-</v>
      </c>
      <c r="Q79" s="483" t="str">
        <f t="shared" si="52"/>
        <v>-</v>
      </c>
      <c r="R79" s="483">
        <f t="shared" si="53"/>
        <v>0</v>
      </c>
      <c r="S79" s="501" t="str">
        <f t="shared" si="54"/>
        <v>-</v>
      </c>
      <c r="T79" s="502" t="str">
        <f t="shared" si="55"/>
        <v>-</v>
      </c>
    </row>
    <row r="80" spans="1:20" ht="23.4" x14ac:dyDescent="0.3">
      <c r="A80" s="252" t="s">
        <v>110</v>
      </c>
      <c r="B80" s="249" t="s">
        <v>40</v>
      </c>
      <c r="C80" s="481">
        <f t="shared" si="45"/>
        <v>0</v>
      </c>
      <c r="D80" s="250">
        <v>0</v>
      </c>
      <c r="E80" s="251">
        <v>0</v>
      </c>
      <c r="F80" s="482">
        <v>2800</v>
      </c>
      <c r="G80" s="483">
        <f t="shared" si="59"/>
        <v>0</v>
      </c>
      <c r="H80" s="482"/>
      <c r="I80" s="631"/>
      <c r="J80" s="630">
        <v>0</v>
      </c>
      <c r="K80" s="481">
        <f t="shared" si="57"/>
        <v>0</v>
      </c>
      <c r="L80" s="483">
        <f t="shared" si="48"/>
        <v>0</v>
      </c>
      <c r="M80" s="484" t="str">
        <f t="shared" si="58"/>
        <v>-</v>
      </c>
      <c r="N80" s="485">
        <f t="shared" si="50"/>
        <v>0</v>
      </c>
      <c r="O80" s="483">
        <f t="shared" si="51"/>
        <v>0</v>
      </c>
      <c r="P80" s="486" t="str">
        <f t="shared" si="56"/>
        <v>-</v>
      </c>
      <c r="Q80" s="483" t="str">
        <f t="shared" si="52"/>
        <v>-</v>
      </c>
      <c r="R80" s="483">
        <f t="shared" si="53"/>
        <v>0</v>
      </c>
      <c r="S80" s="501" t="str">
        <f t="shared" si="54"/>
        <v>-</v>
      </c>
      <c r="T80" s="502" t="str">
        <f t="shared" si="55"/>
        <v>-</v>
      </c>
    </row>
    <row r="81" spans="1:20" ht="23.4" x14ac:dyDescent="0.3">
      <c r="A81" s="248" t="s">
        <v>110</v>
      </c>
      <c r="B81" s="249" t="s">
        <v>42</v>
      </c>
      <c r="C81" s="481">
        <f t="shared" si="45"/>
        <v>0</v>
      </c>
      <c r="D81" s="250">
        <v>0</v>
      </c>
      <c r="E81" s="251">
        <v>0</v>
      </c>
      <c r="F81" s="482">
        <v>25000</v>
      </c>
      <c r="G81" s="483">
        <f t="shared" si="59"/>
        <v>0</v>
      </c>
      <c r="H81" s="482">
        <v>0</v>
      </c>
      <c r="I81" s="631">
        <v>0</v>
      </c>
      <c r="J81" s="630">
        <v>0</v>
      </c>
      <c r="K81" s="481">
        <f t="shared" si="57"/>
        <v>0</v>
      </c>
      <c r="L81" s="483">
        <f t="shared" si="48"/>
        <v>0</v>
      </c>
      <c r="M81" s="484" t="str">
        <f t="shared" si="58"/>
        <v>-</v>
      </c>
      <c r="N81" s="485">
        <f t="shared" si="50"/>
        <v>0</v>
      </c>
      <c r="O81" s="483">
        <f t="shared" si="51"/>
        <v>0</v>
      </c>
      <c r="P81" s="486" t="str">
        <f t="shared" si="56"/>
        <v>-</v>
      </c>
      <c r="Q81" s="483" t="str">
        <f t="shared" si="52"/>
        <v>-</v>
      </c>
      <c r="R81" s="483">
        <f t="shared" si="53"/>
        <v>0</v>
      </c>
      <c r="S81" s="501" t="str">
        <f t="shared" si="54"/>
        <v>-</v>
      </c>
      <c r="T81" s="502" t="str">
        <f t="shared" si="55"/>
        <v>-</v>
      </c>
    </row>
    <row r="82" spans="1:20" ht="47.4" thickBot="1" x14ac:dyDescent="0.35">
      <c r="A82" s="635" t="s">
        <v>110</v>
      </c>
      <c r="B82" s="261" t="s">
        <v>237</v>
      </c>
      <c r="C82" s="636">
        <f t="shared" si="45"/>
        <v>0</v>
      </c>
      <c r="D82" s="637">
        <v>0</v>
      </c>
      <c r="E82" s="638">
        <v>0</v>
      </c>
      <c r="F82" s="639">
        <v>25000</v>
      </c>
      <c r="G82" s="640">
        <f t="shared" si="59"/>
        <v>0</v>
      </c>
      <c r="H82" s="639">
        <v>0</v>
      </c>
      <c r="I82" s="641">
        <v>0</v>
      </c>
      <c r="J82" s="634">
        <v>0</v>
      </c>
      <c r="K82" s="636">
        <f t="shared" si="57"/>
        <v>0</v>
      </c>
      <c r="L82" s="640">
        <f t="shared" si="48"/>
        <v>0</v>
      </c>
      <c r="M82" s="642" t="str">
        <f t="shared" si="58"/>
        <v>-</v>
      </c>
      <c r="N82" s="643">
        <f t="shared" si="50"/>
        <v>0</v>
      </c>
      <c r="O82" s="640">
        <f t="shared" si="51"/>
        <v>0</v>
      </c>
      <c r="P82" s="644" t="str">
        <f t="shared" si="56"/>
        <v>-</v>
      </c>
      <c r="Q82" s="640" t="str">
        <f t="shared" si="52"/>
        <v>-</v>
      </c>
      <c r="R82" s="640">
        <f t="shared" si="53"/>
        <v>0</v>
      </c>
      <c r="S82" s="645" t="str">
        <f t="shared" si="54"/>
        <v>-</v>
      </c>
      <c r="T82" s="646" t="str">
        <f t="shared" si="55"/>
        <v>-</v>
      </c>
    </row>
    <row r="83" spans="1:20" ht="23.4" x14ac:dyDescent="0.3">
      <c r="A83" s="935" t="s">
        <v>1</v>
      </c>
      <c r="B83" s="944" t="s">
        <v>2</v>
      </c>
      <c r="C83" s="944" t="s">
        <v>226</v>
      </c>
      <c r="D83" s="945"/>
      <c r="E83" s="946"/>
      <c r="F83" s="944" t="s">
        <v>430</v>
      </c>
      <c r="G83" s="945"/>
      <c r="H83" s="945"/>
      <c r="I83" s="946"/>
      <c r="J83" s="1040" t="s">
        <v>223</v>
      </c>
      <c r="K83" s="944" t="s">
        <v>211</v>
      </c>
      <c r="L83" s="945"/>
      <c r="M83" s="946"/>
      <c r="N83" s="945" t="s">
        <v>212</v>
      </c>
      <c r="O83" s="945"/>
      <c r="P83" s="946"/>
      <c r="Q83" s="944" t="s">
        <v>213</v>
      </c>
      <c r="R83" s="945"/>
      <c r="S83" s="945"/>
      <c r="T83" s="1042" t="s">
        <v>210</v>
      </c>
    </row>
    <row r="84" spans="1:20" ht="87.6" thickBot="1" x14ac:dyDescent="0.35">
      <c r="A84" s="1038"/>
      <c r="B84" s="1039"/>
      <c r="C84" s="235" t="s">
        <v>227</v>
      </c>
      <c r="D84" s="236" t="s">
        <v>224</v>
      </c>
      <c r="E84" s="237" t="s">
        <v>225</v>
      </c>
      <c r="F84" s="238" t="s">
        <v>382</v>
      </c>
      <c r="G84" s="236" t="s">
        <v>220</v>
      </c>
      <c r="H84" s="239" t="s">
        <v>221</v>
      </c>
      <c r="I84" s="240" t="s">
        <v>222</v>
      </c>
      <c r="J84" s="1041"/>
      <c r="K84" s="235" t="s">
        <v>214</v>
      </c>
      <c r="L84" s="239" t="s">
        <v>215</v>
      </c>
      <c r="M84" s="241" t="s">
        <v>228</v>
      </c>
      <c r="N84" s="242" t="s">
        <v>216</v>
      </c>
      <c r="O84" s="239" t="s">
        <v>217</v>
      </c>
      <c r="P84" s="241" t="s">
        <v>229</v>
      </c>
      <c r="Q84" s="235" t="s">
        <v>218</v>
      </c>
      <c r="R84" s="239" t="s">
        <v>219</v>
      </c>
      <c r="S84" s="243" t="s">
        <v>230</v>
      </c>
      <c r="T84" s="1043"/>
    </row>
    <row r="85" spans="1:20" ht="23.4" x14ac:dyDescent="0.3">
      <c r="A85" s="244" t="s">
        <v>111</v>
      </c>
      <c r="B85" s="245" t="s">
        <v>16</v>
      </c>
      <c r="C85" s="474">
        <f>+D85+E85</f>
        <v>0</v>
      </c>
      <c r="D85" s="246">
        <v>0</v>
      </c>
      <c r="E85" s="247">
        <v>0</v>
      </c>
      <c r="F85" s="618">
        <v>15000</v>
      </c>
      <c r="G85" s="475">
        <f>+H85+I85</f>
        <v>0</v>
      </c>
      <c r="H85" s="624">
        <v>0</v>
      </c>
      <c r="I85" s="626">
        <v>0</v>
      </c>
      <c r="J85" s="629">
        <v>0</v>
      </c>
      <c r="K85" s="474">
        <f>+L85-E85</f>
        <v>0</v>
      </c>
      <c r="L85" s="475">
        <f>+J85-D85</f>
        <v>0</v>
      </c>
      <c r="M85" s="476" t="str">
        <f>IFERROR(K85/L85,"-")</f>
        <v>-</v>
      </c>
      <c r="N85" s="477">
        <f>+O85-C85</f>
        <v>0</v>
      </c>
      <c r="O85" s="475">
        <f>+K85</f>
        <v>0</v>
      </c>
      <c r="P85" s="478" t="str">
        <f>IFERROR(N85/O85,"-")</f>
        <v>-</v>
      </c>
      <c r="Q85" s="475" t="str">
        <f>IFERROR(N85-(J85-(J85*H85/G85)),"-")</f>
        <v>-</v>
      </c>
      <c r="R85" s="475">
        <f>+N85</f>
        <v>0</v>
      </c>
      <c r="S85" s="479" t="str">
        <f>IFERROR(Q85/R85,"-")</f>
        <v>-</v>
      </c>
      <c r="T85" s="480" t="str">
        <f>IFERROR(M85*P85*S85,"-")</f>
        <v>-</v>
      </c>
    </row>
    <row r="86" spans="1:20" ht="23.4" x14ac:dyDescent="0.3">
      <c r="A86" s="248" t="s">
        <v>111</v>
      </c>
      <c r="B86" s="249" t="s">
        <v>234</v>
      </c>
      <c r="C86" s="481">
        <f t="shared" ref="C86:C100" si="60">+D86+E86</f>
        <v>0</v>
      </c>
      <c r="D86" s="250">
        <v>0</v>
      </c>
      <c r="E86" s="251">
        <v>0</v>
      </c>
      <c r="F86" s="619">
        <v>100000</v>
      </c>
      <c r="G86" s="483">
        <f t="shared" ref="G86:G91" si="61">+H86+I86</f>
        <v>0</v>
      </c>
      <c r="H86" s="254">
        <v>0</v>
      </c>
      <c r="I86" s="627">
        <v>0</v>
      </c>
      <c r="J86" s="630">
        <v>0</v>
      </c>
      <c r="K86" s="481">
        <f t="shared" ref="K86:K89" si="62">+L86-E86</f>
        <v>0</v>
      </c>
      <c r="L86" s="483">
        <f t="shared" ref="L86:L100" si="63">+J86-D86</f>
        <v>0</v>
      </c>
      <c r="M86" s="484" t="str">
        <f t="shared" ref="M86:M89" si="64">IFERROR(K86/L86,"-")</f>
        <v>-</v>
      </c>
      <c r="N86" s="485">
        <f t="shared" ref="N86:N100" si="65">+O86-C86</f>
        <v>0</v>
      </c>
      <c r="O86" s="483">
        <f t="shared" ref="O86:O100" si="66">+K86</f>
        <v>0</v>
      </c>
      <c r="P86" s="486" t="str">
        <f>IFERROR(N86/O86,"-")</f>
        <v>-</v>
      </c>
      <c r="Q86" s="483" t="str">
        <f t="shared" ref="Q86:Q100" si="67">IFERROR(N86-(J86-(J86*H86/G86)),"-")</f>
        <v>-</v>
      </c>
      <c r="R86" s="483">
        <f t="shared" ref="R86:R100" si="68">+N86</f>
        <v>0</v>
      </c>
      <c r="S86" s="487" t="str">
        <f t="shared" ref="S86:S100" si="69">IFERROR(Q86/R86,"-")</f>
        <v>-</v>
      </c>
      <c r="T86" s="488" t="str">
        <f t="shared" ref="T86:T100" si="70">IFERROR(M86*P86*S86,"-")</f>
        <v>-</v>
      </c>
    </row>
    <row r="87" spans="1:20" ht="23.4" x14ac:dyDescent="0.3">
      <c r="A87" s="248" t="s">
        <v>111</v>
      </c>
      <c r="B87" s="249" t="s">
        <v>233</v>
      </c>
      <c r="C87" s="481">
        <f t="shared" si="60"/>
        <v>0</v>
      </c>
      <c r="D87" s="250">
        <v>0</v>
      </c>
      <c r="E87" s="251">
        <v>0</v>
      </c>
      <c r="F87" s="619">
        <v>80000</v>
      </c>
      <c r="G87" s="483">
        <f t="shared" si="61"/>
        <v>0</v>
      </c>
      <c r="H87" s="254">
        <v>0</v>
      </c>
      <c r="I87" s="627">
        <v>0</v>
      </c>
      <c r="J87" s="630">
        <v>0</v>
      </c>
      <c r="K87" s="481">
        <f t="shared" si="62"/>
        <v>0</v>
      </c>
      <c r="L87" s="483">
        <f t="shared" si="63"/>
        <v>0</v>
      </c>
      <c r="M87" s="484" t="str">
        <f t="shared" si="64"/>
        <v>-</v>
      </c>
      <c r="N87" s="485">
        <f t="shared" si="65"/>
        <v>0</v>
      </c>
      <c r="O87" s="483">
        <f t="shared" si="66"/>
        <v>0</v>
      </c>
      <c r="P87" s="486" t="str">
        <f t="shared" ref="P87:P100" si="71">IFERROR(N87/O87,"-")</f>
        <v>-</v>
      </c>
      <c r="Q87" s="483" t="str">
        <f t="shared" si="67"/>
        <v>-</v>
      </c>
      <c r="R87" s="483">
        <f t="shared" si="68"/>
        <v>0</v>
      </c>
      <c r="S87" s="487" t="str">
        <f t="shared" si="69"/>
        <v>-</v>
      </c>
      <c r="T87" s="488" t="str">
        <f t="shared" si="70"/>
        <v>-</v>
      </c>
    </row>
    <row r="88" spans="1:20" ht="23.4" x14ac:dyDescent="0.3">
      <c r="A88" s="252" t="s">
        <v>111</v>
      </c>
      <c r="B88" s="249" t="s">
        <v>236</v>
      </c>
      <c r="C88" s="481">
        <f t="shared" si="60"/>
        <v>0</v>
      </c>
      <c r="D88" s="250">
        <v>0</v>
      </c>
      <c r="E88" s="251">
        <v>0</v>
      </c>
      <c r="F88" s="619">
        <v>110000</v>
      </c>
      <c r="G88" s="483">
        <f t="shared" si="61"/>
        <v>0</v>
      </c>
      <c r="H88" s="254">
        <v>0</v>
      </c>
      <c r="I88" s="627">
        <v>0</v>
      </c>
      <c r="J88" s="630">
        <v>0</v>
      </c>
      <c r="K88" s="481">
        <f t="shared" si="62"/>
        <v>0</v>
      </c>
      <c r="L88" s="483">
        <f t="shared" si="63"/>
        <v>0</v>
      </c>
      <c r="M88" s="484" t="str">
        <f t="shared" si="64"/>
        <v>-</v>
      </c>
      <c r="N88" s="485">
        <f t="shared" si="65"/>
        <v>0</v>
      </c>
      <c r="O88" s="483">
        <f t="shared" si="66"/>
        <v>0</v>
      </c>
      <c r="P88" s="486" t="str">
        <f t="shared" si="71"/>
        <v>-</v>
      </c>
      <c r="Q88" s="483" t="str">
        <f t="shared" si="67"/>
        <v>-</v>
      </c>
      <c r="R88" s="483">
        <f t="shared" si="68"/>
        <v>0</v>
      </c>
      <c r="S88" s="487" t="str">
        <f t="shared" si="69"/>
        <v>-</v>
      </c>
      <c r="T88" s="488" t="str">
        <f t="shared" si="70"/>
        <v>-</v>
      </c>
    </row>
    <row r="89" spans="1:20" ht="23.4" x14ac:dyDescent="0.3">
      <c r="A89" s="248" t="s">
        <v>111</v>
      </c>
      <c r="B89" s="249" t="s">
        <v>235</v>
      </c>
      <c r="C89" s="481">
        <f t="shared" si="60"/>
        <v>0</v>
      </c>
      <c r="D89" s="250">
        <v>0</v>
      </c>
      <c r="E89" s="251">
        <v>0</v>
      </c>
      <c r="F89" s="619">
        <v>50000</v>
      </c>
      <c r="G89" s="483">
        <f t="shared" si="61"/>
        <v>0</v>
      </c>
      <c r="H89" s="254">
        <v>0</v>
      </c>
      <c r="I89" s="627">
        <v>0</v>
      </c>
      <c r="J89" s="630">
        <v>0</v>
      </c>
      <c r="K89" s="481">
        <f t="shared" si="62"/>
        <v>0</v>
      </c>
      <c r="L89" s="483">
        <f t="shared" si="63"/>
        <v>0</v>
      </c>
      <c r="M89" s="484" t="str">
        <f t="shared" si="64"/>
        <v>-</v>
      </c>
      <c r="N89" s="485">
        <f t="shared" si="65"/>
        <v>0</v>
      </c>
      <c r="O89" s="483">
        <f t="shared" si="66"/>
        <v>0</v>
      </c>
      <c r="P89" s="486" t="str">
        <f t="shared" si="71"/>
        <v>-</v>
      </c>
      <c r="Q89" s="483" t="str">
        <f t="shared" si="67"/>
        <v>-</v>
      </c>
      <c r="R89" s="483">
        <f t="shared" si="68"/>
        <v>0</v>
      </c>
      <c r="S89" s="487" t="str">
        <f t="shared" si="69"/>
        <v>-</v>
      </c>
      <c r="T89" s="488" t="str">
        <f t="shared" si="70"/>
        <v>-</v>
      </c>
    </row>
    <row r="90" spans="1:20" ht="23.4" x14ac:dyDescent="0.3">
      <c r="A90" s="248">
        <v>5</v>
      </c>
      <c r="B90" s="249" t="s">
        <v>22</v>
      </c>
      <c r="C90" s="481">
        <f t="shared" si="60"/>
        <v>0</v>
      </c>
      <c r="D90" s="250">
        <v>0</v>
      </c>
      <c r="E90" s="251">
        <v>0</v>
      </c>
      <c r="F90" s="619">
        <v>80000</v>
      </c>
      <c r="G90" s="483">
        <f t="shared" si="61"/>
        <v>0</v>
      </c>
      <c r="H90" s="254">
        <v>0</v>
      </c>
      <c r="I90" s="627">
        <v>0</v>
      </c>
      <c r="J90" s="630">
        <v>0</v>
      </c>
      <c r="K90" s="481">
        <f>+L90-E90</f>
        <v>0</v>
      </c>
      <c r="L90" s="483">
        <f t="shared" si="63"/>
        <v>0</v>
      </c>
      <c r="M90" s="484" t="str">
        <f>IFERROR(K90/L90,"-")</f>
        <v>-</v>
      </c>
      <c r="N90" s="485">
        <f t="shared" si="65"/>
        <v>0</v>
      </c>
      <c r="O90" s="483">
        <f t="shared" si="66"/>
        <v>0</v>
      </c>
      <c r="P90" s="486" t="str">
        <f t="shared" si="71"/>
        <v>-</v>
      </c>
      <c r="Q90" s="483" t="str">
        <f t="shared" si="67"/>
        <v>-</v>
      </c>
      <c r="R90" s="483">
        <f t="shared" si="68"/>
        <v>0</v>
      </c>
      <c r="S90" s="487" t="str">
        <f t="shared" si="69"/>
        <v>-</v>
      </c>
      <c r="T90" s="488" t="str">
        <f t="shared" si="70"/>
        <v>-</v>
      </c>
    </row>
    <row r="91" spans="1:20" ht="23.4" x14ac:dyDescent="0.3">
      <c r="A91" s="248" t="s">
        <v>111</v>
      </c>
      <c r="B91" s="249" t="s">
        <v>23</v>
      </c>
      <c r="C91" s="481">
        <f t="shared" si="60"/>
        <v>0</v>
      </c>
      <c r="D91" s="250">
        <v>0</v>
      </c>
      <c r="E91" s="251">
        <v>0</v>
      </c>
      <c r="F91" s="619">
        <v>14000</v>
      </c>
      <c r="G91" s="483">
        <f t="shared" si="61"/>
        <v>0</v>
      </c>
      <c r="H91" s="254">
        <v>0</v>
      </c>
      <c r="I91" s="627">
        <v>0</v>
      </c>
      <c r="J91" s="630">
        <v>0</v>
      </c>
      <c r="K91" s="481">
        <f t="shared" ref="K91:K100" si="72">+L91-E91</f>
        <v>0</v>
      </c>
      <c r="L91" s="483">
        <f t="shared" si="63"/>
        <v>0</v>
      </c>
      <c r="M91" s="484" t="str">
        <f t="shared" ref="M91:M100" si="73">IFERROR(K91/L91,"-")</f>
        <v>-</v>
      </c>
      <c r="N91" s="485">
        <f t="shared" si="65"/>
        <v>0</v>
      </c>
      <c r="O91" s="483">
        <f t="shared" si="66"/>
        <v>0</v>
      </c>
      <c r="P91" s="486" t="str">
        <f t="shared" si="71"/>
        <v>-</v>
      </c>
      <c r="Q91" s="483" t="str">
        <f t="shared" si="67"/>
        <v>-</v>
      </c>
      <c r="R91" s="483">
        <f t="shared" si="68"/>
        <v>0</v>
      </c>
      <c r="S91" s="487" t="str">
        <f t="shared" si="69"/>
        <v>-</v>
      </c>
      <c r="T91" s="488" t="str">
        <f t="shared" si="70"/>
        <v>-</v>
      </c>
    </row>
    <row r="92" spans="1:20" ht="23.4" x14ac:dyDescent="0.3">
      <c r="A92" s="248" t="s">
        <v>111</v>
      </c>
      <c r="B92" s="253" t="s">
        <v>231</v>
      </c>
      <c r="C92" s="489">
        <f t="shared" si="60"/>
        <v>0</v>
      </c>
      <c r="D92" s="250">
        <v>0</v>
      </c>
      <c r="E92" s="251">
        <v>0</v>
      </c>
      <c r="F92" s="619">
        <v>4500</v>
      </c>
      <c r="G92" s="483">
        <f>+H92+I92</f>
        <v>0</v>
      </c>
      <c r="H92" s="254">
        <v>0</v>
      </c>
      <c r="I92" s="322">
        <v>0</v>
      </c>
      <c r="J92" s="630">
        <v>0</v>
      </c>
      <c r="K92" s="489">
        <f t="shared" si="72"/>
        <v>0</v>
      </c>
      <c r="L92" s="250">
        <f t="shared" si="63"/>
        <v>0</v>
      </c>
      <c r="M92" s="490" t="str">
        <f t="shared" si="73"/>
        <v>-</v>
      </c>
      <c r="N92" s="491">
        <f t="shared" si="65"/>
        <v>0</v>
      </c>
      <c r="O92" s="250">
        <f t="shared" si="66"/>
        <v>0</v>
      </c>
      <c r="P92" s="492" t="str">
        <f t="shared" si="71"/>
        <v>-</v>
      </c>
      <c r="Q92" s="250" t="str">
        <f t="shared" si="67"/>
        <v>-</v>
      </c>
      <c r="R92" s="250">
        <f t="shared" si="68"/>
        <v>0</v>
      </c>
      <c r="S92" s="493" t="str">
        <f t="shared" si="69"/>
        <v>-</v>
      </c>
      <c r="T92" s="494" t="str">
        <f t="shared" si="70"/>
        <v>-</v>
      </c>
    </row>
    <row r="93" spans="1:20" ht="24" thickBot="1" x14ac:dyDescent="0.35">
      <c r="A93" s="255" t="s">
        <v>111</v>
      </c>
      <c r="B93" s="256" t="s">
        <v>232</v>
      </c>
      <c r="C93" s="495">
        <f t="shared" si="60"/>
        <v>0</v>
      </c>
      <c r="D93" s="257">
        <v>0</v>
      </c>
      <c r="E93" s="258">
        <v>0</v>
      </c>
      <c r="F93" s="625">
        <v>5000</v>
      </c>
      <c r="G93" s="505">
        <f t="shared" ref="G93:G100" si="74">+H93+I93</f>
        <v>0</v>
      </c>
      <c r="H93" s="259">
        <v>0</v>
      </c>
      <c r="I93" s="628">
        <v>0</v>
      </c>
      <c r="J93" s="633">
        <v>0</v>
      </c>
      <c r="K93" s="495">
        <f t="shared" si="72"/>
        <v>0</v>
      </c>
      <c r="L93" s="257">
        <f t="shared" si="63"/>
        <v>0</v>
      </c>
      <c r="M93" s="496" t="str">
        <f t="shared" si="73"/>
        <v>-</v>
      </c>
      <c r="N93" s="497">
        <f t="shared" si="65"/>
        <v>0</v>
      </c>
      <c r="O93" s="257">
        <f t="shared" si="66"/>
        <v>0</v>
      </c>
      <c r="P93" s="498" t="str">
        <f t="shared" si="71"/>
        <v>-</v>
      </c>
      <c r="Q93" s="257" t="str">
        <f t="shared" si="67"/>
        <v>-</v>
      </c>
      <c r="R93" s="257">
        <f t="shared" si="68"/>
        <v>0</v>
      </c>
      <c r="S93" s="499" t="str">
        <f t="shared" si="69"/>
        <v>-</v>
      </c>
      <c r="T93" s="500" t="str">
        <f t="shared" si="70"/>
        <v>-</v>
      </c>
    </row>
    <row r="94" spans="1:20" ht="23.4" x14ac:dyDescent="0.3">
      <c r="A94" s="252" t="s">
        <v>109</v>
      </c>
      <c r="B94" s="260" t="s">
        <v>29</v>
      </c>
      <c r="C94" s="481">
        <f t="shared" si="60"/>
        <v>0</v>
      </c>
      <c r="D94" s="250">
        <v>0</v>
      </c>
      <c r="E94" s="251">
        <v>0</v>
      </c>
      <c r="F94" s="482">
        <v>80000</v>
      </c>
      <c r="G94" s="483">
        <f t="shared" si="74"/>
        <v>0</v>
      </c>
      <c r="H94" s="254">
        <v>0</v>
      </c>
      <c r="I94" s="627">
        <v>0</v>
      </c>
      <c r="J94" s="629">
        <v>0</v>
      </c>
      <c r="K94" s="481">
        <f t="shared" si="72"/>
        <v>0</v>
      </c>
      <c r="L94" s="483">
        <f t="shared" si="63"/>
        <v>0</v>
      </c>
      <c r="M94" s="484" t="str">
        <f t="shared" si="73"/>
        <v>-</v>
      </c>
      <c r="N94" s="485">
        <f t="shared" si="65"/>
        <v>0</v>
      </c>
      <c r="O94" s="483">
        <f t="shared" si="66"/>
        <v>0</v>
      </c>
      <c r="P94" s="486" t="str">
        <f t="shared" si="71"/>
        <v>-</v>
      </c>
      <c r="Q94" s="483" t="str">
        <f t="shared" si="67"/>
        <v>-</v>
      </c>
      <c r="R94" s="483">
        <f t="shared" si="68"/>
        <v>0</v>
      </c>
      <c r="S94" s="501" t="str">
        <f t="shared" si="69"/>
        <v>-</v>
      </c>
      <c r="T94" s="502" t="str">
        <f t="shared" si="70"/>
        <v>-</v>
      </c>
    </row>
    <row r="95" spans="1:20" ht="23.4" x14ac:dyDescent="0.3">
      <c r="A95" s="248" t="s">
        <v>109</v>
      </c>
      <c r="B95" s="260" t="s">
        <v>31</v>
      </c>
      <c r="C95" s="481">
        <f t="shared" si="60"/>
        <v>0</v>
      </c>
      <c r="D95" s="250">
        <v>0</v>
      </c>
      <c r="E95" s="251">
        <v>0</v>
      </c>
      <c r="F95" s="482">
        <v>50000</v>
      </c>
      <c r="G95" s="483">
        <f t="shared" si="74"/>
        <v>0</v>
      </c>
      <c r="H95" s="254">
        <v>0</v>
      </c>
      <c r="I95" s="627">
        <v>0</v>
      </c>
      <c r="J95" s="630">
        <v>0</v>
      </c>
      <c r="K95" s="481">
        <f t="shared" si="72"/>
        <v>0</v>
      </c>
      <c r="L95" s="483">
        <f t="shared" si="63"/>
        <v>0</v>
      </c>
      <c r="M95" s="484" t="str">
        <f t="shared" si="73"/>
        <v>-</v>
      </c>
      <c r="N95" s="485">
        <f t="shared" si="65"/>
        <v>0</v>
      </c>
      <c r="O95" s="483">
        <f t="shared" si="66"/>
        <v>0</v>
      </c>
      <c r="P95" s="486" t="str">
        <f t="shared" si="71"/>
        <v>-</v>
      </c>
      <c r="Q95" s="483" t="str">
        <f t="shared" si="67"/>
        <v>-</v>
      </c>
      <c r="R95" s="483">
        <f t="shared" si="68"/>
        <v>0</v>
      </c>
      <c r="S95" s="501" t="str">
        <f t="shared" si="69"/>
        <v>-</v>
      </c>
      <c r="T95" s="502" t="str">
        <f t="shared" si="70"/>
        <v>-</v>
      </c>
    </row>
    <row r="96" spans="1:20" ht="24" thickBot="1" x14ac:dyDescent="0.35">
      <c r="A96" s="255" t="s">
        <v>109</v>
      </c>
      <c r="B96" s="261" t="s">
        <v>32</v>
      </c>
      <c r="C96" s="503">
        <f t="shared" si="60"/>
        <v>0</v>
      </c>
      <c r="D96" s="257">
        <v>0</v>
      </c>
      <c r="E96" s="258">
        <v>0</v>
      </c>
      <c r="F96" s="504">
        <v>110000</v>
      </c>
      <c r="G96" s="505">
        <f t="shared" si="74"/>
        <v>0</v>
      </c>
      <c r="H96" s="259">
        <v>0</v>
      </c>
      <c r="I96" s="705">
        <v>0</v>
      </c>
      <c r="J96" s="633">
        <v>0</v>
      </c>
      <c r="K96" s="503">
        <f t="shared" si="72"/>
        <v>0</v>
      </c>
      <c r="L96" s="505">
        <f t="shared" si="63"/>
        <v>0</v>
      </c>
      <c r="M96" s="506" t="str">
        <f t="shared" si="73"/>
        <v>-</v>
      </c>
      <c r="N96" s="507">
        <f t="shared" si="65"/>
        <v>0</v>
      </c>
      <c r="O96" s="505">
        <f t="shared" si="66"/>
        <v>0</v>
      </c>
      <c r="P96" s="508" t="str">
        <f t="shared" si="71"/>
        <v>-</v>
      </c>
      <c r="Q96" s="505" t="str">
        <f t="shared" si="67"/>
        <v>-</v>
      </c>
      <c r="R96" s="505">
        <f t="shared" si="68"/>
        <v>0</v>
      </c>
      <c r="S96" s="509" t="str">
        <f t="shared" si="69"/>
        <v>-</v>
      </c>
      <c r="T96" s="510" t="str">
        <f t="shared" si="70"/>
        <v>-</v>
      </c>
    </row>
    <row r="97" spans="1:20" ht="23.4" x14ac:dyDescent="0.3">
      <c r="A97" s="248" t="s">
        <v>110</v>
      </c>
      <c r="B97" s="249" t="s">
        <v>238</v>
      </c>
      <c r="C97" s="481">
        <f t="shared" si="60"/>
        <v>0</v>
      </c>
      <c r="D97" s="250">
        <v>0</v>
      </c>
      <c r="E97" s="251">
        <v>0</v>
      </c>
      <c r="F97" s="482">
        <v>6500</v>
      </c>
      <c r="G97" s="483">
        <f t="shared" si="74"/>
        <v>0</v>
      </c>
      <c r="H97" s="482">
        <v>0</v>
      </c>
      <c r="I97" s="631">
        <v>0</v>
      </c>
      <c r="J97" s="630">
        <v>0</v>
      </c>
      <c r="K97" s="481">
        <f t="shared" si="72"/>
        <v>0</v>
      </c>
      <c r="L97" s="483">
        <f t="shared" si="63"/>
        <v>0</v>
      </c>
      <c r="M97" s="484" t="str">
        <f t="shared" si="73"/>
        <v>-</v>
      </c>
      <c r="N97" s="485">
        <f t="shared" si="65"/>
        <v>0</v>
      </c>
      <c r="O97" s="483">
        <f t="shared" si="66"/>
        <v>0</v>
      </c>
      <c r="P97" s="486" t="str">
        <f t="shared" si="71"/>
        <v>-</v>
      </c>
      <c r="Q97" s="483" t="str">
        <f t="shared" si="67"/>
        <v>-</v>
      </c>
      <c r="R97" s="483">
        <f t="shared" si="68"/>
        <v>0</v>
      </c>
      <c r="S97" s="501" t="str">
        <f t="shared" si="69"/>
        <v>-</v>
      </c>
      <c r="T97" s="502" t="str">
        <f t="shared" si="70"/>
        <v>-</v>
      </c>
    </row>
    <row r="98" spans="1:20" ht="23.4" x14ac:dyDescent="0.3">
      <c r="A98" s="252" t="s">
        <v>110</v>
      </c>
      <c r="B98" s="249" t="s">
        <v>40</v>
      </c>
      <c r="C98" s="481">
        <f t="shared" si="60"/>
        <v>0</v>
      </c>
      <c r="D98" s="250">
        <v>0</v>
      </c>
      <c r="E98" s="251">
        <v>0</v>
      </c>
      <c r="F98" s="482">
        <v>2800</v>
      </c>
      <c r="G98" s="483">
        <f t="shared" si="74"/>
        <v>0</v>
      </c>
      <c r="H98" s="482"/>
      <c r="I98" s="631"/>
      <c r="J98" s="630">
        <v>0</v>
      </c>
      <c r="K98" s="481">
        <f t="shared" si="72"/>
        <v>0</v>
      </c>
      <c r="L98" s="483">
        <f t="shared" si="63"/>
        <v>0</v>
      </c>
      <c r="M98" s="484" t="str">
        <f t="shared" si="73"/>
        <v>-</v>
      </c>
      <c r="N98" s="485">
        <f t="shared" si="65"/>
        <v>0</v>
      </c>
      <c r="O98" s="483">
        <f t="shared" si="66"/>
        <v>0</v>
      </c>
      <c r="P98" s="486" t="str">
        <f t="shared" si="71"/>
        <v>-</v>
      </c>
      <c r="Q98" s="483" t="str">
        <f t="shared" si="67"/>
        <v>-</v>
      </c>
      <c r="R98" s="483">
        <f t="shared" si="68"/>
        <v>0</v>
      </c>
      <c r="S98" s="501" t="str">
        <f t="shared" si="69"/>
        <v>-</v>
      </c>
      <c r="T98" s="502" t="str">
        <f t="shared" si="70"/>
        <v>-</v>
      </c>
    </row>
    <row r="99" spans="1:20" ht="23.4" x14ac:dyDescent="0.3">
      <c r="A99" s="248" t="s">
        <v>110</v>
      </c>
      <c r="B99" s="249" t="s">
        <v>42</v>
      </c>
      <c r="C99" s="481">
        <f t="shared" si="60"/>
        <v>0</v>
      </c>
      <c r="D99" s="250">
        <v>0</v>
      </c>
      <c r="E99" s="251">
        <v>0</v>
      </c>
      <c r="F99" s="482">
        <v>25000</v>
      </c>
      <c r="G99" s="483">
        <f t="shared" si="74"/>
        <v>0</v>
      </c>
      <c r="H99" s="482">
        <v>0</v>
      </c>
      <c r="I99" s="631">
        <v>0</v>
      </c>
      <c r="J99" s="630">
        <v>0</v>
      </c>
      <c r="K99" s="481">
        <f t="shared" si="72"/>
        <v>0</v>
      </c>
      <c r="L99" s="483">
        <f t="shared" si="63"/>
        <v>0</v>
      </c>
      <c r="M99" s="484" t="str">
        <f t="shared" si="73"/>
        <v>-</v>
      </c>
      <c r="N99" s="485">
        <f t="shared" si="65"/>
        <v>0</v>
      </c>
      <c r="O99" s="483">
        <f t="shared" si="66"/>
        <v>0</v>
      </c>
      <c r="P99" s="486" t="str">
        <f t="shared" si="71"/>
        <v>-</v>
      </c>
      <c r="Q99" s="483" t="str">
        <f t="shared" si="67"/>
        <v>-</v>
      </c>
      <c r="R99" s="483">
        <f t="shared" si="68"/>
        <v>0</v>
      </c>
      <c r="S99" s="501" t="str">
        <f t="shared" si="69"/>
        <v>-</v>
      </c>
      <c r="T99" s="502" t="str">
        <f t="shared" si="70"/>
        <v>-</v>
      </c>
    </row>
    <row r="100" spans="1:20" ht="47.4" thickBot="1" x14ac:dyDescent="0.35">
      <c r="A100" s="635" t="s">
        <v>110</v>
      </c>
      <c r="B100" s="261" t="s">
        <v>237</v>
      </c>
      <c r="C100" s="636">
        <f t="shared" si="60"/>
        <v>0</v>
      </c>
      <c r="D100" s="637">
        <v>0</v>
      </c>
      <c r="E100" s="638">
        <v>0</v>
      </c>
      <c r="F100" s="639">
        <v>25000</v>
      </c>
      <c r="G100" s="640">
        <f t="shared" si="74"/>
        <v>0</v>
      </c>
      <c r="H100" s="639">
        <v>0</v>
      </c>
      <c r="I100" s="641">
        <v>0</v>
      </c>
      <c r="J100" s="634">
        <v>0</v>
      </c>
      <c r="K100" s="636">
        <f t="shared" si="72"/>
        <v>0</v>
      </c>
      <c r="L100" s="640">
        <f t="shared" si="63"/>
        <v>0</v>
      </c>
      <c r="M100" s="642" t="str">
        <f t="shared" si="73"/>
        <v>-</v>
      </c>
      <c r="N100" s="643">
        <f t="shared" si="65"/>
        <v>0</v>
      </c>
      <c r="O100" s="640">
        <f t="shared" si="66"/>
        <v>0</v>
      </c>
      <c r="P100" s="644" t="str">
        <f t="shared" si="71"/>
        <v>-</v>
      </c>
      <c r="Q100" s="640" t="str">
        <f t="shared" si="67"/>
        <v>-</v>
      </c>
      <c r="R100" s="640">
        <f t="shared" si="68"/>
        <v>0</v>
      </c>
      <c r="S100" s="645" t="str">
        <f t="shared" si="69"/>
        <v>-</v>
      </c>
      <c r="T100" s="646" t="str">
        <f t="shared" si="70"/>
        <v>-</v>
      </c>
    </row>
    <row r="101" spans="1:20" ht="23.4" x14ac:dyDescent="0.3">
      <c r="A101" s="935" t="s">
        <v>1</v>
      </c>
      <c r="B101" s="944" t="s">
        <v>2</v>
      </c>
      <c r="C101" s="944" t="s">
        <v>226</v>
      </c>
      <c r="D101" s="945"/>
      <c r="E101" s="946"/>
      <c r="F101" s="944" t="s">
        <v>434</v>
      </c>
      <c r="G101" s="945"/>
      <c r="H101" s="945"/>
      <c r="I101" s="946"/>
      <c r="J101" s="1040" t="s">
        <v>223</v>
      </c>
      <c r="K101" s="944" t="s">
        <v>211</v>
      </c>
      <c r="L101" s="945"/>
      <c r="M101" s="946"/>
      <c r="N101" s="945" t="s">
        <v>212</v>
      </c>
      <c r="O101" s="945"/>
      <c r="P101" s="946"/>
      <c r="Q101" s="944" t="s">
        <v>213</v>
      </c>
      <c r="R101" s="945"/>
      <c r="S101" s="945"/>
      <c r="T101" s="1042" t="s">
        <v>210</v>
      </c>
    </row>
    <row r="102" spans="1:20" ht="87.6" thickBot="1" x14ac:dyDescent="0.35">
      <c r="A102" s="1038"/>
      <c r="B102" s="1039"/>
      <c r="C102" s="235" t="s">
        <v>227</v>
      </c>
      <c r="D102" s="236" t="s">
        <v>224</v>
      </c>
      <c r="E102" s="237" t="s">
        <v>225</v>
      </c>
      <c r="F102" s="238" t="s">
        <v>382</v>
      </c>
      <c r="G102" s="236" t="s">
        <v>220</v>
      </c>
      <c r="H102" s="239" t="s">
        <v>221</v>
      </c>
      <c r="I102" s="240" t="s">
        <v>222</v>
      </c>
      <c r="J102" s="1041"/>
      <c r="K102" s="235" t="s">
        <v>214</v>
      </c>
      <c r="L102" s="239" t="s">
        <v>215</v>
      </c>
      <c r="M102" s="241" t="s">
        <v>228</v>
      </c>
      <c r="N102" s="242" t="s">
        <v>216</v>
      </c>
      <c r="O102" s="239" t="s">
        <v>217</v>
      </c>
      <c r="P102" s="241" t="s">
        <v>229</v>
      </c>
      <c r="Q102" s="235" t="s">
        <v>218</v>
      </c>
      <c r="R102" s="239" t="s">
        <v>219</v>
      </c>
      <c r="S102" s="243" t="s">
        <v>230</v>
      </c>
      <c r="T102" s="1043"/>
    </row>
    <row r="103" spans="1:20" ht="23.4" x14ac:dyDescent="0.3">
      <c r="A103" s="244" t="s">
        <v>111</v>
      </c>
      <c r="B103" s="245" t="s">
        <v>16</v>
      </c>
      <c r="C103" s="474">
        <f>+D103+E103</f>
        <v>30</v>
      </c>
      <c r="D103" s="246">
        <v>30</v>
      </c>
      <c r="E103" s="247">
        <v>0</v>
      </c>
      <c r="F103" s="618">
        <v>15000</v>
      </c>
      <c r="G103" s="475">
        <f>+H103+I103</f>
        <v>13490</v>
      </c>
      <c r="H103" s="624">
        <v>13312</v>
      </c>
      <c r="I103" s="626">
        <v>178</v>
      </c>
      <c r="J103" s="629">
        <v>480</v>
      </c>
      <c r="K103" s="474">
        <f>+L103-E103</f>
        <v>450</v>
      </c>
      <c r="L103" s="475">
        <f>+J103-D103</f>
        <v>450</v>
      </c>
      <c r="M103" s="476">
        <f>IFERROR(K103/L103,"-")</f>
        <v>1</v>
      </c>
      <c r="N103" s="477">
        <f>+O103-C103</f>
        <v>420</v>
      </c>
      <c r="O103" s="475">
        <f>+K103</f>
        <v>450</v>
      </c>
      <c r="P103" s="478">
        <f>IFERROR(N103/O103,"-")</f>
        <v>0.93333333333333335</v>
      </c>
      <c r="Q103" s="475">
        <f>IFERROR(N103-(J103-(J103*H103/G103)),"-")</f>
        <v>413.66641957005191</v>
      </c>
      <c r="R103" s="475">
        <f>+N103</f>
        <v>420</v>
      </c>
      <c r="S103" s="479">
        <f>IFERROR(Q103/R103,"-")</f>
        <v>0.9849200465953617</v>
      </c>
      <c r="T103" s="480">
        <f>IFERROR(M103*P103*S103,"-")</f>
        <v>0.91925871015567096</v>
      </c>
    </row>
    <row r="104" spans="1:20" ht="23.4" x14ac:dyDescent="0.3">
      <c r="A104" s="248" t="s">
        <v>111</v>
      </c>
      <c r="B104" s="249" t="s">
        <v>234</v>
      </c>
      <c r="C104" s="481">
        <f t="shared" ref="C104:C118" si="75">+D104+E104</f>
        <v>180</v>
      </c>
      <c r="D104" s="250">
        <v>30</v>
      </c>
      <c r="E104" s="251">
        <v>150</v>
      </c>
      <c r="F104" s="619">
        <v>100000</v>
      </c>
      <c r="G104" s="483">
        <f t="shared" ref="G104:G109" si="76">+H104+I104</f>
        <v>30779</v>
      </c>
      <c r="H104" s="254">
        <v>30600</v>
      </c>
      <c r="I104" s="627">
        <v>179</v>
      </c>
      <c r="J104" s="630">
        <v>600</v>
      </c>
      <c r="K104" s="481">
        <f t="shared" ref="K104:K107" si="77">+L104-E104</f>
        <v>420</v>
      </c>
      <c r="L104" s="483">
        <f t="shared" ref="L104:L118" si="78">+J104-D104</f>
        <v>570</v>
      </c>
      <c r="M104" s="484">
        <f t="shared" ref="M104:M107" si="79">IFERROR(K104/L104,"-")</f>
        <v>0.73684210526315785</v>
      </c>
      <c r="N104" s="485">
        <f t="shared" ref="N104:N118" si="80">+O104-C104</f>
        <v>240</v>
      </c>
      <c r="O104" s="483">
        <f t="shared" ref="O104:O118" si="81">+K104</f>
        <v>420</v>
      </c>
      <c r="P104" s="486">
        <f>IFERROR(N104/O104,"-")</f>
        <v>0.5714285714285714</v>
      </c>
      <c r="Q104" s="483">
        <f t="shared" ref="Q104:Q118" si="82">IFERROR(N104-(J104-(J104*H104/G104)),"-")</f>
        <v>236.51060788199743</v>
      </c>
      <c r="R104" s="483">
        <f t="shared" ref="R104:R118" si="83">+N104</f>
        <v>240</v>
      </c>
      <c r="S104" s="487">
        <f t="shared" ref="S104:S118" si="84">IFERROR(Q104/R104,"-")</f>
        <v>0.98546086617498929</v>
      </c>
      <c r="T104" s="488">
        <f t="shared" ref="T104:T118" si="85">IFERROR(M104*P104*S104,"-")</f>
        <v>0.41493089102104808</v>
      </c>
    </row>
    <row r="105" spans="1:20" ht="23.4" x14ac:dyDescent="0.3">
      <c r="A105" s="248" t="s">
        <v>111</v>
      </c>
      <c r="B105" s="249" t="s">
        <v>233</v>
      </c>
      <c r="C105" s="481">
        <f t="shared" si="75"/>
        <v>0</v>
      </c>
      <c r="D105" s="250">
        <v>0</v>
      </c>
      <c r="E105" s="251">
        <v>0</v>
      </c>
      <c r="F105" s="619">
        <v>80000</v>
      </c>
      <c r="G105" s="483">
        <f t="shared" si="76"/>
        <v>0</v>
      </c>
      <c r="H105" s="254">
        <v>0</v>
      </c>
      <c r="I105" s="627">
        <v>0</v>
      </c>
      <c r="J105" s="630">
        <v>0</v>
      </c>
      <c r="K105" s="481">
        <f t="shared" si="77"/>
        <v>0</v>
      </c>
      <c r="L105" s="483">
        <f t="shared" si="78"/>
        <v>0</v>
      </c>
      <c r="M105" s="484" t="str">
        <f t="shared" si="79"/>
        <v>-</v>
      </c>
      <c r="N105" s="485">
        <f t="shared" si="80"/>
        <v>0</v>
      </c>
      <c r="O105" s="483">
        <f t="shared" si="81"/>
        <v>0</v>
      </c>
      <c r="P105" s="486" t="str">
        <f t="shared" ref="P105:P118" si="86">IFERROR(N105/O105,"-")</f>
        <v>-</v>
      </c>
      <c r="Q105" s="483" t="str">
        <f t="shared" si="82"/>
        <v>-</v>
      </c>
      <c r="R105" s="483">
        <f t="shared" si="83"/>
        <v>0</v>
      </c>
      <c r="S105" s="487" t="str">
        <f t="shared" si="84"/>
        <v>-</v>
      </c>
      <c r="T105" s="488" t="str">
        <f t="shared" si="85"/>
        <v>-</v>
      </c>
    </row>
    <row r="106" spans="1:20" ht="23.4" x14ac:dyDescent="0.3">
      <c r="A106" s="252" t="s">
        <v>111</v>
      </c>
      <c r="B106" s="249" t="s">
        <v>236</v>
      </c>
      <c r="C106" s="481">
        <f t="shared" si="75"/>
        <v>210</v>
      </c>
      <c r="D106" s="250">
        <v>30</v>
      </c>
      <c r="E106" s="251">
        <v>180</v>
      </c>
      <c r="F106" s="619">
        <v>110000</v>
      </c>
      <c r="G106" s="483">
        <f t="shared" si="76"/>
        <v>50890</v>
      </c>
      <c r="H106" s="254">
        <v>50688</v>
      </c>
      <c r="I106" s="627">
        <v>202</v>
      </c>
      <c r="J106" s="630">
        <v>480</v>
      </c>
      <c r="K106" s="481">
        <f t="shared" si="77"/>
        <v>270</v>
      </c>
      <c r="L106" s="483">
        <f t="shared" si="78"/>
        <v>450</v>
      </c>
      <c r="M106" s="484">
        <f t="shared" si="79"/>
        <v>0.6</v>
      </c>
      <c r="N106" s="485">
        <f t="shared" si="80"/>
        <v>60</v>
      </c>
      <c r="O106" s="483">
        <f t="shared" si="81"/>
        <v>270</v>
      </c>
      <c r="P106" s="486">
        <f t="shared" si="86"/>
        <v>0.22222222222222221</v>
      </c>
      <c r="Q106" s="483">
        <f t="shared" si="82"/>
        <v>58.094714089212005</v>
      </c>
      <c r="R106" s="483">
        <f t="shared" si="83"/>
        <v>60</v>
      </c>
      <c r="S106" s="487">
        <f t="shared" si="84"/>
        <v>0.96824523482020008</v>
      </c>
      <c r="T106" s="488">
        <f t="shared" si="85"/>
        <v>0.12909936464269334</v>
      </c>
    </row>
    <row r="107" spans="1:20" ht="23.4" x14ac:dyDescent="0.3">
      <c r="A107" s="248" t="s">
        <v>111</v>
      </c>
      <c r="B107" s="249" t="s">
        <v>235</v>
      </c>
      <c r="C107" s="481">
        <f t="shared" si="75"/>
        <v>0</v>
      </c>
      <c r="D107" s="250">
        <v>0</v>
      </c>
      <c r="E107" s="251">
        <v>0</v>
      </c>
      <c r="F107" s="619">
        <v>50000</v>
      </c>
      <c r="G107" s="483">
        <f t="shared" si="76"/>
        <v>0</v>
      </c>
      <c r="H107" s="254">
        <v>0</v>
      </c>
      <c r="I107" s="627">
        <v>0</v>
      </c>
      <c r="J107" s="630">
        <v>0</v>
      </c>
      <c r="K107" s="481">
        <f t="shared" si="77"/>
        <v>0</v>
      </c>
      <c r="L107" s="483">
        <f t="shared" si="78"/>
        <v>0</v>
      </c>
      <c r="M107" s="484" t="str">
        <f t="shared" si="79"/>
        <v>-</v>
      </c>
      <c r="N107" s="485">
        <f t="shared" si="80"/>
        <v>0</v>
      </c>
      <c r="O107" s="483">
        <f t="shared" si="81"/>
        <v>0</v>
      </c>
      <c r="P107" s="486" t="str">
        <f t="shared" si="86"/>
        <v>-</v>
      </c>
      <c r="Q107" s="483" t="str">
        <f t="shared" si="82"/>
        <v>-</v>
      </c>
      <c r="R107" s="483">
        <f t="shared" si="83"/>
        <v>0</v>
      </c>
      <c r="S107" s="487" t="str">
        <f t="shared" si="84"/>
        <v>-</v>
      </c>
      <c r="T107" s="488" t="str">
        <f t="shared" si="85"/>
        <v>-</v>
      </c>
    </row>
    <row r="108" spans="1:20" ht="23.4" x14ac:dyDescent="0.3">
      <c r="A108" s="248">
        <v>5</v>
      </c>
      <c r="B108" s="249" t="s">
        <v>22</v>
      </c>
      <c r="C108" s="481">
        <f t="shared" si="75"/>
        <v>480</v>
      </c>
      <c r="D108" s="250">
        <v>30</v>
      </c>
      <c r="E108" s="251">
        <v>450</v>
      </c>
      <c r="F108" s="619">
        <v>80000</v>
      </c>
      <c r="G108" s="483">
        <f t="shared" si="76"/>
        <v>0</v>
      </c>
      <c r="H108" s="254">
        <v>0</v>
      </c>
      <c r="I108" s="627">
        <v>0</v>
      </c>
      <c r="J108" s="630">
        <v>0</v>
      </c>
      <c r="K108" s="481">
        <f>+L108-E108</f>
        <v>-480</v>
      </c>
      <c r="L108" s="483">
        <f t="shared" si="78"/>
        <v>-30</v>
      </c>
      <c r="M108" s="484">
        <f>IFERROR(K108/L108,"-")</f>
        <v>16</v>
      </c>
      <c r="N108" s="485">
        <f t="shared" si="80"/>
        <v>-960</v>
      </c>
      <c r="O108" s="483">
        <f t="shared" si="81"/>
        <v>-480</v>
      </c>
      <c r="P108" s="486">
        <f t="shared" si="86"/>
        <v>2</v>
      </c>
      <c r="Q108" s="483" t="str">
        <f t="shared" si="82"/>
        <v>-</v>
      </c>
      <c r="R108" s="483">
        <f t="shared" si="83"/>
        <v>-960</v>
      </c>
      <c r="S108" s="487" t="str">
        <f t="shared" si="84"/>
        <v>-</v>
      </c>
      <c r="T108" s="488" t="str">
        <f t="shared" si="85"/>
        <v>-</v>
      </c>
    </row>
    <row r="109" spans="1:20" ht="23.4" x14ac:dyDescent="0.3">
      <c r="A109" s="248" t="s">
        <v>111</v>
      </c>
      <c r="B109" s="249" t="s">
        <v>23</v>
      </c>
      <c r="C109" s="481">
        <f t="shared" si="75"/>
        <v>630</v>
      </c>
      <c r="D109" s="250">
        <v>30</v>
      </c>
      <c r="E109" s="251">
        <v>600</v>
      </c>
      <c r="F109" s="619">
        <v>14000</v>
      </c>
      <c r="G109" s="483">
        <f t="shared" si="76"/>
        <v>0</v>
      </c>
      <c r="H109" s="254">
        <v>0</v>
      </c>
      <c r="I109" s="627">
        <v>0</v>
      </c>
      <c r="J109" s="630">
        <v>600</v>
      </c>
      <c r="K109" s="481">
        <f t="shared" ref="K109:K118" si="87">+L109-E109</f>
        <v>-30</v>
      </c>
      <c r="L109" s="483">
        <f t="shared" si="78"/>
        <v>570</v>
      </c>
      <c r="M109" s="484">
        <f t="shared" ref="M109:M118" si="88">IFERROR(K109/L109,"-")</f>
        <v>-5.2631578947368418E-2</v>
      </c>
      <c r="N109" s="485">
        <f t="shared" si="80"/>
        <v>-660</v>
      </c>
      <c r="O109" s="483">
        <f t="shared" si="81"/>
        <v>-30</v>
      </c>
      <c r="P109" s="486">
        <f t="shared" si="86"/>
        <v>22</v>
      </c>
      <c r="Q109" s="483" t="str">
        <f t="shared" si="82"/>
        <v>-</v>
      </c>
      <c r="R109" s="483">
        <f t="shared" si="83"/>
        <v>-660</v>
      </c>
      <c r="S109" s="487" t="str">
        <f t="shared" si="84"/>
        <v>-</v>
      </c>
      <c r="T109" s="488" t="str">
        <f t="shared" si="85"/>
        <v>-</v>
      </c>
    </row>
    <row r="110" spans="1:20" ht="23.4" x14ac:dyDescent="0.3">
      <c r="A110" s="248" t="s">
        <v>111</v>
      </c>
      <c r="B110" s="253" t="s">
        <v>231</v>
      </c>
      <c r="C110" s="489">
        <f t="shared" si="75"/>
        <v>350</v>
      </c>
      <c r="D110" s="250">
        <v>140</v>
      </c>
      <c r="E110" s="251">
        <v>210</v>
      </c>
      <c r="F110" s="619">
        <v>4500</v>
      </c>
      <c r="G110" s="483">
        <f>+H110+I110</f>
        <v>24732</v>
      </c>
      <c r="H110" s="254">
        <v>24512</v>
      </c>
      <c r="I110" s="322">
        <v>220</v>
      </c>
      <c r="J110" s="630">
        <v>960</v>
      </c>
      <c r="K110" s="489">
        <f t="shared" si="87"/>
        <v>610</v>
      </c>
      <c r="L110" s="250">
        <f t="shared" si="78"/>
        <v>820</v>
      </c>
      <c r="M110" s="490">
        <f t="shared" si="88"/>
        <v>0.74390243902439024</v>
      </c>
      <c r="N110" s="491">
        <f t="shared" si="80"/>
        <v>260</v>
      </c>
      <c r="O110" s="250">
        <f t="shared" si="81"/>
        <v>610</v>
      </c>
      <c r="P110" s="492">
        <f t="shared" si="86"/>
        <v>0.42622950819672129</v>
      </c>
      <c r="Q110" s="250">
        <f t="shared" si="82"/>
        <v>251.46045608927705</v>
      </c>
      <c r="R110" s="250">
        <f t="shared" si="83"/>
        <v>260</v>
      </c>
      <c r="S110" s="493">
        <f t="shared" si="84"/>
        <v>0.96715560034337322</v>
      </c>
      <c r="T110" s="494">
        <f t="shared" si="85"/>
        <v>0.30665909279180126</v>
      </c>
    </row>
    <row r="111" spans="1:20" ht="24" thickBot="1" x14ac:dyDescent="0.35">
      <c r="A111" s="255" t="s">
        <v>111</v>
      </c>
      <c r="B111" s="256" t="s">
        <v>232</v>
      </c>
      <c r="C111" s="495">
        <f t="shared" si="75"/>
        <v>350</v>
      </c>
      <c r="D111" s="257">
        <v>230</v>
      </c>
      <c r="E111" s="258">
        <v>120</v>
      </c>
      <c r="F111" s="625">
        <v>5000</v>
      </c>
      <c r="G111" s="505">
        <f t="shared" ref="G111:G118" si="89">+H111+I111</f>
        <v>30474</v>
      </c>
      <c r="H111" s="259">
        <v>30414</v>
      </c>
      <c r="I111" s="628">
        <v>60</v>
      </c>
      <c r="J111" s="633">
        <v>960</v>
      </c>
      <c r="K111" s="495">
        <f t="shared" si="87"/>
        <v>610</v>
      </c>
      <c r="L111" s="257">
        <f t="shared" si="78"/>
        <v>730</v>
      </c>
      <c r="M111" s="496">
        <f t="shared" si="88"/>
        <v>0.83561643835616439</v>
      </c>
      <c r="N111" s="497">
        <f t="shared" si="80"/>
        <v>260</v>
      </c>
      <c r="O111" s="257">
        <f t="shared" si="81"/>
        <v>610</v>
      </c>
      <c r="P111" s="498">
        <f t="shared" si="86"/>
        <v>0.42622950819672129</v>
      </c>
      <c r="Q111" s="257">
        <f t="shared" si="82"/>
        <v>258.10986414648551</v>
      </c>
      <c r="R111" s="257">
        <f t="shared" si="83"/>
        <v>260</v>
      </c>
      <c r="S111" s="499">
        <f t="shared" si="84"/>
        <v>0.99273024671725196</v>
      </c>
      <c r="T111" s="500">
        <f t="shared" si="85"/>
        <v>0.3535751563650486</v>
      </c>
    </row>
    <row r="112" spans="1:20" ht="23.4" x14ac:dyDescent="0.3">
      <c r="A112" s="252" t="s">
        <v>109</v>
      </c>
      <c r="B112" s="260" t="s">
        <v>29</v>
      </c>
      <c r="C112" s="481">
        <f t="shared" si="75"/>
        <v>0</v>
      </c>
      <c r="D112" s="250">
        <v>0</v>
      </c>
      <c r="E112" s="251">
        <v>0</v>
      </c>
      <c r="F112" s="482">
        <v>80000</v>
      </c>
      <c r="G112" s="483">
        <f t="shared" si="89"/>
        <v>0</v>
      </c>
      <c r="H112" s="254">
        <v>0</v>
      </c>
      <c r="I112" s="627">
        <v>0</v>
      </c>
      <c r="J112" s="629">
        <v>0</v>
      </c>
      <c r="K112" s="481">
        <f t="shared" si="87"/>
        <v>0</v>
      </c>
      <c r="L112" s="483">
        <f t="shared" si="78"/>
        <v>0</v>
      </c>
      <c r="M112" s="484" t="str">
        <f t="shared" si="88"/>
        <v>-</v>
      </c>
      <c r="N112" s="485">
        <f t="shared" si="80"/>
        <v>0</v>
      </c>
      <c r="O112" s="483">
        <f t="shared" si="81"/>
        <v>0</v>
      </c>
      <c r="P112" s="486" t="str">
        <f t="shared" si="86"/>
        <v>-</v>
      </c>
      <c r="Q112" s="483" t="str">
        <f t="shared" si="82"/>
        <v>-</v>
      </c>
      <c r="R112" s="483">
        <f t="shared" si="83"/>
        <v>0</v>
      </c>
      <c r="S112" s="501" t="str">
        <f t="shared" si="84"/>
        <v>-</v>
      </c>
      <c r="T112" s="502" t="str">
        <f t="shared" si="85"/>
        <v>-</v>
      </c>
    </row>
    <row r="113" spans="1:20" ht="23.4" x14ac:dyDescent="0.3">
      <c r="A113" s="248" t="s">
        <v>109</v>
      </c>
      <c r="B113" s="260" t="s">
        <v>31</v>
      </c>
      <c r="C113" s="481">
        <f t="shared" si="75"/>
        <v>0</v>
      </c>
      <c r="D113" s="250">
        <v>0</v>
      </c>
      <c r="E113" s="251">
        <v>0</v>
      </c>
      <c r="F113" s="482">
        <v>50000</v>
      </c>
      <c r="G113" s="483">
        <f t="shared" si="89"/>
        <v>0</v>
      </c>
      <c r="H113" s="254">
        <v>0</v>
      </c>
      <c r="I113" s="627">
        <v>0</v>
      </c>
      <c r="J113" s="630">
        <v>0</v>
      </c>
      <c r="K113" s="481">
        <f t="shared" si="87"/>
        <v>0</v>
      </c>
      <c r="L113" s="483">
        <f t="shared" si="78"/>
        <v>0</v>
      </c>
      <c r="M113" s="484" t="str">
        <f t="shared" si="88"/>
        <v>-</v>
      </c>
      <c r="N113" s="485">
        <f t="shared" si="80"/>
        <v>0</v>
      </c>
      <c r="O113" s="483">
        <f t="shared" si="81"/>
        <v>0</v>
      </c>
      <c r="P113" s="486" t="str">
        <f t="shared" si="86"/>
        <v>-</v>
      </c>
      <c r="Q113" s="483" t="str">
        <f t="shared" si="82"/>
        <v>-</v>
      </c>
      <c r="R113" s="483">
        <f t="shared" si="83"/>
        <v>0</v>
      </c>
      <c r="S113" s="501" t="str">
        <f t="shared" si="84"/>
        <v>-</v>
      </c>
      <c r="T113" s="502" t="str">
        <f t="shared" si="85"/>
        <v>-</v>
      </c>
    </row>
    <row r="114" spans="1:20" ht="24" thickBot="1" x14ac:dyDescent="0.35">
      <c r="A114" s="255" t="s">
        <v>109</v>
      </c>
      <c r="B114" s="261" t="s">
        <v>32</v>
      </c>
      <c r="C114" s="503">
        <f t="shared" si="75"/>
        <v>0</v>
      </c>
      <c r="D114" s="257">
        <v>0</v>
      </c>
      <c r="E114" s="258">
        <v>0</v>
      </c>
      <c r="F114" s="504">
        <v>110000</v>
      </c>
      <c r="G114" s="505">
        <f t="shared" si="89"/>
        <v>0</v>
      </c>
      <c r="H114" s="259">
        <v>0</v>
      </c>
      <c r="I114" s="705">
        <v>0</v>
      </c>
      <c r="J114" s="633">
        <v>0</v>
      </c>
      <c r="K114" s="503">
        <f t="shared" si="87"/>
        <v>0</v>
      </c>
      <c r="L114" s="505">
        <f t="shared" si="78"/>
        <v>0</v>
      </c>
      <c r="M114" s="506" t="str">
        <f t="shared" si="88"/>
        <v>-</v>
      </c>
      <c r="N114" s="507">
        <f t="shared" si="80"/>
        <v>0</v>
      </c>
      <c r="O114" s="505">
        <f t="shared" si="81"/>
        <v>0</v>
      </c>
      <c r="P114" s="508" t="str">
        <f t="shared" si="86"/>
        <v>-</v>
      </c>
      <c r="Q114" s="505" t="str">
        <f t="shared" si="82"/>
        <v>-</v>
      </c>
      <c r="R114" s="505">
        <f t="shared" si="83"/>
        <v>0</v>
      </c>
      <c r="S114" s="509" t="str">
        <f t="shared" si="84"/>
        <v>-</v>
      </c>
      <c r="T114" s="510" t="str">
        <f t="shared" si="85"/>
        <v>-</v>
      </c>
    </row>
    <row r="115" spans="1:20" ht="23.4" x14ac:dyDescent="0.3">
      <c r="A115" s="248" t="s">
        <v>110</v>
      </c>
      <c r="B115" s="249" t="s">
        <v>238</v>
      </c>
      <c r="C115" s="481">
        <f t="shared" si="75"/>
        <v>0</v>
      </c>
      <c r="D115" s="250">
        <v>0</v>
      </c>
      <c r="E115" s="251">
        <v>0</v>
      </c>
      <c r="F115" s="482">
        <v>6500</v>
      </c>
      <c r="G115" s="483">
        <f t="shared" si="89"/>
        <v>0</v>
      </c>
      <c r="H115" s="482">
        <v>0</v>
      </c>
      <c r="I115" s="631">
        <v>0</v>
      </c>
      <c r="J115" s="630">
        <v>0</v>
      </c>
      <c r="K115" s="481">
        <f t="shared" si="87"/>
        <v>0</v>
      </c>
      <c r="L115" s="483">
        <f t="shared" si="78"/>
        <v>0</v>
      </c>
      <c r="M115" s="484" t="str">
        <f t="shared" si="88"/>
        <v>-</v>
      </c>
      <c r="N115" s="485">
        <f t="shared" si="80"/>
        <v>0</v>
      </c>
      <c r="O115" s="483">
        <f t="shared" si="81"/>
        <v>0</v>
      </c>
      <c r="P115" s="486" t="str">
        <f t="shared" si="86"/>
        <v>-</v>
      </c>
      <c r="Q115" s="483" t="str">
        <f t="shared" si="82"/>
        <v>-</v>
      </c>
      <c r="R115" s="483">
        <f t="shared" si="83"/>
        <v>0</v>
      </c>
      <c r="S115" s="501" t="str">
        <f t="shared" si="84"/>
        <v>-</v>
      </c>
      <c r="T115" s="502" t="str">
        <f t="shared" si="85"/>
        <v>-</v>
      </c>
    </row>
    <row r="116" spans="1:20" ht="23.4" x14ac:dyDescent="0.3">
      <c r="A116" s="252" t="s">
        <v>110</v>
      </c>
      <c r="B116" s="249" t="s">
        <v>40</v>
      </c>
      <c r="C116" s="481">
        <f t="shared" si="75"/>
        <v>0</v>
      </c>
      <c r="D116" s="250">
        <v>0</v>
      </c>
      <c r="E116" s="251">
        <v>0</v>
      </c>
      <c r="F116" s="482">
        <v>2800</v>
      </c>
      <c r="G116" s="483">
        <f t="shared" si="89"/>
        <v>0</v>
      </c>
      <c r="H116" s="482"/>
      <c r="I116" s="631"/>
      <c r="J116" s="630">
        <v>0</v>
      </c>
      <c r="K116" s="481">
        <f t="shared" si="87"/>
        <v>0</v>
      </c>
      <c r="L116" s="483">
        <f t="shared" si="78"/>
        <v>0</v>
      </c>
      <c r="M116" s="484" t="str">
        <f t="shared" si="88"/>
        <v>-</v>
      </c>
      <c r="N116" s="485">
        <f t="shared" si="80"/>
        <v>0</v>
      </c>
      <c r="O116" s="483">
        <f t="shared" si="81"/>
        <v>0</v>
      </c>
      <c r="P116" s="486" t="str">
        <f t="shared" si="86"/>
        <v>-</v>
      </c>
      <c r="Q116" s="483" t="str">
        <f t="shared" si="82"/>
        <v>-</v>
      </c>
      <c r="R116" s="483">
        <f t="shared" si="83"/>
        <v>0</v>
      </c>
      <c r="S116" s="501" t="str">
        <f t="shared" si="84"/>
        <v>-</v>
      </c>
      <c r="T116" s="502" t="str">
        <f t="shared" si="85"/>
        <v>-</v>
      </c>
    </row>
    <row r="117" spans="1:20" ht="23.4" x14ac:dyDescent="0.3">
      <c r="A117" s="248" t="s">
        <v>110</v>
      </c>
      <c r="B117" s="249" t="s">
        <v>42</v>
      </c>
      <c r="C117" s="481">
        <f t="shared" si="75"/>
        <v>0</v>
      </c>
      <c r="D117" s="250">
        <v>0</v>
      </c>
      <c r="E117" s="251">
        <v>0</v>
      </c>
      <c r="F117" s="482">
        <v>25000</v>
      </c>
      <c r="G117" s="483">
        <f t="shared" si="89"/>
        <v>0</v>
      </c>
      <c r="H117" s="482">
        <v>0</v>
      </c>
      <c r="I117" s="631">
        <v>0</v>
      </c>
      <c r="J117" s="630">
        <v>0</v>
      </c>
      <c r="K117" s="481">
        <f t="shared" si="87"/>
        <v>0</v>
      </c>
      <c r="L117" s="483">
        <f t="shared" si="78"/>
        <v>0</v>
      </c>
      <c r="M117" s="484" t="str">
        <f t="shared" si="88"/>
        <v>-</v>
      </c>
      <c r="N117" s="485">
        <f t="shared" si="80"/>
        <v>0</v>
      </c>
      <c r="O117" s="483">
        <f t="shared" si="81"/>
        <v>0</v>
      </c>
      <c r="P117" s="486" t="str">
        <f t="shared" si="86"/>
        <v>-</v>
      </c>
      <c r="Q117" s="483" t="str">
        <f t="shared" si="82"/>
        <v>-</v>
      </c>
      <c r="R117" s="483">
        <f t="shared" si="83"/>
        <v>0</v>
      </c>
      <c r="S117" s="501" t="str">
        <f t="shared" si="84"/>
        <v>-</v>
      </c>
      <c r="T117" s="502" t="str">
        <f t="shared" si="85"/>
        <v>-</v>
      </c>
    </row>
    <row r="118" spans="1:20" ht="47.4" thickBot="1" x14ac:dyDescent="0.35">
      <c r="A118" s="635" t="s">
        <v>110</v>
      </c>
      <c r="B118" s="261" t="s">
        <v>237</v>
      </c>
      <c r="C118" s="636">
        <f t="shared" si="75"/>
        <v>0</v>
      </c>
      <c r="D118" s="637">
        <v>0</v>
      </c>
      <c r="E118" s="638">
        <v>0</v>
      </c>
      <c r="F118" s="639">
        <v>25000</v>
      </c>
      <c r="G118" s="640">
        <f t="shared" si="89"/>
        <v>0</v>
      </c>
      <c r="H118" s="639">
        <v>0</v>
      </c>
      <c r="I118" s="641">
        <v>0</v>
      </c>
      <c r="J118" s="634">
        <v>0</v>
      </c>
      <c r="K118" s="636">
        <f t="shared" si="87"/>
        <v>0</v>
      </c>
      <c r="L118" s="640">
        <f t="shared" si="78"/>
        <v>0</v>
      </c>
      <c r="M118" s="642" t="str">
        <f t="shared" si="88"/>
        <v>-</v>
      </c>
      <c r="N118" s="643">
        <f t="shared" si="80"/>
        <v>0</v>
      </c>
      <c r="O118" s="640">
        <f t="shared" si="81"/>
        <v>0</v>
      </c>
      <c r="P118" s="644" t="str">
        <f t="shared" si="86"/>
        <v>-</v>
      </c>
      <c r="Q118" s="640" t="str">
        <f t="shared" si="82"/>
        <v>-</v>
      </c>
      <c r="R118" s="640">
        <f t="shared" si="83"/>
        <v>0</v>
      </c>
      <c r="S118" s="645" t="str">
        <f t="shared" si="84"/>
        <v>-</v>
      </c>
      <c r="T118" s="646" t="str">
        <f t="shared" si="85"/>
        <v>-</v>
      </c>
    </row>
    <row r="119" spans="1:20" ht="23.4" x14ac:dyDescent="0.3">
      <c r="A119" s="935" t="s">
        <v>1</v>
      </c>
      <c r="B119" s="944" t="s">
        <v>2</v>
      </c>
      <c r="C119" s="944" t="s">
        <v>226</v>
      </c>
      <c r="D119" s="945"/>
      <c r="E119" s="946"/>
      <c r="F119" s="944" t="s">
        <v>452</v>
      </c>
      <c r="G119" s="945"/>
      <c r="H119" s="945"/>
      <c r="I119" s="946"/>
      <c r="J119" s="1040" t="s">
        <v>223</v>
      </c>
      <c r="K119" s="944" t="s">
        <v>211</v>
      </c>
      <c r="L119" s="945"/>
      <c r="M119" s="946"/>
      <c r="N119" s="945" t="s">
        <v>212</v>
      </c>
      <c r="O119" s="945"/>
      <c r="P119" s="946"/>
      <c r="Q119" s="944" t="s">
        <v>213</v>
      </c>
      <c r="R119" s="945"/>
      <c r="S119" s="945"/>
      <c r="T119" s="1042" t="s">
        <v>210</v>
      </c>
    </row>
    <row r="120" spans="1:20" ht="87.6" thickBot="1" x14ac:dyDescent="0.35">
      <c r="A120" s="1038"/>
      <c r="B120" s="1039"/>
      <c r="C120" s="235" t="s">
        <v>227</v>
      </c>
      <c r="D120" s="236" t="s">
        <v>224</v>
      </c>
      <c r="E120" s="237" t="s">
        <v>225</v>
      </c>
      <c r="F120" s="238" t="s">
        <v>382</v>
      </c>
      <c r="G120" s="236" t="s">
        <v>220</v>
      </c>
      <c r="H120" s="239" t="s">
        <v>221</v>
      </c>
      <c r="I120" s="240" t="s">
        <v>222</v>
      </c>
      <c r="J120" s="1041"/>
      <c r="K120" s="235" t="s">
        <v>214</v>
      </c>
      <c r="L120" s="239" t="s">
        <v>215</v>
      </c>
      <c r="M120" s="241" t="s">
        <v>228</v>
      </c>
      <c r="N120" s="242" t="s">
        <v>216</v>
      </c>
      <c r="O120" s="239" t="s">
        <v>217</v>
      </c>
      <c r="P120" s="241" t="s">
        <v>229</v>
      </c>
      <c r="Q120" s="235" t="s">
        <v>218</v>
      </c>
      <c r="R120" s="239" t="s">
        <v>219</v>
      </c>
      <c r="S120" s="243" t="s">
        <v>230</v>
      </c>
      <c r="T120" s="1043"/>
    </row>
    <row r="121" spans="1:20" ht="23.4" x14ac:dyDescent="0.3">
      <c r="A121" s="244" t="s">
        <v>111</v>
      </c>
      <c r="B121" s="245" t="s">
        <v>16</v>
      </c>
      <c r="C121" s="474">
        <f>+D121+E121</f>
        <v>60</v>
      </c>
      <c r="D121" s="246">
        <v>30</v>
      </c>
      <c r="E121" s="247">
        <v>30</v>
      </c>
      <c r="F121" s="618">
        <v>15000</v>
      </c>
      <c r="G121" s="475">
        <f>+H121+I121</f>
        <v>12484</v>
      </c>
      <c r="H121" s="624">
        <v>12288</v>
      </c>
      <c r="I121" s="626">
        <v>196</v>
      </c>
      <c r="J121" s="629">
        <v>480</v>
      </c>
      <c r="K121" s="474">
        <f>+L121-E121</f>
        <v>420</v>
      </c>
      <c r="L121" s="475">
        <f>+J121-D121</f>
        <v>450</v>
      </c>
      <c r="M121" s="476">
        <f>IFERROR(K121/L121,"-")</f>
        <v>0.93333333333333335</v>
      </c>
      <c r="N121" s="477">
        <f>+O121-C121</f>
        <v>360</v>
      </c>
      <c r="O121" s="475">
        <f>+K121</f>
        <v>420</v>
      </c>
      <c r="P121" s="478">
        <f>IFERROR(N121/O121,"-")</f>
        <v>0.8571428571428571</v>
      </c>
      <c r="Q121" s="475">
        <f>IFERROR(N121-(J121-(J121*H121/G121)),"-")</f>
        <v>352.46395386094201</v>
      </c>
      <c r="R121" s="475">
        <f>+N121</f>
        <v>360</v>
      </c>
      <c r="S121" s="479">
        <f>IFERROR(Q121/R121,"-")</f>
        <v>0.97906653850261671</v>
      </c>
      <c r="T121" s="480">
        <f>IFERROR(M121*P121*S121,"-")</f>
        <v>0.7832532308020933</v>
      </c>
    </row>
    <row r="122" spans="1:20" ht="23.4" x14ac:dyDescent="0.3">
      <c r="A122" s="248" t="s">
        <v>111</v>
      </c>
      <c r="B122" s="249" t="s">
        <v>234</v>
      </c>
      <c r="C122" s="481">
        <f t="shared" ref="C122:C136" si="90">+D122+E122</f>
        <v>360</v>
      </c>
      <c r="D122" s="250">
        <v>30</v>
      </c>
      <c r="E122" s="251">
        <v>330</v>
      </c>
      <c r="F122" s="619">
        <v>100000</v>
      </c>
      <c r="G122" s="483">
        <f t="shared" ref="G122:G127" si="91">+H122+I122</f>
        <v>12520</v>
      </c>
      <c r="H122" s="254">
        <v>12240</v>
      </c>
      <c r="I122" s="627">
        <v>280</v>
      </c>
      <c r="J122" s="630">
        <v>600</v>
      </c>
      <c r="K122" s="481">
        <f t="shared" ref="K122:K125" si="92">+L122-E122</f>
        <v>240</v>
      </c>
      <c r="L122" s="483">
        <f t="shared" ref="L122:L136" si="93">+J122-D122</f>
        <v>570</v>
      </c>
      <c r="M122" s="484">
        <f t="shared" ref="M122:M125" si="94">IFERROR(K122/L122,"-")</f>
        <v>0.42105263157894735</v>
      </c>
      <c r="N122" s="485">
        <f t="shared" ref="N122:N136" si="95">+O122-C122</f>
        <v>-120</v>
      </c>
      <c r="O122" s="483">
        <f t="shared" ref="O122:O136" si="96">+K122</f>
        <v>240</v>
      </c>
      <c r="P122" s="486">
        <f>IFERROR(N122/O122,"-")</f>
        <v>-0.5</v>
      </c>
      <c r="Q122" s="483">
        <f t="shared" ref="Q122:Q136" si="97">IFERROR(N122-(J122-(J122*H122/G122)),"-")</f>
        <v>-133.41853035143765</v>
      </c>
      <c r="R122" s="483">
        <f t="shared" ref="R122:R136" si="98">+N122</f>
        <v>-120</v>
      </c>
      <c r="S122" s="487">
        <f t="shared" ref="S122:S136" si="99">IFERROR(Q122/R122,"-")</f>
        <v>1.1118210862619804</v>
      </c>
      <c r="T122" s="488">
        <f t="shared" ref="T122:T136" si="100">IFERROR(M122*P122*S122,"-")</f>
        <v>-0.23406759710778532</v>
      </c>
    </row>
    <row r="123" spans="1:20" ht="23.4" x14ac:dyDescent="0.3">
      <c r="A123" s="248" t="s">
        <v>111</v>
      </c>
      <c r="B123" s="249" t="s">
        <v>233</v>
      </c>
      <c r="C123" s="481">
        <f t="shared" si="90"/>
        <v>0</v>
      </c>
      <c r="D123" s="250">
        <v>0</v>
      </c>
      <c r="E123" s="251">
        <v>0</v>
      </c>
      <c r="F123" s="619">
        <v>80000</v>
      </c>
      <c r="G123" s="483">
        <f t="shared" si="91"/>
        <v>0</v>
      </c>
      <c r="H123" s="254">
        <v>0</v>
      </c>
      <c r="I123" s="627">
        <v>0</v>
      </c>
      <c r="J123" s="630">
        <v>0</v>
      </c>
      <c r="K123" s="481">
        <f t="shared" si="92"/>
        <v>0</v>
      </c>
      <c r="L123" s="483">
        <f t="shared" si="93"/>
        <v>0</v>
      </c>
      <c r="M123" s="484" t="str">
        <f t="shared" si="94"/>
        <v>-</v>
      </c>
      <c r="N123" s="485">
        <f t="shared" si="95"/>
        <v>0</v>
      </c>
      <c r="O123" s="483">
        <f t="shared" si="96"/>
        <v>0</v>
      </c>
      <c r="P123" s="486" t="str">
        <f t="shared" ref="P123:P136" si="101">IFERROR(N123/O123,"-")</f>
        <v>-</v>
      </c>
      <c r="Q123" s="483" t="str">
        <f t="shared" si="97"/>
        <v>-</v>
      </c>
      <c r="R123" s="483">
        <f t="shared" si="98"/>
        <v>0</v>
      </c>
      <c r="S123" s="487" t="str">
        <f t="shared" si="99"/>
        <v>-</v>
      </c>
      <c r="T123" s="488" t="str">
        <f t="shared" si="100"/>
        <v>-</v>
      </c>
    </row>
    <row r="124" spans="1:20" ht="23.4" x14ac:dyDescent="0.3">
      <c r="A124" s="252" t="s">
        <v>111</v>
      </c>
      <c r="B124" s="249" t="s">
        <v>236</v>
      </c>
      <c r="C124" s="481">
        <f t="shared" si="90"/>
        <v>165</v>
      </c>
      <c r="D124" s="250">
        <v>30</v>
      </c>
      <c r="E124" s="251">
        <v>135</v>
      </c>
      <c r="F124" s="619">
        <v>110000</v>
      </c>
      <c r="G124" s="483">
        <f t="shared" si="91"/>
        <v>76238</v>
      </c>
      <c r="H124" s="254">
        <v>76032</v>
      </c>
      <c r="I124" s="627">
        <v>206</v>
      </c>
      <c r="J124" s="630">
        <v>600</v>
      </c>
      <c r="K124" s="481">
        <f t="shared" si="92"/>
        <v>435</v>
      </c>
      <c r="L124" s="483">
        <f t="shared" si="93"/>
        <v>570</v>
      </c>
      <c r="M124" s="484">
        <f t="shared" si="94"/>
        <v>0.76315789473684215</v>
      </c>
      <c r="N124" s="485">
        <f t="shared" si="95"/>
        <v>270</v>
      </c>
      <c r="O124" s="483">
        <f t="shared" si="96"/>
        <v>435</v>
      </c>
      <c r="P124" s="486">
        <f t="shared" si="101"/>
        <v>0.62068965517241381</v>
      </c>
      <c r="Q124" s="483">
        <f t="shared" si="97"/>
        <v>268.37876124767172</v>
      </c>
      <c r="R124" s="483">
        <f t="shared" si="98"/>
        <v>270</v>
      </c>
      <c r="S124" s="487">
        <f t="shared" si="99"/>
        <v>0.99399541202841379</v>
      </c>
      <c r="T124" s="488">
        <f t="shared" si="100"/>
        <v>0.47083993201345919</v>
      </c>
    </row>
    <row r="125" spans="1:20" ht="23.4" x14ac:dyDescent="0.3">
      <c r="A125" s="248" t="s">
        <v>111</v>
      </c>
      <c r="B125" s="249" t="s">
        <v>235</v>
      </c>
      <c r="C125" s="481">
        <f t="shared" si="90"/>
        <v>0</v>
      </c>
      <c r="D125" s="250">
        <v>0</v>
      </c>
      <c r="E125" s="251">
        <v>0</v>
      </c>
      <c r="F125" s="619">
        <v>50000</v>
      </c>
      <c r="G125" s="483">
        <f t="shared" si="91"/>
        <v>0</v>
      </c>
      <c r="H125" s="254">
        <v>0</v>
      </c>
      <c r="I125" s="627">
        <v>0</v>
      </c>
      <c r="J125" s="630">
        <v>0</v>
      </c>
      <c r="K125" s="481">
        <f t="shared" si="92"/>
        <v>0</v>
      </c>
      <c r="L125" s="483">
        <f t="shared" si="93"/>
        <v>0</v>
      </c>
      <c r="M125" s="484" t="str">
        <f t="shared" si="94"/>
        <v>-</v>
      </c>
      <c r="N125" s="485">
        <f t="shared" si="95"/>
        <v>0</v>
      </c>
      <c r="O125" s="483">
        <f t="shared" si="96"/>
        <v>0</v>
      </c>
      <c r="P125" s="486" t="str">
        <f t="shared" si="101"/>
        <v>-</v>
      </c>
      <c r="Q125" s="483" t="str">
        <f t="shared" si="97"/>
        <v>-</v>
      </c>
      <c r="R125" s="483">
        <f t="shared" si="98"/>
        <v>0</v>
      </c>
      <c r="S125" s="487" t="str">
        <f t="shared" si="99"/>
        <v>-</v>
      </c>
      <c r="T125" s="488" t="str">
        <f t="shared" si="100"/>
        <v>-</v>
      </c>
    </row>
    <row r="126" spans="1:20" ht="23.4" x14ac:dyDescent="0.3">
      <c r="A126" s="248">
        <v>5</v>
      </c>
      <c r="B126" s="249" t="s">
        <v>22</v>
      </c>
      <c r="C126" s="481">
        <f t="shared" si="90"/>
        <v>480</v>
      </c>
      <c r="D126" s="250">
        <v>30</v>
      </c>
      <c r="E126" s="251">
        <v>450</v>
      </c>
      <c r="F126" s="619">
        <v>80000</v>
      </c>
      <c r="G126" s="483">
        <f t="shared" si="91"/>
        <v>0</v>
      </c>
      <c r="H126" s="254">
        <v>0</v>
      </c>
      <c r="I126" s="627">
        <v>0</v>
      </c>
      <c r="J126" s="630">
        <v>0</v>
      </c>
      <c r="K126" s="481">
        <f>+L126-E126</f>
        <v>-480</v>
      </c>
      <c r="L126" s="483">
        <f t="shared" si="93"/>
        <v>-30</v>
      </c>
      <c r="M126" s="484">
        <f>IFERROR(K126/L126,"-")</f>
        <v>16</v>
      </c>
      <c r="N126" s="485">
        <f t="shared" si="95"/>
        <v>-960</v>
      </c>
      <c r="O126" s="483">
        <f t="shared" si="96"/>
        <v>-480</v>
      </c>
      <c r="P126" s="486">
        <f t="shared" si="101"/>
        <v>2</v>
      </c>
      <c r="Q126" s="483" t="str">
        <f t="shared" si="97"/>
        <v>-</v>
      </c>
      <c r="R126" s="483">
        <f t="shared" si="98"/>
        <v>-960</v>
      </c>
      <c r="S126" s="487" t="str">
        <f t="shared" si="99"/>
        <v>-</v>
      </c>
      <c r="T126" s="488" t="str">
        <f t="shared" si="100"/>
        <v>-</v>
      </c>
    </row>
    <row r="127" spans="1:20" ht="23.4" x14ac:dyDescent="0.3">
      <c r="A127" s="248" t="s">
        <v>111</v>
      </c>
      <c r="B127" s="249" t="s">
        <v>23</v>
      </c>
      <c r="C127" s="481">
        <f t="shared" si="90"/>
        <v>240</v>
      </c>
      <c r="D127" s="250">
        <v>30</v>
      </c>
      <c r="E127" s="251">
        <v>210</v>
      </c>
      <c r="F127" s="619">
        <v>14000</v>
      </c>
      <c r="G127" s="483">
        <f t="shared" si="91"/>
        <v>9750</v>
      </c>
      <c r="H127" s="254">
        <v>9625</v>
      </c>
      <c r="I127" s="627">
        <v>125</v>
      </c>
      <c r="J127" s="630">
        <v>600</v>
      </c>
      <c r="K127" s="481">
        <f t="shared" ref="K127:K136" si="102">+L127-E127</f>
        <v>360</v>
      </c>
      <c r="L127" s="483">
        <f t="shared" si="93"/>
        <v>570</v>
      </c>
      <c r="M127" s="484">
        <f t="shared" ref="M127:M136" si="103">IFERROR(K127/L127,"-")</f>
        <v>0.63157894736842102</v>
      </c>
      <c r="N127" s="485">
        <f t="shared" si="95"/>
        <v>120</v>
      </c>
      <c r="O127" s="483">
        <f t="shared" si="96"/>
        <v>360</v>
      </c>
      <c r="P127" s="486">
        <f t="shared" si="101"/>
        <v>0.33333333333333331</v>
      </c>
      <c r="Q127" s="483">
        <f t="shared" si="97"/>
        <v>112.30769230769226</v>
      </c>
      <c r="R127" s="483">
        <f t="shared" si="98"/>
        <v>120</v>
      </c>
      <c r="S127" s="487">
        <f t="shared" si="99"/>
        <v>0.93589743589743557</v>
      </c>
      <c r="T127" s="488">
        <f t="shared" si="100"/>
        <v>0.19703103913630221</v>
      </c>
    </row>
    <row r="128" spans="1:20" ht="23.4" x14ac:dyDescent="0.3">
      <c r="A128" s="248" t="s">
        <v>111</v>
      </c>
      <c r="B128" s="253" t="s">
        <v>231</v>
      </c>
      <c r="C128" s="489">
        <f t="shared" si="90"/>
        <v>275</v>
      </c>
      <c r="D128" s="250">
        <v>140</v>
      </c>
      <c r="E128" s="251">
        <v>135</v>
      </c>
      <c r="F128" s="619">
        <v>4500</v>
      </c>
      <c r="G128" s="483">
        <f>+H128+I128</f>
        <v>15293</v>
      </c>
      <c r="H128" s="254">
        <v>15203</v>
      </c>
      <c r="I128" s="322">
        <v>90</v>
      </c>
      <c r="J128" s="630">
        <v>480</v>
      </c>
      <c r="K128" s="489">
        <f t="shared" si="102"/>
        <v>205</v>
      </c>
      <c r="L128" s="250">
        <f t="shared" si="93"/>
        <v>340</v>
      </c>
      <c r="M128" s="490">
        <f t="shared" si="103"/>
        <v>0.6029411764705882</v>
      </c>
      <c r="N128" s="491">
        <f t="shared" si="95"/>
        <v>-70</v>
      </c>
      <c r="O128" s="250">
        <f t="shared" si="96"/>
        <v>205</v>
      </c>
      <c r="P128" s="492">
        <f t="shared" si="101"/>
        <v>-0.34146341463414637</v>
      </c>
      <c r="Q128" s="250">
        <f t="shared" si="97"/>
        <v>-72.824821813901792</v>
      </c>
      <c r="R128" s="250">
        <f t="shared" si="98"/>
        <v>-70</v>
      </c>
      <c r="S128" s="493">
        <f t="shared" si="99"/>
        <v>1.0403545973414541</v>
      </c>
      <c r="T128" s="494">
        <f t="shared" si="100"/>
        <v>-0.21419065239382881</v>
      </c>
    </row>
    <row r="129" spans="1:20" ht="24" thickBot="1" x14ac:dyDescent="0.35">
      <c r="A129" s="255" t="s">
        <v>111</v>
      </c>
      <c r="B129" s="256" t="s">
        <v>232</v>
      </c>
      <c r="C129" s="495">
        <f t="shared" si="90"/>
        <v>230</v>
      </c>
      <c r="D129" s="257">
        <v>140</v>
      </c>
      <c r="E129" s="258">
        <v>90</v>
      </c>
      <c r="F129" s="625">
        <v>5000</v>
      </c>
      <c r="G129" s="505">
        <f t="shared" ref="G129:G136" si="104">+H129+I129</f>
        <v>32558</v>
      </c>
      <c r="H129" s="259">
        <v>32466</v>
      </c>
      <c r="I129" s="628">
        <v>92</v>
      </c>
      <c r="J129" s="633">
        <v>480</v>
      </c>
      <c r="K129" s="495">
        <f t="shared" si="102"/>
        <v>250</v>
      </c>
      <c r="L129" s="257">
        <f t="shared" si="93"/>
        <v>340</v>
      </c>
      <c r="M129" s="496">
        <f t="shared" si="103"/>
        <v>0.73529411764705888</v>
      </c>
      <c r="N129" s="497">
        <f t="shared" si="95"/>
        <v>20</v>
      </c>
      <c r="O129" s="257">
        <f t="shared" si="96"/>
        <v>250</v>
      </c>
      <c r="P129" s="498">
        <f t="shared" si="101"/>
        <v>0.08</v>
      </c>
      <c r="Q129" s="257">
        <f t="shared" si="97"/>
        <v>18.643651329934244</v>
      </c>
      <c r="R129" s="257">
        <f t="shared" si="98"/>
        <v>20</v>
      </c>
      <c r="S129" s="499">
        <f t="shared" si="99"/>
        <v>0.93218256649671216</v>
      </c>
      <c r="T129" s="500">
        <f t="shared" si="100"/>
        <v>5.4834268617453663E-2</v>
      </c>
    </row>
    <row r="130" spans="1:20" ht="23.4" x14ac:dyDescent="0.3">
      <c r="A130" s="252" t="s">
        <v>109</v>
      </c>
      <c r="B130" s="260" t="s">
        <v>29</v>
      </c>
      <c r="C130" s="481">
        <f t="shared" si="90"/>
        <v>0</v>
      </c>
      <c r="D130" s="250">
        <v>0</v>
      </c>
      <c r="E130" s="251">
        <v>0</v>
      </c>
      <c r="F130" s="482">
        <v>80000</v>
      </c>
      <c r="G130" s="483">
        <f t="shared" si="104"/>
        <v>0</v>
      </c>
      <c r="H130" s="254">
        <v>0</v>
      </c>
      <c r="I130" s="627">
        <v>0</v>
      </c>
      <c r="J130" s="629">
        <v>0</v>
      </c>
      <c r="K130" s="481">
        <f t="shared" si="102"/>
        <v>0</v>
      </c>
      <c r="L130" s="483">
        <f t="shared" si="93"/>
        <v>0</v>
      </c>
      <c r="M130" s="484" t="str">
        <f t="shared" si="103"/>
        <v>-</v>
      </c>
      <c r="N130" s="485">
        <f t="shared" si="95"/>
        <v>0</v>
      </c>
      <c r="O130" s="483">
        <f t="shared" si="96"/>
        <v>0</v>
      </c>
      <c r="P130" s="486" t="str">
        <f t="shared" si="101"/>
        <v>-</v>
      </c>
      <c r="Q130" s="483" t="str">
        <f t="shared" si="97"/>
        <v>-</v>
      </c>
      <c r="R130" s="483">
        <f t="shared" si="98"/>
        <v>0</v>
      </c>
      <c r="S130" s="501" t="str">
        <f t="shared" si="99"/>
        <v>-</v>
      </c>
      <c r="T130" s="502" t="str">
        <f t="shared" si="100"/>
        <v>-</v>
      </c>
    </row>
    <row r="131" spans="1:20" ht="23.4" x14ac:dyDescent="0.3">
      <c r="A131" s="248" t="s">
        <v>109</v>
      </c>
      <c r="B131" s="260" t="s">
        <v>31</v>
      </c>
      <c r="C131" s="481">
        <f t="shared" si="90"/>
        <v>0</v>
      </c>
      <c r="D131" s="250">
        <v>0</v>
      </c>
      <c r="E131" s="251">
        <v>0</v>
      </c>
      <c r="F131" s="482">
        <v>50000</v>
      </c>
      <c r="G131" s="483">
        <f t="shared" si="104"/>
        <v>0</v>
      </c>
      <c r="H131" s="254">
        <v>0</v>
      </c>
      <c r="I131" s="627">
        <v>0</v>
      </c>
      <c r="J131" s="630">
        <v>0</v>
      </c>
      <c r="K131" s="481">
        <f t="shared" si="102"/>
        <v>0</v>
      </c>
      <c r="L131" s="483">
        <f t="shared" si="93"/>
        <v>0</v>
      </c>
      <c r="M131" s="484" t="str">
        <f t="shared" si="103"/>
        <v>-</v>
      </c>
      <c r="N131" s="485">
        <f t="shared" si="95"/>
        <v>0</v>
      </c>
      <c r="O131" s="483">
        <f t="shared" si="96"/>
        <v>0</v>
      </c>
      <c r="P131" s="486" t="str">
        <f t="shared" si="101"/>
        <v>-</v>
      </c>
      <c r="Q131" s="483" t="str">
        <f t="shared" si="97"/>
        <v>-</v>
      </c>
      <c r="R131" s="483">
        <f t="shared" si="98"/>
        <v>0</v>
      </c>
      <c r="S131" s="501" t="str">
        <f t="shared" si="99"/>
        <v>-</v>
      </c>
      <c r="T131" s="502" t="str">
        <f t="shared" si="100"/>
        <v>-</v>
      </c>
    </row>
    <row r="132" spans="1:20" ht="24" thickBot="1" x14ac:dyDescent="0.35">
      <c r="A132" s="255" t="s">
        <v>109</v>
      </c>
      <c r="B132" s="261" t="s">
        <v>32</v>
      </c>
      <c r="C132" s="503">
        <f t="shared" si="90"/>
        <v>0</v>
      </c>
      <c r="D132" s="257">
        <v>0</v>
      </c>
      <c r="E132" s="258">
        <v>0</v>
      </c>
      <c r="F132" s="504">
        <v>110000</v>
      </c>
      <c r="G132" s="505">
        <f t="shared" si="104"/>
        <v>0</v>
      </c>
      <c r="H132" s="259">
        <v>0</v>
      </c>
      <c r="I132" s="705">
        <v>0</v>
      </c>
      <c r="J132" s="633">
        <v>0</v>
      </c>
      <c r="K132" s="503">
        <f t="shared" si="102"/>
        <v>0</v>
      </c>
      <c r="L132" s="505">
        <f t="shared" si="93"/>
        <v>0</v>
      </c>
      <c r="M132" s="506" t="str">
        <f t="shared" si="103"/>
        <v>-</v>
      </c>
      <c r="N132" s="507">
        <f t="shared" si="95"/>
        <v>0</v>
      </c>
      <c r="O132" s="505">
        <f t="shared" si="96"/>
        <v>0</v>
      </c>
      <c r="P132" s="508" t="str">
        <f t="shared" si="101"/>
        <v>-</v>
      </c>
      <c r="Q132" s="505" t="str">
        <f t="shared" si="97"/>
        <v>-</v>
      </c>
      <c r="R132" s="505">
        <f t="shared" si="98"/>
        <v>0</v>
      </c>
      <c r="S132" s="509" t="str">
        <f t="shared" si="99"/>
        <v>-</v>
      </c>
      <c r="T132" s="510" t="str">
        <f t="shared" si="100"/>
        <v>-</v>
      </c>
    </row>
    <row r="133" spans="1:20" ht="23.4" x14ac:dyDescent="0.3">
      <c r="A133" s="248" t="s">
        <v>110</v>
      </c>
      <c r="B133" s="249" t="s">
        <v>238</v>
      </c>
      <c r="C133" s="481">
        <f t="shared" si="90"/>
        <v>0</v>
      </c>
      <c r="D133" s="250">
        <v>0</v>
      </c>
      <c r="E133" s="251">
        <v>0</v>
      </c>
      <c r="F133" s="482">
        <v>6500</v>
      </c>
      <c r="G133" s="483">
        <f t="shared" si="104"/>
        <v>0</v>
      </c>
      <c r="H133" s="482">
        <v>0</v>
      </c>
      <c r="I133" s="631">
        <v>0</v>
      </c>
      <c r="J133" s="630">
        <v>0</v>
      </c>
      <c r="K133" s="481">
        <f t="shared" si="102"/>
        <v>0</v>
      </c>
      <c r="L133" s="483">
        <f t="shared" si="93"/>
        <v>0</v>
      </c>
      <c r="M133" s="484" t="str">
        <f t="shared" si="103"/>
        <v>-</v>
      </c>
      <c r="N133" s="485">
        <f t="shared" si="95"/>
        <v>0</v>
      </c>
      <c r="O133" s="483">
        <f t="shared" si="96"/>
        <v>0</v>
      </c>
      <c r="P133" s="486" t="str">
        <f t="shared" si="101"/>
        <v>-</v>
      </c>
      <c r="Q133" s="483" t="str">
        <f t="shared" si="97"/>
        <v>-</v>
      </c>
      <c r="R133" s="483">
        <f t="shared" si="98"/>
        <v>0</v>
      </c>
      <c r="S133" s="501" t="str">
        <f t="shared" si="99"/>
        <v>-</v>
      </c>
      <c r="T133" s="502" t="str">
        <f t="shared" si="100"/>
        <v>-</v>
      </c>
    </row>
    <row r="134" spans="1:20" ht="23.4" x14ac:dyDescent="0.3">
      <c r="A134" s="252" t="s">
        <v>110</v>
      </c>
      <c r="B134" s="249" t="s">
        <v>40</v>
      </c>
      <c r="C134" s="481">
        <f t="shared" si="90"/>
        <v>0</v>
      </c>
      <c r="D134" s="250">
        <v>0</v>
      </c>
      <c r="E134" s="251">
        <v>0</v>
      </c>
      <c r="F134" s="482">
        <v>2800</v>
      </c>
      <c r="G134" s="483">
        <f t="shared" si="104"/>
        <v>0</v>
      </c>
      <c r="H134" s="482"/>
      <c r="I134" s="631"/>
      <c r="J134" s="630">
        <v>0</v>
      </c>
      <c r="K134" s="481">
        <f t="shared" si="102"/>
        <v>0</v>
      </c>
      <c r="L134" s="483">
        <f t="shared" si="93"/>
        <v>0</v>
      </c>
      <c r="M134" s="484" t="str">
        <f t="shared" si="103"/>
        <v>-</v>
      </c>
      <c r="N134" s="485">
        <f t="shared" si="95"/>
        <v>0</v>
      </c>
      <c r="O134" s="483">
        <f t="shared" si="96"/>
        <v>0</v>
      </c>
      <c r="P134" s="486" t="str">
        <f t="shared" si="101"/>
        <v>-</v>
      </c>
      <c r="Q134" s="483" t="str">
        <f t="shared" si="97"/>
        <v>-</v>
      </c>
      <c r="R134" s="483">
        <f t="shared" si="98"/>
        <v>0</v>
      </c>
      <c r="S134" s="501" t="str">
        <f t="shared" si="99"/>
        <v>-</v>
      </c>
      <c r="T134" s="502" t="str">
        <f t="shared" si="100"/>
        <v>-</v>
      </c>
    </row>
    <row r="135" spans="1:20" ht="23.4" x14ac:dyDescent="0.3">
      <c r="A135" s="248" t="s">
        <v>110</v>
      </c>
      <c r="B135" s="249" t="s">
        <v>42</v>
      </c>
      <c r="C135" s="481">
        <f t="shared" si="90"/>
        <v>0</v>
      </c>
      <c r="D135" s="250">
        <v>0</v>
      </c>
      <c r="E135" s="251">
        <v>0</v>
      </c>
      <c r="F135" s="482">
        <v>25000</v>
      </c>
      <c r="G135" s="483">
        <f t="shared" si="104"/>
        <v>0</v>
      </c>
      <c r="H135" s="482">
        <v>0</v>
      </c>
      <c r="I135" s="631">
        <v>0</v>
      </c>
      <c r="J135" s="630">
        <v>0</v>
      </c>
      <c r="K135" s="481">
        <f t="shared" si="102"/>
        <v>0</v>
      </c>
      <c r="L135" s="483">
        <f t="shared" si="93"/>
        <v>0</v>
      </c>
      <c r="M135" s="484" t="str">
        <f t="shared" si="103"/>
        <v>-</v>
      </c>
      <c r="N135" s="485">
        <f t="shared" si="95"/>
        <v>0</v>
      </c>
      <c r="O135" s="483">
        <f t="shared" si="96"/>
        <v>0</v>
      </c>
      <c r="P135" s="486" t="str">
        <f t="shared" si="101"/>
        <v>-</v>
      </c>
      <c r="Q135" s="483" t="str">
        <f t="shared" si="97"/>
        <v>-</v>
      </c>
      <c r="R135" s="483">
        <f t="shared" si="98"/>
        <v>0</v>
      </c>
      <c r="S135" s="501" t="str">
        <f t="shared" si="99"/>
        <v>-</v>
      </c>
      <c r="T135" s="502" t="str">
        <f t="shared" si="100"/>
        <v>-</v>
      </c>
    </row>
    <row r="136" spans="1:20" ht="47.4" thickBot="1" x14ac:dyDescent="0.35">
      <c r="A136" s="635" t="s">
        <v>110</v>
      </c>
      <c r="B136" s="261" t="s">
        <v>237</v>
      </c>
      <c r="C136" s="636">
        <f t="shared" si="90"/>
        <v>0</v>
      </c>
      <c r="D136" s="637">
        <v>0</v>
      </c>
      <c r="E136" s="638">
        <v>0</v>
      </c>
      <c r="F136" s="639">
        <v>25000</v>
      </c>
      <c r="G136" s="640">
        <f t="shared" si="104"/>
        <v>0</v>
      </c>
      <c r="H136" s="639">
        <v>0</v>
      </c>
      <c r="I136" s="641">
        <v>0</v>
      </c>
      <c r="J136" s="634">
        <v>0</v>
      </c>
      <c r="K136" s="636">
        <f t="shared" si="102"/>
        <v>0</v>
      </c>
      <c r="L136" s="640">
        <f t="shared" si="93"/>
        <v>0</v>
      </c>
      <c r="M136" s="642" t="str">
        <f t="shared" si="103"/>
        <v>-</v>
      </c>
      <c r="N136" s="643">
        <f t="shared" si="95"/>
        <v>0</v>
      </c>
      <c r="O136" s="640">
        <f t="shared" si="96"/>
        <v>0</v>
      </c>
      <c r="P136" s="644" t="str">
        <f t="shared" si="101"/>
        <v>-</v>
      </c>
      <c r="Q136" s="640" t="str">
        <f t="shared" si="97"/>
        <v>-</v>
      </c>
      <c r="R136" s="640">
        <f t="shared" si="98"/>
        <v>0</v>
      </c>
      <c r="S136" s="645" t="str">
        <f t="shared" si="99"/>
        <v>-</v>
      </c>
      <c r="T136" s="646" t="str">
        <f t="shared" si="100"/>
        <v>-</v>
      </c>
    </row>
    <row r="137" spans="1:20" ht="23.4" x14ac:dyDescent="0.3">
      <c r="A137" s="935" t="s">
        <v>1</v>
      </c>
      <c r="B137" s="944" t="s">
        <v>2</v>
      </c>
      <c r="C137" s="944" t="s">
        <v>226</v>
      </c>
      <c r="D137" s="945"/>
      <c r="E137" s="946"/>
      <c r="F137" s="944" t="s">
        <v>453</v>
      </c>
      <c r="G137" s="945"/>
      <c r="H137" s="945"/>
      <c r="I137" s="946"/>
      <c r="J137" s="1040" t="s">
        <v>223</v>
      </c>
      <c r="K137" s="944" t="s">
        <v>211</v>
      </c>
      <c r="L137" s="945"/>
      <c r="M137" s="946"/>
      <c r="N137" s="945" t="s">
        <v>212</v>
      </c>
      <c r="O137" s="945"/>
      <c r="P137" s="946"/>
      <c r="Q137" s="944" t="s">
        <v>213</v>
      </c>
      <c r="R137" s="945"/>
      <c r="S137" s="945"/>
      <c r="T137" s="1042" t="s">
        <v>210</v>
      </c>
    </row>
    <row r="138" spans="1:20" ht="87.6" thickBot="1" x14ac:dyDescent="0.35">
      <c r="A138" s="1038"/>
      <c r="B138" s="1039"/>
      <c r="C138" s="235" t="s">
        <v>227</v>
      </c>
      <c r="D138" s="236" t="s">
        <v>224</v>
      </c>
      <c r="E138" s="237" t="s">
        <v>225</v>
      </c>
      <c r="F138" s="238" t="s">
        <v>382</v>
      </c>
      <c r="G138" s="236" t="s">
        <v>220</v>
      </c>
      <c r="H138" s="239" t="s">
        <v>221</v>
      </c>
      <c r="I138" s="240" t="s">
        <v>222</v>
      </c>
      <c r="J138" s="1041"/>
      <c r="K138" s="235" t="s">
        <v>214</v>
      </c>
      <c r="L138" s="239" t="s">
        <v>215</v>
      </c>
      <c r="M138" s="241" t="s">
        <v>228</v>
      </c>
      <c r="N138" s="242" t="s">
        <v>216</v>
      </c>
      <c r="O138" s="239" t="s">
        <v>217</v>
      </c>
      <c r="P138" s="241" t="s">
        <v>229</v>
      </c>
      <c r="Q138" s="235" t="s">
        <v>218</v>
      </c>
      <c r="R138" s="239" t="s">
        <v>219</v>
      </c>
      <c r="S138" s="243" t="s">
        <v>230</v>
      </c>
      <c r="T138" s="1043"/>
    </row>
    <row r="139" spans="1:20" ht="23.4" x14ac:dyDescent="0.3">
      <c r="A139" s="244" t="s">
        <v>111</v>
      </c>
      <c r="B139" s="245" t="s">
        <v>16</v>
      </c>
      <c r="C139" s="474">
        <f>+D139+E139</f>
        <v>30</v>
      </c>
      <c r="D139" s="246">
        <v>30</v>
      </c>
      <c r="E139" s="247">
        <v>0</v>
      </c>
      <c r="F139" s="618">
        <v>15000</v>
      </c>
      <c r="G139" s="475">
        <f>+H139+I139</f>
        <v>10456</v>
      </c>
      <c r="H139" s="624">
        <v>10240</v>
      </c>
      <c r="I139" s="626">
        <v>216</v>
      </c>
      <c r="J139" s="629">
        <v>480</v>
      </c>
      <c r="K139" s="474">
        <f>+L139-E139</f>
        <v>450</v>
      </c>
      <c r="L139" s="475">
        <f>+J139-D139</f>
        <v>450</v>
      </c>
      <c r="M139" s="476">
        <f>IFERROR(K139/L139,"-")</f>
        <v>1</v>
      </c>
      <c r="N139" s="477">
        <f>+O139-C139</f>
        <v>420</v>
      </c>
      <c r="O139" s="475">
        <f>+K139</f>
        <v>450</v>
      </c>
      <c r="P139" s="478">
        <f>IFERROR(N139/O139,"-")</f>
        <v>0.93333333333333335</v>
      </c>
      <c r="Q139" s="475">
        <f>IFERROR(N139-(J139-(J139*H139/G139)),"-")</f>
        <v>410.0841622035195</v>
      </c>
      <c r="R139" s="475">
        <f>+N139</f>
        <v>420</v>
      </c>
      <c r="S139" s="479">
        <f>IFERROR(Q139/R139,"-")</f>
        <v>0.97639086238933215</v>
      </c>
      <c r="T139" s="480">
        <f>IFERROR(M139*P139*S139,"-")</f>
        <v>0.91129813823004335</v>
      </c>
    </row>
    <row r="140" spans="1:20" ht="23.4" x14ac:dyDescent="0.3">
      <c r="A140" s="248" t="s">
        <v>111</v>
      </c>
      <c r="B140" s="249" t="s">
        <v>234</v>
      </c>
      <c r="C140" s="481">
        <f t="shared" ref="C140:C154" si="105">+D140+E140</f>
        <v>30</v>
      </c>
      <c r="D140" s="250">
        <v>30</v>
      </c>
      <c r="E140" s="251">
        <v>0</v>
      </c>
      <c r="F140" s="619">
        <v>100000</v>
      </c>
      <c r="G140" s="483">
        <f t="shared" ref="G140:G145" si="106">+H140+I140</f>
        <v>91940</v>
      </c>
      <c r="H140" s="254">
        <v>91800</v>
      </c>
      <c r="I140" s="627">
        <v>140</v>
      </c>
      <c r="J140" s="630">
        <v>600</v>
      </c>
      <c r="K140" s="481">
        <f t="shared" ref="K140:K143" si="107">+L140-E140</f>
        <v>570</v>
      </c>
      <c r="L140" s="483">
        <f t="shared" ref="L140:L154" si="108">+J140-D140</f>
        <v>570</v>
      </c>
      <c r="M140" s="484">
        <f t="shared" ref="M140:M143" si="109">IFERROR(K140/L140,"-")</f>
        <v>1</v>
      </c>
      <c r="N140" s="485">
        <f t="shared" ref="N140:N154" si="110">+O140-C140</f>
        <v>540</v>
      </c>
      <c r="O140" s="483">
        <f t="shared" ref="O140:O154" si="111">+K140</f>
        <v>570</v>
      </c>
      <c r="P140" s="486">
        <f>IFERROR(N140/O140,"-")</f>
        <v>0.94736842105263153</v>
      </c>
      <c r="Q140" s="483">
        <f t="shared" ref="Q140:Q154" si="112">IFERROR(N140-(J140-(J140*H140/G140)),"-")</f>
        <v>539.08636067000214</v>
      </c>
      <c r="R140" s="483">
        <f t="shared" ref="R140:R154" si="113">+N140</f>
        <v>540</v>
      </c>
      <c r="S140" s="487">
        <f t="shared" ref="S140:S154" si="114">IFERROR(Q140/R140,"-")</f>
        <v>0.9983080753148188</v>
      </c>
      <c r="T140" s="488">
        <f t="shared" ref="T140:T154" si="115">IFERROR(M140*P140*S140,"-")</f>
        <v>0.94576554503509147</v>
      </c>
    </row>
    <row r="141" spans="1:20" ht="23.4" x14ac:dyDescent="0.3">
      <c r="A141" s="248" t="s">
        <v>111</v>
      </c>
      <c r="B141" s="249" t="s">
        <v>233</v>
      </c>
      <c r="C141" s="481">
        <f t="shared" si="105"/>
        <v>0</v>
      </c>
      <c r="D141" s="250">
        <v>0</v>
      </c>
      <c r="E141" s="251">
        <v>0</v>
      </c>
      <c r="F141" s="619">
        <v>80000</v>
      </c>
      <c r="G141" s="483">
        <f t="shared" si="106"/>
        <v>0</v>
      </c>
      <c r="H141" s="254">
        <v>0</v>
      </c>
      <c r="I141" s="627">
        <v>0</v>
      </c>
      <c r="J141" s="630">
        <v>0</v>
      </c>
      <c r="K141" s="481">
        <f t="shared" si="107"/>
        <v>0</v>
      </c>
      <c r="L141" s="483">
        <f t="shared" si="108"/>
        <v>0</v>
      </c>
      <c r="M141" s="484" t="str">
        <f t="shared" si="109"/>
        <v>-</v>
      </c>
      <c r="N141" s="485">
        <f t="shared" si="110"/>
        <v>0</v>
      </c>
      <c r="O141" s="483">
        <f t="shared" si="111"/>
        <v>0</v>
      </c>
      <c r="P141" s="486" t="str">
        <f t="shared" ref="P141:P154" si="116">IFERROR(N141/O141,"-")</f>
        <v>-</v>
      </c>
      <c r="Q141" s="483" t="str">
        <f t="shared" si="112"/>
        <v>-</v>
      </c>
      <c r="R141" s="483">
        <f t="shared" si="113"/>
        <v>0</v>
      </c>
      <c r="S141" s="487" t="str">
        <f t="shared" si="114"/>
        <v>-</v>
      </c>
      <c r="T141" s="488" t="str">
        <f t="shared" si="115"/>
        <v>-</v>
      </c>
    </row>
    <row r="142" spans="1:20" ht="23.4" x14ac:dyDescent="0.3">
      <c r="A142" s="252" t="s">
        <v>111</v>
      </c>
      <c r="B142" s="249" t="s">
        <v>236</v>
      </c>
      <c r="C142" s="481">
        <f t="shared" si="105"/>
        <v>80</v>
      </c>
      <c r="D142" s="250">
        <v>30</v>
      </c>
      <c r="E142" s="251">
        <v>50</v>
      </c>
      <c r="F142" s="619">
        <v>110000</v>
      </c>
      <c r="G142" s="483">
        <f t="shared" si="106"/>
        <v>42456</v>
      </c>
      <c r="H142" s="254">
        <v>42240</v>
      </c>
      <c r="I142" s="627">
        <v>216</v>
      </c>
      <c r="J142" s="630">
        <v>480</v>
      </c>
      <c r="K142" s="481">
        <f t="shared" si="107"/>
        <v>400</v>
      </c>
      <c r="L142" s="483">
        <f t="shared" si="108"/>
        <v>450</v>
      </c>
      <c r="M142" s="484">
        <f t="shared" si="109"/>
        <v>0.88888888888888884</v>
      </c>
      <c r="N142" s="485">
        <f t="shared" si="110"/>
        <v>320</v>
      </c>
      <c r="O142" s="483">
        <f t="shared" si="111"/>
        <v>400</v>
      </c>
      <c r="P142" s="486">
        <f t="shared" si="116"/>
        <v>0.8</v>
      </c>
      <c r="Q142" s="483">
        <f t="shared" si="112"/>
        <v>317.55794234030526</v>
      </c>
      <c r="R142" s="483">
        <f t="shared" si="113"/>
        <v>320</v>
      </c>
      <c r="S142" s="487">
        <f t="shared" si="114"/>
        <v>0.99236856981345389</v>
      </c>
      <c r="T142" s="488">
        <f t="shared" si="115"/>
        <v>0.70568431631178952</v>
      </c>
    </row>
    <row r="143" spans="1:20" ht="23.4" x14ac:dyDescent="0.3">
      <c r="A143" s="248" t="s">
        <v>111</v>
      </c>
      <c r="B143" s="249" t="s">
        <v>235</v>
      </c>
      <c r="C143" s="481">
        <f t="shared" si="105"/>
        <v>0</v>
      </c>
      <c r="D143" s="250">
        <v>0</v>
      </c>
      <c r="E143" s="251">
        <v>0</v>
      </c>
      <c r="F143" s="619">
        <v>50000</v>
      </c>
      <c r="G143" s="483">
        <f t="shared" si="106"/>
        <v>0</v>
      </c>
      <c r="H143" s="254">
        <v>0</v>
      </c>
      <c r="I143" s="627">
        <v>0</v>
      </c>
      <c r="J143" s="630">
        <v>0</v>
      </c>
      <c r="K143" s="481">
        <f t="shared" si="107"/>
        <v>0</v>
      </c>
      <c r="L143" s="483">
        <f t="shared" si="108"/>
        <v>0</v>
      </c>
      <c r="M143" s="484" t="str">
        <f t="shared" si="109"/>
        <v>-</v>
      </c>
      <c r="N143" s="485">
        <f t="shared" si="110"/>
        <v>0</v>
      </c>
      <c r="O143" s="483">
        <f t="shared" si="111"/>
        <v>0</v>
      </c>
      <c r="P143" s="486" t="str">
        <f t="shared" si="116"/>
        <v>-</v>
      </c>
      <c r="Q143" s="483" t="str">
        <f t="shared" si="112"/>
        <v>-</v>
      </c>
      <c r="R143" s="483">
        <f t="shared" si="113"/>
        <v>0</v>
      </c>
      <c r="S143" s="487" t="str">
        <f t="shared" si="114"/>
        <v>-</v>
      </c>
      <c r="T143" s="488" t="str">
        <f t="shared" si="115"/>
        <v>-</v>
      </c>
    </row>
    <row r="144" spans="1:20" ht="23.4" x14ac:dyDescent="0.3">
      <c r="A144" s="248">
        <v>5</v>
      </c>
      <c r="B144" s="249" t="s">
        <v>22</v>
      </c>
      <c r="C144" s="481">
        <f t="shared" si="105"/>
        <v>480</v>
      </c>
      <c r="D144" s="250">
        <v>30</v>
      </c>
      <c r="E144" s="251">
        <v>450</v>
      </c>
      <c r="F144" s="619">
        <v>80000</v>
      </c>
      <c r="G144" s="483">
        <f t="shared" si="106"/>
        <v>0</v>
      </c>
      <c r="H144" s="254">
        <v>0</v>
      </c>
      <c r="I144" s="627">
        <v>0</v>
      </c>
      <c r="J144" s="630">
        <v>0</v>
      </c>
      <c r="K144" s="481">
        <f>+L144-E144</f>
        <v>-480</v>
      </c>
      <c r="L144" s="483">
        <f t="shared" si="108"/>
        <v>-30</v>
      </c>
      <c r="M144" s="484">
        <f>IFERROR(K144/L144,"-")</f>
        <v>16</v>
      </c>
      <c r="N144" s="485">
        <f t="shared" si="110"/>
        <v>-960</v>
      </c>
      <c r="O144" s="483">
        <f t="shared" si="111"/>
        <v>-480</v>
      </c>
      <c r="P144" s="486">
        <f t="shared" si="116"/>
        <v>2</v>
      </c>
      <c r="Q144" s="483" t="str">
        <f t="shared" si="112"/>
        <v>-</v>
      </c>
      <c r="R144" s="483">
        <f t="shared" si="113"/>
        <v>-960</v>
      </c>
      <c r="S144" s="487" t="str">
        <f t="shared" si="114"/>
        <v>-</v>
      </c>
      <c r="T144" s="488" t="str">
        <f t="shared" si="115"/>
        <v>-</v>
      </c>
    </row>
    <row r="145" spans="1:20" ht="23.4" x14ac:dyDescent="0.3">
      <c r="A145" s="248" t="s">
        <v>111</v>
      </c>
      <c r="B145" s="249" t="s">
        <v>23</v>
      </c>
      <c r="C145" s="481">
        <f t="shared" si="105"/>
        <v>105</v>
      </c>
      <c r="D145" s="250">
        <v>30</v>
      </c>
      <c r="E145" s="251">
        <v>75</v>
      </c>
      <c r="F145" s="619">
        <v>14000</v>
      </c>
      <c r="G145" s="483">
        <f t="shared" si="106"/>
        <v>15823</v>
      </c>
      <c r="H145" s="254">
        <v>15750</v>
      </c>
      <c r="I145" s="627">
        <v>73</v>
      </c>
      <c r="J145" s="630">
        <v>600</v>
      </c>
      <c r="K145" s="481">
        <f t="shared" ref="K145:K154" si="117">+L145-E145</f>
        <v>495</v>
      </c>
      <c r="L145" s="483">
        <f t="shared" si="108"/>
        <v>570</v>
      </c>
      <c r="M145" s="484">
        <f t="shared" ref="M145:M154" si="118">IFERROR(K145/L145,"-")</f>
        <v>0.86842105263157898</v>
      </c>
      <c r="N145" s="485">
        <f t="shared" si="110"/>
        <v>390</v>
      </c>
      <c r="O145" s="483">
        <f t="shared" si="111"/>
        <v>495</v>
      </c>
      <c r="P145" s="486">
        <f t="shared" si="116"/>
        <v>0.78787878787878785</v>
      </c>
      <c r="Q145" s="483">
        <f t="shared" si="112"/>
        <v>387.231877646464</v>
      </c>
      <c r="R145" s="483">
        <f t="shared" si="113"/>
        <v>390</v>
      </c>
      <c r="S145" s="487">
        <f t="shared" si="114"/>
        <v>0.99290225037554869</v>
      </c>
      <c r="T145" s="488">
        <f t="shared" si="115"/>
        <v>0.67935417130958597</v>
      </c>
    </row>
    <row r="146" spans="1:20" ht="23.4" x14ac:dyDescent="0.3">
      <c r="A146" s="248" t="s">
        <v>111</v>
      </c>
      <c r="B146" s="253" t="s">
        <v>231</v>
      </c>
      <c r="C146" s="489">
        <f t="shared" si="105"/>
        <v>500</v>
      </c>
      <c r="D146" s="250">
        <v>260</v>
      </c>
      <c r="E146" s="251">
        <v>240</v>
      </c>
      <c r="F146" s="619">
        <v>4500</v>
      </c>
      <c r="G146" s="483">
        <f>+H146+I146</f>
        <v>11363</v>
      </c>
      <c r="H146" s="254">
        <v>10813</v>
      </c>
      <c r="I146" s="322">
        <v>550</v>
      </c>
      <c r="J146" s="630">
        <v>960</v>
      </c>
      <c r="K146" s="489">
        <f t="shared" si="117"/>
        <v>460</v>
      </c>
      <c r="L146" s="250">
        <f t="shared" si="108"/>
        <v>700</v>
      </c>
      <c r="M146" s="490">
        <f t="shared" si="118"/>
        <v>0.65714285714285714</v>
      </c>
      <c r="N146" s="491">
        <f t="shared" si="110"/>
        <v>-40</v>
      </c>
      <c r="O146" s="250">
        <f t="shared" si="111"/>
        <v>460</v>
      </c>
      <c r="P146" s="492">
        <f t="shared" si="116"/>
        <v>-8.6956521739130432E-2</v>
      </c>
      <c r="Q146" s="250">
        <f t="shared" si="112"/>
        <v>-86.466602129719263</v>
      </c>
      <c r="R146" s="250">
        <f t="shared" si="113"/>
        <v>-40</v>
      </c>
      <c r="S146" s="493">
        <f t="shared" si="114"/>
        <v>2.1616650532429817</v>
      </c>
      <c r="T146" s="494">
        <f t="shared" si="115"/>
        <v>-0.12352371732817038</v>
      </c>
    </row>
    <row r="147" spans="1:20" ht="24" thickBot="1" x14ac:dyDescent="0.35">
      <c r="A147" s="255" t="s">
        <v>111</v>
      </c>
      <c r="B147" s="256" t="s">
        <v>232</v>
      </c>
      <c r="C147" s="495">
        <f t="shared" si="105"/>
        <v>260</v>
      </c>
      <c r="D147" s="257">
        <v>140</v>
      </c>
      <c r="E147" s="258">
        <v>120</v>
      </c>
      <c r="F147" s="625">
        <v>5000</v>
      </c>
      <c r="G147" s="505">
        <f t="shared" ref="G147:G154" si="119">+H147+I147</f>
        <v>32281</v>
      </c>
      <c r="H147" s="259">
        <v>32173</v>
      </c>
      <c r="I147" s="628">
        <v>108</v>
      </c>
      <c r="J147" s="633">
        <v>960</v>
      </c>
      <c r="K147" s="495">
        <f t="shared" si="117"/>
        <v>700</v>
      </c>
      <c r="L147" s="257">
        <f t="shared" si="108"/>
        <v>820</v>
      </c>
      <c r="M147" s="496">
        <f t="shared" si="118"/>
        <v>0.85365853658536583</v>
      </c>
      <c r="N147" s="497">
        <f t="shared" si="110"/>
        <v>440</v>
      </c>
      <c r="O147" s="257">
        <f t="shared" si="111"/>
        <v>700</v>
      </c>
      <c r="P147" s="498">
        <f t="shared" si="116"/>
        <v>0.62857142857142856</v>
      </c>
      <c r="Q147" s="257">
        <f t="shared" si="112"/>
        <v>436.78820358724943</v>
      </c>
      <c r="R147" s="257">
        <f t="shared" si="113"/>
        <v>440</v>
      </c>
      <c r="S147" s="499">
        <f t="shared" si="114"/>
        <v>0.99270046269829415</v>
      </c>
      <c r="T147" s="500">
        <f t="shared" si="115"/>
        <v>0.53266854096006033</v>
      </c>
    </row>
    <row r="148" spans="1:20" ht="23.4" x14ac:dyDescent="0.3">
      <c r="A148" s="252" t="s">
        <v>109</v>
      </c>
      <c r="B148" s="260" t="s">
        <v>29</v>
      </c>
      <c r="C148" s="481">
        <f t="shared" si="105"/>
        <v>0</v>
      </c>
      <c r="D148" s="250">
        <v>0</v>
      </c>
      <c r="E148" s="251">
        <v>0</v>
      </c>
      <c r="F148" s="482">
        <v>80000</v>
      </c>
      <c r="G148" s="483">
        <f t="shared" si="119"/>
        <v>0</v>
      </c>
      <c r="H148" s="254">
        <v>0</v>
      </c>
      <c r="I148" s="627">
        <v>0</v>
      </c>
      <c r="J148" s="629">
        <v>0</v>
      </c>
      <c r="K148" s="481">
        <f t="shared" si="117"/>
        <v>0</v>
      </c>
      <c r="L148" s="483">
        <f t="shared" si="108"/>
        <v>0</v>
      </c>
      <c r="M148" s="484" t="str">
        <f t="shared" si="118"/>
        <v>-</v>
      </c>
      <c r="N148" s="485">
        <f t="shared" si="110"/>
        <v>0</v>
      </c>
      <c r="O148" s="483">
        <f t="shared" si="111"/>
        <v>0</v>
      </c>
      <c r="P148" s="486" t="str">
        <f t="shared" si="116"/>
        <v>-</v>
      </c>
      <c r="Q148" s="483" t="str">
        <f t="shared" si="112"/>
        <v>-</v>
      </c>
      <c r="R148" s="483">
        <f t="shared" si="113"/>
        <v>0</v>
      </c>
      <c r="S148" s="501" t="str">
        <f t="shared" si="114"/>
        <v>-</v>
      </c>
      <c r="T148" s="502" t="str">
        <f t="shared" si="115"/>
        <v>-</v>
      </c>
    </row>
    <row r="149" spans="1:20" ht="23.4" x14ac:dyDescent="0.3">
      <c r="A149" s="248" t="s">
        <v>109</v>
      </c>
      <c r="B149" s="260" t="s">
        <v>31</v>
      </c>
      <c r="C149" s="481">
        <f t="shared" si="105"/>
        <v>0</v>
      </c>
      <c r="D149" s="250">
        <v>0</v>
      </c>
      <c r="E149" s="251">
        <v>0</v>
      </c>
      <c r="F149" s="482">
        <v>50000</v>
      </c>
      <c r="G149" s="483">
        <f t="shared" si="119"/>
        <v>0</v>
      </c>
      <c r="H149" s="254">
        <v>0</v>
      </c>
      <c r="I149" s="627">
        <v>0</v>
      </c>
      <c r="J149" s="630">
        <v>0</v>
      </c>
      <c r="K149" s="481">
        <f t="shared" si="117"/>
        <v>0</v>
      </c>
      <c r="L149" s="483">
        <f t="shared" si="108"/>
        <v>0</v>
      </c>
      <c r="M149" s="484" t="str">
        <f t="shared" si="118"/>
        <v>-</v>
      </c>
      <c r="N149" s="485">
        <f t="shared" si="110"/>
        <v>0</v>
      </c>
      <c r="O149" s="483">
        <f t="shared" si="111"/>
        <v>0</v>
      </c>
      <c r="P149" s="486" t="str">
        <f t="shared" si="116"/>
        <v>-</v>
      </c>
      <c r="Q149" s="483" t="str">
        <f t="shared" si="112"/>
        <v>-</v>
      </c>
      <c r="R149" s="483">
        <f t="shared" si="113"/>
        <v>0</v>
      </c>
      <c r="S149" s="501" t="str">
        <f t="shared" si="114"/>
        <v>-</v>
      </c>
      <c r="T149" s="502" t="str">
        <f t="shared" si="115"/>
        <v>-</v>
      </c>
    </row>
    <row r="150" spans="1:20" ht="24" thickBot="1" x14ac:dyDescent="0.35">
      <c r="A150" s="255" t="s">
        <v>109</v>
      </c>
      <c r="B150" s="261" t="s">
        <v>32</v>
      </c>
      <c r="C150" s="503">
        <f t="shared" si="105"/>
        <v>0</v>
      </c>
      <c r="D150" s="257">
        <v>0</v>
      </c>
      <c r="E150" s="258">
        <v>0</v>
      </c>
      <c r="F150" s="504">
        <v>110000</v>
      </c>
      <c r="G150" s="505">
        <f t="shared" si="119"/>
        <v>0</v>
      </c>
      <c r="H150" s="259">
        <v>0</v>
      </c>
      <c r="I150" s="705">
        <v>0</v>
      </c>
      <c r="J150" s="633">
        <v>0</v>
      </c>
      <c r="K150" s="503">
        <f t="shared" si="117"/>
        <v>0</v>
      </c>
      <c r="L150" s="505">
        <f t="shared" si="108"/>
        <v>0</v>
      </c>
      <c r="M150" s="506" t="str">
        <f t="shared" si="118"/>
        <v>-</v>
      </c>
      <c r="N150" s="507">
        <f t="shared" si="110"/>
        <v>0</v>
      </c>
      <c r="O150" s="505">
        <f t="shared" si="111"/>
        <v>0</v>
      </c>
      <c r="P150" s="508" t="str">
        <f t="shared" si="116"/>
        <v>-</v>
      </c>
      <c r="Q150" s="505" t="str">
        <f t="shared" si="112"/>
        <v>-</v>
      </c>
      <c r="R150" s="505">
        <f t="shared" si="113"/>
        <v>0</v>
      </c>
      <c r="S150" s="509" t="str">
        <f t="shared" si="114"/>
        <v>-</v>
      </c>
      <c r="T150" s="510" t="str">
        <f t="shared" si="115"/>
        <v>-</v>
      </c>
    </row>
    <row r="151" spans="1:20" ht="23.4" x14ac:dyDescent="0.3">
      <c r="A151" s="248" t="s">
        <v>110</v>
      </c>
      <c r="B151" s="249" t="s">
        <v>238</v>
      </c>
      <c r="C151" s="481">
        <f t="shared" si="105"/>
        <v>0</v>
      </c>
      <c r="D151" s="250">
        <v>0</v>
      </c>
      <c r="E151" s="251">
        <v>0</v>
      </c>
      <c r="F151" s="482">
        <v>6500</v>
      </c>
      <c r="G151" s="483">
        <f t="shared" si="119"/>
        <v>0</v>
      </c>
      <c r="H151" s="482">
        <v>0</v>
      </c>
      <c r="I151" s="631">
        <v>0</v>
      </c>
      <c r="J151" s="630">
        <v>0</v>
      </c>
      <c r="K151" s="481">
        <f t="shared" si="117"/>
        <v>0</v>
      </c>
      <c r="L151" s="483">
        <f t="shared" si="108"/>
        <v>0</v>
      </c>
      <c r="M151" s="484" t="str">
        <f t="shared" si="118"/>
        <v>-</v>
      </c>
      <c r="N151" s="485">
        <f t="shared" si="110"/>
        <v>0</v>
      </c>
      <c r="O151" s="483">
        <f t="shared" si="111"/>
        <v>0</v>
      </c>
      <c r="P151" s="486" t="str">
        <f t="shared" si="116"/>
        <v>-</v>
      </c>
      <c r="Q151" s="483" t="str">
        <f t="shared" si="112"/>
        <v>-</v>
      </c>
      <c r="R151" s="483">
        <f t="shared" si="113"/>
        <v>0</v>
      </c>
      <c r="S151" s="501" t="str">
        <f t="shared" si="114"/>
        <v>-</v>
      </c>
      <c r="T151" s="502" t="str">
        <f t="shared" si="115"/>
        <v>-</v>
      </c>
    </row>
    <row r="152" spans="1:20" ht="23.4" x14ac:dyDescent="0.3">
      <c r="A152" s="252" t="s">
        <v>110</v>
      </c>
      <c r="B152" s="249" t="s">
        <v>40</v>
      </c>
      <c r="C152" s="481">
        <f t="shared" si="105"/>
        <v>0</v>
      </c>
      <c r="D152" s="250">
        <v>0</v>
      </c>
      <c r="E152" s="251">
        <v>0</v>
      </c>
      <c r="F152" s="482">
        <v>2800</v>
      </c>
      <c r="G152" s="483">
        <f t="shared" si="119"/>
        <v>0</v>
      </c>
      <c r="H152" s="482"/>
      <c r="I152" s="631"/>
      <c r="J152" s="630">
        <v>0</v>
      </c>
      <c r="K152" s="481">
        <f t="shared" si="117"/>
        <v>0</v>
      </c>
      <c r="L152" s="483">
        <f t="shared" si="108"/>
        <v>0</v>
      </c>
      <c r="M152" s="484" t="str">
        <f t="shared" si="118"/>
        <v>-</v>
      </c>
      <c r="N152" s="485">
        <f t="shared" si="110"/>
        <v>0</v>
      </c>
      <c r="O152" s="483">
        <f t="shared" si="111"/>
        <v>0</v>
      </c>
      <c r="P152" s="486" t="str">
        <f t="shared" si="116"/>
        <v>-</v>
      </c>
      <c r="Q152" s="483" t="str">
        <f t="shared" si="112"/>
        <v>-</v>
      </c>
      <c r="R152" s="483">
        <f t="shared" si="113"/>
        <v>0</v>
      </c>
      <c r="S152" s="501" t="str">
        <f t="shared" si="114"/>
        <v>-</v>
      </c>
      <c r="T152" s="502" t="str">
        <f t="shared" si="115"/>
        <v>-</v>
      </c>
    </row>
    <row r="153" spans="1:20" ht="23.4" x14ac:dyDescent="0.3">
      <c r="A153" s="248" t="s">
        <v>110</v>
      </c>
      <c r="B153" s="249" t="s">
        <v>42</v>
      </c>
      <c r="C153" s="481">
        <f t="shared" si="105"/>
        <v>0</v>
      </c>
      <c r="D153" s="250">
        <v>0</v>
      </c>
      <c r="E153" s="251">
        <v>0</v>
      </c>
      <c r="F153" s="482">
        <v>25000</v>
      </c>
      <c r="G153" s="483">
        <f t="shared" si="119"/>
        <v>0</v>
      </c>
      <c r="H153" s="482">
        <v>0</v>
      </c>
      <c r="I153" s="631">
        <v>0</v>
      </c>
      <c r="J153" s="630">
        <v>0</v>
      </c>
      <c r="K153" s="481">
        <f t="shared" si="117"/>
        <v>0</v>
      </c>
      <c r="L153" s="483">
        <f t="shared" si="108"/>
        <v>0</v>
      </c>
      <c r="M153" s="484" t="str">
        <f t="shared" si="118"/>
        <v>-</v>
      </c>
      <c r="N153" s="485">
        <f t="shared" si="110"/>
        <v>0</v>
      </c>
      <c r="O153" s="483">
        <f t="shared" si="111"/>
        <v>0</v>
      </c>
      <c r="P153" s="486" t="str">
        <f t="shared" si="116"/>
        <v>-</v>
      </c>
      <c r="Q153" s="483" t="str">
        <f t="shared" si="112"/>
        <v>-</v>
      </c>
      <c r="R153" s="483">
        <f t="shared" si="113"/>
        <v>0</v>
      </c>
      <c r="S153" s="501" t="str">
        <f t="shared" si="114"/>
        <v>-</v>
      </c>
      <c r="T153" s="502" t="str">
        <f t="shared" si="115"/>
        <v>-</v>
      </c>
    </row>
    <row r="154" spans="1:20" ht="47.4" thickBot="1" x14ac:dyDescent="0.35">
      <c r="A154" s="635" t="s">
        <v>110</v>
      </c>
      <c r="B154" s="261" t="s">
        <v>237</v>
      </c>
      <c r="C154" s="636">
        <f t="shared" si="105"/>
        <v>0</v>
      </c>
      <c r="D154" s="637">
        <v>0</v>
      </c>
      <c r="E154" s="638">
        <v>0</v>
      </c>
      <c r="F154" s="639">
        <v>25000</v>
      </c>
      <c r="G154" s="640">
        <f t="shared" si="119"/>
        <v>0</v>
      </c>
      <c r="H154" s="639">
        <v>0</v>
      </c>
      <c r="I154" s="641">
        <v>0</v>
      </c>
      <c r="J154" s="634">
        <v>0</v>
      </c>
      <c r="K154" s="636">
        <f t="shared" si="117"/>
        <v>0</v>
      </c>
      <c r="L154" s="640">
        <f t="shared" si="108"/>
        <v>0</v>
      </c>
      <c r="M154" s="642" t="str">
        <f t="shared" si="118"/>
        <v>-</v>
      </c>
      <c r="N154" s="643">
        <f t="shared" si="110"/>
        <v>0</v>
      </c>
      <c r="O154" s="640">
        <f t="shared" si="111"/>
        <v>0</v>
      </c>
      <c r="P154" s="644" t="str">
        <f t="shared" si="116"/>
        <v>-</v>
      </c>
      <c r="Q154" s="640" t="str">
        <f t="shared" si="112"/>
        <v>-</v>
      </c>
      <c r="R154" s="640">
        <f t="shared" si="113"/>
        <v>0</v>
      </c>
      <c r="S154" s="645" t="str">
        <f t="shared" si="114"/>
        <v>-</v>
      </c>
      <c r="T154" s="646" t="str">
        <f t="shared" si="115"/>
        <v>-</v>
      </c>
    </row>
    <row r="155" spans="1:20" ht="23.4" x14ac:dyDescent="0.3">
      <c r="A155" s="935" t="s">
        <v>1</v>
      </c>
      <c r="B155" s="944" t="s">
        <v>2</v>
      </c>
      <c r="C155" s="944" t="s">
        <v>226</v>
      </c>
      <c r="D155" s="945"/>
      <c r="E155" s="946"/>
      <c r="F155" s="944" t="s">
        <v>454</v>
      </c>
      <c r="G155" s="945"/>
      <c r="H155" s="945"/>
      <c r="I155" s="946"/>
      <c r="J155" s="1040" t="s">
        <v>223</v>
      </c>
      <c r="K155" s="944" t="s">
        <v>211</v>
      </c>
      <c r="L155" s="945"/>
      <c r="M155" s="946"/>
      <c r="N155" s="945" t="s">
        <v>212</v>
      </c>
      <c r="O155" s="945"/>
      <c r="P155" s="946"/>
      <c r="Q155" s="944" t="s">
        <v>213</v>
      </c>
      <c r="R155" s="945"/>
      <c r="S155" s="945"/>
      <c r="T155" s="1042" t="s">
        <v>210</v>
      </c>
    </row>
    <row r="156" spans="1:20" ht="87.6" thickBot="1" x14ac:dyDescent="0.35">
      <c r="A156" s="1038"/>
      <c r="B156" s="1039"/>
      <c r="C156" s="235" t="s">
        <v>227</v>
      </c>
      <c r="D156" s="236" t="s">
        <v>224</v>
      </c>
      <c r="E156" s="237" t="s">
        <v>225</v>
      </c>
      <c r="F156" s="238" t="s">
        <v>382</v>
      </c>
      <c r="G156" s="236" t="s">
        <v>220</v>
      </c>
      <c r="H156" s="239" t="s">
        <v>221</v>
      </c>
      <c r="I156" s="240" t="s">
        <v>222</v>
      </c>
      <c r="J156" s="1041"/>
      <c r="K156" s="235" t="s">
        <v>214</v>
      </c>
      <c r="L156" s="239" t="s">
        <v>215</v>
      </c>
      <c r="M156" s="241" t="s">
        <v>228</v>
      </c>
      <c r="N156" s="242" t="s">
        <v>216</v>
      </c>
      <c r="O156" s="239" t="s">
        <v>217</v>
      </c>
      <c r="P156" s="241" t="s">
        <v>229</v>
      </c>
      <c r="Q156" s="235" t="s">
        <v>218</v>
      </c>
      <c r="R156" s="239" t="s">
        <v>219</v>
      </c>
      <c r="S156" s="243" t="s">
        <v>230</v>
      </c>
      <c r="T156" s="1043"/>
    </row>
    <row r="157" spans="1:20" ht="23.4" x14ac:dyDescent="0.3">
      <c r="A157" s="244" t="s">
        <v>111</v>
      </c>
      <c r="B157" s="245" t="s">
        <v>16</v>
      </c>
      <c r="C157" s="474">
        <f>+D157+E157</f>
        <v>330</v>
      </c>
      <c r="D157" s="246">
        <v>30</v>
      </c>
      <c r="E157" s="247">
        <v>300</v>
      </c>
      <c r="F157" s="618">
        <v>15000</v>
      </c>
      <c r="G157" s="475">
        <f>+H157+I157</f>
        <v>6797</v>
      </c>
      <c r="H157" s="624">
        <v>6656</v>
      </c>
      <c r="I157" s="626">
        <v>141</v>
      </c>
      <c r="J157" s="629">
        <v>480</v>
      </c>
      <c r="K157" s="474">
        <f>+L157-E157</f>
        <v>150</v>
      </c>
      <c r="L157" s="475">
        <f>+J157-D157</f>
        <v>450</v>
      </c>
      <c r="M157" s="476">
        <f>IFERROR(K157/L157,"-")</f>
        <v>0.33333333333333331</v>
      </c>
      <c r="N157" s="477">
        <f>+O157-C157</f>
        <v>-180</v>
      </c>
      <c r="O157" s="475">
        <f>+K157</f>
        <v>150</v>
      </c>
      <c r="P157" s="478">
        <f>IFERROR(N157/O157,"-")</f>
        <v>-1.2</v>
      </c>
      <c r="Q157" s="475">
        <f>IFERROR(N157-(J157-(J157*H157/G157)),"-")</f>
        <v>-189.95733411799324</v>
      </c>
      <c r="R157" s="475">
        <f>+N157</f>
        <v>-180</v>
      </c>
      <c r="S157" s="479">
        <f>IFERROR(Q157/R157,"-")</f>
        <v>1.0553185228777402</v>
      </c>
      <c r="T157" s="480">
        <f>IFERROR(M157*P157*S157,"-")</f>
        <v>-0.42212740915109603</v>
      </c>
    </row>
    <row r="158" spans="1:20" ht="23.4" x14ac:dyDescent="0.3">
      <c r="A158" s="248" t="s">
        <v>111</v>
      </c>
      <c r="B158" s="249" t="s">
        <v>234</v>
      </c>
      <c r="C158" s="481">
        <f t="shared" ref="C158:C172" si="120">+D158+E158</f>
        <v>120</v>
      </c>
      <c r="D158" s="250">
        <v>30</v>
      </c>
      <c r="E158" s="251">
        <v>90</v>
      </c>
      <c r="F158" s="619">
        <v>100000</v>
      </c>
      <c r="G158" s="483">
        <f t="shared" ref="G158:G163" si="121">+H158+I158</f>
        <v>73455</v>
      </c>
      <c r="H158" s="254">
        <v>73295</v>
      </c>
      <c r="I158" s="627">
        <v>160</v>
      </c>
      <c r="J158" s="630">
        <v>480</v>
      </c>
      <c r="K158" s="481">
        <f t="shared" ref="K158:K161" si="122">+L158-E158</f>
        <v>360</v>
      </c>
      <c r="L158" s="483">
        <f t="shared" ref="L158:L172" si="123">+J158-D158</f>
        <v>450</v>
      </c>
      <c r="M158" s="484">
        <f t="shared" ref="M158:M161" si="124">IFERROR(K158/L158,"-")</f>
        <v>0.8</v>
      </c>
      <c r="N158" s="485">
        <f t="shared" ref="N158:N172" si="125">+O158-C158</f>
        <v>240</v>
      </c>
      <c r="O158" s="483">
        <f t="shared" ref="O158:O172" si="126">+K158</f>
        <v>360</v>
      </c>
      <c r="P158" s="486">
        <f>IFERROR(N158/O158,"-")</f>
        <v>0.66666666666666663</v>
      </c>
      <c r="Q158" s="483">
        <f t="shared" ref="Q158:Q172" si="127">IFERROR(N158-(J158-(J158*H158/G158)),"-")</f>
        <v>238.95446191545847</v>
      </c>
      <c r="R158" s="483">
        <f t="shared" ref="R158:R172" si="128">+N158</f>
        <v>240</v>
      </c>
      <c r="S158" s="487">
        <f t="shared" ref="S158:S172" si="129">IFERROR(Q158/R158,"-")</f>
        <v>0.99564359131441027</v>
      </c>
      <c r="T158" s="488">
        <f t="shared" ref="T158:T172" si="130">IFERROR(M158*P158*S158,"-")</f>
        <v>0.53100991536768549</v>
      </c>
    </row>
    <row r="159" spans="1:20" ht="23.4" x14ac:dyDescent="0.3">
      <c r="A159" s="248" t="s">
        <v>111</v>
      </c>
      <c r="B159" s="249" t="s">
        <v>233</v>
      </c>
      <c r="C159" s="481">
        <f t="shared" si="120"/>
        <v>0</v>
      </c>
      <c r="D159" s="250">
        <v>0</v>
      </c>
      <c r="E159" s="251">
        <v>0</v>
      </c>
      <c r="F159" s="619">
        <v>80000</v>
      </c>
      <c r="G159" s="483">
        <f t="shared" si="121"/>
        <v>0</v>
      </c>
      <c r="H159" s="254">
        <v>0</v>
      </c>
      <c r="I159" s="627">
        <v>0</v>
      </c>
      <c r="J159" s="630">
        <v>0</v>
      </c>
      <c r="K159" s="481">
        <f t="shared" si="122"/>
        <v>0</v>
      </c>
      <c r="L159" s="483">
        <f t="shared" si="123"/>
        <v>0</v>
      </c>
      <c r="M159" s="484" t="str">
        <f t="shared" si="124"/>
        <v>-</v>
      </c>
      <c r="N159" s="485">
        <f t="shared" si="125"/>
        <v>0</v>
      </c>
      <c r="O159" s="483">
        <f t="shared" si="126"/>
        <v>0</v>
      </c>
      <c r="P159" s="486" t="str">
        <f t="shared" ref="P159:P172" si="131">IFERROR(N159/O159,"-")</f>
        <v>-</v>
      </c>
      <c r="Q159" s="483" t="str">
        <f t="shared" si="127"/>
        <v>-</v>
      </c>
      <c r="R159" s="483">
        <f t="shared" si="128"/>
        <v>0</v>
      </c>
      <c r="S159" s="487" t="str">
        <f t="shared" si="129"/>
        <v>-</v>
      </c>
      <c r="T159" s="488" t="str">
        <f t="shared" si="130"/>
        <v>-</v>
      </c>
    </row>
    <row r="160" spans="1:20" ht="23.4" x14ac:dyDescent="0.3">
      <c r="A160" s="252" t="s">
        <v>111</v>
      </c>
      <c r="B160" s="249" t="s">
        <v>236</v>
      </c>
      <c r="C160" s="481">
        <f t="shared" si="120"/>
        <v>120</v>
      </c>
      <c r="D160" s="250">
        <v>30</v>
      </c>
      <c r="E160" s="251">
        <v>90</v>
      </c>
      <c r="F160" s="619">
        <v>110000</v>
      </c>
      <c r="G160" s="483">
        <f t="shared" si="121"/>
        <v>33970</v>
      </c>
      <c r="H160" s="254">
        <v>33792</v>
      </c>
      <c r="I160" s="627">
        <v>178</v>
      </c>
      <c r="J160" s="630">
        <v>480</v>
      </c>
      <c r="K160" s="481">
        <f t="shared" si="122"/>
        <v>360</v>
      </c>
      <c r="L160" s="483">
        <f t="shared" si="123"/>
        <v>450</v>
      </c>
      <c r="M160" s="484">
        <f t="shared" si="124"/>
        <v>0.8</v>
      </c>
      <c r="N160" s="485">
        <f t="shared" si="125"/>
        <v>240</v>
      </c>
      <c r="O160" s="483">
        <f t="shared" si="126"/>
        <v>360</v>
      </c>
      <c r="P160" s="486">
        <f t="shared" si="131"/>
        <v>0.66666666666666663</v>
      </c>
      <c r="Q160" s="483">
        <f t="shared" si="127"/>
        <v>237.48483956432148</v>
      </c>
      <c r="R160" s="483">
        <f t="shared" si="128"/>
        <v>240</v>
      </c>
      <c r="S160" s="487">
        <f t="shared" si="129"/>
        <v>0.98952016485133953</v>
      </c>
      <c r="T160" s="488">
        <f t="shared" si="130"/>
        <v>0.52774408792071437</v>
      </c>
    </row>
    <row r="161" spans="1:20" ht="23.4" x14ac:dyDescent="0.3">
      <c r="A161" s="248" t="s">
        <v>111</v>
      </c>
      <c r="B161" s="249" t="s">
        <v>235</v>
      </c>
      <c r="C161" s="481">
        <f t="shared" si="120"/>
        <v>0</v>
      </c>
      <c r="D161" s="250">
        <v>0</v>
      </c>
      <c r="E161" s="251">
        <v>0</v>
      </c>
      <c r="F161" s="619">
        <v>50000</v>
      </c>
      <c r="G161" s="483">
        <f t="shared" si="121"/>
        <v>0</v>
      </c>
      <c r="H161" s="254">
        <v>0</v>
      </c>
      <c r="I161" s="627">
        <v>0</v>
      </c>
      <c r="J161" s="630">
        <v>0</v>
      </c>
      <c r="K161" s="481">
        <f t="shared" si="122"/>
        <v>0</v>
      </c>
      <c r="L161" s="483">
        <f t="shared" si="123"/>
        <v>0</v>
      </c>
      <c r="M161" s="484" t="str">
        <f t="shared" si="124"/>
        <v>-</v>
      </c>
      <c r="N161" s="485">
        <f t="shared" si="125"/>
        <v>0</v>
      </c>
      <c r="O161" s="483">
        <f t="shared" si="126"/>
        <v>0</v>
      </c>
      <c r="P161" s="486" t="str">
        <f t="shared" si="131"/>
        <v>-</v>
      </c>
      <c r="Q161" s="483" t="str">
        <f t="shared" si="127"/>
        <v>-</v>
      </c>
      <c r="R161" s="483">
        <f t="shared" si="128"/>
        <v>0</v>
      </c>
      <c r="S161" s="487" t="str">
        <f t="shared" si="129"/>
        <v>-</v>
      </c>
      <c r="T161" s="488" t="str">
        <f t="shared" si="130"/>
        <v>-</v>
      </c>
    </row>
    <row r="162" spans="1:20" ht="23.4" x14ac:dyDescent="0.3">
      <c r="A162" s="248">
        <v>5</v>
      </c>
      <c r="B162" s="249" t="s">
        <v>22</v>
      </c>
      <c r="C162" s="481">
        <f t="shared" si="120"/>
        <v>480</v>
      </c>
      <c r="D162" s="250">
        <v>30</v>
      </c>
      <c r="E162" s="251">
        <v>450</v>
      </c>
      <c r="F162" s="619">
        <v>80000</v>
      </c>
      <c r="G162" s="483">
        <f t="shared" si="121"/>
        <v>0</v>
      </c>
      <c r="H162" s="254">
        <v>0</v>
      </c>
      <c r="I162" s="627">
        <v>0</v>
      </c>
      <c r="J162" s="630">
        <v>0</v>
      </c>
      <c r="K162" s="481">
        <f>+L162-E162</f>
        <v>-480</v>
      </c>
      <c r="L162" s="483">
        <f t="shared" si="123"/>
        <v>-30</v>
      </c>
      <c r="M162" s="484">
        <f>IFERROR(K162/L162,"-")</f>
        <v>16</v>
      </c>
      <c r="N162" s="485">
        <f t="shared" si="125"/>
        <v>-960</v>
      </c>
      <c r="O162" s="483">
        <f t="shared" si="126"/>
        <v>-480</v>
      </c>
      <c r="P162" s="486">
        <f t="shared" si="131"/>
        <v>2</v>
      </c>
      <c r="Q162" s="483" t="str">
        <f t="shared" si="127"/>
        <v>-</v>
      </c>
      <c r="R162" s="483">
        <f t="shared" si="128"/>
        <v>-960</v>
      </c>
      <c r="S162" s="487" t="str">
        <f t="shared" si="129"/>
        <v>-</v>
      </c>
      <c r="T162" s="488" t="str">
        <f t="shared" si="130"/>
        <v>-</v>
      </c>
    </row>
    <row r="163" spans="1:20" ht="23.4" x14ac:dyDescent="0.3">
      <c r="A163" s="248" t="s">
        <v>111</v>
      </c>
      <c r="B163" s="249" t="s">
        <v>23</v>
      </c>
      <c r="C163" s="481">
        <f t="shared" si="120"/>
        <v>125</v>
      </c>
      <c r="D163" s="250">
        <v>30</v>
      </c>
      <c r="E163" s="251">
        <v>95</v>
      </c>
      <c r="F163" s="619">
        <v>14000</v>
      </c>
      <c r="G163" s="483">
        <f t="shared" si="121"/>
        <v>12893</v>
      </c>
      <c r="H163" s="254">
        <v>12779</v>
      </c>
      <c r="I163" s="627">
        <v>114</v>
      </c>
      <c r="J163" s="630">
        <v>480</v>
      </c>
      <c r="K163" s="481">
        <f t="shared" ref="K163:K172" si="132">+L163-E163</f>
        <v>355</v>
      </c>
      <c r="L163" s="483">
        <f t="shared" si="123"/>
        <v>450</v>
      </c>
      <c r="M163" s="484">
        <f t="shared" ref="M163:M172" si="133">IFERROR(K163/L163,"-")</f>
        <v>0.78888888888888886</v>
      </c>
      <c r="N163" s="485">
        <f t="shared" si="125"/>
        <v>230</v>
      </c>
      <c r="O163" s="483">
        <f t="shared" si="126"/>
        <v>355</v>
      </c>
      <c r="P163" s="486">
        <f t="shared" si="131"/>
        <v>0.647887323943662</v>
      </c>
      <c r="Q163" s="483">
        <f t="shared" si="127"/>
        <v>225.7558365004266</v>
      </c>
      <c r="R163" s="483">
        <f t="shared" si="128"/>
        <v>230</v>
      </c>
      <c r="S163" s="487">
        <f t="shared" si="129"/>
        <v>0.98154711521924609</v>
      </c>
      <c r="T163" s="488">
        <f t="shared" si="130"/>
        <v>0.50167963666761461</v>
      </c>
    </row>
    <row r="164" spans="1:20" ht="23.4" x14ac:dyDescent="0.3">
      <c r="A164" s="248" t="s">
        <v>111</v>
      </c>
      <c r="B164" s="253" t="s">
        <v>231</v>
      </c>
      <c r="C164" s="489">
        <f t="shared" si="120"/>
        <v>660</v>
      </c>
      <c r="D164" s="250">
        <v>120</v>
      </c>
      <c r="E164" s="251">
        <v>540</v>
      </c>
      <c r="F164" s="619">
        <v>4500</v>
      </c>
      <c r="G164" s="483">
        <f>+H164+I164</f>
        <v>9773</v>
      </c>
      <c r="H164" s="254">
        <v>9540</v>
      </c>
      <c r="I164" s="322">
        <v>233</v>
      </c>
      <c r="J164" s="630">
        <v>960</v>
      </c>
      <c r="K164" s="489">
        <f t="shared" si="132"/>
        <v>300</v>
      </c>
      <c r="L164" s="250">
        <f t="shared" si="123"/>
        <v>840</v>
      </c>
      <c r="M164" s="490">
        <f t="shared" si="133"/>
        <v>0.35714285714285715</v>
      </c>
      <c r="N164" s="491">
        <f t="shared" si="125"/>
        <v>-360</v>
      </c>
      <c r="O164" s="250">
        <f t="shared" si="126"/>
        <v>300</v>
      </c>
      <c r="P164" s="492">
        <f t="shared" si="131"/>
        <v>-1.2</v>
      </c>
      <c r="Q164" s="250">
        <f t="shared" si="127"/>
        <v>-382.88754732426071</v>
      </c>
      <c r="R164" s="250">
        <f t="shared" si="128"/>
        <v>-360</v>
      </c>
      <c r="S164" s="493">
        <f t="shared" si="129"/>
        <v>1.0635765203451686</v>
      </c>
      <c r="T164" s="494">
        <f t="shared" si="130"/>
        <v>-0.45581850871935792</v>
      </c>
    </row>
    <row r="165" spans="1:20" ht="24" thickBot="1" x14ac:dyDescent="0.35">
      <c r="A165" s="255" t="s">
        <v>111</v>
      </c>
      <c r="B165" s="256" t="s">
        <v>232</v>
      </c>
      <c r="C165" s="495">
        <f t="shared" si="120"/>
        <v>290</v>
      </c>
      <c r="D165" s="257">
        <v>200</v>
      </c>
      <c r="E165" s="258">
        <v>90</v>
      </c>
      <c r="F165" s="625">
        <v>5000</v>
      </c>
      <c r="G165" s="505">
        <f t="shared" ref="G165:G172" si="134">+H165+I165</f>
        <v>34107</v>
      </c>
      <c r="H165" s="259">
        <v>32127</v>
      </c>
      <c r="I165" s="628">
        <v>1980</v>
      </c>
      <c r="J165" s="633">
        <v>960</v>
      </c>
      <c r="K165" s="495">
        <f t="shared" si="132"/>
        <v>670</v>
      </c>
      <c r="L165" s="257">
        <f t="shared" si="123"/>
        <v>760</v>
      </c>
      <c r="M165" s="496">
        <f t="shared" si="133"/>
        <v>0.88157894736842102</v>
      </c>
      <c r="N165" s="497">
        <f t="shared" si="125"/>
        <v>380</v>
      </c>
      <c r="O165" s="257">
        <f t="shared" si="126"/>
        <v>670</v>
      </c>
      <c r="P165" s="498">
        <f t="shared" si="131"/>
        <v>0.56716417910447758</v>
      </c>
      <c r="Q165" s="257">
        <f t="shared" si="127"/>
        <v>324.26950479373738</v>
      </c>
      <c r="R165" s="257">
        <f t="shared" si="128"/>
        <v>380</v>
      </c>
      <c r="S165" s="499">
        <f t="shared" si="129"/>
        <v>0.8533408020887826</v>
      </c>
      <c r="T165" s="500">
        <f t="shared" si="130"/>
        <v>0.42667040104439125</v>
      </c>
    </row>
    <row r="166" spans="1:20" ht="23.4" x14ac:dyDescent="0.3">
      <c r="A166" s="252" t="s">
        <v>109</v>
      </c>
      <c r="B166" s="260" t="s">
        <v>29</v>
      </c>
      <c r="C166" s="481">
        <f t="shared" si="120"/>
        <v>0</v>
      </c>
      <c r="D166" s="250">
        <v>0</v>
      </c>
      <c r="E166" s="251">
        <v>0</v>
      </c>
      <c r="F166" s="482">
        <v>80000</v>
      </c>
      <c r="G166" s="483">
        <f t="shared" si="134"/>
        <v>0</v>
      </c>
      <c r="H166" s="254">
        <v>0</v>
      </c>
      <c r="I166" s="627">
        <v>0</v>
      </c>
      <c r="J166" s="629">
        <v>0</v>
      </c>
      <c r="K166" s="481">
        <f t="shared" si="132"/>
        <v>0</v>
      </c>
      <c r="L166" s="483">
        <f t="shared" si="123"/>
        <v>0</v>
      </c>
      <c r="M166" s="484" t="str">
        <f t="shared" si="133"/>
        <v>-</v>
      </c>
      <c r="N166" s="485">
        <f t="shared" si="125"/>
        <v>0</v>
      </c>
      <c r="O166" s="483">
        <f t="shared" si="126"/>
        <v>0</v>
      </c>
      <c r="P166" s="486" t="str">
        <f t="shared" si="131"/>
        <v>-</v>
      </c>
      <c r="Q166" s="483" t="str">
        <f t="shared" si="127"/>
        <v>-</v>
      </c>
      <c r="R166" s="483">
        <f t="shared" si="128"/>
        <v>0</v>
      </c>
      <c r="S166" s="501" t="str">
        <f t="shared" si="129"/>
        <v>-</v>
      </c>
      <c r="T166" s="502" t="str">
        <f t="shared" si="130"/>
        <v>-</v>
      </c>
    </row>
    <row r="167" spans="1:20" ht="23.4" x14ac:dyDescent="0.3">
      <c r="A167" s="248" t="s">
        <v>109</v>
      </c>
      <c r="B167" s="260" t="s">
        <v>31</v>
      </c>
      <c r="C167" s="481">
        <f t="shared" si="120"/>
        <v>0</v>
      </c>
      <c r="D167" s="250">
        <v>0</v>
      </c>
      <c r="E167" s="251">
        <v>0</v>
      </c>
      <c r="F167" s="482">
        <v>50000</v>
      </c>
      <c r="G167" s="483">
        <f t="shared" si="134"/>
        <v>0</v>
      </c>
      <c r="H167" s="254">
        <v>0</v>
      </c>
      <c r="I167" s="627">
        <v>0</v>
      </c>
      <c r="J167" s="630">
        <v>0</v>
      </c>
      <c r="K167" s="481">
        <f t="shared" si="132"/>
        <v>0</v>
      </c>
      <c r="L167" s="483">
        <f t="shared" si="123"/>
        <v>0</v>
      </c>
      <c r="M167" s="484" t="str">
        <f t="shared" si="133"/>
        <v>-</v>
      </c>
      <c r="N167" s="485">
        <f t="shared" si="125"/>
        <v>0</v>
      </c>
      <c r="O167" s="483">
        <f t="shared" si="126"/>
        <v>0</v>
      </c>
      <c r="P167" s="486" t="str">
        <f t="shared" si="131"/>
        <v>-</v>
      </c>
      <c r="Q167" s="483" t="str">
        <f t="shared" si="127"/>
        <v>-</v>
      </c>
      <c r="R167" s="483">
        <f t="shared" si="128"/>
        <v>0</v>
      </c>
      <c r="S167" s="501" t="str">
        <f t="shared" si="129"/>
        <v>-</v>
      </c>
      <c r="T167" s="502" t="str">
        <f t="shared" si="130"/>
        <v>-</v>
      </c>
    </row>
    <row r="168" spans="1:20" ht="24" thickBot="1" x14ac:dyDescent="0.35">
      <c r="A168" s="255" t="s">
        <v>109</v>
      </c>
      <c r="B168" s="261" t="s">
        <v>32</v>
      </c>
      <c r="C168" s="503">
        <f t="shared" si="120"/>
        <v>0</v>
      </c>
      <c r="D168" s="257">
        <v>0</v>
      </c>
      <c r="E168" s="258">
        <v>0</v>
      </c>
      <c r="F168" s="504">
        <v>110000</v>
      </c>
      <c r="G168" s="505">
        <f t="shared" si="134"/>
        <v>0</v>
      </c>
      <c r="H168" s="259">
        <v>0</v>
      </c>
      <c r="I168" s="705">
        <v>0</v>
      </c>
      <c r="J168" s="633">
        <v>0</v>
      </c>
      <c r="K168" s="503">
        <f t="shared" si="132"/>
        <v>0</v>
      </c>
      <c r="L168" s="505">
        <f t="shared" si="123"/>
        <v>0</v>
      </c>
      <c r="M168" s="506" t="str">
        <f t="shared" si="133"/>
        <v>-</v>
      </c>
      <c r="N168" s="507">
        <f t="shared" si="125"/>
        <v>0</v>
      </c>
      <c r="O168" s="505">
        <f t="shared" si="126"/>
        <v>0</v>
      </c>
      <c r="P168" s="508" t="str">
        <f t="shared" si="131"/>
        <v>-</v>
      </c>
      <c r="Q168" s="505" t="str">
        <f t="shared" si="127"/>
        <v>-</v>
      </c>
      <c r="R168" s="505">
        <f t="shared" si="128"/>
        <v>0</v>
      </c>
      <c r="S168" s="509" t="str">
        <f t="shared" si="129"/>
        <v>-</v>
      </c>
      <c r="T168" s="510" t="str">
        <f t="shared" si="130"/>
        <v>-</v>
      </c>
    </row>
    <row r="169" spans="1:20" ht="23.4" x14ac:dyDescent="0.3">
      <c r="A169" s="248" t="s">
        <v>110</v>
      </c>
      <c r="B169" s="249" t="s">
        <v>238</v>
      </c>
      <c r="C169" s="481">
        <f t="shared" si="120"/>
        <v>0</v>
      </c>
      <c r="D169" s="250">
        <v>0</v>
      </c>
      <c r="E169" s="251">
        <v>0</v>
      </c>
      <c r="F169" s="482">
        <v>6500</v>
      </c>
      <c r="G169" s="483">
        <f t="shared" si="134"/>
        <v>0</v>
      </c>
      <c r="H169" s="482">
        <v>0</v>
      </c>
      <c r="I169" s="631">
        <v>0</v>
      </c>
      <c r="J169" s="630">
        <v>0</v>
      </c>
      <c r="K169" s="481">
        <f t="shared" si="132"/>
        <v>0</v>
      </c>
      <c r="L169" s="483">
        <f t="shared" si="123"/>
        <v>0</v>
      </c>
      <c r="M169" s="484" t="str">
        <f t="shared" si="133"/>
        <v>-</v>
      </c>
      <c r="N169" s="485">
        <f t="shared" si="125"/>
        <v>0</v>
      </c>
      <c r="O169" s="483">
        <f t="shared" si="126"/>
        <v>0</v>
      </c>
      <c r="P169" s="486" t="str">
        <f t="shared" si="131"/>
        <v>-</v>
      </c>
      <c r="Q169" s="483" t="str">
        <f t="shared" si="127"/>
        <v>-</v>
      </c>
      <c r="R169" s="483">
        <f t="shared" si="128"/>
        <v>0</v>
      </c>
      <c r="S169" s="501" t="str">
        <f t="shared" si="129"/>
        <v>-</v>
      </c>
      <c r="T169" s="502" t="str">
        <f t="shared" si="130"/>
        <v>-</v>
      </c>
    </row>
    <row r="170" spans="1:20" ht="23.4" x14ac:dyDescent="0.3">
      <c r="A170" s="252" t="s">
        <v>110</v>
      </c>
      <c r="B170" s="249" t="s">
        <v>40</v>
      </c>
      <c r="C170" s="481">
        <f t="shared" si="120"/>
        <v>0</v>
      </c>
      <c r="D170" s="250">
        <v>0</v>
      </c>
      <c r="E170" s="251">
        <v>0</v>
      </c>
      <c r="F170" s="482">
        <v>2800</v>
      </c>
      <c r="G170" s="483">
        <f t="shared" si="134"/>
        <v>0</v>
      </c>
      <c r="H170" s="482"/>
      <c r="I170" s="631"/>
      <c r="J170" s="630">
        <v>0</v>
      </c>
      <c r="K170" s="481">
        <f t="shared" si="132"/>
        <v>0</v>
      </c>
      <c r="L170" s="483">
        <f t="shared" si="123"/>
        <v>0</v>
      </c>
      <c r="M170" s="484" t="str">
        <f t="shared" si="133"/>
        <v>-</v>
      </c>
      <c r="N170" s="485">
        <f t="shared" si="125"/>
        <v>0</v>
      </c>
      <c r="O170" s="483">
        <f t="shared" si="126"/>
        <v>0</v>
      </c>
      <c r="P170" s="486" t="str">
        <f t="shared" si="131"/>
        <v>-</v>
      </c>
      <c r="Q170" s="483" t="str">
        <f t="shared" si="127"/>
        <v>-</v>
      </c>
      <c r="R170" s="483">
        <f t="shared" si="128"/>
        <v>0</v>
      </c>
      <c r="S170" s="501" t="str">
        <f t="shared" si="129"/>
        <v>-</v>
      </c>
      <c r="T170" s="502" t="str">
        <f t="shared" si="130"/>
        <v>-</v>
      </c>
    </row>
    <row r="171" spans="1:20" ht="23.4" x14ac:dyDescent="0.3">
      <c r="A171" s="248" t="s">
        <v>110</v>
      </c>
      <c r="B171" s="249" t="s">
        <v>42</v>
      </c>
      <c r="C171" s="481">
        <f t="shared" si="120"/>
        <v>0</v>
      </c>
      <c r="D171" s="250">
        <v>0</v>
      </c>
      <c r="E171" s="251">
        <v>0</v>
      </c>
      <c r="F171" s="482">
        <v>25000</v>
      </c>
      <c r="G171" s="483">
        <f t="shared" si="134"/>
        <v>0</v>
      </c>
      <c r="H171" s="482">
        <v>0</v>
      </c>
      <c r="I171" s="631">
        <v>0</v>
      </c>
      <c r="J171" s="630">
        <v>0</v>
      </c>
      <c r="K171" s="481">
        <f t="shared" si="132"/>
        <v>0</v>
      </c>
      <c r="L171" s="483">
        <f t="shared" si="123"/>
        <v>0</v>
      </c>
      <c r="M171" s="484" t="str">
        <f t="shared" si="133"/>
        <v>-</v>
      </c>
      <c r="N171" s="485">
        <f t="shared" si="125"/>
        <v>0</v>
      </c>
      <c r="O171" s="483">
        <f t="shared" si="126"/>
        <v>0</v>
      </c>
      <c r="P171" s="486" t="str">
        <f t="shared" si="131"/>
        <v>-</v>
      </c>
      <c r="Q171" s="483" t="str">
        <f t="shared" si="127"/>
        <v>-</v>
      </c>
      <c r="R171" s="483">
        <f t="shared" si="128"/>
        <v>0</v>
      </c>
      <c r="S171" s="501" t="str">
        <f t="shared" si="129"/>
        <v>-</v>
      </c>
      <c r="T171" s="502" t="str">
        <f t="shared" si="130"/>
        <v>-</v>
      </c>
    </row>
    <row r="172" spans="1:20" ht="47.4" thickBot="1" x14ac:dyDescent="0.35">
      <c r="A172" s="635" t="s">
        <v>110</v>
      </c>
      <c r="B172" s="261" t="s">
        <v>237</v>
      </c>
      <c r="C172" s="636">
        <f t="shared" si="120"/>
        <v>0</v>
      </c>
      <c r="D172" s="637">
        <v>0</v>
      </c>
      <c r="E172" s="638">
        <v>0</v>
      </c>
      <c r="F172" s="639">
        <v>25000</v>
      </c>
      <c r="G172" s="640">
        <f t="shared" si="134"/>
        <v>0</v>
      </c>
      <c r="H172" s="639">
        <v>0</v>
      </c>
      <c r="I172" s="641">
        <v>0</v>
      </c>
      <c r="J172" s="634">
        <v>0</v>
      </c>
      <c r="K172" s="636">
        <f t="shared" si="132"/>
        <v>0</v>
      </c>
      <c r="L172" s="640">
        <f t="shared" si="123"/>
        <v>0</v>
      </c>
      <c r="M172" s="642" t="str">
        <f t="shared" si="133"/>
        <v>-</v>
      </c>
      <c r="N172" s="643">
        <f t="shared" si="125"/>
        <v>0</v>
      </c>
      <c r="O172" s="640">
        <f t="shared" si="126"/>
        <v>0</v>
      </c>
      <c r="P172" s="644" t="str">
        <f t="shared" si="131"/>
        <v>-</v>
      </c>
      <c r="Q172" s="640" t="str">
        <f t="shared" si="127"/>
        <v>-</v>
      </c>
      <c r="R172" s="640">
        <f t="shared" si="128"/>
        <v>0</v>
      </c>
      <c r="S172" s="645" t="str">
        <f t="shared" si="129"/>
        <v>-</v>
      </c>
      <c r="T172" s="646" t="str">
        <f t="shared" si="130"/>
        <v>-</v>
      </c>
    </row>
    <row r="173" spans="1:20" ht="23.4" x14ac:dyDescent="0.3">
      <c r="A173" s="935" t="s">
        <v>1</v>
      </c>
      <c r="B173" s="944" t="s">
        <v>2</v>
      </c>
      <c r="C173" s="944" t="s">
        <v>226</v>
      </c>
      <c r="D173" s="945"/>
      <c r="E173" s="946"/>
      <c r="F173" s="944" t="s">
        <v>455</v>
      </c>
      <c r="G173" s="945"/>
      <c r="H173" s="945"/>
      <c r="I173" s="946"/>
      <c r="J173" s="1040" t="s">
        <v>223</v>
      </c>
      <c r="K173" s="944" t="s">
        <v>211</v>
      </c>
      <c r="L173" s="945"/>
      <c r="M173" s="946"/>
      <c r="N173" s="945" t="s">
        <v>212</v>
      </c>
      <c r="O173" s="945"/>
      <c r="P173" s="946"/>
      <c r="Q173" s="944" t="s">
        <v>213</v>
      </c>
      <c r="R173" s="945"/>
      <c r="S173" s="945"/>
      <c r="T173" s="1042" t="s">
        <v>210</v>
      </c>
    </row>
    <row r="174" spans="1:20" ht="87.6" thickBot="1" x14ac:dyDescent="0.35">
      <c r="A174" s="1038"/>
      <c r="B174" s="1039"/>
      <c r="C174" s="235" t="s">
        <v>227</v>
      </c>
      <c r="D174" s="236" t="s">
        <v>224</v>
      </c>
      <c r="E174" s="237" t="s">
        <v>225</v>
      </c>
      <c r="F174" s="238" t="s">
        <v>382</v>
      </c>
      <c r="G174" s="236" t="s">
        <v>220</v>
      </c>
      <c r="H174" s="239" t="s">
        <v>221</v>
      </c>
      <c r="I174" s="240" t="s">
        <v>222</v>
      </c>
      <c r="J174" s="1041"/>
      <c r="K174" s="235" t="s">
        <v>214</v>
      </c>
      <c r="L174" s="239" t="s">
        <v>215</v>
      </c>
      <c r="M174" s="241" t="s">
        <v>228</v>
      </c>
      <c r="N174" s="242" t="s">
        <v>216</v>
      </c>
      <c r="O174" s="239" t="s">
        <v>217</v>
      </c>
      <c r="P174" s="241" t="s">
        <v>229</v>
      </c>
      <c r="Q174" s="235" t="s">
        <v>218</v>
      </c>
      <c r="R174" s="239" t="s">
        <v>219</v>
      </c>
      <c r="S174" s="243" t="s">
        <v>230</v>
      </c>
      <c r="T174" s="1043"/>
    </row>
    <row r="175" spans="1:20" ht="23.4" x14ac:dyDescent="0.3">
      <c r="A175" s="244" t="s">
        <v>111</v>
      </c>
      <c r="B175" s="245" t="s">
        <v>16</v>
      </c>
      <c r="C175" s="474">
        <f>+D175+E175</f>
        <v>0</v>
      </c>
      <c r="D175" s="246"/>
      <c r="E175" s="247"/>
      <c r="F175" s="618">
        <v>15000</v>
      </c>
      <c r="G175" s="475">
        <f>+H175+I175</f>
        <v>0</v>
      </c>
      <c r="H175" s="624">
        <v>0</v>
      </c>
      <c r="I175" s="626">
        <v>0</v>
      </c>
      <c r="J175" s="629">
        <v>0</v>
      </c>
      <c r="K175" s="474">
        <f>+L175-E175</f>
        <v>0</v>
      </c>
      <c r="L175" s="475">
        <f>+J175-D175</f>
        <v>0</v>
      </c>
      <c r="M175" s="476" t="str">
        <f>IFERROR(K175/L175,"-")</f>
        <v>-</v>
      </c>
      <c r="N175" s="477">
        <f>+O175-C175</f>
        <v>0</v>
      </c>
      <c r="O175" s="475">
        <f>+K175</f>
        <v>0</v>
      </c>
      <c r="P175" s="478" t="str">
        <f>IFERROR(N175/O175,"-")</f>
        <v>-</v>
      </c>
      <c r="Q175" s="475" t="str">
        <f>IFERROR(N175-(J175-(J175*H175/G175)),"-")</f>
        <v>-</v>
      </c>
      <c r="R175" s="475">
        <f>+N175</f>
        <v>0</v>
      </c>
      <c r="S175" s="479" t="str">
        <f>IFERROR(Q175/R175,"-")</f>
        <v>-</v>
      </c>
      <c r="T175" s="480" t="str">
        <f>IFERROR(M175*P175*S175,"-")</f>
        <v>-</v>
      </c>
    </row>
    <row r="176" spans="1:20" ht="23.4" x14ac:dyDescent="0.3">
      <c r="A176" s="248" t="s">
        <v>111</v>
      </c>
      <c r="B176" s="249" t="s">
        <v>234</v>
      </c>
      <c r="C176" s="481">
        <f t="shared" ref="C176:C190" si="135">+D176+E176</f>
        <v>0</v>
      </c>
      <c r="D176" s="250"/>
      <c r="E176" s="251"/>
      <c r="F176" s="619">
        <v>100000</v>
      </c>
      <c r="G176" s="483">
        <f t="shared" ref="G176:G181" si="136">+H176+I176</f>
        <v>0</v>
      </c>
      <c r="H176" s="254">
        <v>0</v>
      </c>
      <c r="I176" s="627">
        <v>0</v>
      </c>
      <c r="J176" s="630">
        <v>0</v>
      </c>
      <c r="K176" s="481">
        <f t="shared" ref="K176:K179" si="137">+L176-E176</f>
        <v>0</v>
      </c>
      <c r="L176" s="483">
        <f t="shared" ref="L176:L190" si="138">+J176-D176</f>
        <v>0</v>
      </c>
      <c r="M176" s="484" t="str">
        <f t="shared" ref="M176:M179" si="139">IFERROR(K176/L176,"-")</f>
        <v>-</v>
      </c>
      <c r="N176" s="485">
        <f t="shared" ref="N176:N190" si="140">+O176-C176</f>
        <v>0</v>
      </c>
      <c r="O176" s="483">
        <f t="shared" ref="O176:O190" si="141">+K176</f>
        <v>0</v>
      </c>
      <c r="P176" s="486" t="str">
        <f>IFERROR(N176/O176,"-")</f>
        <v>-</v>
      </c>
      <c r="Q176" s="483" t="str">
        <f t="shared" ref="Q176:Q190" si="142">IFERROR(N176-(J176-(J176*H176/G176)),"-")</f>
        <v>-</v>
      </c>
      <c r="R176" s="483">
        <f t="shared" ref="R176:R190" si="143">+N176</f>
        <v>0</v>
      </c>
      <c r="S176" s="487" t="str">
        <f t="shared" ref="S176:S190" si="144">IFERROR(Q176/R176,"-")</f>
        <v>-</v>
      </c>
      <c r="T176" s="488" t="str">
        <f t="shared" ref="T176:T190" si="145">IFERROR(M176*P176*S176,"-")</f>
        <v>-</v>
      </c>
    </row>
    <row r="177" spans="1:20" ht="23.4" x14ac:dyDescent="0.3">
      <c r="A177" s="248" t="s">
        <v>111</v>
      </c>
      <c r="B177" s="249" t="s">
        <v>233</v>
      </c>
      <c r="C177" s="481">
        <f t="shared" si="135"/>
        <v>0</v>
      </c>
      <c r="D177" s="250"/>
      <c r="E177" s="251"/>
      <c r="F177" s="619">
        <v>80000</v>
      </c>
      <c r="G177" s="483">
        <f t="shared" si="136"/>
        <v>0</v>
      </c>
      <c r="H177" s="254">
        <v>0</v>
      </c>
      <c r="I177" s="627">
        <v>0</v>
      </c>
      <c r="J177" s="630">
        <v>0</v>
      </c>
      <c r="K177" s="481">
        <f t="shared" si="137"/>
        <v>0</v>
      </c>
      <c r="L177" s="483">
        <f t="shared" si="138"/>
        <v>0</v>
      </c>
      <c r="M177" s="484" t="str">
        <f t="shared" si="139"/>
        <v>-</v>
      </c>
      <c r="N177" s="485">
        <f t="shared" si="140"/>
        <v>0</v>
      </c>
      <c r="O177" s="483">
        <f t="shared" si="141"/>
        <v>0</v>
      </c>
      <c r="P177" s="486" t="str">
        <f t="shared" ref="P177:P190" si="146">IFERROR(N177/O177,"-")</f>
        <v>-</v>
      </c>
      <c r="Q177" s="483" t="str">
        <f t="shared" si="142"/>
        <v>-</v>
      </c>
      <c r="R177" s="483">
        <f t="shared" si="143"/>
        <v>0</v>
      </c>
      <c r="S177" s="487" t="str">
        <f t="shared" si="144"/>
        <v>-</v>
      </c>
      <c r="T177" s="488" t="str">
        <f t="shared" si="145"/>
        <v>-</v>
      </c>
    </row>
    <row r="178" spans="1:20" ht="23.4" x14ac:dyDescent="0.3">
      <c r="A178" s="252" t="s">
        <v>111</v>
      </c>
      <c r="B178" s="249" t="s">
        <v>236</v>
      </c>
      <c r="C178" s="481">
        <f t="shared" si="135"/>
        <v>0</v>
      </c>
      <c r="D178" s="250"/>
      <c r="E178" s="251"/>
      <c r="F178" s="619">
        <v>110000</v>
      </c>
      <c r="G178" s="483">
        <f t="shared" si="136"/>
        <v>0</v>
      </c>
      <c r="H178" s="254">
        <v>0</v>
      </c>
      <c r="I178" s="627">
        <v>0</v>
      </c>
      <c r="J178" s="630">
        <v>0</v>
      </c>
      <c r="K178" s="481">
        <f t="shared" si="137"/>
        <v>0</v>
      </c>
      <c r="L178" s="483">
        <f t="shared" si="138"/>
        <v>0</v>
      </c>
      <c r="M178" s="484" t="str">
        <f t="shared" si="139"/>
        <v>-</v>
      </c>
      <c r="N178" s="485">
        <f t="shared" si="140"/>
        <v>0</v>
      </c>
      <c r="O178" s="483">
        <f t="shared" si="141"/>
        <v>0</v>
      </c>
      <c r="P178" s="486" t="str">
        <f t="shared" si="146"/>
        <v>-</v>
      </c>
      <c r="Q178" s="483" t="str">
        <f t="shared" si="142"/>
        <v>-</v>
      </c>
      <c r="R178" s="483">
        <f t="shared" si="143"/>
        <v>0</v>
      </c>
      <c r="S178" s="487" t="str">
        <f t="shared" si="144"/>
        <v>-</v>
      </c>
      <c r="T178" s="488" t="str">
        <f t="shared" si="145"/>
        <v>-</v>
      </c>
    </row>
    <row r="179" spans="1:20" ht="23.4" x14ac:dyDescent="0.3">
      <c r="A179" s="248" t="s">
        <v>111</v>
      </c>
      <c r="B179" s="249" t="s">
        <v>235</v>
      </c>
      <c r="C179" s="481">
        <f t="shared" si="135"/>
        <v>0</v>
      </c>
      <c r="D179" s="250"/>
      <c r="E179" s="251"/>
      <c r="F179" s="619">
        <v>50000</v>
      </c>
      <c r="G179" s="483">
        <f t="shared" si="136"/>
        <v>0</v>
      </c>
      <c r="H179" s="254">
        <v>0</v>
      </c>
      <c r="I179" s="627">
        <v>0</v>
      </c>
      <c r="J179" s="630">
        <v>0</v>
      </c>
      <c r="K179" s="481">
        <f t="shared" si="137"/>
        <v>0</v>
      </c>
      <c r="L179" s="483">
        <f t="shared" si="138"/>
        <v>0</v>
      </c>
      <c r="M179" s="484" t="str">
        <f t="shared" si="139"/>
        <v>-</v>
      </c>
      <c r="N179" s="485">
        <f t="shared" si="140"/>
        <v>0</v>
      </c>
      <c r="O179" s="483">
        <f t="shared" si="141"/>
        <v>0</v>
      </c>
      <c r="P179" s="486" t="str">
        <f t="shared" si="146"/>
        <v>-</v>
      </c>
      <c r="Q179" s="483" t="str">
        <f t="shared" si="142"/>
        <v>-</v>
      </c>
      <c r="R179" s="483">
        <f t="shared" si="143"/>
        <v>0</v>
      </c>
      <c r="S179" s="487" t="str">
        <f t="shared" si="144"/>
        <v>-</v>
      </c>
      <c r="T179" s="488" t="str">
        <f t="shared" si="145"/>
        <v>-</v>
      </c>
    </row>
    <row r="180" spans="1:20" ht="23.4" x14ac:dyDescent="0.3">
      <c r="A180" s="248">
        <v>5</v>
      </c>
      <c r="B180" s="249" t="s">
        <v>22</v>
      </c>
      <c r="C180" s="481">
        <f t="shared" si="135"/>
        <v>0</v>
      </c>
      <c r="D180" s="250"/>
      <c r="E180" s="251"/>
      <c r="F180" s="619">
        <v>80000</v>
      </c>
      <c r="G180" s="483">
        <f t="shared" si="136"/>
        <v>0</v>
      </c>
      <c r="H180" s="254">
        <v>0</v>
      </c>
      <c r="I180" s="627">
        <v>0</v>
      </c>
      <c r="J180" s="630">
        <v>0</v>
      </c>
      <c r="K180" s="481">
        <f>+L180-E180</f>
        <v>0</v>
      </c>
      <c r="L180" s="483">
        <f t="shared" si="138"/>
        <v>0</v>
      </c>
      <c r="M180" s="484" t="str">
        <f>IFERROR(K180/L180,"-")</f>
        <v>-</v>
      </c>
      <c r="N180" s="485">
        <f t="shared" si="140"/>
        <v>0</v>
      </c>
      <c r="O180" s="483">
        <f t="shared" si="141"/>
        <v>0</v>
      </c>
      <c r="P180" s="486" t="str">
        <f t="shared" si="146"/>
        <v>-</v>
      </c>
      <c r="Q180" s="483" t="str">
        <f t="shared" si="142"/>
        <v>-</v>
      </c>
      <c r="R180" s="483">
        <f t="shared" si="143"/>
        <v>0</v>
      </c>
      <c r="S180" s="487" t="str">
        <f t="shared" si="144"/>
        <v>-</v>
      </c>
      <c r="T180" s="488" t="str">
        <f t="shared" si="145"/>
        <v>-</v>
      </c>
    </row>
    <row r="181" spans="1:20" ht="23.4" x14ac:dyDescent="0.3">
      <c r="A181" s="248" t="s">
        <v>111</v>
      </c>
      <c r="B181" s="249" t="s">
        <v>23</v>
      </c>
      <c r="C181" s="481">
        <f t="shared" si="135"/>
        <v>0</v>
      </c>
      <c r="D181" s="250"/>
      <c r="E181" s="251"/>
      <c r="F181" s="619">
        <v>14000</v>
      </c>
      <c r="G181" s="483">
        <f t="shared" si="136"/>
        <v>0</v>
      </c>
      <c r="H181" s="254">
        <v>0</v>
      </c>
      <c r="I181" s="627">
        <v>0</v>
      </c>
      <c r="J181" s="630">
        <v>0</v>
      </c>
      <c r="K181" s="481">
        <f t="shared" ref="K181:K190" si="147">+L181-E181</f>
        <v>0</v>
      </c>
      <c r="L181" s="483">
        <f t="shared" si="138"/>
        <v>0</v>
      </c>
      <c r="M181" s="484" t="str">
        <f t="shared" ref="M181:M190" si="148">IFERROR(K181/L181,"-")</f>
        <v>-</v>
      </c>
      <c r="N181" s="485">
        <f t="shared" si="140"/>
        <v>0</v>
      </c>
      <c r="O181" s="483">
        <f t="shared" si="141"/>
        <v>0</v>
      </c>
      <c r="P181" s="486" t="str">
        <f t="shared" si="146"/>
        <v>-</v>
      </c>
      <c r="Q181" s="483" t="str">
        <f t="shared" si="142"/>
        <v>-</v>
      </c>
      <c r="R181" s="483">
        <f t="shared" si="143"/>
        <v>0</v>
      </c>
      <c r="S181" s="487" t="str">
        <f t="shared" si="144"/>
        <v>-</v>
      </c>
      <c r="T181" s="488" t="str">
        <f t="shared" si="145"/>
        <v>-</v>
      </c>
    </row>
    <row r="182" spans="1:20" ht="23.4" x14ac:dyDescent="0.3">
      <c r="A182" s="248" t="s">
        <v>111</v>
      </c>
      <c r="B182" s="253" t="s">
        <v>231</v>
      </c>
      <c r="C182" s="489">
        <f t="shared" si="135"/>
        <v>240</v>
      </c>
      <c r="D182" s="250">
        <v>240</v>
      </c>
      <c r="E182" s="251">
        <v>0</v>
      </c>
      <c r="F182" s="619">
        <v>4500</v>
      </c>
      <c r="G182" s="483">
        <f>+H182+I182</f>
        <v>17094</v>
      </c>
      <c r="H182" s="254">
        <v>17079</v>
      </c>
      <c r="I182" s="322">
        <v>15</v>
      </c>
      <c r="J182" s="630">
        <v>480</v>
      </c>
      <c r="K182" s="489">
        <f t="shared" si="147"/>
        <v>240</v>
      </c>
      <c r="L182" s="250">
        <f t="shared" si="138"/>
        <v>240</v>
      </c>
      <c r="M182" s="490">
        <f t="shared" si="148"/>
        <v>1</v>
      </c>
      <c r="N182" s="491">
        <f t="shared" si="140"/>
        <v>0</v>
      </c>
      <c r="O182" s="250">
        <f t="shared" si="141"/>
        <v>240</v>
      </c>
      <c r="P182" s="492">
        <f t="shared" si="146"/>
        <v>0</v>
      </c>
      <c r="Q182" s="250">
        <f t="shared" si="142"/>
        <v>-0.42120042120041035</v>
      </c>
      <c r="R182" s="250">
        <f t="shared" si="143"/>
        <v>0</v>
      </c>
      <c r="S182" s="493" t="str">
        <f t="shared" si="144"/>
        <v>-</v>
      </c>
      <c r="T182" s="494" t="str">
        <f t="shared" si="145"/>
        <v>-</v>
      </c>
    </row>
    <row r="183" spans="1:20" ht="24" thickBot="1" x14ac:dyDescent="0.35">
      <c r="A183" s="255" t="s">
        <v>111</v>
      </c>
      <c r="B183" s="256" t="s">
        <v>232</v>
      </c>
      <c r="C183" s="495">
        <f t="shared" si="135"/>
        <v>120</v>
      </c>
      <c r="D183" s="257">
        <v>60</v>
      </c>
      <c r="E183" s="258">
        <v>60</v>
      </c>
      <c r="F183" s="625">
        <v>5000</v>
      </c>
      <c r="G183" s="505">
        <f t="shared" ref="G183:G190" si="149">+H183+I183</f>
        <v>3877</v>
      </c>
      <c r="H183" s="259">
        <v>3675</v>
      </c>
      <c r="I183" s="628">
        <v>202</v>
      </c>
      <c r="J183" s="633">
        <v>480</v>
      </c>
      <c r="K183" s="495">
        <f t="shared" si="147"/>
        <v>360</v>
      </c>
      <c r="L183" s="257">
        <f t="shared" si="138"/>
        <v>420</v>
      </c>
      <c r="M183" s="496">
        <f t="shared" si="148"/>
        <v>0.8571428571428571</v>
      </c>
      <c r="N183" s="497">
        <f t="shared" si="140"/>
        <v>240</v>
      </c>
      <c r="O183" s="257">
        <f t="shared" si="141"/>
        <v>360</v>
      </c>
      <c r="P183" s="498">
        <f t="shared" si="146"/>
        <v>0.66666666666666663</v>
      </c>
      <c r="Q183" s="257">
        <f t="shared" si="142"/>
        <v>214.99097240134125</v>
      </c>
      <c r="R183" s="257">
        <f t="shared" si="143"/>
        <v>240</v>
      </c>
      <c r="S183" s="499">
        <f t="shared" si="144"/>
        <v>0.89579571833892191</v>
      </c>
      <c r="T183" s="500">
        <f t="shared" si="145"/>
        <v>0.51188326762224101</v>
      </c>
    </row>
    <row r="184" spans="1:20" ht="23.4" x14ac:dyDescent="0.3">
      <c r="A184" s="252" t="s">
        <v>109</v>
      </c>
      <c r="B184" s="260" t="s">
        <v>29</v>
      </c>
      <c r="C184" s="481">
        <f t="shared" si="135"/>
        <v>0</v>
      </c>
      <c r="D184" s="250">
        <v>0</v>
      </c>
      <c r="E184" s="251">
        <v>0</v>
      </c>
      <c r="F184" s="482">
        <v>80000</v>
      </c>
      <c r="G184" s="483">
        <f t="shared" si="149"/>
        <v>0</v>
      </c>
      <c r="H184" s="254">
        <v>0</v>
      </c>
      <c r="I184" s="627">
        <v>0</v>
      </c>
      <c r="J184" s="629">
        <v>0</v>
      </c>
      <c r="K184" s="481">
        <f t="shared" si="147"/>
        <v>0</v>
      </c>
      <c r="L184" s="483">
        <f t="shared" si="138"/>
        <v>0</v>
      </c>
      <c r="M184" s="484" t="str">
        <f t="shared" si="148"/>
        <v>-</v>
      </c>
      <c r="N184" s="485">
        <f t="shared" si="140"/>
        <v>0</v>
      </c>
      <c r="O184" s="483">
        <f t="shared" si="141"/>
        <v>0</v>
      </c>
      <c r="P184" s="486" t="str">
        <f t="shared" si="146"/>
        <v>-</v>
      </c>
      <c r="Q184" s="483" t="str">
        <f t="shared" si="142"/>
        <v>-</v>
      </c>
      <c r="R184" s="483">
        <f t="shared" si="143"/>
        <v>0</v>
      </c>
      <c r="S184" s="501" t="str">
        <f t="shared" si="144"/>
        <v>-</v>
      </c>
      <c r="T184" s="502" t="str">
        <f t="shared" si="145"/>
        <v>-</v>
      </c>
    </row>
    <row r="185" spans="1:20" ht="23.4" x14ac:dyDescent="0.3">
      <c r="A185" s="248" t="s">
        <v>109</v>
      </c>
      <c r="B185" s="260" t="s">
        <v>31</v>
      </c>
      <c r="C185" s="481">
        <f t="shared" si="135"/>
        <v>0</v>
      </c>
      <c r="D185" s="250">
        <v>0</v>
      </c>
      <c r="E185" s="251">
        <v>0</v>
      </c>
      <c r="F185" s="482">
        <v>50000</v>
      </c>
      <c r="G185" s="483">
        <f t="shared" si="149"/>
        <v>0</v>
      </c>
      <c r="H185" s="254">
        <v>0</v>
      </c>
      <c r="I185" s="627">
        <v>0</v>
      </c>
      <c r="J185" s="630">
        <v>0</v>
      </c>
      <c r="K185" s="481">
        <f t="shared" si="147"/>
        <v>0</v>
      </c>
      <c r="L185" s="483">
        <f t="shared" si="138"/>
        <v>0</v>
      </c>
      <c r="M185" s="484" t="str">
        <f t="shared" si="148"/>
        <v>-</v>
      </c>
      <c r="N185" s="485">
        <f t="shared" si="140"/>
        <v>0</v>
      </c>
      <c r="O185" s="483">
        <f t="shared" si="141"/>
        <v>0</v>
      </c>
      <c r="P185" s="486" t="str">
        <f t="shared" si="146"/>
        <v>-</v>
      </c>
      <c r="Q185" s="483" t="str">
        <f t="shared" si="142"/>
        <v>-</v>
      </c>
      <c r="R185" s="483">
        <f t="shared" si="143"/>
        <v>0</v>
      </c>
      <c r="S185" s="501" t="str">
        <f t="shared" si="144"/>
        <v>-</v>
      </c>
      <c r="T185" s="502" t="str">
        <f t="shared" si="145"/>
        <v>-</v>
      </c>
    </row>
    <row r="186" spans="1:20" ht="24" thickBot="1" x14ac:dyDescent="0.35">
      <c r="A186" s="255" t="s">
        <v>109</v>
      </c>
      <c r="B186" s="261" t="s">
        <v>32</v>
      </c>
      <c r="C186" s="503">
        <f t="shared" si="135"/>
        <v>0</v>
      </c>
      <c r="D186" s="257">
        <v>0</v>
      </c>
      <c r="E186" s="258">
        <v>0</v>
      </c>
      <c r="F186" s="504">
        <v>110000</v>
      </c>
      <c r="G186" s="505">
        <f t="shared" si="149"/>
        <v>0</v>
      </c>
      <c r="H186" s="259">
        <v>0</v>
      </c>
      <c r="I186" s="705">
        <v>0</v>
      </c>
      <c r="J186" s="633">
        <v>0</v>
      </c>
      <c r="K186" s="503">
        <f t="shared" si="147"/>
        <v>0</v>
      </c>
      <c r="L186" s="505">
        <f t="shared" si="138"/>
        <v>0</v>
      </c>
      <c r="M186" s="506" t="str">
        <f t="shared" si="148"/>
        <v>-</v>
      </c>
      <c r="N186" s="507">
        <f t="shared" si="140"/>
        <v>0</v>
      </c>
      <c r="O186" s="505">
        <f t="shared" si="141"/>
        <v>0</v>
      </c>
      <c r="P186" s="508" t="str">
        <f t="shared" si="146"/>
        <v>-</v>
      </c>
      <c r="Q186" s="505" t="str">
        <f t="shared" si="142"/>
        <v>-</v>
      </c>
      <c r="R186" s="505">
        <f t="shared" si="143"/>
        <v>0</v>
      </c>
      <c r="S186" s="509" t="str">
        <f t="shared" si="144"/>
        <v>-</v>
      </c>
      <c r="T186" s="510" t="str">
        <f t="shared" si="145"/>
        <v>-</v>
      </c>
    </row>
    <row r="187" spans="1:20" ht="23.4" x14ac:dyDescent="0.3">
      <c r="A187" s="248" t="s">
        <v>110</v>
      </c>
      <c r="B187" s="249" t="s">
        <v>238</v>
      </c>
      <c r="C187" s="481">
        <f t="shared" si="135"/>
        <v>0</v>
      </c>
      <c r="D187" s="250">
        <v>0</v>
      </c>
      <c r="E187" s="251">
        <v>0</v>
      </c>
      <c r="F187" s="482">
        <v>6500</v>
      </c>
      <c r="G187" s="483">
        <f t="shared" si="149"/>
        <v>0</v>
      </c>
      <c r="H187" s="482">
        <v>0</v>
      </c>
      <c r="I187" s="631">
        <v>0</v>
      </c>
      <c r="J187" s="630">
        <v>0</v>
      </c>
      <c r="K187" s="481">
        <f t="shared" si="147"/>
        <v>0</v>
      </c>
      <c r="L187" s="483">
        <f t="shared" si="138"/>
        <v>0</v>
      </c>
      <c r="M187" s="484" t="str">
        <f t="shared" si="148"/>
        <v>-</v>
      </c>
      <c r="N187" s="485">
        <f t="shared" si="140"/>
        <v>0</v>
      </c>
      <c r="O187" s="483">
        <f t="shared" si="141"/>
        <v>0</v>
      </c>
      <c r="P187" s="486" t="str">
        <f t="shared" si="146"/>
        <v>-</v>
      </c>
      <c r="Q187" s="483" t="str">
        <f t="shared" si="142"/>
        <v>-</v>
      </c>
      <c r="R187" s="483">
        <f t="shared" si="143"/>
        <v>0</v>
      </c>
      <c r="S187" s="501" t="str">
        <f t="shared" si="144"/>
        <v>-</v>
      </c>
      <c r="T187" s="502" t="str">
        <f t="shared" si="145"/>
        <v>-</v>
      </c>
    </row>
    <row r="188" spans="1:20" ht="23.4" x14ac:dyDescent="0.3">
      <c r="A188" s="252" t="s">
        <v>110</v>
      </c>
      <c r="B188" s="249" t="s">
        <v>40</v>
      </c>
      <c r="C188" s="481">
        <f t="shared" si="135"/>
        <v>0</v>
      </c>
      <c r="D188" s="250">
        <v>0</v>
      </c>
      <c r="E188" s="251">
        <v>0</v>
      </c>
      <c r="F188" s="482">
        <v>2800</v>
      </c>
      <c r="G188" s="483">
        <f t="shared" si="149"/>
        <v>0</v>
      </c>
      <c r="H188" s="482"/>
      <c r="I188" s="631"/>
      <c r="J188" s="630">
        <v>0</v>
      </c>
      <c r="K188" s="481">
        <f t="shared" si="147"/>
        <v>0</v>
      </c>
      <c r="L188" s="483">
        <f t="shared" si="138"/>
        <v>0</v>
      </c>
      <c r="M188" s="484" t="str">
        <f t="shared" si="148"/>
        <v>-</v>
      </c>
      <c r="N188" s="485">
        <f t="shared" si="140"/>
        <v>0</v>
      </c>
      <c r="O188" s="483">
        <f t="shared" si="141"/>
        <v>0</v>
      </c>
      <c r="P188" s="486" t="str">
        <f t="shared" si="146"/>
        <v>-</v>
      </c>
      <c r="Q188" s="483" t="str">
        <f t="shared" si="142"/>
        <v>-</v>
      </c>
      <c r="R188" s="483">
        <f t="shared" si="143"/>
        <v>0</v>
      </c>
      <c r="S188" s="501" t="str">
        <f t="shared" si="144"/>
        <v>-</v>
      </c>
      <c r="T188" s="502" t="str">
        <f t="shared" si="145"/>
        <v>-</v>
      </c>
    </row>
    <row r="189" spans="1:20" ht="23.4" x14ac:dyDescent="0.3">
      <c r="A189" s="248" t="s">
        <v>110</v>
      </c>
      <c r="B189" s="249" t="s">
        <v>42</v>
      </c>
      <c r="C189" s="481">
        <f t="shared" si="135"/>
        <v>0</v>
      </c>
      <c r="D189" s="250">
        <v>0</v>
      </c>
      <c r="E189" s="251">
        <v>0</v>
      </c>
      <c r="F189" s="482">
        <v>25000</v>
      </c>
      <c r="G189" s="483">
        <f t="shared" si="149"/>
        <v>0</v>
      </c>
      <c r="H189" s="482">
        <v>0</v>
      </c>
      <c r="I189" s="631">
        <v>0</v>
      </c>
      <c r="J189" s="630">
        <v>0</v>
      </c>
      <c r="K189" s="481">
        <f t="shared" si="147"/>
        <v>0</v>
      </c>
      <c r="L189" s="483">
        <f t="shared" si="138"/>
        <v>0</v>
      </c>
      <c r="M189" s="484" t="str">
        <f t="shared" si="148"/>
        <v>-</v>
      </c>
      <c r="N189" s="485">
        <f t="shared" si="140"/>
        <v>0</v>
      </c>
      <c r="O189" s="483">
        <f t="shared" si="141"/>
        <v>0</v>
      </c>
      <c r="P189" s="486" t="str">
        <f t="shared" si="146"/>
        <v>-</v>
      </c>
      <c r="Q189" s="483" t="str">
        <f t="shared" si="142"/>
        <v>-</v>
      </c>
      <c r="R189" s="483">
        <f t="shared" si="143"/>
        <v>0</v>
      </c>
      <c r="S189" s="501" t="str">
        <f t="shared" si="144"/>
        <v>-</v>
      </c>
      <c r="T189" s="502" t="str">
        <f t="shared" si="145"/>
        <v>-</v>
      </c>
    </row>
    <row r="190" spans="1:20" ht="47.4" thickBot="1" x14ac:dyDescent="0.35">
      <c r="A190" s="635" t="s">
        <v>110</v>
      </c>
      <c r="B190" s="261" t="s">
        <v>237</v>
      </c>
      <c r="C190" s="636">
        <f t="shared" si="135"/>
        <v>0</v>
      </c>
      <c r="D190" s="637">
        <v>0</v>
      </c>
      <c r="E190" s="638">
        <v>0</v>
      </c>
      <c r="F190" s="639">
        <v>25000</v>
      </c>
      <c r="G190" s="640">
        <f t="shared" si="149"/>
        <v>0</v>
      </c>
      <c r="H190" s="639">
        <v>0</v>
      </c>
      <c r="I190" s="641">
        <v>0</v>
      </c>
      <c r="J190" s="634">
        <v>0</v>
      </c>
      <c r="K190" s="636">
        <f t="shared" si="147"/>
        <v>0</v>
      </c>
      <c r="L190" s="640">
        <f t="shared" si="138"/>
        <v>0</v>
      </c>
      <c r="M190" s="642" t="str">
        <f t="shared" si="148"/>
        <v>-</v>
      </c>
      <c r="N190" s="643">
        <f t="shared" si="140"/>
        <v>0</v>
      </c>
      <c r="O190" s="640">
        <f t="shared" si="141"/>
        <v>0</v>
      </c>
      <c r="P190" s="644" t="str">
        <f t="shared" si="146"/>
        <v>-</v>
      </c>
      <c r="Q190" s="640" t="str">
        <f t="shared" si="142"/>
        <v>-</v>
      </c>
      <c r="R190" s="640">
        <f t="shared" si="143"/>
        <v>0</v>
      </c>
      <c r="S190" s="645" t="str">
        <f t="shared" si="144"/>
        <v>-</v>
      </c>
      <c r="T190" s="646" t="str">
        <f t="shared" si="145"/>
        <v>-</v>
      </c>
    </row>
    <row r="191" spans="1:20" ht="23.4" x14ac:dyDescent="0.3">
      <c r="A191" s="935" t="s">
        <v>1</v>
      </c>
      <c r="B191" s="944" t="s">
        <v>2</v>
      </c>
      <c r="C191" s="944" t="s">
        <v>226</v>
      </c>
      <c r="D191" s="945"/>
      <c r="E191" s="946"/>
      <c r="F191" s="944" t="s">
        <v>456</v>
      </c>
      <c r="G191" s="945"/>
      <c r="H191" s="945"/>
      <c r="I191" s="946"/>
      <c r="J191" s="1040" t="s">
        <v>223</v>
      </c>
      <c r="K191" s="944" t="s">
        <v>211</v>
      </c>
      <c r="L191" s="945"/>
      <c r="M191" s="946"/>
      <c r="N191" s="945" t="s">
        <v>212</v>
      </c>
      <c r="O191" s="945"/>
      <c r="P191" s="946"/>
      <c r="Q191" s="944" t="s">
        <v>213</v>
      </c>
      <c r="R191" s="945"/>
      <c r="S191" s="945"/>
      <c r="T191" s="1042" t="s">
        <v>210</v>
      </c>
    </row>
    <row r="192" spans="1:20" ht="87.6" thickBot="1" x14ac:dyDescent="0.35">
      <c r="A192" s="1038"/>
      <c r="B192" s="1039"/>
      <c r="C192" s="235" t="s">
        <v>227</v>
      </c>
      <c r="D192" s="236" t="s">
        <v>224</v>
      </c>
      <c r="E192" s="237" t="s">
        <v>225</v>
      </c>
      <c r="F192" s="238" t="s">
        <v>382</v>
      </c>
      <c r="G192" s="236" t="s">
        <v>220</v>
      </c>
      <c r="H192" s="239" t="s">
        <v>221</v>
      </c>
      <c r="I192" s="240" t="s">
        <v>222</v>
      </c>
      <c r="J192" s="1041"/>
      <c r="K192" s="235" t="s">
        <v>214</v>
      </c>
      <c r="L192" s="239" t="s">
        <v>215</v>
      </c>
      <c r="M192" s="241" t="s">
        <v>228</v>
      </c>
      <c r="N192" s="242" t="s">
        <v>216</v>
      </c>
      <c r="O192" s="239" t="s">
        <v>217</v>
      </c>
      <c r="P192" s="241" t="s">
        <v>229</v>
      </c>
      <c r="Q192" s="235" t="s">
        <v>218</v>
      </c>
      <c r="R192" s="239" t="s">
        <v>219</v>
      </c>
      <c r="S192" s="243" t="s">
        <v>230</v>
      </c>
      <c r="T192" s="1043"/>
    </row>
    <row r="193" spans="1:20" ht="23.4" x14ac:dyDescent="0.3">
      <c r="A193" s="244" t="s">
        <v>111</v>
      </c>
      <c r="B193" s="245" t="s">
        <v>16</v>
      </c>
      <c r="C193" s="474">
        <f>+D193+E193</f>
        <v>0</v>
      </c>
      <c r="D193" s="246">
        <v>0</v>
      </c>
      <c r="E193" s="247">
        <v>0</v>
      </c>
      <c r="F193" s="618">
        <v>15000</v>
      </c>
      <c r="G193" s="475">
        <f>+H193+I193</f>
        <v>0</v>
      </c>
      <c r="H193" s="624">
        <v>0</v>
      </c>
      <c r="I193" s="626">
        <v>0</v>
      </c>
      <c r="J193" s="629">
        <v>0</v>
      </c>
      <c r="K193" s="474">
        <f>+L193-E193</f>
        <v>0</v>
      </c>
      <c r="L193" s="475">
        <f>+J193-D193</f>
        <v>0</v>
      </c>
      <c r="M193" s="476" t="str">
        <f>IFERROR(K193/L193,"-")</f>
        <v>-</v>
      </c>
      <c r="N193" s="477">
        <f>+O193-C193</f>
        <v>0</v>
      </c>
      <c r="O193" s="475">
        <f>+K193</f>
        <v>0</v>
      </c>
      <c r="P193" s="478" t="str">
        <f>IFERROR(N193/O193,"-")</f>
        <v>-</v>
      </c>
      <c r="Q193" s="475" t="str">
        <f>IFERROR(N193-(J193-(J193*H193/G193)),"-")</f>
        <v>-</v>
      </c>
      <c r="R193" s="475">
        <f>+N193</f>
        <v>0</v>
      </c>
      <c r="S193" s="479" t="str">
        <f>IFERROR(Q193/R193,"-")</f>
        <v>-</v>
      </c>
      <c r="T193" s="480" t="str">
        <f>IFERROR(M193*P193*S193,"-")</f>
        <v>-</v>
      </c>
    </row>
    <row r="194" spans="1:20" ht="23.4" x14ac:dyDescent="0.3">
      <c r="A194" s="248" t="s">
        <v>111</v>
      </c>
      <c r="B194" s="249" t="s">
        <v>234</v>
      </c>
      <c r="C194" s="481">
        <f t="shared" ref="C194:C208" si="150">+D194+E194</f>
        <v>0</v>
      </c>
      <c r="D194" s="250">
        <v>0</v>
      </c>
      <c r="E194" s="251">
        <v>0</v>
      </c>
      <c r="F194" s="619">
        <v>100000</v>
      </c>
      <c r="G194" s="483">
        <f t="shared" ref="G194:G199" si="151">+H194+I194</f>
        <v>0</v>
      </c>
      <c r="H194" s="254">
        <v>0</v>
      </c>
      <c r="I194" s="627">
        <v>0</v>
      </c>
      <c r="J194" s="630">
        <v>0</v>
      </c>
      <c r="K194" s="481">
        <f t="shared" ref="K194:K197" si="152">+L194-E194</f>
        <v>0</v>
      </c>
      <c r="L194" s="483">
        <f t="shared" ref="L194:L208" si="153">+J194-D194</f>
        <v>0</v>
      </c>
      <c r="M194" s="484" t="str">
        <f t="shared" ref="M194:M197" si="154">IFERROR(K194/L194,"-")</f>
        <v>-</v>
      </c>
      <c r="N194" s="485">
        <f t="shared" ref="N194:N208" si="155">+O194-C194</f>
        <v>0</v>
      </c>
      <c r="O194" s="483">
        <f t="shared" ref="O194:O208" si="156">+K194</f>
        <v>0</v>
      </c>
      <c r="P194" s="486" t="str">
        <f>IFERROR(N194/O194,"-")</f>
        <v>-</v>
      </c>
      <c r="Q194" s="483" t="str">
        <f t="shared" ref="Q194:Q208" si="157">IFERROR(N194-(J194-(J194*H194/G194)),"-")</f>
        <v>-</v>
      </c>
      <c r="R194" s="483">
        <f t="shared" ref="R194:R208" si="158">+N194</f>
        <v>0</v>
      </c>
      <c r="S194" s="487" t="str">
        <f t="shared" ref="S194:S208" si="159">IFERROR(Q194/R194,"-")</f>
        <v>-</v>
      </c>
      <c r="T194" s="488" t="str">
        <f t="shared" ref="T194:T208" si="160">IFERROR(M194*P194*S194,"-")</f>
        <v>-</v>
      </c>
    </row>
    <row r="195" spans="1:20" ht="23.4" x14ac:dyDescent="0.3">
      <c r="A195" s="248" t="s">
        <v>111</v>
      </c>
      <c r="B195" s="249" t="s">
        <v>233</v>
      </c>
      <c r="C195" s="481">
        <f t="shared" si="150"/>
        <v>0</v>
      </c>
      <c r="D195" s="250">
        <v>0</v>
      </c>
      <c r="E195" s="251">
        <v>0</v>
      </c>
      <c r="F195" s="619">
        <v>80000</v>
      </c>
      <c r="G195" s="483">
        <f t="shared" si="151"/>
        <v>0</v>
      </c>
      <c r="H195" s="254">
        <v>0</v>
      </c>
      <c r="I195" s="627">
        <v>0</v>
      </c>
      <c r="J195" s="630">
        <v>0</v>
      </c>
      <c r="K195" s="481">
        <f t="shared" si="152"/>
        <v>0</v>
      </c>
      <c r="L195" s="483">
        <f t="shared" si="153"/>
        <v>0</v>
      </c>
      <c r="M195" s="484" t="str">
        <f t="shared" si="154"/>
        <v>-</v>
      </c>
      <c r="N195" s="485">
        <f t="shared" si="155"/>
        <v>0</v>
      </c>
      <c r="O195" s="483">
        <f t="shared" si="156"/>
        <v>0</v>
      </c>
      <c r="P195" s="486" t="str">
        <f t="shared" ref="P195:P208" si="161">IFERROR(N195/O195,"-")</f>
        <v>-</v>
      </c>
      <c r="Q195" s="483" t="str">
        <f t="shared" si="157"/>
        <v>-</v>
      </c>
      <c r="R195" s="483">
        <f t="shared" si="158"/>
        <v>0</v>
      </c>
      <c r="S195" s="487" t="str">
        <f t="shared" si="159"/>
        <v>-</v>
      </c>
      <c r="T195" s="488" t="str">
        <f t="shared" si="160"/>
        <v>-</v>
      </c>
    </row>
    <row r="196" spans="1:20" ht="23.4" x14ac:dyDescent="0.3">
      <c r="A196" s="252" t="s">
        <v>111</v>
      </c>
      <c r="B196" s="249" t="s">
        <v>236</v>
      </c>
      <c r="C196" s="481">
        <f t="shared" si="150"/>
        <v>0</v>
      </c>
      <c r="D196" s="250">
        <v>0</v>
      </c>
      <c r="E196" s="251">
        <v>0</v>
      </c>
      <c r="F196" s="619">
        <v>110000</v>
      </c>
      <c r="G196" s="483">
        <f t="shared" si="151"/>
        <v>0</v>
      </c>
      <c r="H196" s="254">
        <v>0</v>
      </c>
      <c r="I196" s="627">
        <v>0</v>
      </c>
      <c r="J196" s="630">
        <v>0</v>
      </c>
      <c r="K196" s="481">
        <f t="shared" si="152"/>
        <v>0</v>
      </c>
      <c r="L196" s="483">
        <f t="shared" si="153"/>
        <v>0</v>
      </c>
      <c r="M196" s="484" t="str">
        <f t="shared" si="154"/>
        <v>-</v>
      </c>
      <c r="N196" s="485">
        <f t="shared" si="155"/>
        <v>0</v>
      </c>
      <c r="O196" s="483">
        <f t="shared" si="156"/>
        <v>0</v>
      </c>
      <c r="P196" s="486" t="str">
        <f t="shared" si="161"/>
        <v>-</v>
      </c>
      <c r="Q196" s="483" t="str">
        <f t="shared" si="157"/>
        <v>-</v>
      </c>
      <c r="R196" s="483">
        <f t="shared" si="158"/>
        <v>0</v>
      </c>
      <c r="S196" s="487" t="str">
        <f t="shared" si="159"/>
        <v>-</v>
      </c>
      <c r="T196" s="488" t="str">
        <f t="shared" si="160"/>
        <v>-</v>
      </c>
    </row>
    <row r="197" spans="1:20" ht="23.4" x14ac:dyDescent="0.3">
      <c r="A197" s="248" t="s">
        <v>111</v>
      </c>
      <c r="B197" s="249" t="s">
        <v>235</v>
      </c>
      <c r="C197" s="481">
        <f t="shared" si="150"/>
        <v>0</v>
      </c>
      <c r="D197" s="250">
        <v>0</v>
      </c>
      <c r="E197" s="251">
        <v>0</v>
      </c>
      <c r="F197" s="619">
        <v>50000</v>
      </c>
      <c r="G197" s="483">
        <f t="shared" si="151"/>
        <v>0</v>
      </c>
      <c r="H197" s="254">
        <v>0</v>
      </c>
      <c r="I197" s="627">
        <v>0</v>
      </c>
      <c r="J197" s="630">
        <v>0</v>
      </c>
      <c r="K197" s="481">
        <f t="shared" si="152"/>
        <v>0</v>
      </c>
      <c r="L197" s="483">
        <f t="shared" si="153"/>
        <v>0</v>
      </c>
      <c r="M197" s="484" t="str">
        <f t="shared" si="154"/>
        <v>-</v>
      </c>
      <c r="N197" s="485">
        <f t="shared" si="155"/>
        <v>0</v>
      </c>
      <c r="O197" s="483">
        <f t="shared" si="156"/>
        <v>0</v>
      </c>
      <c r="P197" s="486" t="str">
        <f t="shared" si="161"/>
        <v>-</v>
      </c>
      <c r="Q197" s="483" t="str">
        <f t="shared" si="157"/>
        <v>-</v>
      </c>
      <c r="R197" s="483">
        <f t="shared" si="158"/>
        <v>0</v>
      </c>
      <c r="S197" s="487" t="str">
        <f t="shared" si="159"/>
        <v>-</v>
      </c>
      <c r="T197" s="488" t="str">
        <f t="shared" si="160"/>
        <v>-</v>
      </c>
    </row>
    <row r="198" spans="1:20" ht="23.4" x14ac:dyDescent="0.3">
      <c r="A198" s="248">
        <v>5</v>
      </c>
      <c r="B198" s="249" t="s">
        <v>22</v>
      </c>
      <c r="C198" s="481">
        <f t="shared" si="150"/>
        <v>0</v>
      </c>
      <c r="D198" s="250">
        <v>0</v>
      </c>
      <c r="E198" s="251">
        <v>0</v>
      </c>
      <c r="F198" s="619">
        <v>80000</v>
      </c>
      <c r="G198" s="483">
        <f t="shared" si="151"/>
        <v>0</v>
      </c>
      <c r="H198" s="254">
        <v>0</v>
      </c>
      <c r="I198" s="627">
        <v>0</v>
      </c>
      <c r="J198" s="630">
        <v>0</v>
      </c>
      <c r="K198" s="481">
        <f>+L198-E198</f>
        <v>0</v>
      </c>
      <c r="L198" s="483">
        <f t="shared" si="153"/>
        <v>0</v>
      </c>
      <c r="M198" s="484" t="str">
        <f>IFERROR(K198/L198,"-")</f>
        <v>-</v>
      </c>
      <c r="N198" s="485">
        <f t="shared" si="155"/>
        <v>0</v>
      </c>
      <c r="O198" s="483">
        <f t="shared" si="156"/>
        <v>0</v>
      </c>
      <c r="P198" s="486" t="str">
        <f t="shared" si="161"/>
        <v>-</v>
      </c>
      <c r="Q198" s="483" t="str">
        <f t="shared" si="157"/>
        <v>-</v>
      </c>
      <c r="R198" s="483">
        <f t="shared" si="158"/>
        <v>0</v>
      </c>
      <c r="S198" s="487" t="str">
        <f t="shared" si="159"/>
        <v>-</v>
      </c>
      <c r="T198" s="488" t="str">
        <f t="shared" si="160"/>
        <v>-</v>
      </c>
    </row>
    <row r="199" spans="1:20" ht="23.4" x14ac:dyDescent="0.3">
      <c r="A199" s="248" t="s">
        <v>111</v>
      </c>
      <c r="B199" s="249" t="s">
        <v>23</v>
      </c>
      <c r="C199" s="481">
        <f t="shared" si="150"/>
        <v>0</v>
      </c>
      <c r="D199" s="250">
        <v>0</v>
      </c>
      <c r="E199" s="251">
        <v>0</v>
      </c>
      <c r="F199" s="619">
        <v>14000</v>
      </c>
      <c r="G199" s="483">
        <f t="shared" si="151"/>
        <v>0</v>
      </c>
      <c r="H199" s="254">
        <v>0</v>
      </c>
      <c r="I199" s="627">
        <v>0</v>
      </c>
      <c r="J199" s="630">
        <v>0</v>
      </c>
      <c r="K199" s="481">
        <f t="shared" ref="K199:K208" si="162">+L199-E199</f>
        <v>0</v>
      </c>
      <c r="L199" s="483">
        <f t="shared" si="153"/>
        <v>0</v>
      </c>
      <c r="M199" s="484" t="str">
        <f t="shared" ref="M199:M208" si="163">IFERROR(K199/L199,"-")</f>
        <v>-</v>
      </c>
      <c r="N199" s="485">
        <f t="shared" si="155"/>
        <v>0</v>
      </c>
      <c r="O199" s="483">
        <f t="shared" si="156"/>
        <v>0</v>
      </c>
      <c r="P199" s="486" t="str">
        <f t="shared" si="161"/>
        <v>-</v>
      </c>
      <c r="Q199" s="483" t="str">
        <f t="shared" si="157"/>
        <v>-</v>
      </c>
      <c r="R199" s="483">
        <f t="shared" si="158"/>
        <v>0</v>
      </c>
      <c r="S199" s="487" t="str">
        <f t="shared" si="159"/>
        <v>-</v>
      </c>
      <c r="T199" s="488" t="str">
        <f t="shared" si="160"/>
        <v>-</v>
      </c>
    </row>
    <row r="200" spans="1:20" ht="23.4" x14ac:dyDescent="0.3">
      <c r="A200" s="248" t="s">
        <v>111</v>
      </c>
      <c r="B200" s="253" t="s">
        <v>231</v>
      </c>
      <c r="C200" s="489">
        <f t="shared" si="150"/>
        <v>80</v>
      </c>
      <c r="D200" s="250">
        <v>60</v>
      </c>
      <c r="E200" s="251">
        <v>20</v>
      </c>
      <c r="F200" s="619">
        <v>4500</v>
      </c>
      <c r="G200" s="483">
        <f>+H200+I200</f>
        <v>9835</v>
      </c>
      <c r="H200" s="254">
        <v>9780</v>
      </c>
      <c r="I200" s="322">
        <v>55</v>
      </c>
      <c r="J200" s="630">
        <v>480</v>
      </c>
      <c r="K200" s="489">
        <f t="shared" si="162"/>
        <v>400</v>
      </c>
      <c r="L200" s="250">
        <f t="shared" si="153"/>
        <v>420</v>
      </c>
      <c r="M200" s="490">
        <f t="shared" si="163"/>
        <v>0.95238095238095233</v>
      </c>
      <c r="N200" s="491">
        <f t="shared" si="155"/>
        <v>320</v>
      </c>
      <c r="O200" s="250">
        <f t="shared" si="156"/>
        <v>400</v>
      </c>
      <c r="P200" s="492">
        <f t="shared" si="161"/>
        <v>0.8</v>
      </c>
      <c r="Q200" s="250">
        <f t="shared" si="157"/>
        <v>317.3157092018302</v>
      </c>
      <c r="R200" s="250">
        <f t="shared" si="158"/>
        <v>320</v>
      </c>
      <c r="S200" s="493">
        <f t="shared" si="159"/>
        <v>0.9916115912557194</v>
      </c>
      <c r="T200" s="494">
        <f t="shared" si="160"/>
        <v>0.75551359333769097</v>
      </c>
    </row>
    <row r="201" spans="1:20" ht="24" thickBot="1" x14ac:dyDescent="0.35">
      <c r="A201" s="255" t="s">
        <v>111</v>
      </c>
      <c r="B201" s="256" t="s">
        <v>232</v>
      </c>
      <c r="C201" s="495">
        <f t="shared" si="150"/>
        <v>330</v>
      </c>
      <c r="D201" s="257">
        <v>270</v>
      </c>
      <c r="E201" s="258">
        <v>60</v>
      </c>
      <c r="F201" s="625">
        <v>5000</v>
      </c>
      <c r="G201" s="505">
        <f t="shared" ref="G201:G208" si="164">+H201+I201</f>
        <v>10429</v>
      </c>
      <c r="H201" s="259">
        <v>10389</v>
      </c>
      <c r="I201" s="628">
        <v>40</v>
      </c>
      <c r="J201" s="633">
        <v>480</v>
      </c>
      <c r="K201" s="495">
        <f t="shared" si="162"/>
        <v>150</v>
      </c>
      <c r="L201" s="257">
        <f t="shared" si="153"/>
        <v>210</v>
      </c>
      <c r="M201" s="496">
        <f t="shared" si="163"/>
        <v>0.7142857142857143</v>
      </c>
      <c r="N201" s="497">
        <f t="shared" si="155"/>
        <v>-180</v>
      </c>
      <c r="O201" s="257">
        <f t="shared" si="156"/>
        <v>150</v>
      </c>
      <c r="P201" s="498">
        <f t="shared" si="161"/>
        <v>-1.2</v>
      </c>
      <c r="Q201" s="257">
        <f t="shared" si="157"/>
        <v>-181.84102023204525</v>
      </c>
      <c r="R201" s="257">
        <f t="shared" si="158"/>
        <v>-180</v>
      </c>
      <c r="S201" s="499">
        <f t="shared" si="159"/>
        <v>1.0102278901780293</v>
      </c>
      <c r="T201" s="500">
        <f t="shared" si="160"/>
        <v>-0.86590962015259643</v>
      </c>
    </row>
    <row r="202" spans="1:20" ht="23.4" x14ac:dyDescent="0.3">
      <c r="A202" s="252" t="s">
        <v>109</v>
      </c>
      <c r="B202" s="260" t="s">
        <v>29</v>
      </c>
      <c r="C202" s="481">
        <f t="shared" si="150"/>
        <v>0</v>
      </c>
      <c r="D202" s="250">
        <v>0</v>
      </c>
      <c r="E202" s="251">
        <v>0</v>
      </c>
      <c r="F202" s="482">
        <v>80000</v>
      </c>
      <c r="G202" s="483">
        <f t="shared" si="164"/>
        <v>0</v>
      </c>
      <c r="H202" s="254">
        <v>0</v>
      </c>
      <c r="I202" s="627">
        <v>0</v>
      </c>
      <c r="J202" s="629">
        <v>0</v>
      </c>
      <c r="K202" s="481">
        <f t="shared" si="162"/>
        <v>0</v>
      </c>
      <c r="L202" s="483">
        <f t="shared" si="153"/>
        <v>0</v>
      </c>
      <c r="M202" s="484" t="str">
        <f t="shared" si="163"/>
        <v>-</v>
      </c>
      <c r="N202" s="485">
        <f t="shared" si="155"/>
        <v>0</v>
      </c>
      <c r="O202" s="483">
        <f t="shared" si="156"/>
        <v>0</v>
      </c>
      <c r="P202" s="486" t="str">
        <f t="shared" si="161"/>
        <v>-</v>
      </c>
      <c r="Q202" s="483" t="str">
        <f t="shared" si="157"/>
        <v>-</v>
      </c>
      <c r="R202" s="483">
        <f t="shared" si="158"/>
        <v>0</v>
      </c>
      <c r="S202" s="501" t="str">
        <f t="shared" si="159"/>
        <v>-</v>
      </c>
      <c r="T202" s="502" t="str">
        <f t="shared" si="160"/>
        <v>-</v>
      </c>
    </row>
    <row r="203" spans="1:20" ht="23.4" x14ac:dyDescent="0.3">
      <c r="A203" s="248" t="s">
        <v>109</v>
      </c>
      <c r="B203" s="260" t="s">
        <v>31</v>
      </c>
      <c r="C203" s="481">
        <f t="shared" si="150"/>
        <v>0</v>
      </c>
      <c r="D203" s="250">
        <v>0</v>
      </c>
      <c r="E203" s="251">
        <v>0</v>
      </c>
      <c r="F203" s="482">
        <v>50000</v>
      </c>
      <c r="G203" s="483">
        <f t="shared" si="164"/>
        <v>0</v>
      </c>
      <c r="H203" s="254">
        <v>0</v>
      </c>
      <c r="I203" s="627">
        <v>0</v>
      </c>
      <c r="J203" s="630">
        <v>0</v>
      </c>
      <c r="K203" s="481">
        <f t="shared" si="162"/>
        <v>0</v>
      </c>
      <c r="L203" s="483">
        <f t="shared" si="153"/>
        <v>0</v>
      </c>
      <c r="M203" s="484" t="str">
        <f t="shared" si="163"/>
        <v>-</v>
      </c>
      <c r="N203" s="485">
        <f t="shared" si="155"/>
        <v>0</v>
      </c>
      <c r="O203" s="483">
        <f t="shared" si="156"/>
        <v>0</v>
      </c>
      <c r="P203" s="486" t="str">
        <f t="shared" si="161"/>
        <v>-</v>
      </c>
      <c r="Q203" s="483" t="str">
        <f t="shared" si="157"/>
        <v>-</v>
      </c>
      <c r="R203" s="483">
        <f t="shared" si="158"/>
        <v>0</v>
      </c>
      <c r="S203" s="501" t="str">
        <f t="shared" si="159"/>
        <v>-</v>
      </c>
      <c r="T203" s="502" t="str">
        <f t="shared" si="160"/>
        <v>-</v>
      </c>
    </row>
    <row r="204" spans="1:20" ht="24" thickBot="1" x14ac:dyDescent="0.35">
      <c r="A204" s="255" t="s">
        <v>109</v>
      </c>
      <c r="B204" s="261" t="s">
        <v>32</v>
      </c>
      <c r="C204" s="503">
        <f t="shared" si="150"/>
        <v>0</v>
      </c>
      <c r="D204" s="257">
        <v>0</v>
      </c>
      <c r="E204" s="258">
        <v>0</v>
      </c>
      <c r="F204" s="504">
        <v>110000</v>
      </c>
      <c r="G204" s="505">
        <f t="shared" si="164"/>
        <v>0</v>
      </c>
      <c r="H204" s="259">
        <v>0</v>
      </c>
      <c r="I204" s="705">
        <v>0</v>
      </c>
      <c r="J204" s="633">
        <v>0</v>
      </c>
      <c r="K204" s="503">
        <f t="shared" si="162"/>
        <v>0</v>
      </c>
      <c r="L204" s="505">
        <f t="shared" si="153"/>
        <v>0</v>
      </c>
      <c r="M204" s="506" t="str">
        <f t="shared" si="163"/>
        <v>-</v>
      </c>
      <c r="N204" s="507">
        <f t="shared" si="155"/>
        <v>0</v>
      </c>
      <c r="O204" s="505">
        <f t="shared" si="156"/>
        <v>0</v>
      </c>
      <c r="P204" s="508" t="str">
        <f t="shared" si="161"/>
        <v>-</v>
      </c>
      <c r="Q204" s="505" t="str">
        <f t="shared" si="157"/>
        <v>-</v>
      </c>
      <c r="R204" s="505">
        <f t="shared" si="158"/>
        <v>0</v>
      </c>
      <c r="S204" s="509" t="str">
        <f t="shared" si="159"/>
        <v>-</v>
      </c>
      <c r="T204" s="510" t="str">
        <f t="shared" si="160"/>
        <v>-</v>
      </c>
    </row>
    <row r="205" spans="1:20" ht="23.4" x14ac:dyDescent="0.3">
      <c r="A205" s="248" t="s">
        <v>110</v>
      </c>
      <c r="B205" s="249" t="s">
        <v>238</v>
      </c>
      <c r="C205" s="481">
        <f t="shared" si="150"/>
        <v>0</v>
      </c>
      <c r="D205" s="250">
        <v>0</v>
      </c>
      <c r="E205" s="251">
        <v>0</v>
      </c>
      <c r="F205" s="482">
        <v>6500</v>
      </c>
      <c r="G205" s="483">
        <f t="shared" si="164"/>
        <v>0</v>
      </c>
      <c r="H205" s="482">
        <v>0</v>
      </c>
      <c r="I205" s="631">
        <v>0</v>
      </c>
      <c r="J205" s="630">
        <v>0</v>
      </c>
      <c r="K205" s="481">
        <f t="shared" si="162"/>
        <v>0</v>
      </c>
      <c r="L205" s="483">
        <f t="shared" si="153"/>
        <v>0</v>
      </c>
      <c r="M205" s="484" t="str">
        <f t="shared" si="163"/>
        <v>-</v>
      </c>
      <c r="N205" s="485">
        <f t="shared" si="155"/>
        <v>0</v>
      </c>
      <c r="O205" s="483">
        <f t="shared" si="156"/>
        <v>0</v>
      </c>
      <c r="P205" s="486" t="str">
        <f t="shared" si="161"/>
        <v>-</v>
      </c>
      <c r="Q205" s="483" t="str">
        <f t="shared" si="157"/>
        <v>-</v>
      </c>
      <c r="R205" s="483">
        <f t="shared" si="158"/>
        <v>0</v>
      </c>
      <c r="S205" s="501" t="str">
        <f t="shared" si="159"/>
        <v>-</v>
      </c>
      <c r="T205" s="502" t="str">
        <f t="shared" si="160"/>
        <v>-</v>
      </c>
    </row>
    <row r="206" spans="1:20" ht="23.4" x14ac:dyDescent="0.3">
      <c r="A206" s="252" t="s">
        <v>110</v>
      </c>
      <c r="B206" s="249" t="s">
        <v>40</v>
      </c>
      <c r="C206" s="481">
        <f t="shared" si="150"/>
        <v>0</v>
      </c>
      <c r="D206" s="250">
        <v>0</v>
      </c>
      <c r="E206" s="251">
        <v>0</v>
      </c>
      <c r="F206" s="482">
        <v>2800</v>
      </c>
      <c r="G206" s="483">
        <f t="shared" si="164"/>
        <v>0</v>
      </c>
      <c r="H206" s="482"/>
      <c r="I206" s="631"/>
      <c r="J206" s="630">
        <v>0</v>
      </c>
      <c r="K206" s="481">
        <f t="shared" si="162"/>
        <v>0</v>
      </c>
      <c r="L206" s="483">
        <f t="shared" si="153"/>
        <v>0</v>
      </c>
      <c r="M206" s="484" t="str">
        <f t="shared" si="163"/>
        <v>-</v>
      </c>
      <c r="N206" s="485">
        <f t="shared" si="155"/>
        <v>0</v>
      </c>
      <c r="O206" s="483">
        <f t="shared" si="156"/>
        <v>0</v>
      </c>
      <c r="P206" s="486" t="str">
        <f t="shared" si="161"/>
        <v>-</v>
      </c>
      <c r="Q206" s="483" t="str">
        <f t="shared" si="157"/>
        <v>-</v>
      </c>
      <c r="R206" s="483">
        <f t="shared" si="158"/>
        <v>0</v>
      </c>
      <c r="S206" s="501" t="str">
        <f t="shared" si="159"/>
        <v>-</v>
      </c>
      <c r="T206" s="502" t="str">
        <f t="shared" si="160"/>
        <v>-</v>
      </c>
    </row>
    <row r="207" spans="1:20" ht="23.4" x14ac:dyDescent="0.3">
      <c r="A207" s="248" t="s">
        <v>110</v>
      </c>
      <c r="B207" s="249" t="s">
        <v>42</v>
      </c>
      <c r="C207" s="481">
        <f t="shared" si="150"/>
        <v>0</v>
      </c>
      <c r="D207" s="250">
        <v>0</v>
      </c>
      <c r="E207" s="251">
        <v>0</v>
      </c>
      <c r="F207" s="482">
        <v>25000</v>
      </c>
      <c r="G207" s="483">
        <f t="shared" si="164"/>
        <v>0</v>
      </c>
      <c r="H207" s="482">
        <v>0</v>
      </c>
      <c r="I207" s="631">
        <v>0</v>
      </c>
      <c r="J207" s="630">
        <v>0</v>
      </c>
      <c r="K207" s="481">
        <f t="shared" si="162"/>
        <v>0</v>
      </c>
      <c r="L207" s="483">
        <f t="shared" si="153"/>
        <v>0</v>
      </c>
      <c r="M207" s="484" t="str">
        <f t="shared" si="163"/>
        <v>-</v>
      </c>
      <c r="N207" s="485">
        <f t="shared" si="155"/>
        <v>0</v>
      </c>
      <c r="O207" s="483">
        <f t="shared" si="156"/>
        <v>0</v>
      </c>
      <c r="P207" s="486" t="str">
        <f t="shared" si="161"/>
        <v>-</v>
      </c>
      <c r="Q207" s="483" t="str">
        <f t="shared" si="157"/>
        <v>-</v>
      </c>
      <c r="R207" s="483">
        <f t="shared" si="158"/>
        <v>0</v>
      </c>
      <c r="S207" s="501" t="str">
        <f t="shared" si="159"/>
        <v>-</v>
      </c>
      <c r="T207" s="502" t="str">
        <f t="shared" si="160"/>
        <v>-</v>
      </c>
    </row>
    <row r="208" spans="1:20" ht="47.4" thickBot="1" x14ac:dyDescent="0.35">
      <c r="A208" s="635" t="s">
        <v>110</v>
      </c>
      <c r="B208" s="261" t="s">
        <v>237</v>
      </c>
      <c r="C208" s="636">
        <f t="shared" si="150"/>
        <v>0</v>
      </c>
      <c r="D208" s="637">
        <v>0</v>
      </c>
      <c r="E208" s="638">
        <v>0</v>
      </c>
      <c r="F208" s="639">
        <v>25000</v>
      </c>
      <c r="G208" s="640">
        <f t="shared" si="164"/>
        <v>0</v>
      </c>
      <c r="H208" s="639">
        <v>0</v>
      </c>
      <c r="I208" s="641">
        <v>0</v>
      </c>
      <c r="J208" s="634">
        <v>0</v>
      </c>
      <c r="K208" s="636">
        <f t="shared" si="162"/>
        <v>0</v>
      </c>
      <c r="L208" s="640">
        <f t="shared" si="153"/>
        <v>0</v>
      </c>
      <c r="M208" s="642" t="str">
        <f t="shared" si="163"/>
        <v>-</v>
      </c>
      <c r="N208" s="643">
        <f t="shared" si="155"/>
        <v>0</v>
      </c>
      <c r="O208" s="640">
        <f t="shared" si="156"/>
        <v>0</v>
      </c>
      <c r="P208" s="644" t="str">
        <f t="shared" si="161"/>
        <v>-</v>
      </c>
      <c r="Q208" s="640" t="str">
        <f t="shared" si="157"/>
        <v>-</v>
      </c>
      <c r="R208" s="640">
        <f t="shared" si="158"/>
        <v>0</v>
      </c>
      <c r="S208" s="645" t="str">
        <f t="shared" si="159"/>
        <v>-</v>
      </c>
      <c r="T208" s="646" t="str">
        <f t="shared" si="160"/>
        <v>-</v>
      </c>
    </row>
    <row r="209" spans="1:20" ht="23.4" x14ac:dyDescent="0.3">
      <c r="A209" s="935" t="s">
        <v>1</v>
      </c>
      <c r="B209" s="944" t="s">
        <v>2</v>
      </c>
      <c r="C209" s="944" t="s">
        <v>226</v>
      </c>
      <c r="D209" s="945"/>
      <c r="E209" s="946"/>
      <c r="F209" s="944" t="s">
        <v>460</v>
      </c>
      <c r="G209" s="945"/>
      <c r="H209" s="945"/>
      <c r="I209" s="946"/>
      <c r="J209" s="1040" t="s">
        <v>223</v>
      </c>
      <c r="K209" s="944" t="s">
        <v>211</v>
      </c>
      <c r="L209" s="945"/>
      <c r="M209" s="946"/>
      <c r="N209" s="945" t="s">
        <v>212</v>
      </c>
      <c r="O209" s="945"/>
      <c r="P209" s="946"/>
      <c r="Q209" s="944" t="s">
        <v>213</v>
      </c>
      <c r="R209" s="945"/>
      <c r="S209" s="945"/>
      <c r="T209" s="1042" t="s">
        <v>210</v>
      </c>
    </row>
    <row r="210" spans="1:20" ht="87.6" thickBot="1" x14ac:dyDescent="0.35">
      <c r="A210" s="1038"/>
      <c r="B210" s="1039"/>
      <c r="C210" s="235" t="s">
        <v>227</v>
      </c>
      <c r="D210" s="236" t="s">
        <v>224</v>
      </c>
      <c r="E210" s="237" t="s">
        <v>225</v>
      </c>
      <c r="F210" s="238" t="s">
        <v>382</v>
      </c>
      <c r="G210" s="236" t="s">
        <v>220</v>
      </c>
      <c r="H210" s="239" t="s">
        <v>221</v>
      </c>
      <c r="I210" s="240" t="s">
        <v>222</v>
      </c>
      <c r="J210" s="1041"/>
      <c r="K210" s="235" t="s">
        <v>214</v>
      </c>
      <c r="L210" s="239" t="s">
        <v>215</v>
      </c>
      <c r="M210" s="241" t="s">
        <v>228</v>
      </c>
      <c r="N210" s="242" t="s">
        <v>216</v>
      </c>
      <c r="O210" s="239" t="s">
        <v>217</v>
      </c>
      <c r="P210" s="241" t="s">
        <v>229</v>
      </c>
      <c r="Q210" s="235" t="s">
        <v>218</v>
      </c>
      <c r="R210" s="239" t="s">
        <v>219</v>
      </c>
      <c r="S210" s="243" t="s">
        <v>230</v>
      </c>
      <c r="T210" s="1043"/>
    </row>
    <row r="211" spans="1:20" ht="23.4" x14ac:dyDescent="0.3">
      <c r="A211" s="244" t="s">
        <v>111</v>
      </c>
      <c r="B211" s="245" t="s">
        <v>16</v>
      </c>
      <c r="C211" s="474">
        <f>+D211+E211</f>
        <v>0</v>
      </c>
      <c r="D211" s="246">
        <v>0</v>
      </c>
      <c r="E211" s="247">
        <v>0</v>
      </c>
      <c r="F211" s="618">
        <v>15000</v>
      </c>
      <c r="G211" s="475">
        <f>+H211+I211</f>
        <v>0</v>
      </c>
      <c r="H211" s="624">
        <v>0</v>
      </c>
      <c r="I211" s="626">
        <v>0</v>
      </c>
      <c r="J211" s="629">
        <v>480</v>
      </c>
      <c r="K211" s="474">
        <f>+L211-E211</f>
        <v>480</v>
      </c>
      <c r="L211" s="475">
        <f>+J211-D211</f>
        <v>480</v>
      </c>
      <c r="M211" s="476">
        <f>IFERROR(K211/L211,"-")</f>
        <v>1</v>
      </c>
      <c r="N211" s="477">
        <f>+O211-C211</f>
        <v>480</v>
      </c>
      <c r="O211" s="475">
        <f>+K211</f>
        <v>480</v>
      </c>
      <c r="P211" s="478">
        <f>IFERROR(N211/O211,"-")</f>
        <v>1</v>
      </c>
      <c r="Q211" s="475" t="str">
        <f>IFERROR(N211-(J211-(J211*H211/G211)),"-")</f>
        <v>-</v>
      </c>
      <c r="R211" s="475">
        <f>+N211</f>
        <v>480</v>
      </c>
      <c r="S211" s="479" t="str">
        <f>IFERROR(Q211/R211,"-")</f>
        <v>-</v>
      </c>
      <c r="T211" s="480" t="str">
        <f>IFERROR(M211*P211*S211,"-")</f>
        <v>-</v>
      </c>
    </row>
    <row r="212" spans="1:20" ht="23.4" x14ac:dyDescent="0.3">
      <c r="A212" s="248" t="s">
        <v>111</v>
      </c>
      <c r="B212" s="249" t="s">
        <v>234</v>
      </c>
      <c r="C212" s="481">
        <f t="shared" ref="C212:C226" si="165">+D212+E212</f>
        <v>360</v>
      </c>
      <c r="D212" s="250">
        <v>60</v>
      </c>
      <c r="E212" s="251">
        <v>300</v>
      </c>
      <c r="F212" s="619">
        <v>100000</v>
      </c>
      <c r="G212" s="483">
        <f t="shared" ref="G212:G217" si="166">+H212+I212</f>
        <v>147198</v>
      </c>
      <c r="H212" s="254">
        <v>146880</v>
      </c>
      <c r="I212" s="627">
        <v>318</v>
      </c>
      <c r="J212" s="630">
        <v>960</v>
      </c>
      <c r="K212" s="481">
        <f t="shared" ref="K212:K215" si="167">+L212-E212</f>
        <v>600</v>
      </c>
      <c r="L212" s="483">
        <f t="shared" ref="L212:L226" si="168">+J212-D212</f>
        <v>900</v>
      </c>
      <c r="M212" s="484">
        <f t="shared" ref="M212:M215" si="169">IFERROR(K212/L212,"-")</f>
        <v>0.66666666666666663</v>
      </c>
      <c r="N212" s="485">
        <f t="shared" ref="N212:N226" si="170">+O212-C212</f>
        <v>240</v>
      </c>
      <c r="O212" s="483">
        <f t="shared" ref="O212:O226" si="171">+K212</f>
        <v>600</v>
      </c>
      <c r="P212" s="486">
        <f>IFERROR(N212/O212,"-")</f>
        <v>0.4</v>
      </c>
      <c r="Q212" s="483">
        <f t="shared" ref="Q212:Q226" si="172">IFERROR(N212-(J212-(J212*H212/G212)),"-")</f>
        <v>237.92605877797257</v>
      </c>
      <c r="R212" s="483">
        <f t="shared" ref="R212:R226" si="173">+N212</f>
        <v>240</v>
      </c>
      <c r="S212" s="487">
        <f t="shared" ref="S212:S226" si="174">IFERROR(Q212/R212,"-")</f>
        <v>0.99135857824155238</v>
      </c>
      <c r="T212" s="488">
        <f t="shared" ref="T212:T226" si="175">IFERROR(M212*P212*S212,"-")</f>
        <v>0.26436228753108065</v>
      </c>
    </row>
    <row r="213" spans="1:20" ht="23.4" x14ac:dyDescent="0.3">
      <c r="A213" s="248" t="s">
        <v>111</v>
      </c>
      <c r="B213" s="249" t="s">
        <v>233</v>
      </c>
      <c r="C213" s="481">
        <f t="shared" si="165"/>
        <v>0</v>
      </c>
      <c r="D213" s="250">
        <v>0</v>
      </c>
      <c r="E213" s="251">
        <v>0</v>
      </c>
      <c r="F213" s="619">
        <v>80000</v>
      </c>
      <c r="G213" s="483">
        <f t="shared" si="166"/>
        <v>0</v>
      </c>
      <c r="H213" s="254">
        <v>0</v>
      </c>
      <c r="I213" s="627">
        <v>0</v>
      </c>
      <c r="J213" s="630">
        <v>0</v>
      </c>
      <c r="K213" s="481">
        <f t="shared" si="167"/>
        <v>0</v>
      </c>
      <c r="L213" s="483">
        <f t="shared" si="168"/>
        <v>0</v>
      </c>
      <c r="M213" s="484" t="str">
        <f t="shared" si="169"/>
        <v>-</v>
      </c>
      <c r="N213" s="485">
        <f t="shared" si="170"/>
        <v>0</v>
      </c>
      <c r="O213" s="483">
        <f t="shared" si="171"/>
        <v>0</v>
      </c>
      <c r="P213" s="486" t="str">
        <f t="shared" ref="P213:P226" si="176">IFERROR(N213/O213,"-")</f>
        <v>-</v>
      </c>
      <c r="Q213" s="483" t="str">
        <f t="shared" si="172"/>
        <v>-</v>
      </c>
      <c r="R213" s="483">
        <f t="shared" si="173"/>
        <v>0</v>
      </c>
      <c r="S213" s="487" t="str">
        <f t="shared" si="174"/>
        <v>-</v>
      </c>
      <c r="T213" s="488" t="str">
        <f t="shared" si="175"/>
        <v>-</v>
      </c>
    </row>
    <row r="214" spans="1:20" ht="23.4" x14ac:dyDescent="0.3">
      <c r="A214" s="252" t="s">
        <v>111</v>
      </c>
      <c r="B214" s="249" t="s">
        <v>236</v>
      </c>
      <c r="C214" s="481">
        <f t="shared" si="165"/>
        <v>0</v>
      </c>
      <c r="D214" s="250">
        <v>0</v>
      </c>
      <c r="E214" s="251">
        <v>0</v>
      </c>
      <c r="F214" s="619">
        <v>110000</v>
      </c>
      <c r="G214" s="483">
        <f t="shared" si="166"/>
        <v>42610</v>
      </c>
      <c r="H214" s="254">
        <v>42240</v>
      </c>
      <c r="I214" s="627">
        <v>370</v>
      </c>
      <c r="J214" s="630">
        <v>600</v>
      </c>
      <c r="K214" s="481">
        <f t="shared" si="167"/>
        <v>600</v>
      </c>
      <c r="L214" s="483">
        <f t="shared" si="168"/>
        <v>600</v>
      </c>
      <c r="M214" s="484">
        <f t="shared" si="169"/>
        <v>1</v>
      </c>
      <c r="N214" s="485">
        <f t="shared" si="170"/>
        <v>600</v>
      </c>
      <c r="O214" s="483">
        <f t="shared" si="171"/>
        <v>600</v>
      </c>
      <c r="P214" s="486">
        <f t="shared" si="176"/>
        <v>1</v>
      </c>
      <c r="Q214" s="483">
        <f t="shared" si="172"/>
        <v>594.78995540952826</v>
      </c>
      <c r="R214" s="483">
        <f t="shared" si="173"/>
        <v>600</v>
      </c>
      <c r="S214" s="487">
        <f t="shared" si="174"/>
        <v>0.99131659234921377</v>
      </c>
      <c r="T214" s="488">
        <f t="shared" si="175"/>
        <v>0.99131659234921377</v>
      </c>
    </row>
    <row r="215" spans="1:20" ht="23.4" x14ac:dyDescent="0.3">
      <c r="A215" s="248" t="s">
        <v>111</v>
      </c>
      <c r="B215" s="249" t="s">
        <v>235</v>
      </c>
      <c r="C215" s="481">
        <f t="shared" si="165"/>
        <v>0</v>
      </c>
      <c r="D215" s="250">
        <v>0</v>
      </c>
      <c r="E215" s="251">
        <v>0</v>
      </c>
      <c r="F215" s="619">
        <v>50000</v>
      </c>
      <c r="G215" s="483">
        <f t="shared" si="166"/>
        <v>0</v>
      </c>
      <c r="H215" s="254">
        <v>0</v>
      </c>
      <c r="I215" s="627">
        <v>0</v>
      </c>
      <c r="J215" s="630">
        <v>0</v>
      </c>
      <c r="K215" s="481">
        <f t="shared" si="167"/>
        <v>0</v>
      </c>
      <c r="L215" s="483">
        <f t="shared" si="168"/>
        <v>0</v>
      </c>
      <c r="M215" s="484" t="str">
        <f t="shared" si="169"/>
        <v>-</v>
      </c>
      <c r="N215" s="485">
        <f t="shared" si="170"/>
        <v>0</v>
      </c>
      <c r="O215" s="483">
        <f t="shared" si="171"/>
        <v>0</v>
      </c>
      <c r="P215" s="486" t="str">
        <f t="shared" si="176"/>
        <v>-</v>
      </c>
      <c r="Q215" s="483" t="str">
        <f t="shared" si="172"/>
        <v>-</v>
      </c>
      <c r="R215" s="483">
        <f t="shared" si="173"/>
        <v>0</v>
      </c>
      <c r="S215" s="487" t="str">
        <f t="shared" si="174"/>
        <v>-</v>
      </c>
      <c r="T215" s="488" t="str">
        <f t="shared" si="175"/>
        <v>-</v>
      </c>
    </row>
    <row r="216" spans="1:20" ht="23.4" x14ac:dyDescent="0.3">
      <c r="A216" s="248">
        <v>5</v>
      </c>
      <c r="B216" s="249" t="s">
        <v>22</v>
      </c>
      <c r="C216" s="481">
        <f t="shared" si="165"/>
        <v>480</v>
      </c>
      <c r="D216" s="250">
        <v>30</v>
      </c>
      <c r="E216" s="251">
        <v>450</v>
      </c>
      <c r="F216" s="619">
        <v>80000</v>
      </c>
      <c r="G216" s="483">
        <f t="shared" si="166"/>
        <v>0</v>
      </c>
      <c r="H216" s="254">
        <v>0</v>
      </c>
      <c r="I216" s="627">
        <v>0</v>
      </c>
      <c r="J216" s="630">
        <v>0</v>
      </c>
      <c r="K216" s="481">
        <f>+L216-E216</f>
        <v>-480</v>
      </c>
      <c r="L216" s="483">
        <f t="shared" si="168"/>
        <v>-30</v>
      </c>
      <c r="M216" s="484">
        <f>IFERROR(K216/L216,"-")</f>
        <v>16</v>
      </c>
      <c r="N216" s="485">
        <f t="shared" si="170"/>
        <v>-960</v>
      </c>
      <c r="O216" s="483">
        <f t="shared" si="171"/>
        <v>-480</v>
      </c>
      <c r="P216" s="486">
        <f t="shared" si="176"/>
        <v>2</v>
      </c>
      <c r="Q216" s="483" t="str">
        <f t="shared" si="172"/>
        <v>-</v>
      </c>
      <c r="R216" s="483">
        <f t="shared" si="173"/>
        <v>-960</v>
      </c>
      <c r="S216" s="487" t="str">
        <f t="shared" si="174"/>
        <v>-</v>
      </c>
      <c r="T216" s="488" t="str">
        <f t="shared" si="175"/>
        <v>-</v>
      </c>
    </row>
    <row r="217" spans="1:20" ht="23.4" x14ac:dyDescent="0.3">
      <c r="A217" s="248" t="s">
        <v>111</v>
      </c>
      <c r="B217" s="249" t="s">
        <v>23</v>
      </c>
      <c r="C217" s="481">
        <f t="shared" si="165"/>
        <v>135</v>
      </c>
      <c r="D217" s="250">
        <v>30</v>
      </c>
      <c r="E217" s="251">
        <v>105</v>
      </c>
      <c r="F217" s="619">
        <v>14000</v>
      </c>
      <c r="G217" s="483">
        <f t="shared" si="166"/>
        <v>11931</v>
      </c>
      <c r="H217" s="254">
        <v>11776</v>
      </c>
      <c r="I217" s="627">
        <v>155</v>
      </c>
      <c r="J217" s="630">
        <v>480</v>
      </c>
      <c r="K217" s="481">
        <f t="shared" ref="K217:K226" si="177">+L217-E217</f>
        <v>345</v>
      </c>
      <c r="L217" s="483">
        <f t="shared" si="168"/>
        <v>450</v>
      </c>
      <c r="M217" s="484">
        <f t="shared" ref="M217:M226" si="178">IFERROR(K217/L217,"-")</f>
        <v>0.76666666666666672</v>
      </c>
      <c r="N217" s="485">
        <f t="shared" si="170"/>
        <v>210</v>
      </c>
      <c r="O217" s="483">
        <f t="shared" si="171"/>
        <v>345</v>
      </c>
      <c r="P217" s="486">
        <f t="shared" si="176"/>
        <v>0.60869565217391308</v>
      </c>
      <c r="Q217" s="483">
        <f t="shared" si="172"/>
        <v>203.76414382700528</v>
      </c>
      <c r="R217" s="483">
        <f t="shared" si="173"/>
        <v>210</v>
      </c>
      <c r="S217" s="487">
        <f t="shared" si="174"/>
        <v>0.9703054467952632</v>
      </c>
      <c r="T217" s="488">
        <f t="shared" si="175"/>
        <v>0.45280920850445622</v>
      </c>
    </row>
    <row r="218" spans="1:20" ht="23.4" x14ac:dyDescent="0.3">
      <c r="A218" s="248" t="s">
        <v>111</v>
      </c>
      <c r="B218" s="253" t="s">
        <v>231</v>
      </c>
      <c r="C218" s="489">
        <f t="shared" si="165"/>
        <v>600</v>
      </c>
      <c r="D218" s="250">
        <v>600</v>
      </c>
      <c r="E218" s="251">
        <v>0</v>
      </c>
      <c r="F218" s="619">
        <v>4500</v>
      </c>
      <c r="G218" s="483">
        <f>+H218+I218</f>
        <v>35192</v>
      </c>
      <c r="H218" s="254">
        <v>34957</v>
      </c>
      <c r="I218" s="322">
        <v>235</v>
      </c>
      <c r="J218" s="630">
        <v>1440</v>
      </c>
      <c r="K218" s="489">
        <f t="shared" si="177"/>
        <v>840</v>
      </c>
      <c r="L218" s="250">
        <f t="shared" si="168"/>
        <v>840</v>
      </c>
      <c r="M218" s="490">
        <f t="shared" si="178"/>
        <v>1</v>
      </c>
      <c r="N218" s="491">
        <f t="shared" si="170"/>
        <v>240</v>
      </c>
      <c r="O218" s="250">
        <f t="shared" si="171"/>
        <v>840</v>
      </c>
      <c r="P218" s="492">
        <f t="shared" si="176"/>
        <v>0.2857142857142857</v>
      </c>
      <c r="Q218" s="250">
        <f t="shared" si="172"/>
        <v>230.38417822232327</v>
      </c>
      <c r="R218" s="250">
        <f t="shared" si="173"/>
        <v>240</v>
      </c>
      <c r="S218" s="493">
        <f t="shared" si="174"/>
        <v>0.95993407592634694</v>
      </c>
      <c r="T218" s="494">
        <f t="shared" si="175"/>
        <v>0.27426687883609913</v>
      </c>
    </row>
    <row r="219" spans="1:20" ht="24" thickBot="1" x14ac:dyDescent="0.35">
      <c r="A219" s="255" t="s">
        <v>111</v>
      </c>
      <c r="B219" s="256" t="s">
        <v>232</v>
      </c>
      <c r="C219" s="495">
        <f t="shared" si="165"/>
        <v>290</v>
      </c>
      <c r="D219" s="257">
        <v>110</v>
      </c>
      <c r="E219" s="258">
        <v>180</v>
      </c>
      <c r="F219" s="625">
        <v>5000</v>
      </c>
      <c r="G219" s="505">
        <f t="shared" ref="G219:G226" si="179">+H219+I219</f>
        <v>17024</v>
      </c>
      <c r="H219" s="259">
        <v>16954</v>
      </c>
      <c r="I219" s="628">
        <v>70</v>
      </c>
      <c r="J219" s="633">
        <v>960</v>
      </c>
      <c r="K219" s="495">
        <f t="shared" si="177"/>
        <v>670</v>
      </c>
      <c r="L219" s="257">
        <f t="shared" si="168"/>
        <v>850</v>
      </c>
      <c r="M219" s="496">
        <f t="shared" si="178"/>
        <v>0.78823529411764703</v>
      </c>
      <c r="N219" s="497">
        <f t="shared" si="170"/>
        <v>380</v>
      </c>
      <c r="O219" s="257">
        <f t="shared" si="171"/>
        <v>670</v>
      </c>
      <c r="P219" s="498">
        <f t="shared" si="176"/>
        <v>0.56716417910447758</v>
      </c>
      <c r="Q219" s="257">
        <f t="shared" si="172"/>
        <v>376.0526315789474</v>
      </c>
      <c r="R219" s="257">
        <f t="shared" si="173"/>
        <v>380</v>
      </c>
      <c r="S219" s="499">
        <f t="shared" si="174"/>
        <v>0.98961218836565101</v>
      </c>
      <c r="T219" s="500">
        <f t="shared" si="175"/>
        <v>0.44241486068111452</v>
      </c>
    </row>
    <row r="220" spans="1:20" ht="23.4" x14ac:dyDescent="0.3">
      <c r="A220" s="252" t="s">
        <v>109</v>
      </c>
      <c r="B220" s="260" t="s">
        <v>29</v>
      </c>
      <c r="C220" s="481">
        <f t="shared" si="165"/>
        <v>0</v>
      </c>
      <c r="D220" s="250">
        <v>0</v>
      </c>
      <c r="E220" s="251">
        <v>0</v>
      </c>
      <c r="F220" s="482">
        <v>80000</v>
      </c>
      <c r="G220" s="483">
        <f t="shared" si="179"/>
        <v>0</v>
      </c>
      <c r="H220" s="254">
        <v>0</v>
      </c>
      <c r="I220" s="627">
        <v>0</v>
      </c>
      <c r="J220" s="629">
        <v>0</v>
      </c>
      <c r="K220" s="481">
        <f t="shared" si="177"/>
        <v>0</v>
      </c>
      <c r="L220" s="483">
        <f t="shared" si="168"/>
        <v>0</v>
      </c>
      <c r="M220" s="484" t="str">
        <f t="shared" si="178"/>
        <v>-</v>
      </c>
      <c r="N220" s="485">
        <f t="shared" si="170"/>
        <v>0</v>
      </c>
      <c r="O220" s="483">
        <f t="shared" si="171"/>
        <v>0</v>
      </c>
      <c r="P220" s="486" t="str">
        <f t="shared" si="176"/>
        <v>-</v>
      </c>
      <c r="Q220" s="483" t="str">
        <f t="shared" si="172"/>
        <v>-</v>
      </c>
      <c r="R220" s="483">
        <f t="shared" si="173"/>
        <v>0</v>
      </c>
      <c r="S220" s="501" t="str">
        <f t="shared" si="174"/>
        <v>-</v>
      </c>
      <c r="T220" s="502" t="str">
        <f t="shared" si="175"/>
        <v>-</v>
      </c>
    </row>
    <row r="221" spans="1:20" ht="23.4" x14ac:dyDescent="0.3">
      <c r="A221" s="248" t="s">
        <v>109</v>
      </c>
      <c r="B221" s="260" t="s">
        <v>31</v>
      </c>
      <c r="C221" s="481">
        <f t="shared" si="165"/>
        <v>0</v>
      </c>
      <c r="D221" s="250">
        <v>0</v>
      </c>
      <c r="E221" s="251">
        <v>0</v>
      </c>
      <c r="F221" s="482">
        <v>50000</v>
      </c>
      <c r="G221" s="483">
        <f t="shared" si="179"/>
        <v>0</v>
      </c>
      <c r="H221" s="254">
        <v>0</v>
      </c>
      <c r="I221" s="627">
        <v>0</v>
      </c>
      <c r="J221" s="630">
        <v>0</v>
      </c>
      <c r="K221" s="481">
        <f t="shared" si="177"/>
        <v>0</v>
      </c>
      <c r="L221" s="483">
        <f t="shared" si="168"/>
        <v>0</v>
      </c>
      <c r="M221" s="484" t="str">
        <f t="shared" si="178"/>
        <v>-</v>
      </c>
      <c r="N221" s="485">
        <f t="shared" si="170"/>
        <v>0</v>
      </c>
      <c r="O221" s="483">
        <f t="shared" si="171"/>
        <v>0</v>
      </c>
      <c r="P221" s="486" t="str">
        <f t="shared" si="176"/>
        <v>-</v>
      </c>
      <c r="Q221" s="483" t="str">
        <f t="shared" si="172"/>
        <v>-</v>
      </c>
      <c r="R221" s="483">
        <f t="shared" si="173"/>
        <v>0</v>
      </c>
      <c r="S221" s="501" t="str">
        <f t="shared" si="174"/>
        <v>-</v>
      </c>
      <c r="T221" s="502" t="str">
        <f t="shared" si="175"/>
        <v>-</v>
      </c>
    </row>
    <row r="222" spans="1:20" ht="24" thickBot="1" x14ac:dyDescent="0.35">
      <c r="A222" s="255" t="s">
        <v>109</v>
      </c>
      <c r="B222" s="261" t="s">
        <v>32</v>
      </c>
      <c r="C222" s="503">
        <f t="shared" si="165"/>
        <v>0</v>
      </c>
      <c r="D222" s="257">
        <v>0</v>
      </c>
      <c r="E222" s="258">
        <v>0</v>
      </c>
      <c r="F222" s="504">
        <v>110000</v>
      </c>
      <c r="G222" s="505">
        <f t="shared" si="179"/>
        <v>0</v>
      </c>
      <c r="H222" s="259">
        <v>0</v>
      </c>
      <c r="I222" s="705">
        <v>0</v>
      </c>
      <c r="J222" s="633">
        <v>0</v>
      </c>
      <c r="K222" s="503">
        <f t="shared" si="177"/>
        <v>0</v>
      </c>
      <c r="L222" s="505">
        <f t="shared" si="168"/>
        <v>0</v>
      </c>
      <c r="M222" s="506" t="str">
        <f t="shared" si="178"/>
        <v>-</v>
      </c>
      <c r="N222" s="507">
        <f t="shared" si="170"/>
        <v>0</v>
      </c>
      <c r="O222" s="505">
        <f t="shared" si="171"/>
        <v>0</v>
      </c>
      <c r="P222" s="508" t="str">
        <f t="shared" si="176"/>
        <v>-</v>
      </c>
      <c r="Q222" s="505" t="str">
        <f t="shared" si="172"/>
        <v>-</v>
      </c>
      <c r="R222" s="505">
        <f t="shared" si="173"/>
        <v>0</v>
      </c>
      <c r="S222" s="509" t="str">
        <f t="shared" si="174"/>
        <v>-</v>
      </c>
      <c r="T222" s="510" t="str">
        <f t="shared" si="175"/>
        <v>-</v>
      </c>
    </row>
    <row r="223" spans="1:20" ht="23.4" x14ac:dyDescent="0.3">
      <c r="A223" s="248" t="s">
        <v>110</v>
      </c>
      <c r="B223" s="249" t="s">
        <v>238</v>
      </c>
      <c r="C223" s="481">
        <f t="shared" si="165"/>
        <v>0</v>
      </c>
      <c r="D223" s="250">
        <v>0</v>
      </c>
      <c r="E223" s="251">
        <v>0</v>
      </c>
      <c r="F223" s="482">
        <v>6500</v>
      </c>
      <c r="G223" s="483">
        <f t="shared" si="179"/>
        <v>0</v>
      </c>
      <c r="H223" s="482">
        <v>0</v>
      </c>
      <c r="I223" s="631">
        <v>0</v>
      </c>
      <c r="J223" s="630">
        <v>0</v>
      </c>
      <c r="K223" s="481">
        <f t="shared" si="177"/>
        <v>0</v>
      </c>
      <c r="L223" s="483">
        <f t="shared" si="168"/>
        <v>0</v>
      </c>
      <c r="M223" s="484" t="str">
        <f t="shared" si="178"/>
        <v>-</v>
      </c>
      <c r="N223" s="485">
        <f t="shared" si="170"/>
        <v>0</v>
      </c>
      <c r="O223" s="483">
        <f t="shared" si="171"/>
        <v>0</v>
      </c>
      <c r="P223" s="486" t="str">
        <f t="shared" si="176"/>
        <v>-</v>
      </c>
      <c r="Q223" s="483" t="str">
        <f t="shared" si="172"/>
        <v>-</v>
      </c>
      <c r="R223" s="483">
        <f t="shared" si="173"/>
        <v>0</v>
      </c>
      <c r="S223" s="501" t="str">
        <f t="shared" si="174"/>
        <v>-</v>
      </c>
      <c r="T223" s="502" t="str">
        <f t="shared" si="175"/>
        <v>-</v>
      </c>
    </row>
    <row r="224" spans="1:20" ht="23.4" x14ac:dyDescent="0.3">
      <c r="A224" s="252" t="s">
        <v>110</v>
      </c>
      <c r="B224" s="249" t="s">
        <v>40</v>
      </c>
      <c r="C224" s="481">
        <f t="shared" si="165"/>
        <v>0</v>
      </c>
      <c r="D224" s="250">
        <v>0</v>
      </c>
      <c r="E224" s="251">
        <v>0</v>
      </c>
      <c r="F224" s="482">
        <v>2800</v>
      </c>
      <c r="G224" s="483">
        <f t="shared" si="179"/>
        <v>0</v>
      </c>
      <c r="H224" s="482"/>
      <c r="I224" s="631"/>
      <c r="J224" s="630">
        <v>0</v>
      </c>
      <c r="K224" s="481">
        <f t="shared" si="177"/>
        <v>0</v>
      </c>
      <c r="L224" s="483">
        <f t="shared" si="168"/>
        <v>0</v>
      </c>
      <c r="M224" s="484" t="str">
        <f t="shared" si="178"/>
        <v>-</v>
      </c>
      <c r="N224" s="485">
        <f t="shared" si="170"/>
        <v>0</v>
      </c>
      <c r="O224" s="483">
        <f t="shared" si="171"/>
        <v>0</v>
      </c>
      <c r="P224" s="486" t="str">
        <f t="shared" si="176"/>
        <v>-</v>
      </c>
      <c r="Q224" s="483" t="str">
        <f t="shared" si="172"/>
        <v>-</v>
      </c>
      <c r="R224" s="483">
        <f t="shared" si="173"/>
        <v>0</v>
      </c>
      <c r="S224" s="501" t="str">
        <f t="shared" si="174"/>
        <v>-</v>
      </c>
      <c r="T224" s="502" t="str">
        <f t="shared" si="175"/>
        <v>-</v>
      </c>
    </row>
    <row r="225" spans="1:20" ht="23.4" x14ac:dyDescent="0.3">
      <c r="A225" s="248" t="s">
        <v>110</v>
      </c>
      <c r="B225" s="249" t="s">
        <v>42</v>
      </c>
      <c r="C225" s="481">
        <f t="shared" si="165"/>
        <v>0</v>
      </c>
      <c r="D225" s="250">
        <v>0</v>
      </c>
      <c r="E225" s="251">
        <v>0</v>
      </c>
      <c r="F225" s="482">
        <v>25000</v>
      </c>
      <c r="G225" s="483">
        <f t="shared" si="179"/>
        <v>0</v>
      </c>
      <c r="H225" s="482">
        <v>0</v>
      </c>
      <c r="I225" s="631">
        <v>0</v>
      </c>
      <c r="J225" s="630">
        <v>0</v>
      </c>
      <c r="K225" s="481">
        <f t="shared" si="177"/>
        <v>0</v>
      </c>
      <c r="L225" s="483">
        <f t="shared" si="168"/>
        <v>0</v>
      </c>
      <c r="M225" s="484" t="str">
        <f t="shared" si="178"/>
        <v>-</v>
      </c>
      <c r="N225" s="485">
        <f t="shared" si="170"/>
        <v>0</v>
      </c>
      <c r="O225" s="483">
        <f t="shared" si="171"/>
        <v>0</v>
      </c>
      <c r="P225" s="486" t="str">
        <f t="shared" si="176"/>
        <v>-</v>
      </c>
      <c r="Q225" s="483" t="str">
        <f t="shared" si="172"/>
        <v>-</v>
      </c>
      <c r="R225" s="483">
        <f t="shared" si="173"/>
        <v>0</v>
      </c>
      <c r="S225" s="501" t="str">
        <f t="shared" si="174"/>
        <v>-</v>
      </c>
      <c r="T225" s="502" t="str">
        <f t="shared" si="175"/>
        <v>-</v>
      </c>
    </row>
    <row r="226" spans="1:20" ht="47.4" thickBot="1" x14ac:dyDescent="0.35">
      <c r="A226" s="635" t="s">
        <v>110</v>
      </c>
      <c r="B226" s="261" t="s">
        <v>237</v>
      </c>
      <c r="C226" s="636">
        <f t="shared" si="165"/>
        <v>0</v>
      </c>
      <c r="D226" s="637">
        <v>0</v>
      </c>
      <c r="E226" s="638">
        <v>0</v>
      </c>
      <c r="F226" s="639">
        <v>25000</v>
      </c>
      <c r="G226" s="640">
        <f t="shared" si="179"/>
        <v>0</v>
      </c>
      <c r="H226" s="639">
        <v>0</v>
      </c>
      <c r="I226" s="641">
        <v>0</v>
      </c>
      <c r="J226" s="634">
        <v>0</v>
      </c>
      <c r="K226" s="636">
        <f t="shared" si="177"/>
        <v>0</v>
      </c>
      <c r="L226" s="640">
        <f t="shared" si="168"/>
        <v>0</v>
      </c>
      <c r="M226" s="642" t="str">
        <f t="shared" si="178"/>
        <v>-</v>
      </c>
      <c r="N226" s="643">
        <f t="shared" si="170"/>
        <v>0</v>
      </c>
      <c r="O226" s="640">
        <f t="shared" si="171"/>
        <v>0</v>
      </c>
      <c r="P226" s="644" t="str">
        <f t="shared" si="176"/>
        <v>-</v>
      </c>
      <c r="Q226" s="640" t="str">
        <f t="shared" si="172"/>
        <v>-</v>
      </c>
      <c r="R226" s="640">
        <f t="shared" si="173"/>
        <v>0</v>
      </c>
      <c r="S226" s="645" t="str">
        <f t="shared" si="174"/>
        <v>-</v>
      </c>
      <c r="T226" s="646" t="str">
        <f t="shared" si="175"/>
        <v>-</v>
      </c>
    </row>
    <row r="227" spans="1:20" ht="23.4" x14ac:dyDescent="0.3">
      <c r="A227" s="935" t="s">
        <v>1</v>
      </c>
      <c r="B227" s="944" t="s">
        <v>2</v>
      </c>
      <c r="C227" s="944" t="s">
        <v>226</v>
      </c>
      <c r="D227" s="945"/>
      <c r="E227" s="946"/>
      <c r="F227" s="944" t="s">
        <v>461</v>
      </c>
      <c r="G227" s="945"/>
      <c r="H227" s="945"/>
      <c r="I227" s="946"/>
      <c r="J227" s="1040" t="s">
        <v>223</v>
      </c>
      <c r="K227" s="944" t="s">
        <v>211</v>
      </c>
      <c r="L227" s="945"/>
      <c r="M227" s="946"/>
      <c r="N227" s="945" t="s">
        <v>212</v>
      </c>
      <c r="O227" s="945"/>
      <c r="P227" s="946"/>
      <c r="Q227" s="944" t="s">
        <v>213</v>
      </c>
      <c r="R227" s="945"/>
      <c r="S227" s="945"/>
      <c r="T227" s="1042" t="s">
        <v>210</v>
      </c>
    </row>
    <row r="228" spans="1:20" ht="87.6" thickBot="1" x14ac:dyDescent="0.35">
      <c r="A228" s="1038"/>
      <c r="B228" s="1039"/>
      <c r="C228" s="235" t="s">
        <v>227</v>
      </c>
      <c r="D228" s="236" t="s">
        <v>224</v>
      </c>
      <c r="E228" s="237" t="s">
        <v>225</v>
      </c>
      <c r="F228" s="238" t="s">
        <v>382</v>
      </c>
      <c r="G228" s="236" t="s">
        <v>220</v>
      </c>
      <c r="H228" s="239" t="s">
        <v>221</v>
      </c>
      <c r="I228" s="240" t="s">
        <v>222</v>
      </c>
      <c r="J228" s="1041"/>
      <c r="K228" s="235" t="s">
        <v>214</v>
      </c>
      <c r="L228" s="239" t="s">
        <v>215</v>
      </c>
      <c r="M228" s="241" t="s">
        <v>228</v>
      </c>
      <c r="N228" s="242" t="s">
        <v>216</v>
      </c>
      <c r="O228" s="239" t="s">
        <v>217</v>
      </c>
      <c r="P228" s="241" t="s">
        <v>229</v>
      </c>
      <c r="Q228" s="235" t="s">
        <v>218</v>
      </c>
      <c r="R228" s="239" t="s">
        <v>219</v>
      </c>
      <c r="S228" s="243" t="s">
        <v>230</v>
      </c>
      <c r="T228" s="1043"/>
    </row>
    <row r="229" spans="1:20" ht="23.4" x14ac:dyDescent="0.3">
      <c r="A229" s="244" t="s">
        <v>111</v>
      </c>
      <c r="B229" s="245" t="s">
        <v>16</v>
      </c>
      <c r="C229" s="474">
        <f>+D229+E229</f>
        <v>0</v>
      </c>
      <c r="D229" s="246">
        <v>0</v>
      </c>
      <c r="E229" s="247">
        <v>0</v>
      </c>
      <c r="F229" s="618">
        <v>15000</v>
      </c>
      <c r="G229" s="475">
        <f>+H229+I229</f>
        <v>0</v>
      </c>
      <c r="H229" s="624">
        <v>0</v>
      </c>
      <c r="I229" s="626">
        <v>0</v>
      </c>
      <c r="J229" s="629">
        <v>0</v>
      </c>
      <c r="K229" s="474">
        <f>+L229-E229</f>
        <v>0</v>
      </c>
      <c r="L229" s="475">
        <f>+J229-D229</f>
        <v>0</v>
      </c>
      <c r="M229" s="476" t="str">
        <f>IFERROR(K229/L229,"-")</f>
        <v>-</v>
      </c>
      <c r="N229" s="477">
        <f>+O229-C229</f>
        <v>0</v>
      </c>
      <c r="O229" s="475">
        <f>+K229</f>
        <v>0</v>
      </c>
      <c r="P229" s="478" t="str">
        <f>IFERROR(N229/O229,"-")</f>
        <v>-</v>
      </c>
      <c r="Q229" s="475" t="str">
        <f>IFERROR(N229-(J229-(J229*H229/G229)),"-")</f>
        <v>-</v>
      </c>
      <c r="R229" s="475">
        <f>+N229</f>
        <v>0</v>
      </c>
      <c r="S229" s="479" t="str">
        <f>IFERROR(Q229/R229,"-")</f>
        <v>-</v>
      </c>
      <c r="T229" s="480" t="str">
        <f>IFERROR(M229*P229*S229,"-")</f>
        <v>-</v>
      </c>
    </row>
    <row r="230" spans="1:20" ht="23.4" x14ac:dyDescent="0.3">
      <c r="A230" s="248" t="s">
        <v>111</v>
      </c>
      <c r="B230" s="249" t="s">
        <v>234</v>
      </c>
      <c r="C230" s="481">
        <f t="shared" ref="C230:C244" si="180">+D230+E230</f>
        <v>480</v>
      </c>
      <c r="D230" s="250">
        <v>30</v>
      </c>
      <c r="E230" s="251">
        <v>450</v>
      </c>
      <c r="F230" s="619">
        <v>100000</v>
      </c>
      <c r="G230" s="483">
        <f t="shared" ref="G230:G235" si="181">+H230+I230</f>
        <v>63801</v>
      </c>
      <c r="H230" s="254">
        <v>63498</v>
      </c>
      <c r="I230" s="627">
        <v>303</v>
      </c>
      <c r="J230" s="630">
        <v>960</v>
      </c>
      <c r="K230" s="481">
        <f t="shared" ref="K230:K233" si="182">+L230-E230</f>
        <v>480</v>
      </c>
      <c r="L230" s="483">
        <f t="shared" ref="L230:L244" si="183">+J230-D230</f>
        <v>930</v>
      </c>
      <c r="M230" s="484">
        <f t="shared" ref="M230:M233" si="184">IFERROR(K230/L230,"-")</f>
        <v>0.5161290322580645</v>
      </c>
      <c r="N230" s="485">
        <f t="shared" ref="N230:N244" si="185">+O230-C230</f>
        <v>0</v>
      </c>
      <c r="O230" s="483">
        <f t="shared" ref="O230:O244" si="186">+K230</f>
        <v>480</v>
      </c>
      <c r="P230" s="486">
        <f>IFERROR(N230/O230,"-")</f>
        <v>0</v>
      </c>
      <c r="Q230" s="483">
        <f t="shared" ref="Q230:Q244" si="187">IFERROR(N230-(J230-(J230*H230/G230)),"-")</f>
        <v>-4.5591761884610378</v>
      </c>
      <c r="R230" s="483">
        <f t="shared" ref="R230:R244" si="188">+N230</f>
        <v>0</v>
      </c>
      <c r="S230" s="487" t="str">
        <f t="shared" ref="S230:S244" si="189">IFERROR(Q230/R230,"-")</f>
        <v>-</v>
      </c>
      <c r="T230" s="488" t="str">
        <f t="shared" ref="T230:T244" si="190">IFERROR(M230*P230*S230,"-")</f>
        <v>-</v>
      </c>
    </row>
    <row r="231" spans="1:20" ht="23.4" x14ac:dyDescent="0.3">
      <c r="A231" s="248" t="s">
        <v>111</v>
      </c>
      <c r="B231" s="249" t="s">
        <v>233</v>
      </c>
      <c r="C231" s="481">
        <f t="shared" si="180"/>
        <v>0</v>
      </c>
      <c r="D231" s="250">
        <v>0</v>
      </c>
      <c r="E231" s="251">
        <v>0</v>
      </c>
      <c r="F231" s="619">
        <v>80000</v>
      </c>
      <c r="G231" s="483">
        <f t="shared" si="181"/>
        <v>0</v>
      </c>
      <c r="H231" s="254">
        <v>0</v>
      </c>
      <c r="I231" s="627">
        <v>0</v>
      </c>
      <c r="J231" s="630">
        <v>0</v>
      </c>
      <c r="K231" s="481">
        <f t="shared" si="182"/>
        <v>0</v>
      </c>
      <c r="L231" s="483">
        <f t="shared" si="183"/>
        <v>0</v>
      </c>
      <c r="M231" s="484" t="str">
        <f t="shared" si="184"/>
        <v>-</v>
      </c>
      <c r="N231" s="485">
        <f t="shared" si="185"/>
        <v>0</v>
      </c>
      <c r="O231" s="483">
        <f t="shared" si="186"/>
        <v>0</v>
      </c>
      <c r="P231" s="486" t="str">
        <f t="shared" ref="P231:P244" si="191">IFERROR(N231/O231,"-")</f>
        <v>-</v>
      </c>
      <c r="Q231" s="483" t="str">
        <f t="shared" si="187"/>
        <v>-</v>
      </c>
      <c r="R231" s="483">
        <f t="shared" si="188"/>
        <v>0</v>
      </c>
      <c r="S231" s="487" t="str">
        <f t="shared" si="189"/>
        <v>-</v>
      </c>
      <c r="T231" s="488" t="str">
        <f t="shared" si="190"/>
        <v>-</v>
      </c>
    </row>
    <row r="232" spans="1:20" ht="23.4" x14ac:dyDescent="0.3">
      <c r="A232" s="252" t="s">
        <v>111</v>
      </c>
      <c r="B232" s="249" t="s">
        <v>236</v>
      </c>
      <c r="C232" s="481">
        <f t="shared" si="180"/>
        <v>360</v>
      </c>
      <c r="D232" s="250">
        <v>30</v>
      </c>
      <c r="E232" s="251">
        <v>330</v>
      </c>
      <c r="F232" s="619">
        <v>110000</v>
      </c>
      <c r="G232" s="483">
        <f t="shared" si="181"/>
        <v>32603</v>
      </c>
      <c r="H232" s="254">
        <v>32438</v>
      </c>
      <c r="I232" s="627">
        <v>165</v>
      </c>
      <c r="J232" s="630">
        <v>480</v>
      </c>
      <c r="K232" s="481">
        <f t="shared" si="182"/>
        <v>120</v>
      </c>
      <c r="L232" s="483">
        <f t="shared" si="183"/>
        <v>450</v>
      </c>
      <c r="M232" s="484">
        <f t="shared" si="184"/>
        <v>0.26666666666666666</v>
      </c>
      <c r="N232" s="485">
        <f t="shared" si="185"/>
        <v>-240</v>
      </c>
      <c r="O232" s="483">
        <f t="shared" si="186"/>
        <v>120</v>
      </c>
      <c r="P232" s="486">
        <f t="shared" si="191"/>
        <v>-2</v>
      </c>
      <c r="Q232" s="483">
        <f t="shared" si="187"/>
        <v>-242.42922430451188</v>
      </c>
      <c r="R232" s="483">
        <f t="shared" si="188"/>
        <v>-240</v>
      </c>
      <c r="S232" s="487">
        <f t="shared" si="189"/>
        <v>1.0101217679354662</v>
      </c>
      <c r="T232" s="488">
        <f t="shared" si="190"/>
        <v>-0.53873160956558197</v>
      </c>
    </row>
    <row r="233" spans="1:20" ht="23.4" x14ac:dyDescent="0.3">
      <c r="A233" s="248" t="s">
        <v>111</v>
      </c>
      <c r="B233" s="249" t="s">
        <v>235</v>
      </c>
      <c r="C233" s="481">
        <f t="shared" si="180"/>
        <v>0</v>
      </c>
      <c r="D233" s="250">
        <v>0</v>
      </c>
      <c r="E233" s="251"/>
      <c r="F233" s="619">
        <v>50000</v>
      </c>
      <c r="G233" s="483">
        <f t="shared" si="181"/>
        <v>0</v>
      </c>
      <c r="H233" s="254">
        <v>0</v>
      </c>
      <c r="I233" s="627">
        <v>0</v>
      </c>
      <c r="J233" s="630">
        <v>0</v>
      </c>
      <c r="K233" s="481">
        <f t="shared" si="182"/>
        <v>0</v>
      </c>
      <c r="L233" s="483">
        <f t="shared" si="183"/>
        <v>0</v>
      </c>
      <c r="M233" s="484" t="str">
        <f t="shared" si="184"/>
        <v>-</v>
      </c>
      <c r="N233" s="485">
        <f t="shared" si="185"/>
        <v>0</v>
      </c>
      <c r="O233" s="483">
        <f t="shared" si="186"/>
        <v>0</v>
      </c>
      <c r="P233" s="486" t="str">
        <f t="shared" si="191"/>
        <v>-</v>
      </c>
      <c r="Q233" s="483" t="str">
        <f t="shared" si="187"/>
        <v>-</v>
      </c>
      <c r="R233" s="483">
        <f t="shared" si="188"/>
        <v>0</v>
      </c>
      <c r="S233" s="487" t="str">
        <f t="shared" si="189"/>
        <v>-</v>
      </c>
      <c r="T233" s="488" t="str">
        <f t="shared" si="190"/>
        <v>-</v>
      </c>
    </row>
    <row r="234" spans="1:20" ht="23.4" x14ac:dyDescent="0.3">
      <c r="A234" s="248">
        <v>5</v>
      </c>
      <c r="B234" s="249" t="s">
        <v>22</v>
      </c>
      <c r="C234" s="481">
        <f t="shared" si="180"/>
        <v>480</v>
      </c>
      <c r="D234" s="250">
        <v>30</v>
      </c>
      <c r="E234" s="251">
        <v>450</v>
      </c>
      <c r="F234" s="619">
        <v>80000</v>
      </c>
      <c r="G234" s="483">
        <f t="shared" si="181"/>
        <v>0</v>
      </c>
      <c r="H234" s="254">
        <v>0</v>
      </c>
      <c r="I234" s="627">
        <v>0</v>
      </c>
      <c r="J234" s="630">
        <v>0</v>
      </c>
      <c r="K234" s="481">
        <f>+L234-E234</f>
        <v>-480</v>
      </c>
      <c r="L234" s="483">
        <f t="shared" si="183"/>
        <v>-30</v>
      </c>
      <c r="M234" s="484">
        <f>IFERROR(K234/L234,"-")</f>
        <v>16</v>
      </c>
      <c r="N234" s="485">
        <f t="shared" si="185"/>
        <v>-960</v>
      </c>
      <c r="O234" s="483">
        <f t="shared" si="186"/>
        <v>-480</v>
      </c>
      <c r="P234" s="486">
        <f t="shared" si="191"/>
        <v>2</v>
      </c>
      <c r="Q234" s="483" t="str">
        <f t="shared" si="187"/>
        <v>-</v>
      </c>
      <c r="R234" s="483">
        <f t="shared" si="188"/>
        <v>-960</v>
      </c>
      <c r="S234" s="487" t="str">
        <f t="shared" si="189"/>
        <v>-</v>
      </c>
      <c r="T234" s="488" t="str">
        <f t="shared" si="190"/>
        <v>-</v>
      </c>
    </row>
    <row r="235" spans="1:20" ht="23.4" x14ac:dyDescent="0.3">
      <c r="A235" s="248" t="s">
        <v>111</v>
      </c>
      <c r="B235" s="249" t="s">
        <v>23</v>
      </c>
      <c r="C235" s="481">
        <f t="shared" si="180"/>
        <v>140</v>
      </c>
      <c r="D235" s="250">
        <v>30</v>
      </c>
      <c r="E235" s="251">
        <v>110</v>
      </c>
      <c r="F235" s="619">
        <v>14000</v>
      </c>
      <c r="G235" s="483">
        <f t="shared" si="181"/>
        <v>13185</v>
      </c>
      <c r="H235" s="254">
        <v>13125</v>
      </c>
      <c r="I235" s="627">
        <v>60</v>
      </c>
      <c r="J235" s="630">
        <v>480</v>
      </c>
      <c r="K235" s="481">
        <f t="shared" ref="K235:K244" si="192">+L235-E235</f>
        <v>340</v>
      </c>
      <c r="L235" s="483">
        <f t="shared" si="183"/>
        <v>450</v>
      </c>
      <c r="M235" s="484">
        <f t="shared" ref="M235:M244" si="193">IFERROR(K235/L235,"-")</f>
        <v>0.75555555555555554</v>
      </c>
      <c r="N235" s="485">
        <f t="shared" si="185"/>
        <v>200</v>
      </c>
      <c r="O235" s="483">
        <f t="shared" si="186"/>
        <v>340</v>
      </c>
      <c r="P235" s="486">
        <f t="shared" si="191"/>
        <v>0.58823529411764708</v>
      </c>
      <c r="Q235" s="483">
        <f t="shared" si="187"/>
        <v>197.81569965870307</v>
      </c>
      <c r="R235" s="483">
        <f t="shared" si="188"/>
        <v>200</v>
      </c>
      <c r="S235" s="487">
        <f t="shared" si="189"/>
        <v>0.98907849829351535</v>
      </c>
      <c r="T235" s="488">
        <f t="shared" si="190"/>
        <v>0.43959044368600686</v>
      </c>
    </row>
    <row r="236" spans="1:20" ht="23.4" x14ac:dyDescent="0.3">
      <c r="A236" s="248" t="s">
        <v>111</v>
      </c>
      <c r="B236" s="253" t="s">
        <v>231</v>
      </c>
      <c r="C236" s="489">
        <f t="shared" si="180"/>
        <v>600</v>
      </c>
      <c r="D236" s="250">
        <v>360</v>
      </c>
      <c r="E236" s="251">
        <v>240</v>
      </c>
      <c r="F236" s="619">
        <v>4500</v>
      </c>
      <c r="G236" s="483">
        <f>+H236+I236</f>
        <v>31010</v>
      </c>
      <c r="H236" s="254">
        <v>30875</v>
      </c>
      <c r="I236" s="322">
        <v>135</v>
      </c>
      <c r="J236" s="630">
        <v>960</v>
      </c>
      <c r="K236" s="489">
        <f t="shared" si="192"/>
        <v>360</v>
      </c>
      <c r="L236" s="250">
        <f t="shared" si="183"/>
        <v>600</v>
      </c>
      <c r="M236" s="490">
        <f t="shared" si="193"/>
        <v>0.6</v>
      </c>
      <c r="N236" s="491">
        <f t="shared" si="185"/>
        <v>-240</v>
      </c>
      <c r="O236" s="250">
        <f t="shared" si="186"/>
        <v>360</v>
      </c>
      <c r="P236" s="492">
        <f t="shared" si="191"/>
        <v>-0.66666666666666663</v>
      </c>
      <c r="Q236" s="250">
        <f t="shared" si="187"/>
        <v>-244.17929700096738</v>
      </c>
      <c r="R236" s="250">
        <f t="shared" si="188"/>
        <v>-240</v>
      </c>
      <c r="S236" s="493">
        <f t="shared" si="189"/>
        <v>1.0174137375040309</v>
      </c>
      <c r="T236" s="494">
        <f t="shared" si="190"/>
        <v>-0.40696549500161233</v>
      </c>
    </row>
    <row r="237" spans="1:20" ht="24" thickBot="1" x14ac:dyDescent="0.35">
      <c r="A237" s="255" t="s">
        <v>111</v>
      </c>
      <c r="B237" s="256" t="s">
        <v>232</v>
      </c>
      <c r="C237" s="495">
        <f t="shared" si="180"/>
        <v>420</v>
      </c>
      <c r="D237" s="257">
        <v>120</v>
      </c>
      <c r="E237" s="258">
        <v>300</v>
      </c>
      <c r="F237" s="625">
        <v>5000</v>
      </c>
      <c r="G237" s="505">
        <f t="shared" ref="G237:G244" si="194">+H237+I237</f>
        <v>17995</v>
      </c>
      <c r="H237" s="259">
        <v>17977</v>
      </c>
      <c r="I237" s="628">
        <v>18</v>
      </c>
      <c r="J237" s="633">
        <v>1440</v>
      </c>
      <c r="K237" s="495">
        <f t="shared" si="192"/>
        <v>1020</v>
      </c>
      <c r="L237" s="257">
        <f t="shared" si="183"/>
        <v>1320</v>
      </c>
      <c r="M237" s="496">
        <f t="shared" si="193"/>
        <v>0.77272727272727271</v>
      </c>
      <c r="N237" s="497">
        <f t="shared" si="185"/>
        <v>600</v>
      </c>
      <c r="O237" s="257">
        <f t="shared" si="186"/>
        <v>1020</v>
      </c>
      <c r="P237" s="498">
        <f t="shared" si="191"/>
        <v>0.58823529411764708</v>
      </c>
      <c r="Q237" s="257">
        <f t="shared" si="187"/>
        <v>598.55959988885797</v>
      </c>
      <c r="R237" s="257">
        <f t="shared" si="188"/>
        <v>600</v>
      </c>
      <c r="S237" s="499">
        <f t="shared" si="189"/>
        <v>0.99759933314809668</v>
      </c>
      <c r="T237" s="500">
        <f t="shared" si="190"/>
        <v>0.45345424234004394</v>
      </c>
    </row>
    <row r="238" spans="1:20" ht="23.4" x14ac:dyDescent="0.3">
      <c r="A238" s="252" t="s">
        <v>109</v>
      </c>
      <c r="B238" s="260" t="s">
        <v>29</v>
      </c>
      <c r="C238" s="481">
        <f t="shared" si="180"/>
        <v>0</v>
      </c>
      <c r="D238" s="250">
        <v>0</v>
      </c>
      <c r="E238" s="251">
        <v>0</v>
      </c>
      <c r="F238" s="482">
        <v>80000</v>
      </c>
      <c r="G238" s="483">
        <f t="shared" si="194"/>
        <v>0</v>
      </c>
      <c r="H238" s="254">
        <v>0</v>
      </c>
      <c r="I238" s="627">
        <v>0</v>
      </c>
      <c r="J238" s="629">
        <v>0</v>
      </c>
      <c r="K238" s="481">
        <f t="shared" si="192"/>
        <v>0</v>
      </c>
      <c r="L238" s="483">
        <f t="shared" si="183"/>
        <v>0</v>
      </c>
      <c r="M238" s="484" t="str">
        <f t="shared" si="193"/>
        <v>-</v>
      </c>
      <c r="N238" s="485">
        <f t="shared" si="185"/>
        <v>0</v>
      </c>
      <c r="O238" s="483">
        <f t="shared" si="186"/>
        <v>0</v>
      </c>
      <c r="P238" s="486" t="str">
        <f t="shared" si="191"/>
        <v>-</v>
      </c>
      <c r="Q238" s="483" t="str">
        <f t="shared" si="187"/>
        <v>-</v>
      </c>
      <c r="R238" s="483">
        <f t="shared" si="188"/>
        <v>0</v>
      </c>
      <c r="S238" s="501" t="str">
        <f t="shared" si="189"/>
        <v>-</v>
      </c>
      <c r="T238" s="502" t="str">
        <f t="shared" si="190"/>
        <v>-</v>
      </c>
    </row>
    <row r="239" spans="1:20" ht="23.4" x14ac:dyDescent="0.3">
      <c r="A239" s="248" t="s">
        <v>109</v>
      </c>
      <c r="B239" s="260" t="s">
        <v>31</v>
      </c>
      <c r="C239" s="481">
        <f t="shared" si="180"/>
        <v>0</v>
      </c>
      <c r="D239" s="250">
        <v>0</v>
      </c>
      <c r="E239" s="251">
        <v>0</v>
      </c>
      <c r="F239" s="482">
        <v>50000</v>
      </c>
      <c r="G239" s="483">
        <f t="shared" si="194"/>
        <v>0</v>
      </c>
      <c r="H239" s="254">
        <v>0</v>
      </c>
      <c r="I239" s="627">
        <v>0</v>
      </c>
      <c r="J239" s="630">
        <v>0</v>
      </c>
      <c r="K239" s="481">
        <f t="shared" si="192"/>
        <v>0</v>
      </c>
      <c r="L239" s="483">
        <f t="shared" si="183"/>
        <v>0</v>
      </c>
      <c r="M239" s="484" t="str">
        <f t="shared" si="193"/>
        <v>-</v>
      </c>
      <c r="N239" s="485">
        <f t="shared" si="185"/>
        <v>0</v>
      </c>
      <c r="O239" s="483">
        <f t="shared" si="186"/>
        <v>0</v>
      </c>
      <c r="P239" s="486" t="str">
        <f t="shared" si="191"/>
        <v>-</v>
      </c>
      <c r="Q239" s="483" t="str">
        <f t="shared" si="187"/>
        <v>-</v>
      </c>
      <c r="R239" s="483">
        <f t="shared" si="188"/>
        <v>0</v>
      </c>
      <c r="S239" s="501" t="str">
        <f t="shared" si="189"/>
        <v>-</v>
      </c>
      <c r="T239" s="502" t="str">
        <f t="shared" si="190"/>
        <v>-</v>
      </c>
    </row>
    <row r="240" spans="1:20" ht="24" thickBot="1" x14ac:dyDescent="0.35">
      <c r="A240" s="255" t="s">
        <v>109</v>
      </c>
      <c r="B240" s="261" t="s">
        <v>32</v>
      </c>
      <c r="C240" s="503">
        <f t="shared" si="180"/>
        <v>0</v>
      </c>
      <c r="D240" s="257">
        <v>0</v>
      </c>
      <c r="E240" s="258">
        <v>0</v>
      </c>
      <c r="F240" s="504">
        <v>110000</v>
      </c>
      <c r="G240" s="505">
        <f t="shared" si="194"/>
        <v>0</v>
      </c>
      <c r="H240" s="259">
        <v>0</v>
      </c>
      <c r="I240" s="705">
        <v>0</v>
      </c>
      <c r="J240" s="633">
        <v>0</v>
      </c>
      <c r="K240" s="503">
        <f t="shared" si="192"/>
        <v>0</v>
      </c>
      <c r="L240" s="505">
        <f t="shared" si="183"/>
        <v>0</v>
      </c>
      <c r="M240" s="506" t="str">
        <f t="shared" si="193"/>
        <v>-</v>
      </c>
      <c r="N240" s="507">
        <f t="shared" si="185"/>
        <v>0</v>
      </c>
      <c r="O240" s="505">
        <f t="shared" si="186"/>
        <v>0</v>
      </c>
      <c r="P240" s="508" t="str">
        <f t="shared" si="191"/>
        <v>-</v>
      </c>
      <c r="Q240" s="505" t="str">
        <f t="shared" si="187"/>
        <v>-</v>
      </c>
      <c r="R240" s="505">
        <f t="shared" si="188"/>
        <v>0</v>
      </c>
      <c r="S240" s="509" t="str">
        <f t="shared" si="189"/>
        <v>-</v>
      </c>
      <c r="T240" s="510" t="str">
        <f t="shared" si="190"/>
        <v>-</v>
      </c>
    </row>
    <row r="241" spans="1:20" ht="23.4" x14ac:dyDescent="0.3">
      <c r="A241" s="248" t="s">
        <v>110</v>
      </c>
      <c r="B241" s="249" t="s">
        <v>238</v>
      </c>
      <c r="C241" s="481">
        <f t="shared" si="180"/>
        <v>0</v>
      </c>
      <c r="D241" s="250">
        <v>0</v>
      </c>
      <c r="E241" s="251">
        <v>0</v>
      </c>
      <c r="F241" s="482">
        <v>6500</v>
      </c>
      <c r="G241" s="483">
        <f t="shared" si="194"/>
        <v>0</v>
      </c>
      <c r="H241" s="482">
        <v>0</v>
      </c>
      <c r="I241" s="631">
        <v>0</v>
      </c>
      <c r="J241" s="630">
        <v>0</v>
      </c>
      <c r="K241" s="481">
        <f t="shared" si="192"/>
        <v>0</v>
      </c>
      <c r="L241" s="483">
        <f t="shared" si="183"/>
        <v>0</v>
      </c>
      <c r="M241" s="484" t="str">
        <f t="shared" si="193"/>
        <v>-</v>
      </c>
      <c r="N241" s="485">
        <f t="shared" si="185"/>
        <v>0</v>
      </c>
      <c r="O241" s="483">
        <f t="shared" si="186"/>
        <v>0</v>
      </c>
      <c r="P241" s="486" t="str">
        <f t="shared" si="191"/>
        <v>-</v>
      </c>
      <c r="Q241" s="483" t="str">
        <f t="shared" si="187"/>
        <v>-</v>
      </c>
      <c r="R241" s="483">
        <f t="shared" si="188"/>
        <v>0</v>
      </c>
      <c r="S241" s="501" t="str">
        <f t="shared" si="189"/>
        <v>-</v>
      </c>
      <c r="T241" s="502" t="str">
        <f t="shared" si="190"/>
        <v>-</v>
      </c>
    </row>
    <row r="242" spans="1:20" ht="23.4" x14ac:dyDescent="0.3">
      <c r="A242" s="252" t="s">
        <v>110</v>
      </c>
      <c r="B242" s="249" t="s">
        <v>40</v>
      </c>
      <c r="C242" s="481">
        <f t="shared" si="180"/>
        <v>0</v>
      </c>
      <c r="D242" s="250">
        <v>0</v>
      </c>
      <c r="E242" s="251">
        <v>0</v>
      </c>
      <c r="F242" s="482">
        <v>2800</v>
      </c>
      <c r="G242" s="483">
        <f t="shared" si="194"/>
        <v>0</v>
      </c>
      <c r="H242" s="482"/>
      <c r="I242" s="631"/>
      <c r="J242" s="630">
        <v>0</v>
      </c>
      <c r="K242" s="481">
        <f t="shared" si="192"/>
        <v>0</v>
      </c>
      <c r="L242" s="483">
        <f t="shared" si="183"/>
        <v>0</v>
      </c>
      <c r="M242" s="484" t="str">
        <f t="shared" si="193"/>
        <v>-</v>
      </c>
      <c r="N242" s="485">
        <f t="shared" si="185"/>
        <v>0</v>
      </c>
      <c r="O242" s="483">
        <f t="shared" si="186"/>
        <v>0</v>
      </c>
      <c r="P242" s="486" t="str">
        <f t="shared" si="191"/>
        <v>-</v>
      </c>
      <c r="Q242" s="483" t="str">
        <f t="shared" si="187"/>
        <v>-</v>
      </c>
      <c r="R242" s="483">
        <f t="shared" si="188"/>
        <v>0</v>
      </c>
      <c r="S242" s="501" t="str">
        <f t="shared" si="189"/>
        <v>-</v>
      </c>
      <c r="T242" s="502" t="str">
        <f t="shared" si="190"/>
        <v>-</v>
      </c>
    </row>
    <row r="243" spans="1:20" ht="23.4" x14ac:dyDescent="0.3">
      <c r="A243" s="248" t="s">
        <v>110</v>
      </c>
      <c r="B243" s="249" t="s">
        <v>42</v>
      </c>
      <c r="C243" s="481">
        <f t="shared" si="180"/>
        <v>0</v>
      </c>
      <c r="D243" s="250">
        <v>0</v>
      </c>
      <c r="E243" s="251">
        <v>0</v>
      </c>
      <c r="F243" s="482">
        <v>25000</v>
      </c>
      <c r="G243" s="483">
        <f t="shared" si="194"/>
        <v>0</v>
      </c>
      <c r="H243" s="482">
        <v>0</v>
      </c>
      <c r="I243" s="631">
        <v>0</v>
      </c>
      <c r="J243" s="630">
        <v>0</v>
      </c>
      <c r="K243" s="481">
        <f t="shared" si="192"/>
        <v>0</v>
      </c>
      <c r="L243" s="483">
        <f t="shared" si="183"/>
        <v>0</v>
      </c>
      <c r="M243" s="484" t="str">
        <f t="shared" si="193"/>
        <v>-</v>
      </c>
      <c r="N243" s="485">
        <f t="shared" si="185"/>
        <v>0</v>
      </c>
      <c r="O243" s="483">
        <f t="shared" si="186"/>
        <v>0</v>
      </c>
      <c r="P243" s="486" t="str">
        <f t="shared" si="191"/>
        <v>-</v>
      </c>
      <c r="Q243" s="483" t="str">
        <f t="shared" si="187"/>
        <v>-</v>
      </c>
      <c r="R243" s="483">
        <f t="shared" si="188"/>
        <v>0</v>
      </c>
      <c r="S243" s="501" t="str">
        <f t="shared" si="189"/>
        <v>-</v>
      </c>
      <c r="T243" s="502" t="str">
        <f t="shared" si="190"/>
        <v>-</v>
      </c>
    </row>
    <row r="244" spans="1:20" ht="47.4" thickBot="1" x14ac:dyDescent="0.35">
      <c r="A244" s="635" t="s">
        <v>110</v>
      </c>
      <c r="B244" s="261" t="s">
        <v>237</v>
      </c>
      <c r="C244" s="636">
        <f t="shared" si="180"/>
        <v>0</v>
      </c>
      <c r="D244" s="637">
        <v>0</v>
      </c>
      <c r="E244" s="638">
        <v>0</v>
      </c>
      <c r="F244" s="639">
        <v>25000</v>
      </c>
      <c r="G244" s="640">
        <f t="shared" si="194"/>
        <v>0</v>
      </c>
      <c r="H244" s="639">
        <v>0</v>
      </c>
      <c r="I244" s="641">
        <v>0</v>
      </c>
      <c r="J244" s="634">
        <v>0</v>
      </c>
      <c r="K244" s="636">
        <f t="shared" si="192"/>
        <v>0</v>
      </c>
      <c r="L244" s="640">
        <f t="shared" si="183"/>
        <v>0</v>
      </c>
      <c r="M244" s="642" t="str">
        <f t="shared" si="193"/>
        <v>-</v>
      </c>
      <c r="N244" s="643">
        <f t="shared" si="185"/>
        <v>0</v>
      </c>
      <c r="O244" s="640">
        <f t="shared" si="186"/>
        <v>0</v>
      </c>
      <c r="P244" s="644" t="str">
        <f t="shared" si="191"/>
        <v>-</v>
      </c>
      <c r="Q244" s="640" t="str">
        <f t="shared" si="187"/>
        <v>-</v>
      </c>
      <c r="R244" s="640">
        <f t="shared" si="188"/>
        <v>0</v>
      </c>
      <c r="S244" s="645" t="str">
        <f t="shared" si="189"/>
        <v>-</v>
      </c>
      <c r="T244" s="646" t="str">
        <f t="shared" si="190"/>
        <v>-</v>
      </c>
    </row>
    <row r="245" spans="1:20" ht="23.4" x14ac:dyDescent="0.3">
      <c r="A245" s="935" t="s">
        <v>1</v>
      </c>
      <c r="B245" s="944" t="s">
        <v>2</v>
      </c>
      <c r="C245" s="944" t="s">
        <v>226</v>
      </c>
      <c r="D245" s="945"/>
      <c r="E245" s="946"/>
      <c r="F245" s="944" t="s">
        <v>463</v>
      </c>
      <c r="G245" s="945"/>
      <c r="H245" s="945"/>
      <c r="I245" s="946"/>
      <c r="J245" s="1040" t="s">
        <v>223</v>
      </c>
      <c r="K245" s="944" t="s">
        <v>211</v>
      </c>
      <c r="L245" s="945"/>
      <c r="M245" s="946"/>
      <c r="N245" s="945" t="s">
        <v>212</v>
      </c>
      <c r="O245" s="945"/>
      <c r="P245" s="946"/>
      <c r="Q245" s="944" t="s">
        <v>213</v>
      </c>
      <c r="R245" s="945"/>
      <c r="S245" s="945"/>
      <c r="T245" s="1042" t="s">
        <v>210</v>
      </c>
    </row>
    <row r="246" spans="1:20" ht="87.6" thickBot="1" x14ac:dyDescent="0.35">
      <c r="A246" s="1038"/>
      <c r="B246" s="1039"/>
      <c r="C246" s="235" t="s">
        <v>227</v>
      </c>
      <c r="D246" s="236" t="s">
        <v>224</v>
      </c>
      <c r="E246" s="237" t="s">
        <v>225</v>
      </c>
      <c r="F246" s="238" t="s">
        <v>382</v>
      </c>
      <c r="G246" s="236" t="s">
        <v>220</v>
      </c>
      <c r="H246" s="239" t="s">
        <v>221</v>
      </c>
      <c r="I246" s="240" t="s">
        <v>222</v>
      </c>
      <c r="J246" s="1041"/>
      <c r="K246" s="235" t="s">
        <v>214</v>
      </c>
      <c r="L246" s="239" t="s">
        <v>215</v>
      </c>
      <c r="M246" s="241" t="s">
        <v>228</v>
      </c>
      <c r="N246" s="242" t="s">
        <v>216</v>
      </c>
      <c r="O246" s="239" t="s">
        <v>217</v>
      </c>
      <c r="P246" s="241" t="s">
        <v>229</v>
      </c>
      <c r="Q246" s="235" t="s">
        <v>218</v>
      </c>
      <c r="R246" s="239" t="s">
        <v>219</v>
      </c>
      <c r="S246" s="243" t="s">
        <v>230</v>
      </c>
      <c r="T246" s="1043"/>
    </row>
    <row r="247" spans="1:20" ht="23.4" x14ac:dyDescent="0.3">
      <c r="A247" s="244" t="s">
        <v>111</v>
      </c>
      <c r="B247" s="245" t="s">
        <v>16</v>
      </c>
      <c r="C247" s="474">
        <f>+D247+E247</f>
        <v>0</v>
      </c>
      <c r="D247" s="246">
        <v>0</v>
      </c>
      <c r="E247" s="247">
        <v>0</v>
      </c>
      <c r="F247" s="618">
        <v>15000</v>
      </c>
      <c r="G247" s="475">
        <f>+H247+I247</f>
        <v>0</v>
      </c>
      <c r="H247" s="624">
        <v>0</v>
      </c>
      <c r="I247" s="626">
        <v>0</v>
      </c>
      <c r="J247" s="629">
        <v>0</v>
      </c>
      <c r="K247" s="474">
        <f>+L247-E247</f>
        <v>0</v>
      </c>
      <c r="L247" s="475">
        <f>+J247-D247</f>
        <v>0</v>
      </c>
      <c r="M247" s="476" t="str">
        <f>IFERROR(K247/L247,"-")</f>
        <v>-</v>
      </c>
      <c r="N247" s="477">
        <f>+O247-C247</f>
        <v>0</v>
      </c>
      <c r="O247" s="475">
        <f>+K247</f>
        <v>0</v>
      </c>
      <c r="P247" s="478" t="str">
        <f>IFERROR(N247/O247,"-")</f>
        <v>-</v>
      </c>
      <c r="Q247" s="475" t="str">
        <f>IFERROR(N247-(J247-(J247*H247/G247)),"-")</f>
        <v>-</v>
      </c>
      <c r="R247" s="475">
        <f>+N247</f>
        <v>0</v>
      </c>
      <c r="S247" s="479" t="str">
        <f>IFERROR(Q247/R247,"-")</f>
        <v>-</v>
      </c>
      <c r="T247" s="480" t="str">
        <f>IFERROR(M247*P247*S247,"-")</f>
        <v>-</v>
      </c>
    </row>
    <row r="248" spans="1:20" ht="23.4" x14ac:dyDescent="0.3">
      <c r="A248" s="248" t="s">
        <v>111</v>
      </c>
      <c r="B248" s="249" t="s">
        <v>234</v>
      </c>
      <c r="C248" s="481">
        <f t="shared" ref="C248:C262" si="195">+D248+E248</f>
        <v>30</v>
      </c>
      <c r="D248" s="250">
        <v>30</v>
      </c>
      <c r="E248" s="251">
        <v>0</v>
      </c>
      <c r="F248" s="619">
        <v>100000</v>
      </c>
      <c r="G248" s="483">
        <f t="shared" ref="G248:G253" si="196">+H248+I248</f>
        <v>12425</v>
      </c>
      <c r="H248" s="254">
        <v>12240</v>
      </c>
      <c r="I248" s="627">
        <v>185</v>
      </c>
      <c r="J248" s="630">
        <v>960</v>
      </c>
      <c r="K248" s="481">
        <f t="shared" ref="K248:K251" si="197">+L248-E248</f>
        <v>930</v>
      </c>
      <c r="L248" s="483">
        <f t="shared" ref="L248:L262" si="198">+J248-D248</f>
        <v>930</v>
      </c>
      <c r="M248" s="484">
        <f t="shared" ref="M248:M251" si="199">IFERROR(K248/L248,"-")</f>
        <v>1</v>
      </c>
      <c r="N248" s="485">
        <f t="shared" ref="N248:N262" si="200">+O248-C248</f>
        <v>900</v>
      </c>
      <c r="O248" s="483">
        <f t="shared" ref="O248:O262" si="201">+K248</f>
        <v>930</v>
      </c>
      <c r="P248" s="486">
        <f>IFERROR(N248/O248,"-")</f>
        <v>0.967741935483871</v>
      </c>
      <c r="Q248" s="483">
        <f t="shared" ref="Q248:Q262" si="202">IFERROR(N248-(J248-(J248*H248/G248)),"-")</f>
        <v>885.70623742454734</v>
      </c>
      <c r="R248" s="483">
        <f t="shared" ref="R248:R262" si="203">+N248</f>
        <v>900</v>
      </c>
      <c r="S248" s="487">
        <f t="shared" ref="S248:S262" si="204">IFERROR(Q248/R248,"-")</f>
        <v>0.98411804158283034</v>
      </c>
      <c r="T248" s="488">
        <f t="shared" ref="T248:T262" si="205">IFERROR(M248*P248*S248,"-")</f>
        <v>0.95237229830596493</v>
      </c>
    </row>
    <row r="249" spans="1:20" ht="23.4" x14ac:dyDescent="0.3">
      <c r="A249" s="248" t="s">
        <v>111</v>
      </c>
      <c r="B249" s="249" t="s">
        <v>233</v>
      </c>
      <c r="C249" s="481">
        <f t="shared" si="195"/>
        <v>0</v>
      </c>
      <c r="D249" s="250">
        <v>0</v>
      </c>
      <c r="E249" s="251">
        <v>0</v>
      </c>
      <c r="F249" s="619">
        <v>80000</v>
      </c>
      <c r="G249" s="483">
        <f t="shared" si="196"/>
        <v>0</v>
      </c>
      <c r="H249" s="254">
        <v>0</v>
      </c>
      <c r="I249" s="627">
        <v>0</v>
      </c>
      <c r="J249" s="630">
        <v>0</v>
      </c>
      <c r="K249" s="481">
        <f t="shared" si="197"/>
        <v>0</v>
      </c>
      <c r="L249" s="483">
        <f t="shared" si="198"/>
        <v>0</v>
      </c>
      <c r="M249" s="484" t="str">
        <f t="shared" si="199"/>
        <v>-</v>
      </c>
      <c r="N249" s="485">
        <f t="shared" si="200"/>
        <v>0</v>
      </c>
      <c r="O249" s="483">
        <f t="shared" si="201"/>
        <v>0</v>
      </c>
      <c r="P249" s="486" t="str">
        <f t="shared" ref="P249:P262" si="206">IFERROR(N249/O249,"-")</f>
        <v>-</v>
      </c>
      <c r="Q249" s="483" t="str">
        <f t="shared" si="202"/>
        <v>-</v>
      </c>
      <c r="R249" s="483">
        <f t="shared" si="203"/>
        <v>0</v>
      </c>
      <c r="S249" s="487" t="str">
        <f t="shared" si="204"/>
        <v>-</v>
      </c>
      <c r="T249" s="488" t="str">
        <f t="shared" si="205"/>
        <v>-</v>
      </c>
    </row>
    <row r="250" spans="1:20" ht="23.4" x14ac:dyDescent="0.3">
      <c r="A250" s="252" t="s">
        <v>111</v>
      </c>
      <c r="B250" s="249" t="s">
        <v>236</v>
      </c>
      <c r="C250" s="481">
        <f t="shared" si="195"/>
        <v>120</v>
      </c>
      <c r="D250" s="250">
        <v>30</v>
      </c>
      <c r="E250" s="251">
        <v>90</v>
      </c>
      <c r="F250" s="619">
        <v>110000</v>
      </c>
      <c r="G250" s="483">
        <f t="shared" si="196"/>
        <v>59316</v>
      </c>
      <c r="H250" s="254">
        <v>59136</v>
      </c>
      <c r="I250" s="627">
        <v>180</v>
      </c>
      <c r="J250" s="630">
        <v>480</v>
      </c>
      <c r="K250" s="481">
        <f t="shared" si="197"/>
        <v>360</v>
      </c>
      <c r="L250" s="483">
        <f t="shared" si="198"/>
        <v>450</v>
      </c>
      <c r="M250" s="484">
        <f t="shared" si="199"/>
        <v>0.8</v>
      </c>
      <c r="N250" s="485">
        <f t="shared" si="200"/>
        <v>240</v>
      </c>
      <c r="O250" s="483">
        <f t="shared" si="201"/>
        <v>360</v>
      </c>
      <c r="P250" s="486">
        <f t="shared" si="206"/>
        <v>0.66666666666666663</v>
      </c>
      <c r="Q250" s="483">
        <f t="shared" si="202"/>
        <v>238.54339469957517</v>
      </c>
      <c r="R250" s="483">
        <f t="shared" si="203"/>
        <v>240</v>
      </c>
      <c r="S250" s="487">
        <f t="shared" si="204"/>
        <v>0.99393081124822991</v>
      </c>
      <c r="T250" s="488">
        <f t="shared" si="205"/>
        <v>0.53009643266572259</v>
      </c>
    </row>
    <row r="251" spans="1:20" ht="23.4" x14ac:dyDescent="0.3">
      <c r="A251" s="248" t="s">
        <v>111</v>
      </c>
      <c r="B251" s="249" t="s">
        <v>235</v>
      </c>
      <c r="C251" s="481">
        <f t="shared" si="195"/>
        <v>0</v>
      </c>
      <c r="D251" s="250">
        <v>0</v>
      </c>
      <c r="E251" s="251">
        <v>0</v>
      </c>
      <c r="F251" s="619">
        <v>50000</v>
      </c>
      <c r="G251" s="483">
        <f t="shared" si="196"/>
        <v>0</v>
      </c>
      <c r="H251" s="254">
        <v>0</v>
      </c>
      <c r="I251" s="627">
        <v>0</v>
      </c>
      <c r="J251" s="630">
        <v>0</v>
      </c>
      <c r="K251" s="481">
        <f t="shared" si="197"/>
        <v>0</v>
      </c>
      <c r="L251" s="483">
        <f t="shared" si="198"/>
        <v>0</v>
      </c>
      <c r="M251" s="484" t="str">
        <f t="shared" si="199"/>
        <v>-</v>
      </c>
      <c r="N251" s="485">
        <f t="shared" si="200"/>
        <v>0</v>
      </c>
      <c r="O251" s="483">
        <f t="shared" si="201"/>
        <v>0</v>
      </c>
      <c r="P251" s="486" t="str">
        <f t="shared" si="206"/>
        <v>-</v>
      </c>
      <c r="Q251" s="483" t="str">
        <f t="shared" si="202"/>
        <v>-</v>
      </c>
      <c r="R251" s="483">
        <f t="shared" si="203"/>
        <v>0</v>
      </c>
      <c r="S251" s="487" t="str">
        <f t="shared" si="204"/>
        <v>-</v>
      </c>
      <c r="T251" s="488" t="str">
        <f t="shared" si="205"/>
        <v>-</v>
      </c>
    </row>
    <row r="252" spans="1:20" ht="23.4" x14ac:dyDescent="0.3">
      <c r="A252" s="248">
        <v>5</v>
      </c>
      <c r="B252" s="249" t="s">
        <v>22</v>
      </c>
      <c r="C252" s="481">
        <f t="shared" si="195"/>
        <v>480</v>
      </c>
      <c r="D252" s="250">
        <v>30</v>
      </c>
      <c r="E252" s="251">
        <v>450</v>
      </c>
      <c r="F252" s="619">
        <v>80000</v>
      </c>
      <c r="G252" s="483">
        <f t="shared" si="196"/>
        <v>0</v>
      </c>
      <c r="H252" s="254">
        <v>0</v>
      </c>
      <c r="I252" s="627">
        <v>0</v>
      </c>
      <c r="J252" s="630">
        <v>0</v>
      </c>
      <c r="K252" s="481">
        <f>+L252-E252</f>
        <v>-480</v>
      </c>
      <c r="L252" s="483">
        <f t="shared" si="198"/>
        <v>-30</v>
      </c>
      <c r="M252" s="484">
        <f>IFERROR(K252/L252,"-")</f>
        <v>16</v>
      </c>
      <c r="N252" s="485">
        <f t="shared" si="200"/>
        <v>-960</v>
      </c>
      <c r="O252" s="483">
        <f t="shared" si="201"/>
        <v>-480</v>
      </c>
      <c r="P252" s="486">
        <f t="shared" si="206"/>
        <v>2</v>
      </c>
      <c r="Q252" s="483" t="str">
        <f t="shared" si="202"/>
        <v>-</v>
      </c>
      <c r="R252" s="483">
        <f t="shared" si="203"/>
        <v>-960</v>
      </c>
      <c r="S252" s="487" t="str">
        <f t="shared" si="204"/>
        <v>-</v>
      </c>
      <c r="T252" s="488" t="str">
        <f t="shared" si="205"/>
        <v>-</v>
      </c>
    </row>
    <row r="253" spans="1:20" ht="23.4" x14ac:dyDescent="0.3">
      <c r="A253" s="248" t="s">
        <v>111</v>
      </c>
      <c r="B253" s="249" t="s">
        <v>23</v>
      </c>
      <c r="C253" s="481">
        <f t="shared" si="195"/>
        <v>70</v>
      </c>
      <c r="D253" s="250">
        <v>30</v>
      </c>
      <c r="E253" s="251">
        <v>40</v>
      </c>
      <c r="F253" s="619">
        <v>14000</v>
      </c>
      <c r="G253" s="483">
        <f t="shared" si="196"/>
        <v>14060</v>
      </c>
      <c r="H253" s="254">
        <v>14000</v>
      </c>
      <c r="I253" s="627">
        <v>60</v>
      </c>
      <c r="J253" s="630">
        <v>480</v>
      </c>
      <c r="K253" s="481">
        <f t="shared" ref="K253:K262" si="207">+L253-E253</f>
        <v>410</v>
      </c>
      <c r="L253" s="483">
        <f t="shared" si="198"/>
        <v>450</v>
      </c>
      <c r="M253" s="484">
        <f t="shared" ref="M253:M262" si="208">IFERROR(K253/L253,"-")</f>
        <v>0.91111111111111109</v>
      </c>
      <c r="N253" s="485">
        <f t="shared" si="200"/>
        <v>340</v>
      </c>
      <c r="O253" s="483">
        <f t="shared" si="201"/>
        <v>410</v>
      </c>
      <c r="P253" s="486">
        <f t="shared" si="206"/>
        <v>0.82926829268292679</v>
      </c>
      <c r="Q253" s="483">
        <f t="shared" si="202"/>
        <v>337.95163584637271</v>
      </c>
      <c r="R253" s="483">
        <f t="shared" si="203"/>
        <v>340</v>
      </c>
      <c r="S253" s="487">
        <f t="shared" si="204"/>
        <v>0.99397539954815506</v>
      </c>
      <c r="T253" s="488">
        <f t="shared" si="205"/>
        <v>0.75100363521416158</v>
      </c>
    </row>
    <row r="254" spans="1:20" ht="23.4" x14ac:dyDescent="0.3">
      <c r="A254" s="248" t="s">
        <v>111</v>
      </c>
      <c r="B254" s="253" t="s">
        <v>231</v>
      </c>
      <c r="C254" s="489">
        <f t="shared" si="195"/>
        <v>360</v>
      </c>
      <c r="D254" s="250">
        <v>360</v>
      </c>
      <c r="E254" s="251">
        <v>0</v>
      </c>
      <c r="F254" s="619">
        <v>4500</v>
      </c>
      <c r="G254" s="483">
        <f>+H254+I254</f>
        <v>36992</v>
      </c>
      <c r="H254" s="254">
        <v>36761</v>
      </c>
      <c r="I254" s="322">
        <v>231</v>
      </c>
      <c r="J254" s="630">
        <v>1440</v>
      </c>
      <c r="K254" s="489">
        <f t="shared" si="207"/>
        <v>1080</v>
      </c>
      <c r="L254" s="250">
        <f t="shared" si="198"/>
        <v>1080</v>
      </c>
      <c r="M254" s="490">
        <f t="shared" si="208"/>
        <v>1</v>
      </c>
      <c r="N254" s="491">
        <f t="shared" si="200"/>
        <v>720</v>
      </c>
      <c r="O254" s="250">
        <f t="shared" si="201"/>
        <v>1080</v>
      </c>
      <c r="P254" s="492">
        <f t="shared" si="206"/>
        <v>0.66666666666666663</v>
      </c>
      <c r="Q254" s="250">
        <f t="shared" si="202"/>
        <v>711.00778546712809</v>
      </c>
      <c r="R254" s="250">
        <f t="shared" si="203"/>
        <v>720</v>
      </c>
      <c r="S254" s="493">
        <f t="shared" si="204"/>
        <v>0.98751081314878897</v>
      </c>
      <c r="T254" s="494">
        <f t="shared" si="205"/>
        <v>0.65834054209919257</v>
      </c>
    </row>
    <row r="255" spans="1:20" ht="24" thickBot="1" x14ac:dyDescent="0.35">
      <c r="A255" s="255" t="s">
        <v>111</v>
      </c>
      <c r="B255" s="256" t="s">
        <v>232</v>
      </c>
      <c r="C255" s="495">
        <f t="shared" si="195"/>
        <v>780</v>
      </c>
      <c r="D255" s="257">
        <v>90</v>
      </c>
      <c r="E255" s="258">
        <v>690</v>
      </c>
      <c r="F255" s="625">
        <v>5000</v>
      </c>
      <c r="G255" s="505">
        <f t="shared" ref="G255:G262" si="209">+H255+I255</f>
        <v>11483</v>
      </c>
      <c r="H255" s="259">
        <v>11468</v>
      </c>
      <c r="I255" s="628">
        <v>15</v>
      </c>
      <c r="J255" s="633">
        <v>960</v>
      </c>
      <c r="K255" s="495">
        <f t="shared" si="207"/>
        <v>180</v>
      </c>
      <c r="L255" s="257">
        <f t="shared" si="198"/>
        <v>870</v>
      </c>
      <c r="M255" s="496">
        <f t="shared" si="208"/>
        <v>0.20689655172413793</v>
      </c>
      <c r="N255" s="497">
        <f t="shared" si="200"/>
        <v>-600</v>
      </c>
      <c r="O255" s="257">
        <f t="shared" si="201"/>
        <v>180</v>
      </c>
      <c r="P255" s="498">
        <f t="shared" si="206"/>
        <v>-3.3333333333333335</v>
      </c>
      <c r="Q255" s="257">
        <f t="shared" si="202"/>
        <v>-601.25402769311154</v>
      </c>
      <c r="R255" s="257">
        <f t="shared" si="203"/>
        <v>-600</v>
      </c>
      <c r="S255" s="499">
        <f t="shared" si="204"/>
        <v>1.0020900461551858</v>
      </c>
      <c r="T255" s="500">
        <f t="shared" si="205"/>
        <v>-0.69109658355530057</v>
      </c>
    </row>
    <row r="256" spans="1:20" ht="23.4" x14ac:dyDescent="0.3">
      <c r="A256" s="252" t="s">
        <v>109</v>
      </c>
      <c r="B256" s="260" t="s">
        <v>29</v>
      </c>
      <c r="C256" s="481">
        <f t="shared" si="195"/>
        <v>0</v>
      </c>
      <c r="D256" s="250">
        <v>0</v>
      </c>
      <c r="E256" s="251">
        <v>0</v>
      </c>
      <c r="F256" s="482">
        <v>80000</v>
      </c>
      <c r="G256" s="483">
        <f t="shared" si="209"/>
        <v>0</v>
      </c>
      <c r="H256" s="254">
        <v>0</v>
      </c>
      <c r="I256" s="627">
        <v>0</v>
      </c>
      <c r="J256" s="629">
        <v>0</v>
      </c>
      <c r="K256" s="481">
        <f t="shared" si="207"/>
        <v>0</v>
      </c>
      <c r="L256" s="483">
        <f t="shared" si="198"/>
        <v>0</v>
      </c>
      <c r="M256" s="484" t="str">
        <f t="shared" si="208"/>
        <v>-</v>
      </c>
      <c r="N256" s="485">
        <f t="shared" si="200"/>
        <v>0</v>
      </c>
      <c r="O256" s="483">
        <f t="shared" si="201"/>
        <v>0</v>
      </c>
      <c r="P256" s="486" t="str">
        <f t="shared" si="206"/>
        <v>-</v>
      </c>
      <c r="Q256" s="483" t="str">
        <f t="shared" si="202"/>
        <v>-</v>
      </c>
      <c r="R256" s="483">
        <f t="shared" si="203"/>
        <v>0</v>
      </c>
      <c r="S256" s="501" t="str">
        <f t="shared" si="204"/>
        <v>-</v>
      </c>
      <c r="T256" s="502" t="str">
        <f t="shared" si="205"/>
        <v>-</v>
      </c>
    </row>
    <row r="257" spans="1:20" ht="23.4" x14ac:dyDescent="0.3">
      <c r="A257" s="248" t="s">
        <v>109</v>
      </c>
      <c r="B257" s="260" t="s">
        <v>31</v>
      </c>
      <c r="C257" s="481">
        <f t="shared" si="195"/>
        <v>0</v>
      </c>
      <c r="D257" s="250">
        <v>0</v>
      </c>
      <c r="E257" s="251">
        <v>0</v>
      </c>
      <c r="F257" s="482">
        <v>50000</v>
      </c>
      <c r="G257" s="483">
        <f t="shared" si="209"/>
        <v>0</v>
      </c>
      <c r="H257" s="254">
        <v>0</v>
      </c>
      <c r="I257" s="627">
        <v>0</v>
      </c>
      <c r="J257" s="630">
        <v>0</v>
      </c>
      <c r="K257" s="481">
        <f t="shared" si="207"/>
        <v>0</v>
      </c>
      <c r="L257" s="483">
        <f t="shared" si="198"/>
        <v>0</v>
      </c>
      <c r="M257" s="484" t="str">
        <f t="shared" si="208"/>
        <v>-</v>
      </c>
      <c r="N257" s="485">
        <f t="shared" si="200"/>
        <v>0</v>
      </c>
      <c r="O257" s="483">
        <f t="shared" si="201"/>
        <v>0</v>
      </c>
      <c r="P257" s="486" t="str">
        <f t="shared" si="206"/>
        <v>-</v>
      </c>
      <c r="Q257" s="483" t="str">
        <f t="shared" si="202"/>
        <v>-</v>
      </c>
      <c r="R257" s="483">
        <f t="shared" si="203"/>
        <v>0</v>
      </c>
      <c r="S257" s="501" t="str">
        <f t="shared" si="204"/>
        <v>-</v>
      </c>
      <c r="T257" s="502" t="str">
        <f t="shared" si="205"/>
        <v>-</v>
      </c>
    </row>
    <row r="258" spans="1:20" ht="24" thickBot="1" x14ac:dyDescent="0.35">
      <c r="A258" s="255" t="s">
        <v>109</v>
      </c>
      <c r="B258" s="261" t="s">
        <v>32</v>
      </c>
      <c r="C258" s="503">
        <f t="shared" si="195"/>
        <v>0</v>
      </c>
      <c r="D258" s="257">
        <v>0</v>
      </c>
      <c r="E258" s="258">
        <v>0</v>
      </c>
      <c r="F258" s="504">
        <v>110000</v>
      </c>
      <c r="G258" s="505">
        <f t="shared" si="209"/>
        <v>0</v>
      </c>
      <c r="H258" s="259">
        <v>0</v>
      </c>
      <c r="I258" s="705">
        <v>0</v>
      </c>
      <c r="J258" s="633">
        <v>0</v>
      </c>
      <c r="K258" s="503">
        <f t="shared" si="207"/>
        <v>0</v>
      </c>
      <c r="L258" s="505">
        <f t="shared" si="198"/>
        <v>0</v>
      </c>
      <c r="M258" s="506" t="str">
        <f t="shared" si="208"/>
        <v>-</v>
      </c>
      <c r="N258" s="507">
        <f t="shared" si="200"/>
        <v>0</v>
      </c>
      <c r="O258" s="505">
        <f t="shared" si="201"/>
        <v>0</v>
      </c>
      <c r="P258" s="508" t="str">
        <f t="shared" si="206"/>
        <v>-</v>
      </c>
      <c r="Q258" s="505" t="str">
        <f t="shared" si="202"/>
        <v>-</v>
      </c>
      <c r="R258" s="505">
        <f t="shared" si="203"/>
        <v>0</v>
      </c>
      <c r="S258" s="509" t="str">
        <f t="shared" si="204"/>
        <v>-</v>
      </c>
      <c r="T258" s="510" t="str">
        <f t="shared" si="205"/>
        <v>-</v>
      </c>
    </row>
    <row r="259" spans="1:20" ht="23.4" x14ac:dyDescent="0.3">
      <c r="A259" s="248" t="s">
        <v>110</v>
      </c>
      <c r="B259" s="249" t="s">
        <v>238</v>
      </c>
      <c r="C259" s="481">
        <f t="shared" si="195"/>
        <v>0</v>
      </c>
      <c r="D259" s="250">
        <v>0</v>
      </c>
      <c r="E259" s="251">
        <v>0</v>
      </c>
      <c r="F259" s="482">
        <v>6500</v>
      </c>
      <c r="G259" s="483">
        <f t="shared" si="209"/>
        <v>0</v>
      </c>
      <c r="H259" s="482">
        <v>0</v>
      </c>
      <c r="I259" s="631">
        <v>0</v>
      </c>
      <c r="J259" s="630">
        <v>0</v>
      </c>
      <c r="K259" s="481">
        <f t="shared" si="207"/>
        <v>0</v>
      </c>
      <c r="L259" s="483">
        <f t="shared" si="198"/>
        <v>0</v>
      </c>
      <c r="M259" s="484" t="str">
        <f t="shared" si="208"/>
        <v>-</v>
      </c>
      <c r="N259" s="485">
        <f t="shared" si="200"/>
        <v>0</v>
      </c>
      <c r="O259" s="483">
        <f t="shared" si="201"/>
        <v>0</v>
      </c>
      <c r="P259" s="486" t="str">
        <f t="shared" si="206"/>
        <v>-</v>
      </c>
      <c r="Q259" s="483" t="str">
        <f t="shared" si="202"/>
        <v>-</v>
      </c>
      <c r="R259" s="483">
        <f t="shared" si="203"/>
        <v>0</v>
      </c>
      <c r="S259" s="501" t="str">
        <f t="shared" si="204"/>
        <v>-</v>
      </c>
      <c r="T259" s="502" t="str">
        <f t="shared" si="205"/>
        <v>-</v>
      </c>
    </row>
    <row r="260" spans="1:20" ht="23.4" x14ac:dyDescent="0.3">
      <c r="A260" s="252" t="s">
        <v>110</v>
      </c>
      <c r="B260" s="249" t="s">
        <v>40</v>
      </c>
      <c r="C260" s="481">
        <f t="shared" si="195"/>
        <v>0</v>
      </c>
      <c r="D260" s="250">
        <v>0</v>
      </c>
      <c r="E260" s="251">
        <v>0</v>
      </c>
      <c r="F260" s="482">
        <v>2800</v>
      </c>
      <c r="G260" s="483">
        <f t="shared" si="209"/>
        <v>0</v>
      </c>
      <c r="H260" s="482"/>
      <c r="I260" s="631"/>
      <c r="J260" s="630">
        <v>0</v>
      </c>
      <c r="K260" s="481">
        <f t="shared" si="207"/>
        <v>0</v>
      </c>
      <c r="L260" s="483">
        <f t="shared" si="198"/>
        <v>0</v>
      </c>
      <c r="M260" s="484" t="str">
        <f t="shared" si="208"/>
        <v>-</v>
      </c>
      <c r="N260" s="485">
        <f t="shared" si="200"/>
        <v>0</v>
      </c>
      <c r="O260" s="483">
        <f t="shared" si="201"/>
        <v>0</v>
      </c>
      <c r="P260" s="486" t="str">
        <f t="shared" si="206"/>
        <v>-</v>
      </c>
      <c r="Q260" s="483" t="str">
        <f t="shared" si="202"/>
        <v>-</v>
      </c>
      <c r="R260" s="483">
        <f t="shared" si="203"/>
        <v>0</v>
      </c>
      <c r="S260" s="501" t="str">
        <f t="shared" si="204"/>
        <v>-</v>
      </c>
      <c r="T260" s="502" t="str">
        <f t="shared" si="205"/>
        <v>-</v>
      </c>
    </row>
    <row r="261" spans="1:20" ht="23.4" x14ac:dyDescent="0.3">
      <c r="A261" s="248" t="s">
        <v>110</v>
      </c>
      <c r="B261" s="249" t="s">
        <v>42</v>
      </c>
      <c r="C261" s="481">
        <f t="shared" si="195"/>
        <v>0</v>
      </c>
      <c r="D261" s="250">
        <v>0</v>
      </c>
      <c r="E261" s="251">
        <v>0</v>
      </c>
      <c r="F261" s="482">
        <v>25000</v>
      </c>
      <c r="G261" s="483">
        <f t="shared" si="209"/>
        <v>0</v>
      </c>
      <c r="H261" s="482">
        <v>0</v>
      </c>
      <c r="I261" s="631">
        <v>0</v>
      </c>
      <c r="J261" s="630">
        <v>0</v>
      </c>
      <c r="K261" s="481">
        <f t="shared" si="207"/>
        <v>0</v>
      </c>
      <c r="L261" s="483">
        <f t="shared" si="198"/>
        <v>0</v>
      </c>
      <c r="M261" s="484" t="str">
        <f t="shared" si="208"/>
        <v>-</v>
      </c>
      <c r="N261" s="485">
        <f t="shared" si="200"/>
        <v>0</v>
      </c>
      <c r="O261" s="483">
        <f t="shared" si="201"/>
        <v>0</v>
      </c>
      <c r="P261" s="486" t="str">
        <f t="shared" si="206"/>
        <v>-</v>
      </c>
      <c r="Q261" s="483" t="str">
        <f t="shared" si="202"/>
        <v>-</v>
      </c>
      <c r="R261" s="483">
        <f t="shared" si="203"/>
        <v>0</v>
      </c>
      <c r="S261" s="501" t="str">
        <f t="shared" si="204"/>
        <v>-</v>
      </c>
      <c r="T261" s="502" t="str">
        <f t="shared" si="205"/>
        <v>-</v>
      </c>
    </row>
    <row r="262" spans="1:20" ht="47.4" thickBot="1" x14ac:dyDescent="0.35">
      <c r="A262" s="635" t="s">
        <v>110</v>
      </c>
      <c r="B262" s="261" t="s">
        <v>237</v>
      </c>
      <c r="C262" s="636">
        <f t="shared" si="195"/>
        <v>0</v>
      </c>
      <c r="D262" s="637">
        <v>0</v>
      </c>
      <c r="E262" s="638">
        <v>0</v>
      </c>
      <c r="F262" s="639">
        <v>25000</v>
      </c>
      <c r="G262" s="640">
        <f t="shared" si="209"/>
        <v>0</v>
      </c>
      <c r="H262" s="639">
        <v>0</v>
      </c>
      <c r="I262" s="641">
        <v>0</v>
      </c>
      <c r="J262" s="634">
        <v>0</v>
      </c>
      <c r="K262" s="636">
        <f t="shared" si="207"/>
        <v>0</v>
      </c>
      <c r="L262" s="640">
        <f t="shared" si="198"/>
        <v>0</v>
      </c>
      <c r="M262" s="642" t="str">
        <f t="shared" si="208"/>
        <v>-</v>
      </c>
      <c r="N262" s="643">
        <f t="shared" si="200"/>
        <v>0</v>
      </c>
      <c r="O262" s="640">
        <f t="shared" si="201"/>
        <v>0</v>
      </c>
      <c r="P262" s="644" t="str">
        <f t="shared" si="206"/>
        <v>-</v>
      </c>
      <c r="Q262" s="640" t="str">
        <f t="shared" si="202"/>
        <v>-</v>
      </c>
      <c r="R262" s="640">
        <f t="shared" si="203"/>
        <v>0</v>
      </c>
      <c r="S262" s="645" t="str">
        <f t="shared" si="204"/>
        <v>-</v>
      </c>
      <c r="T262" s="646" t="str">
        <f t="shared" si="205"/>
        <v>-</v>
      </c>
    </row>
    <row r="263" spans="1:20" ht="23.4" x14ac:dyDescent="0.3">
      <c r="A263" s="935" t="s">
        <v>1</v>
      </c>
      <c r="B263" s="944" t="s">
        <v>2</v>
      </c>
      <c r="C263" s="944" t="s">
        <v>226</v>
      </c>
      <c r="D263" s="945"/>
      <c r="E263" s="946"/>
      <c r="F263" s="944" t="s">
        <v>464</v>
      </c>
      <c r="G263" s="945"/>
      <c r="H263" s="945"/>
      <c r="I263" s="946"/>
      <c r="J263" s="1040" t="s">
        <v>223</v>
      </c>
      <c r="K263" s="944" t="s">
        <v>211</v>
      </c>
      <c r="L263" s="945"/>
      <c r="M263" s="946"/>
      <c r="N263" s="945" t="s">
        <v>212</v>
      </c>
      <c r="O263" s="945"/>
      <c r="P263" s="946"/>
      <c r="Q263" s="944" t="s">
        <v>213</v>
      </c>
      <c r="R263" s="945"/>
      <c r="S263" s="945"/>
      <c r="T263" s="1042" t="s">
        <v>210</v>
      </c>
    </row>
    <row r="264" spans="1:20" ht="87.6" thickBot="1" x14ac:dyDescent="0.35">
      <c r="A264" s="1038"/>
      <c r="B264" s="1039"/>
      <c r="C264" s="235" t="s">
        <v>227</v>
      </c>
      <c r="D264" s="236" t="s">
        <v>224</v>
      </c>
      <c r="E264" s="237" t="s">
        <v>225</v>
      </c>
      <c r="F264" s="238" t="s">
        <v>382</v>
      </c>
      <c r="G264" s="236" t="s">
        <v>220</v>
      </c>
      <c r="H264" s="239" t="s">
        <v>221</v>
      </c>
      <c r="I264" s="240" t="s">
        <v>222</v>
      </c>
      <c r="J264" s="1041"/>
      <c r="K264" s="235" t="s">
        <v>214</v>
      </c>
      <c r="L264" s="239" t="s">
        <v>215</v>
      </c>
      <c r="M264" s="241" t="s">
        <v>228</v>
      </c>
      <c r="N264" s="242" t="s">
        <v>216</v>
      </c>
      <c r="O264" s="239" t="s">
        <v>217</v>
      </c>
      <c r="P264" s="241" t="s">
        <v>229</v>
      </c>
      <c r="Q264" s="235" t="s">
        <v>218</v>
      </c>
      <c r="R264" s="239" t="s">
        <v>219</v>
      </c>
      <c r="S264" s="243" t="s">
        <v>230</v>
      </c>
      <c r="T264" s="1043"/>
    </row>
    <row r="265" spans="1:20" ht="23.4" x14ac:dyDescent="0.3">
      <c r="A265" s="244" t="s">
        <v>111</v>
      </c>
      <c r="B265" s="245" t="s">
        <v>16</v>
      </c>
      <c r="C265" s="474">
        <f>+D265+E265</f>
        <v>0</v>
      </c>
      <c r="D265" s="246">
        <v>0</v>
      </c>
      <c r="E265" s="247">
        <v>0</v>
      </c>
      <c r="F265" s="618">
        <v>15000</v>
      </c>
      <c r="G265" s="475">
        <f>+H265+I265</f>
        <v>592</v>
      </c>
      <c r="H265" s="624">
        <v>592</v>
      </c>
      <c r="I265" s="626">
        <v>0</v>
      </c>
      <c r="J265" s="629">
        <v>480</v>
      </c>
      <c r="K265" s="474">
        <f>+L265-E265</f>
        <v>480</v>
      </c>
      <c r="L265" s="475">
        <f>+J265-D265</f>
        <v>480</v>
      </c>
      <c r="M265" s="476">
        <f>IFERROR(K265/L265,"-")</f>
        <v>1</v>
      </c>
      <c r="N265" s="477">
        <f>+O265-C265</f>
        <v>480</v>
      </c>
      <c r="O265" s="475">
        <f>+K265</f>
        <v>480</v>
      </c>
      <c r="P265" s="478">
        <f>IFERROR(N265/O265,"-")</f>
        <v>1</v>
      </c>
      <c r="Q265" s="475">
        <f>IFERROR(N265-(J265-(J265*H265/G265)),"-")</f>
        <v>480</v>
      </c>
      <c r="R265" s="475">
        <f>+N265</f>
        <v>480</v>
      </c>
      <c r="S265" s="479">
        <f>IFERROR(Q265/R265,"-")</f>
        <v>1</v>
      </c>
      <c r="T265" s="480">
        <f>IFERROR(M265*P265*S265,"-")</f>
        <v>1</v>
      </c>
    </row>
    <row r="266" spans="1:20" ht="23.4" x14ac:dyDescent="0.3">
      <c r="A266" s="248" t="s">
        <v>111</v>
      </c>
      <c r="B266" s="249" t="s">
        <v>234</v>
      </c>
      <c r="C266" s="481">
        <f t="shared" ref="C266:C280" si="210">+D266+E266</f>
        <v>270</v>
      </c>
      <c r="D266" s="250">
        <v>30</v>
      </c>
      <c r="E266" s="251">
        <v>240</v>
      </c>
      <c r="F266" s="619">
        <v>100000</v>
      </c>
      <c r="G266" s="483">
        <f t="shared" ref="G266:G271" si="211">+H266+I266</f>
        <v>141221</v>
      </c>
      <c r="H266" s="254">
        <v>140760</v>
      </c>
      <c r="I266" s="627">
        <v>461</v>
      </c>
      <c r="J266" s="630">
        <v>960</v>
      </c>
      <c r="K266" s="481">
        <f t="shared" ref="K266:K269" si="212">+L266-E266</f>
        <v>690</v>
      </c>
      <c r="L266" s="483">
        <f t="shared" ref="L266:L280" si="213">+J266-D266</f>
        <v>930</v>
      </c>
      <c r="M266" s="484">
        <f t="shared" ref="M266:M269" si="214">IFERROR(K266/L266,"-")</f>
        <v>0.74193548387096775</v>
      </c>
      <c r="N266" s="485">
        <f t="shared" ref="N266:N280" si="215">+O266-C266</f>
        <v>420</v>
      </c>
      <c r="O266" s="483">
        <f t="shared" ref="O266:O280" si="216">+K266</f>
        <v>690</v>
      </c>
      <c r="P266" s="486">
        <f>IFERROR(N266/O266,"-")</f>
        <v>0.60869565217391308</v>
      </c>
      <c r="Q266" s="483">
        <f t="shared" ref="Q266:Q280" si="217">IFERROR(N266-(J266-(J266*H266/G266)),"-")</f>
        <v>416.866188456391</v>
      </c>
      <c r="R266" s="483">
        <f t="shared" ref="R266:R280" si="218">+N266</f>
        <v>420</v>
      </c>
      <c r="S266" s="487">
        <f t="shared" ref="S266:S280" si="219">IFERROR(Q266/R266,"-")</f>
        <v>0.99253854394378804</v>
      </c>
      <c r="T266" s="488">
        <f t="shared" ref="T266:T280" si="220">IFERROR(M266*P266*S266,"-")</f>
        <v>0.44824321339396883</v>
      </c>
    </row>
    <row r="267" spans="1:20" ht="23.4" x14ac:dyDescent="0.3">
      <c r="A267" s="248" t="s">
        <v>111</v>
      </c>
      <c r="B267" s="249" t="s">
        <v>233</v>
      </c>
      <c r="C267" s="481">
        <f t="shared" si="210"/>
        <v>0</v>
      </c>
      <c r="D267" s="250">
        <v>0</v>
      </c>
      <c r="E267" s="251">
        <v>0</v>
      </c>
      <c r="F267" s="619">
        <v>80000</v>
      </c>
      <c r="G267" s="483">
        <f t="shared" si="211"/>
        <v>0</v>
      </c>
      <c r="H267" s="254">
        <v>0</v>
      </c>
      <c r="I267" s="627">
        <v>0</v>
      </c>
      <c r="J267" s="630">
        <v>0</v>
      </c>
      <c r="K267" s="481">
        <f t="shared" si="212"/>
        <v>0</v>
      </c>
      <c r="L267" s="483">
        <f t="shared" si="213"/>
        <v>0</v>
      </c>
      <c r="M267" s="484" t="str">
        <f t="shared" si="214"/>
        <v>-</v>
      </c>
      <c r="N267" s="485">
        <f t="shared" si="215"/>
        <v>0</v>
      </c>
      <c r="O267" s="483">
        <f t="shared" si="216"/>
        <v>0</v>
      </c>
      <c r="P267" s="486" t="str">
        <f t="shared" ref="P267:P280" si="221">IFERROR(N267/O267,"-")</f>
        <v>-</v>
      </c>
      <c r="Q267" s="483" t="str">
        <f t="shared" si="217"/>
        <v>-</v>
      </c>
      <c r="R267" s="483">
        <f t="shared" si="218"/>
        <v>0</v>
      </c>
      <c r="S267" s="487" t="str">
        <f t="shared" si="219"/>
        <v>-</v>
      </c>
      <c r="T267" s="488" t="str">
        <f t="shared" si="220"/>
        <v>-</v>
      </c>
    </row>
    <row r="268" spans="1:20" ht="23.4" x14ac:dyDescent="0.3">
      <c r="A268" s="252" t="s">
        <v>111</v>
      </c>
      <c r="B268" s="249" t="s">
        <v>236</v>
      </c>
      <c r="C268" s="481">
        <f t="shared" si="210"/>
        <v>120</v>
      </c>
      <c r="D268" s="250">
        <v>30</v>
      </c>
      <c r="E268" s="251">
        <v>90</v>
      </c>
      <c r="F268" s="619">
        <v>110000</v>
      </c>
      <c r="G268" s="483">
        <f t="shared" si="211"/>
        <v>59361</v>
      </c>
      <c r="H268" s="254">
        <v>59136</v>
      </c>
      <c r="I268" s="627">
        <v>225</v>
      </c>
      <c r="J268" s="630">
        <v>480</v>
      </c>
      <c r="K268" s="481">
        <f t="shared" si="212"/>
        <v>360</v>
      </c>
      <c r="L268" s="483">
        <f t="shared" si="213"/>
        <v>450</v>
      </c>
      <c r="M268" s="484">
        <f t="shared" si="214"/>
        <v>0.8</v>
      </c>
      <c r="N268" s="485">
        <f t="shared" si="215"/>
        <v>240</v>
      </c>
      <c r="O268" s="483">
        <f t="shared" si="216"/>
        <v>360</v>
      </c>
      <c r="P268" s="486">
        <f t="shared" si="221"/>
        <v>0.66666666666666663</v>
      </c>
      <c r="Q268" s="483">
        <f t="shared" si="217"/>
        <v>238.18062364178502</v>
      </c>
      <c r="R268" s="483">
        <f t="shared" si="218"/>
        <v>240</v>
      </c>
      <c r="S268" s="487">
        <f t="shared" si="219"/>
        <v>0.99241926517410428</v>
      </c>
      <c r="T268" s="488">
        <f t="shared" si="220"/>
        <v>0.52929027475952228</v>
      </c>
    </row>
    <row r="269" spans="1:20" ht="23.4" x14ac:dyDescent="0.3">
      <c r="A269" s="248" t="s">
        <v>111</v>
      </c>
      <c r="B269" s="249" t="s">
        <v>235</v>
      </c>
      <c r="C269" s="481">
        <f t="shared" si="210"/>
        <v>0</v>
      </c>
      <c r="D269" s="250">
        <v>0</v>
      </c>
      <c r="E269" s="251">
        <v>0</v>
      </c>
      <c r="F269" s="619">
        <v>50000</v>
      </c>
      <c r="G269" s="483">
        <f t="shared" si="211"/>
        <v>0</v>
      </c>
      <c r="H269" s="254">
        <v>0</v>
      </c>
      <c r="I269" s="627">
        <v>0</v>
      </c>
      <c r="J269" s="630">
        <v>0</v>
      </c>
      <c r="K269" s="481">
        <f t="shared" si="212"/>
        <v>0</v>
      </c>
      <c r="L269" s="483">
        <f t="shared" si="213"/>
        <v>0</v>
      </c>
      <c r="M269" s="484" t="str">
        <f t="shared" si="214"/>
        <v>-</v>
      </c>
      <c r="N269" s="485">
        <f t="shared" si="215"/>
        <v>0</v>
      </c>
      <c r="O269" s="483">
        <f t="shared" si="216"/>
        <v>0</v>
      </c>
      <c r="P269" s="486" t="str">
        <f t="shared" si="221"/>
        <v>-</v>
      </c>
      <c r="Q269" s="483" t="str">
        <f t="shared" si="217"/>
        <v>-</v>
      </c>
      <c r="R269" s="483">
        <f t="shared" si="218"/>
        <v>0</v>
      </c>
      <c r="S269" s="487" t="str">
        <f t="shared" si="219"/>
        <v>-</v>
      </c>
      <c r="T269" s="488" t="str">
        <f t="shared" si="220"/>
        <v>-</v>
      </c>
    </row>
    <row r="270" spans="1:20" ht="23.4" x14ac:dyDescent="0.3">
      <c r="A270" s="248">
        <v>5</v>
      </c>
      <c r="B270" s="249" t="s">
        <v>22</v>
      </c>
      <c r="C270" s="481">
        <f t="shared" si="210"/>
        <v>480</v>
      </c>
      <c r="D270" s="250">
        <v>30</v>
      </c>
      <c r="E270" s="251">
        <v>450</v>
      </c>
      <c r="F270" s="619">
        <v>80000</v>
      </c>
      <c r="G270" s="483">
        <f t="shared" si="211"/>
        <v>0</v>
      </c>
      <c r="H270" s="254">
        <v>0</v>
      </c>
      <c r="I270" s="627">
        <v>0</v>
      </c>
      <c r="J270" s="630">
        <v>0</v>
      </c>
      <c r="K270" s="481">
        <f>+L270-E270</f>
        <v>-480</v>
      </c>
      <c r="L270" s="483">
        <f t="shared" si="213"/>
        <v>-30</v>
      </c>
      <c r="M270" s="484">
        <f>IFERROR(K270/L270,"-")</f>
        <v>16</v>
      </c>
      <c r="N270" s="485">
        <f t="shared" si="215"/>
        <v>-960</v>
      </c>
      <c r="O270" s="483">
        <f t="shared" si="216"/>
        <v>-480</v>
      </c>
      <c r="P270" s="486">
        <f t="shared" si="221"/>
        <v>2</v>
      </c>
      <c r="Q270" s="483" t="str">
        <f t="shared" si="217"/>
        <v>-</v>
      </c>
      <c r="R270" s="483">
        <f t="shared" si="218"/>
        <v>-960</v>
      </c>
      <c r="S270" s="487" t="str">
        <f t="shared" si="219"/>
        <v>-</v>
      </c>
      <c r="T270" s="488" t="str">
        <f t="shared" si="220"/>
        <v>-</v>
      </c>
    </row>
    <row r="271" spans="1:20" ht="23.4" x14ac:dyDescent="0.3">
      <c r="A271" s="248" t="s">
        <v>111</v>
      </c>
      <c r="B271" s="249" t="s">
        <v>23</v>
      </c>
      <c r="C271" s="481">
        <f t="shared" si="210"/>
        <v>180</v>
      </c>
      <c r="D271" s="250">
        <v>30</v>
      </c>
      <c r="E271" s="251">
        <v>150</v>
      </c>
      <c r="F271" s="619">
        <v>14000</v>
      </c>
      <c r="G271" s="483">
        <f t="shared" si="211"/>
        <v>9702</v>
      </c>
      <c r="H271" s="254">
        <v>9639</v>
      </c>
      <c r="I271" s="627">
        <v>63</v>
      </c>
      <c r="J271" s="630">
        <v>480</v>
      </c>
      <c r="K271" s="481">
        <f t="shared" ref="K271:K280" si="222">+L271-E271</f>
        <v>300</v>
      </c>
      <c r="L271" s="483">
        <f t="shared" si="213"/>
        <v>450</v>
      </c>
      <c r="M271" s="484">
        <f t="shared" ref="M271:M280" si="223">IFERROR(K271/L271,"-")</f>
        <v>0.66666666666666663</v>
      </c>
      <c r="N271" s="485">
        <f t="shared" si="215"/>
        <v>120</v>
      </c>
      <c r="O271" s="483">
        <f t="shared" si="216"/>
        <v>300</v>
      </c>
      <c r="P271" s="486">
        <f t="shared" si="221"/>
        <v>0.4</v>
      </c>
      <c r="Q271" s="483">
        <f t="shared" si="217"/>
        <v>116.88311688311688</v>
      </c>
      <c r="R271" s="483">
        <f t="shared" si="218"/>
        <v>120</v>
      </c>
      <c r="S271" s="487">
        <f t="shared" si="219"/>
        <v>0.97402597402597402</v>
      </c>
      <c r="T271" s="488">
        <f t="shared" si="220"/>
        <v>0.25974025974025972</v>
      </c>
    </row>
    <row r="272" spans="1:20" ht="23.4" x14ac:dyDescent="0.3">
      <c r="A272" s="248" t="s">
        <v>111</v>
      </c>
      <c r="B272" s="253" t="s">
        <v>231</v>
      </c>
      <c r="C272" s="489">
        <f t="shared" si="210"/>
        <v>390</v>
      </c>
      <c r="D272" s="250">
        <v>270</v>
      </c>
      <c r="E272" s="251">
        <v>120</v>
      </c>
      <c r="F272" s="619">
        <v>4500</v>
      </c>
      <c r="G272" s="483">
        <f>+H272+I272</f>
        <v>24802</v>
      </c>
      <c r="H272" s="254">
        <v>24572</v>
      </c>
      <c r="I272" s="322">
        <v>230</v>
      </c>
      <c r="J272" s="630">
        <v>1140</v>
      </c>
      <c r="K272" s="489">
        <f t="shared" si="222"/>
        <v>750</v>
      </c>
      <c r="L272" s="250">
        <f t="shared" si="213"/>
        <v>870</v>
      </c>
      <c r="M272" s="490">
        <f t="shared" si="223"/>
        <v>0.86206896551724133</v>
      </c>
      <c r="N272" s="491">
        <f t="shared" si="215"/>
        <v>360</v>
      </c>
      <c r="O272" s="250">
        <f t="shared" si="216"/>
        <v>750</v>
      </c>
      <c r="P272" s="492">
        <f t="shared" si="221"/>
        <v>0.48</v>
      </c>
      <c r="Q272" s="250">
        <f t="shared" si="217"/>
        <v>349.42827191355536</v>
      </c>
      <c r="R272" s="250">
        <f t="shared" si="218"/>
        <v>360</v>
      </c>
      <c r="S272" s="493">
        <f t="shared" si="219"/>
        <v>0.97063408864876488</v>
      </c>
      <c r="T272" s="494">
        <f t="shared" si="220"/>
        <v>0.40164169185466125</v>
      </c>
    </row>
    <row r="273" spans="1:20" ht="24" thickBot="1" x14ac:dyDescent="0.35">
      <c r="A273" s="255" t="s">
        <v>111</v>
      </c>
      <c r="B273" s="256" t="s">
        <v>232</v>
      </c>
      <c r="C273" s="495">
        <f t="shared" si="210"/>
        <v>120</v>
      </c>
      <c r="D273" s="257">
        <v>90</v>
      </c>
      <c r="E273" s="258">
        <v>30</v>
      </c>
      <c r="F273" s="625">
        <v>5000</v>
      </c>
      <c r="G273" s="505">
        <f t="shared" ref="G273:G280" si="224">+H273+I273</f>
        <v>35201</v>
      </c>
      <c r="H273" s="259">
        <v>35137</v>
      </c>
      <c r="I273" s="628">
        <v>64</v>
      </c>
      <c r="J273" s="633">
        <v>960</v>
      </c>
      <c r="K273" s="495">
        <f t="shared" si="222"/>
        <v>840</v>
      </c>
      <c r="L273" s="257">
        <f t="shared" si="213"/>
        <v>870</v>
      </c>
      <c r="M273" s="496">
        <f t="shared" si="223"/>
        <v>0.96551724137931039</v>
      </c>
      <c r="N273" s="497">
        <f t="shared" si="215"/>
        <v>720</v>
      </c>
      <c r="O273" s="257">
        <f t="shared" si="216"/>
        <v>840</v>
      </c>
      <c r="P273" s="498">
        <f t="shared" si="221"/>
        <v>0.8571428571428571</v>
      </c>
      <c r="Q273" s="257">
        <f t="shared" si="217"/>
        <v>718.25459503991362</v>
      </c>
      <c r="R273" s="257">
        <f t="shared" si="218"/>
        <v>720</v>
      </c>
      <c r="S273" s="499">
        <f t="shared" si="219"/>
        <v>0.99757582644432452</v>
      </c>
      <c r="T273" s="500">
        <f t="shared" si="220"/>
        <v>0.82557999429875129</v>
      </c>
    </row>
    <row r="274" spans="1:20" ht="23.4" x14ac:dyDescent="0.3">
      <c r="A274" s="252" t="s">
        <v>109</v>
      </c>
      <c r="B274" s="260" t="s">
        <v>29</v>
      </c>
      <c r="C274" s="481">
        <f t="shared" si="210"/>
        <v>0</v>
      </c>
      <c r="D274" s="250">
        <v>0</v>
      </c>
      <c r="E274" s="251">
        <v>0</v>
      </c>
      <c r="F274" s="482">
        <v>80000</v>
      </c>
      <c r="G274" s="483">
        <f t="shared" si="224"/>
        <v>0</v>
      </c>
      <c r="H274" s="254">
        <v>0</v>
      </c>
      <c r="I274" s="627">
        <v>0</v>
      </c>
      <c r="J274" s="629">
        <v>0</v>
      </c>
      <c r="K274" s="481">
        <f t="shared" si="222"/>
        <v>0</v>
      </c>
      <c r="L274" s="483">
        <f t="shared" si="213"/>
        <v>0</v>
      </c>
      <c r="M274" s="484" t="str">
        <f t="shared" si="223"/>
        <v>-</v>
      </c>
      <c r="N274" s="485">
        <f t="shared" si="215"/>
        <v>0</v>
      </c>
      <c r="O274" s="483">
        <f t="shared" si="216"/>
        <v>0</v>
      </c>
      <c r="P274" s="486" t="str">
        <f t="shared" si="221"/>
        <v>-</v>
      </c>
      <c r="Q274" s="483" t="str">
        <f t="shared" si="217"/>
        <v>-</v>
      </c>
      <c r="R274" s="483">
        <f t="shared" si="218"/>
        <v>0</v>
      </c>
      <c r="S274" s="501" t="str">
        <f t="shared" si="219"/>
        <v>-</v>
      </c>
      <c r="T274" s="502" t="str">
        <f t="shared" si="220"/>
        <v>-</v>
      </c>
    </row>
    <row r="275" spans="1:20" ht="23.4" x14ac:dyDescent="0.3">
      <c r="A275" s="248" t="s">
        <v>109</v>
      </c>
      <c r="B275" s="260" t="s">
        <v>31</v>
      </c>
      <c r="C275" s="481">
        <f t="shared" si="210"/>
        <v>0</v>
      </c>
      <c r="D275" s="250">
        <v>0</v>
      </c>
      <c r="E275" s="251">
        <v>0</v>
      </c>
      <c r="F275" s="482">
        <v>50000</v>
      </c>
      <c r="G275" s="483">
        <f t="shared" si="224"/>
        <v>0</v>
      </c>
      <c r="H275" s="254">
        <v>0</v>
      </c>
      <c r="I275" s="627">
        <v>0</v>
      </c>
      <c r="J275" s="630">
        <v>0</v>
      </c>
      <c r="K275" s="481">
        <f t="shared" si="222"/>
        <v>0</v>
      </c>
      <c r="L275" s="483">
        <f t="shared" si="213"/>
        <v>0</v>
      </c>
      <c r="M275" s="484" t="str">
        <f t="shared" si="223"/>
        <v>-</v>
      </c>
      <c r="N275" s="485">
        <f t="shared" si="215"/>
        <v>0</v>
      </c>
      <c r="O275" s="483">
        <f t="shared" si="216"/>
        <v>0</v>
      </c>
      <c r="P275" s="486" t="str">
        <f t="shared" si="221"/>
        <v>-</v>
      </c>
      <c r="Q275" s="483" t="str">
        <f t="shared" si="217"/>
        <v>-</v>
      </c>
      <c r="R275" s="483">
        <f t="shared" si="218"/>
        <v>0</v>
      </c>
      <c r="S275" s="501" t="str">
        <f t="shared" si="219"/>
        <v>-</v>
      </c>
      <c r="T275" s="502" t="str">
        <f t="shared" si="220"/>
        <v>-</v>
      </c>
    </row>
    <row r="276" spans="1:20" ht="24" thickBot="1" x14ac:dyDescent="0.35">
      <c r="A276" s="255" t="s">
        <v>109</v>
      </c>
      <c r="B276" s="261" t="s">
        <v>32</v>
      </c>
      <c r="C276" s="503">
        <f t="shared" si="210"/>
        <v>0</v>
      </c>
      <c r="D276" s="257">
        <v>0</v>
      </c>
      <c r="E276" s="258">
        <v>0</v>
      </c>
      <c r="F276" s="504">
        <v>110000</v>
      </c>
      <c r="G276" s="505">
        <f t="shared" si="224"/>
        <v>0</v>
      </c>
      <c r="H276" s="259">
        <v>0</v>
      </c>
      <c r="I276" s="705">
        <v>0</v>
      </c>
      <c r="J276" s="633">
        <v>0</v>
      </c>
      <c r="K276" s="503">
        <f t="shared" si="222"/>
        <v>0</v>
      </c>
      <c r="L276" s="505">
        <f t="shared" si="213"/>
        <v>0</v>
      </c>
      <c r="M276" s="506" t="str">
        <f t="shared" si="223"/>
        <v>-</v>
      </c>
      <c r="N276" s="507">
        <f t="shared" si="215"/>
        <v>0</v>
      </c>
      <c r="O276" s="505">
        <f t="shared" si="216"/>
        <v>0</v>
      </c>
      <c r="P276" s="508" t="str">
        <f t="shared" si="221"/>
        <v>-</v>
      </c>
      <c r="Q276" s="505" t="str">
        <f t="shared" si="217"/>
        <v>-</v>
      </c>
      <c r="R276" s="505">
        <f t="shared" si="218"/>
        <v>0</v>
      </c>
      <c r="S276" s="509" t="str">
        <f t="shared" si="219"/>
        <v>-</v>
      </c>
      <c r="T276" s="510" t="str">
        <f t="shared" si="220"/>
        <v>-</v>
      </c>
    </row>
    <row r="277" spans="1:20" ht="23.4" x14ac:dyDescent="0.3">
      <c r="A277" s="248" t="s">
        <v>110</v>
      </c>
      <c r="B277" s="249" t="s">
        <v>238</v>
      </c>
      <c r="C277" s="481">
        <f t="shared" si="210"/>
        <v>0</v>
      </c>
      <c r="D277" s="250">
        <v>0</v>
      </c>
      <c r="E277" s="251">
        <v>0</v>
      </c>
      <c r="F277" s="482">
        <v>6500</v>
      </c>
      <c r="G277" s="483">
        <f t="shared" si="224"/>
        <v>0</v>
      </c>
      <c r="H277" s="482">
        <v>0</v>
      </c>
      <c r="I277" s="631">
        <v>0</v>
      </c>
      <c r="J277" s="630">
        <v>0</v>
      </c>
      <c r="K277" s="481">
        <f t="shared" si="222"/>
        <v>0</v>
      </c>
      <c r="L277" s="483">
        <f t="shared" si="213"/>
        <v>0</v>
      </c>
      <c r="M277" s="484" t="str">
        <f t="shared" si="223"/>
        <v>-</v>
      </c>
      <c r="N277" s="485">
        <f t="shared" si="215"/>
        <v>0</v>
      </c>
      <c r="O277" s="483">
        <f t="shared" si="216"/>
        <v>0</v>
      </c>
      <c r="P277" s="486" t="str">
        <f t="shared" si="221"/>
        <v>-</v>
      </c>
      <c r="Q277" s="483" t="str">
        <f t="shared" si="217"/>
        <v>-</v>
      </c>
      <c r="R277" s="483">
        <f t="shared" si="218"/>
        <v>0</v>
      </c>
      <c r="S277" s="501" t="str">
        <f t="shared" si="219"/>
        <v>-</v>
      </c>
      <c r="T277" s="502" t="str">
        <f t="shared" si="220"/>
        <v>-</v>
      </c>
    </row>
    <row r="278" spans="1:20" ht="23.4" x14ac:dyDescent="0.3">
      <c r="A278" s="252" t="s">
        <v>110</v>
      </c>
      <c r="B278" s="249" t="s">
        <v>40</v>
      </c>
      <c r="C278" s="481">
        <f t="shared" si="210"/>
        <v>0</v>
      </c>
      <c r="D278" s="250">
        <v>0</v>
      </c>
      <c r="E278" s="251">
        <v>0</v>
      </c>
      <c r="F278" s="482">
        <v>2800</v>
      </c>
      <c r="G278" s="483">
        <f t="shared" si="224"/>
        <v>0</v>
      </c>
      <c r="H278" s="482"/>
      <c r="I278" s="631"/>
      <c r="J278" s="630">
        <v>0</v>
      </c>
      <c r="K278" s="481">
        <f t="shared" si="222"/>
        <v>0</v>
      </c>
      <c r="L278" s="483">
        <f t="shared" si="213"/>
        <v>0</v>
      </c>
      <c r="M278" s="484" t="str">
        <f t="shared" si="223"/>
        <v>-</v>
      </c>
      <c r="N278" s="485">
        <f t="shared" si="215"/>
        <v>0</v>
      </c>
      <c r="O278" s="483">
        <f t="shared" si="216"/>
        <v>0</v>
      </c>
      <c r="P278" s="486" t="str">
        <f t="shared" si="221"/>
        <v>-</v>
      </c>
      <c r="Q278" s="483" t="str">
        <f t="shared" si="217"/>
        <v>-</v>
      </c>
      <c r="R278" s="483">
        <f t="shared" si="218"/>
        <v>0</v>
      </c>
      <c r="S278" s="501" t="str">
        <f t="shared" si="219"/>
        <v>-</v>
      </c>
      <c r="T278" s="502" t="str">
        <f t="shared" si="220"/>
        <v>-</v>
      </c>
    </row>
    <row r="279" spans="1:20" ht="23.4" x14ac:dyDescent="0.3">
      <c r="A279" s="248" t="s">
        <v>110</v>
      </c>
      <c r="B279" s="249" t="s">
        <v>42</v>
      </c>
      <c r="C279" s="481">
        <f t="shared" si="210"/>
        <v>0</v>
      </c>
      <c r="D279" s="250">
        <v>0</v>
      </c>
      <c r="E279" s="251">
        <v>0</v>
      </c>
      <c r="F279" s="482">
        <v>25000</v>
      </c>
      <c r="G279" s="483">
        <f t="shared" si="224"/>
        <v>0</v>
      </c>
      <c r="H279" s="482">
        <v>0</v>
      </c>
      <c r="I279" s="631">
        <v>0</v>
      </c>
      <c r="J279" s="630">
        <v>0</v>
      </c>
      <c r="K279" s="481">
        <f t="shared" si="222"/>
        <v>0</v>
      </c>
      <c r="L279" s="483">
        <f t="shared" si="213"/>
        <v>0</v>
      </c>
      <c r="M279" s="484" t="str">
        <f t="shared" si="223"/>
        <v>-</v>
      </c>
      <c r="N279" s="485">
        <f t="shared" si="215"/>
        <v>0</v>
      </c>
      <c r="O279" s="483">
        <f t="shared" si="216"/>
        <v>0</v>
      </c>
      <c r="P279" s="486" t="str">
        <f t="shared" si="221"/>
        <v>-</v>
      </c>
      <c r="Q279" s="483" t="str">
        <f t="shared" si="217"/>
        <v>-</v>
      </c>
      <c r="R279" s="483">
        <f t="shared" si="218"/>
        <v>0</v>
      </c>
      <c r="S279" s="501" t="str">
        <f t="shared" si="219"/>
        <v>-</v>
      </c>
      <c r="T279" s="502" t="str">
        <f t="shared" si="220"/>
        <v>-</v>
      </c>
    </row>
    <row r="280" spans="1:20" ht="47.4" thickBot="1" x14ac:dyDescent="0.35">
      <c r="A280" s="635" t="s">
        <v>110</v>
      </c>
      <c r="B280" s="261" t="s">
        <v>237</v>
      </c>
      <c r="C280" s="636">
        <f t="shared" si="210"/>
        <v>0</v>
      </c>
      <c r="D280" s="637">
        <v>0</v>
      </c>
      <c r="E280" s="638">
        <v>0</v>
      </c>
      <c r="F280" s="639">
        <v>25000</v>
      </c>
      <c r="G280" s="640">
        <f t="shared" si="224"/>
        <v>0</v>
      </c>
      <c r="H280" s="639">
        <v>0</v>
      </c>
      <c r="I280" s="641">
        <v>0</v>
      </c>
      <c r="J280" s="634">
        <v>0</v>
      </c>
      <c r="K280" s="636">
        <f t="shared" si="222"/>
        <v>0</v>
      </c>
      <c r="L280" s="640">
        <f t="shared" si="213"/>
        <v>0</v>
      </c>
      <c r="M280" s="642" t="str">
        <f t="shared" si="223"/>
        <v>-</v>
      </c>
      <c r="N280" s="643">
        <f t="shared" si="215"/>
        <v>0</v>
      </c>
      <c r="O280" s="640">
        <f t="shared" si="216"/>
        <v>0</v>
      </c>
      <c r="P280" s="644" t="str">
        <f t="shared" si="221"/>
        <v>-</v>
      </c>
      <c r="Q280" s="640" t="str">
        <f t="shared" si="217"/>
        <v>-</v>
      </c>
      <c r="R280" s="640">
        <f t="shared" si="218"/>
        <v>0</v>
      </c>
      <c r="S280" s="645" t="str">
        <f t="shared" si="219"/>
        <v>-</v>
      </c>
      <c r="T280" s="646" t="str">
        <f t="shared" si="220"/>
        <v>-</v>
      </c>
    </row>
    <row r="281" spans="1:20" ht="23.4" x14ac:dyDescent="0.3">
      <c r="A281" s="935" t="s">
        <v>1</v>
      </c>
      <c r="B281" s="944" t="s">
        <v>2</v>
      </c>
      <c r="C281" s="944" t="s">
        <v>226</v>
      </c>
      <c r="D281" s="945"/>
      <c r="E281" s="946"/>
      <c r="F281" s="944" t="s">
        <v>468</v>
      </c>
      <c r="G281" s="945"/>
      <c r="H281" s="945"/>
      <c r="I281" s="946"/>
      <c r="J281" s="1040" t="s">
        <v>223</v>
      </c>
      <c r="K281" s="944" t="s">
        <v>211</v>
      </c>
      <c r="L281" s="945"/>
      <c r="M281" s="946"/>
      <c r="N281" s="945" t="s">
        <v>212</v>
      </c>
      <c r="O281" s="945"/>
      <c r="P281" s="946"/>
      <c r="Q281" s="944" t="s">
        <v>213</v>
      </c>
      <c r="R281" s="945"/>
      <c r="S281" s="945"/>
      <c r="T281" s="1042" t="s">
        <v>210</v>
      </c>
    </row>
    <row r="282" spans="1:20" ht="87.6" thickBot="1" x14ac:dyDescent="0.35">
      <c r="A282" s="1038"/>
      <c r="B282" s="1039"/>
      <c r="C282" s="235" t="s">
        <v>227</v>
      </c>
      <c r="D282" s="236" t="s">
        <v>224</v>
      </c>
      <c r="E282" s="237" t="s">
        <v>225</v>
      </c>
      <c r="F282" s="238" t="s">
        <v>382</v>
      </c>
      <c r="G282" s="236" t="s">
        <v>220</v>
      </c>
      <c r="H282" s="239" t="s">
        <v>221</v>
      </c>
      <c r="I282" s="240" t="s">
        <v>222</v>
      </c>
      <c r="J282" s="1041"/>
      <c r="K282" s="235" t="s">
        <v>214</v>
      </c>
      <c r="L282" s="239" t="s">
        <v>215</v>
      </c>
      <c r="M282" s="241" t="s">
        <v>228</v>
      </c>
      <c r="N282" s="242" t="s">
        <v>216</v>
      </c>
      <c r="O282" s="239" t="s">
        <v>217</v>
      </c>
      <c r="P282" s="241" t="s">
        <v>229</v>
      </c>
      <c r="Q282" s="235" t="s">
        <v>218</v>
      </c>
      <c r="R282" s="239" t="s">
        <v>219</v>
      </c>
      <c r="S282" s="243" t="s">
        <v>230</v>
      </c>
      <c r="T282" s="1043"/>
    </row>
    <row r="283" spans="1:20" ht="23.4" x14ac:dyDescent="0.3">
      <c r="A283" s="244" t="s">
        <v>111</v>
      </c>
      <c r="B283" s="245" t="s">
        <v>16</v>
      </c>
      <c r="C283" s="474">
        <f>+D283+E283</f>
        <v>0</v>
      </c>
      <c r="D283" s="246">
        <v>0</v>
      </c>
      <c r="E283" s="247">
        <v>0</v>
      </c>
      <c r="F283" s="618">
        <v>15000</v>
      </c>
      <c r="G283" s="475">
        <f>+H283+I283</f>
        <v>0</v>
      </c>
      <c r="H283" s="624">
        <v>0</v>
      </c>
      <c r="I283" s="626">
        <v>0</v>
      </c>
      <c r="J283" s="629">
        <v>0</v>
      </c>
      <c r="K283" s="474">
        <f>+L283-E283</f>
        <v>0</v>
      </c>
      <c r="L283" s="475">
        <f>+J283-D283</f>
        <v>0</v>
      </c>
      <c r="M283" s="476" t="str">
        <f>IFERROR(K283/L283,"-")</f>
        <v>-</v>
      </c>
      <c r="N283" s="477">
        <f>+O283-C283</f>
        <v>0</v>
      </c>
      <c r="O283" s="475">
        <f>+K283</f>
        <v>0</v>
      </c>
      <c r="P283" s="478" t="str">
        <f>IFERROR(N283/O283,"-")</f>
        <v>-</v>
      </c>
      <c r="Q283" s="475" t="str">
        <f>IFERROR(N283-(J283-(J283*H283/G283)),"-")</f>
        <v>-</v>
      </c>
      <c r="R283" s="475">
        <f>+N283</f>
        <v>0</v>
      </c>
      <c r="S283" s="479" t="str">
        <f>IFERROR(Q283/R283,"-")</f>
        <v>-</v>
      </c>
      <c r="T283" s="480" t="str">
        <f>IFERROR(M283*P283*S283,"-")</f>
        <v>-</v>
      </c>
    </row>
    <row r="284" spans="1:20" ht="23.4" x14ac:dyDescent="0.3">
      <c r="A284" s="248" t="s">
        <v>111</v>
      </c>
      <c r="B284" s="249" t="s">
        <v>234</v>
      </c>
      <c r="C284" s="481">
        <f t="shared" ref="C284:C298" si="225">+D284+E284</f>
        <v>510</v>
      </c>
      <c r="D284" s="250">
        <f>30+30</f>
        <v>60</v>
      </c>
      <c r="E284" s="251">
        <v>450</v>
      </c>
      <c r="F284" s="619">
        <v>100000</v>
      </c>
      <c r="G284" s="483">
        <f t="shared" ref="G284:G289" si="226">+H284+I284</f>
        <v>42980</v>
      </c>
      <c r="H284" s="254">
        <v>42840</v>
      </c>
      <c r="I284" s="627">
        <v>140</v>
      </c>
      <c r="J284" s="630">
        <v>960</v>
      </c>
      <c r="K284" s="481">
        <f t="shared" ref="K284:K287" si="227">+L284-E284</f>
        <v>450</v>
      </c>
      <c r="L284" s="483">
        <f t="shared" ref="L284:L298" si="228">+J284-D284</f>
        <v>900</v>
      </c>
      <c r="M284" s="484">
        <f t="shared" ref="M284:M287" si="229">IFERROR(K284/L284,"-")</f>
        <v>0.5</v>
      </c>
      <c r="N284" s="485">
        <f t="shared" ref="N284:N298" si="230">+O284-C284</f>
        <v>-60</v>
      </c>
      <c r="O284" s="483">
        <f t="shared" ref="O284:O298" si="231">+K284</f>
        <v>450</v>
      </c>
      <c r="P284" s="486">
        <f>IFERROR(N284/O284,"-")</f>
        <v>-0.13333333333333333</v>
      </c>
      <c r="Q284" s="483">
        <f t="shared" ref="Q284:Q298" si="232">IFERROR(N284-(J284-(J284*H284/G284)),"-")</f>
        <v>-63.127035830618865</v>
      </c>
      <c r="R284" s="483">
        <f t="shared" ref="R284:R298" si="233">+N284</f>
        <v>-60</v>
      </c>
      <c r="S284" s="487">
        <f t="shared" ref="S284:S298" si="234">IFERROR(Q284/R284,"-")</f>
        <v>1.0521172638436478</v>
      </c>
      <c r="T284" s="488">
        <f t="shared" ref="T284:T298" si="235">IFERROR(M284*P284*S284,"-")</f>
        <v>-7.0141150922909845E-2</v>
      </c>
    </row>
    <row r="285" spans="1:20" ht="23.4" x14ac:dyDescent="0.3">
      <c r="A285" s="248" t="s">
        <v>111</v>
      </c>
      <c r="B285" s="249" t="s">
        <v>233</v>
      </c>
      <c r="C285" s="481">
        <f t="shared" si="225"/>
        <v>0</v>
      </c>
      <c r="D285" s="250">
        <v>0</v>
      </c>
      <c r="E285" s="251">
        <v>0</v>
      </c>
      <c r="F285" s="619">
        <v>80000</v>
      </c>
      <c r="G285" s="483">
        <f t="shared" si="226"/>
        <v>0</v>
      </c>
      <c r="H285" s="254">
        <v>0</v>
      </c>
      <c r="I285" s="627">
        <v>0</v>
      </c>
      <c r="J285" s="630">
        <v>0</v>
      </c>
      <c r="K285" s="481">
        <f t="shared" si="227"/>
        <v>0</v>
      </c>
      <c r="L285" s="483">
        <f t="shared" si="228"/>
        <v>0</v>
      </c>
      <c r="M285" s="484" t="str">
        <f t="shared" si="229"/>
        <v>-</v>
      </c>
      <c r="N285" s="485">
        <f t="shared" si="230"/>
        <v>0</v>
      </c>
      <c r="O285" s="483">
        <f t="shared" si="231"/>
        <v>0</v>
      </c>
      <c r="P285" s="486" t="str">
        <f t="shared" ref="P285:P298" si="236">IFERROR(N285/O285,"-")</f>
        <v>-</v>
      </c>
      <c r="Q285" s="483" t="str">
        <f t="shared" si="232"/>
        <v>-</v>
      </c>
      <c r="R285" s="483">
        <f t="shared" si="233"/>
        <v>0</v>
      </c>
      <c r="S285" s="487" t="str">
        <f t="shared" si="234"/>
        <v>-</v>
      </c>
      <c r="T285" s="488" t="str">
        <f t="shared" si="235"/>
        <v>-</v>
      </c>
    </row>
    <row r="286" spans="1:20" ht="23.4" x14ac:dyDescent="0.3">
      <c r="A286" s="252" t="s">
        <v>111</v>
      </c>
      <c r="B286" s="249" t="s">
        <v>236</v>
      </c>
      <c r="C286" s="481">
        <f t="shared" si="225"/>
        <v>430</v>
      </c>
      <c r="D286" s="250">
        <v>30</v>
      </c>
      <c r="E286" s="251">
        <f>30+30+30+60+180+40+30</f>
        <v>400</v>
      </c>
      <c r="F286" s="619">
        <v>110000</v>
      </c>
      <c r="G286" s="483">
        <f t="shared" si="226"/>
        <v>67969</v>
      </c>
      <c r="H286" s="254">
        <v>67584</v>
      </c>
      <c r="I286" s="627">
        <v>385</v>
      </c>
      <c r="J286" s="630">
        <v>960</v>
      </c>
      <c r="K286" s="481">
        <f t="shared" si="227"/>
        <v>530</v>
      </c>
      <c r="L286" s="483">
        <f t="shared" si="228"/>
        <v>930</v>
      </c>
      <c r="M286" s="484">
        <f t="shared" si="229"/>
        <v>0.56989247311827962</v>
      </c>
      <c r="N286" s="485">
        <f t="shared" si="230"/>
        <v>100</v>
      </c>
      <c r="O286" s="483">
        <f t="shared" si="231"/>
        <v>530</v>
      </c>
      <c r="P286" s="486">
        <f t="shared" si="236"/>
        <v>0.18867924528301888</v>
      </c>
      <c r="Q286" s="483">
        <f t="shared" si="232"/>
        <v>94.562226897556229</v>
      </c>
      <c r="R286" s="483">
        <f t="shared" si="233"/>
        <v>100</v>
      </c>
      <c r="S286" s="487">
        <f t="shared" si="234"/>
        <v>0.94562226897556234</v>
      </c>
      <c r="T286" s="488">
        <f t="shared" si="235"/>
        <v>0.10167981386834005</v>
      </c>
    </row>
    <row r="287" spans="1:20" ht="23.4" x14ac:dyDescent="0.3">
      <c r="A287" s="248" t="s">
        <v>111</v>
      </c>
      <c r="B287" s="249" t="s">
        <v>235</v>
      </c>
      <c r="C287" s="481">
        <f t="shared" si="225"/>
        <v>0</v>
      </c>
      <c r="D287" s="250">
        <v>0</v>
      </c>
      <c r="E287" s="251">
        <v>0</v>
      </c>
      <c r="F287" s="619">
        <v>50000</v>
      </c>
      <c r="G287" s="483">
        <f t="shared" si="226"/>
        <v>0</v>
      </c>
      <c r="H287" s="254">
        <v>0</v>
      </c>
      <c r="I287" s="627">
        <v>0</v>
      </c>
      <c r="J287" s="630">
        <v>0</v>
      </c>
      <c r="K287" s="481">
        <f t="shared" si="227"/>
        <v>0</v>
      </c>
      <c r="L287" s="483">
        <f t="shared" si="228"/>
        <v>0</v>
      </c>
      <c r="M287" s="484" t="str">
        <f t="shared" si="229"/>
        <v>-</v>
      </c>
      <c r="N287" s="485">
        <f t="shared" si="230"/>
        <v>0</v>
      </c>
      <c r="O287" s="483">
        <f t="shared" si="231"/>
        <v>0</v>
      </c>
      <c r="P287" s="486" t="str">
        <f t="shared" si="236"/>
        <v>-</v>
      </c>
      <c r="Q287" s="483" t="str">
        <f t="shared" si="232"/>
        <v>-</v>
      </c>
      <c r="R287" s="483">
        <f t="shared" si="233"/>
        <v>0</v>
      </c>
      <c r="S287" s="487" t="str">
        <f t="shared" si="234"/>
        <v>-</v>
      </c>
      <c r="T287" s="488" t="str">
        <f t="shared" si="235"/>
        <v>-</v>
      </c>
    </row>
    <row r="288" spans="1:20" ht="23.4" x14ac:dyDescent="0.3">
      <c r="A288" s="248">
        <v>5</v>
      </c>
      <c r="B288" s="249" t="s">
        <v>22</v>
      </c>
      <c r="C288" s="481">
        <f t="shared" si="225"/>
        <v>480</v>
      </c>
      <c r="D288" s="250">
        <v>30</v>
      </c>
      <c r="E288" s="251">
        <v>450</v>
      </c>
      <c r="F288" s="619">
        <v>80000</v>
      </c>
      <c r="G288" s="483">
        <f t="shared" si="226"/>
        <v>0</v>
      </c>
      <c r="H288" s="254">
        <v>0</v>
      </c>
      <c r="I288" s="627">
        <v>0</v>
      </c>
      <c r="J288" s="630">
        <v>480</v>
      </c>
      <c r="K288" s="481">
        <f>+L288-E288</f>
        <v>0</v>
      </c>
      <c r="L288" s="483">
        <f t="shared" si="228"/>
        <v>450</v>
      </c>
      <c r="M288" s="484">
        <f>IFERROR(K288/L288,"-")</f>
        <v>0</v>
      </c>
      <c r="N288" s="485">
        <f t="shared" si="230"/>
        <v>-480</v>
      </c>
      <c r="O288" s="483">
        <f t="shared" si="231"/>
        <v>0</v>
      </c>
      <c r="P288" s="486" t="str">
        <f t="shared" si="236"/>
        <v>-</v>
      </c>
      <c r="Q288" s="483" t="str">
        <f t="shared" si="232"/>
        <v>-</v>
      </c>
      <c r="R288" s="483">
        <f t="shared" si="233"/>
        <v>-480</v>
      </c>
      <c r="S288" s="487" t="str">
        <f t="shared" si="234"/>
        <v>-</v>
      </c>
      <c r="T288" s="488" t="str">
        <f t="shared" si="235"/>
        <v>-</v>
      </c>
    </row>
    <row r="289" spans="1:20" ht="23.4" x14ac:dyDescent="0.3">
      <c r="A289" s="248" t="s">
        <v>111</v>
      </c>
      <c r="B289" s="249" t="s">
        <v>23</v>
      </c>
      <c r="C289" s="481">
        <f t="shared" si="225"/>
        <v>90</v>
      </c>
      <c r="D289" s="250">
        <v>30</v>
      </c>
      <c r="E289" s="251">
        <v>60</v>
      </c>
      <c r="F289" s="619">
        <v>14000</v>
      </c>
      <c r="G289" s="483">
        <f t="shared" si="226"/>
        <v>9815</v>
      </c>
      <c r="H289" s="254">
        <v>9750</v>
      </c>
      <c r="I289" s="627">
        <v>65</v>
      </c>
      <c r="J289" s="630">
        <v>480</v>
      </c>
      <c r="K289" s="481">
        <f t="shared" ref="K289:K298" si="237">+L289-E289</f>
        <v>390</v>
      </c>
      <c r="L289" s="483">
        <f t="shared" si="228"/>
        <v>450</v>
      </c>
      <c r="M289" s="484">
        <f t="shared" ref="M289:M298" si="238">IFERROR(K289/L289,"-")</f>
        <v>0.8666666666666667</v>
      </c>
      <c r="N289" s="485">
        <f t="shared" si="230"/>
        <v>300</v>
      </c>
      <c r="O289" s="483">
        <f t="shared" si="231"/>
        <v>390</v>
      </c>
      <c r="P289" s="486">
        <f t="shared" si="236"/>
        <v>0.76923076923076927</v>
      </c>
      <c r="Q289" s="483">
        <f t="shared" si="232"/>
        <v>296.82119205298011</v>
      </c>
      <c r="R289" s="483">
        <f t="shared" si="233"/>
        <v>300</v>
      </c>
      <c r="S289" s="487">
        <f t="shared" si="234"/>
        <v>0.9894039735099337</v>
      </c>
      <c r="T289" s="488">
        <f t="shared" si="235"/>
        <v>0.65960264900662258</v>
      </c>
    </row>
    <row r="290" spans="1:20" ht="23.4" x14ac:dyDescent="0.3">
      <c r="A290" s="248" t="s">
        <v>111</v>
      </c>
      <c r="B290" s="253" t="s">
        <v>231</v>
      </c>
      <c r="C290" s="489">
        <f t="shared" si="225"/>
        <v>0</v>
      </c>
      <c r="D290" s="250">
        <v>0</v>
      </c>
      <c r="E290" s="251">
        <v>0</v>
      </c>
      <c r="F290" s="619">
        <v>4500</v>
      </c>
      <c r="G290" s="483">
        <f>+H290+I290</f>
        <v>0</v>
      </c>
      <c r="H290" s="254">
        <v>0</v>
      </c>
      <c r="I290" s="322">
        <v>0</v>
      </c>
      <c r="J290" s="630">
        <v>0</v>
      </c>
      <c r="K290" s="489">
        <f t="shared" si="237"/>
        <v>0</v>
      </c>
      <c r="L290" s="250">
        <f t="shared" si="228"/>
        <v>0</v>
      </c>
      <c r="M290" s="490" t="str">
        <f t="shared" si="238"/>
        <v>-</v>
      </c>
      <c r="N290" s="491">
        <f t="shared" si="230"/>
        <v>0</v>
      </c>
      <c r="O290" s="250">
        <f t="shared" si="231"/>
        <v>0</v>
      </c>
      <c r="P290" s="492" t="str">
        <f t="shared" si="236"/>
        <v>-</v>
      </c>
      <c r="Q290" s="250" t="str">
        <f t="shared" si="232"/>
        <v>-</v>
      </c>
      <c r="R290" s="250">
        <f t="shared" si="233"/>
        <v>0</v>
      </c>
      <c r="S290" s="493" t="str">
        <f t="shared" si="234"/>
        <v>-</v>
      </c>
      <c r="T290" s="494" t="str">
        <f t="shared" si="235"/>
        <v>-</v>
      </c>
    </row>
    <row r="291" spans="1:20" ht="24" thickBot="1" x14ac:dyDescent="0.35">
      <c r="A291" s="255" t="s">
        <v>111</v>
      </c>
      <c r="B291" s="256" t="s">
        <v>232</v>
      </c>
      <c r="C291" s="495">
        <f t="shared" si="225"/>
        <v>0</v>
      </c>
      <c r="D291" s="257">
        <v>0</v>
      </c>
      <c r="E291" s="258">
        <v>0</v>
      </c>
      <c r="F291" s="625">
        <v>5000</v>
      </c>
      <c r="G291" s="505">
        <f t="shared" ref="G291:G298" si="239">+H291+I291</f>
        <v>0</v>
      </c>
      <c r="H291" s="259">
        <v>0</v>
      </c>
      <c r="I291" s="628">
        <v>0</v>
      </c>
      <c r="J291" s="633">
        <v>0</v>
      </c>
      <c r="K291" s="495">
        <f t="shared" si="237"/>
        <v>0</v>
      </c>
      <c r="L291" s="257">
        <f t="shared" si="228"/>
        <v>0</v>
      </c>
      <c r="M291" s="496" t="str">
        <f t="shared" si="238"/>
        <v>-</v>
      </c>
      <c r="N291" s="497">
        <f t="shared" si="230"/>
        <v>0</v>
      </c>
      <c r="O291" s="257">
        <f t="shared" si="231"/>
        <v>0</v>
      </c>
      <c r="P291" s="498" t="str">
        <f t="shared" si="236"/>
        <v>-</v>
      </c>
      <c r="Q291" s="257" t="str">
        <f t="shared" si="232"/>
        <v>-</v>
      </c>
      <c r="R291" s="257">
        <f t="shared" si="233"/>
        <v>0</v>
      </c>
      <c r="S291" s="499" t="str">
        <f t="shared" si="234"/>
        <v>-</v>
      </c>
      <c r="T291" s="500" t="str">
        <f t="shared" si="235"/>
        <v>-</v>
      </c>
    </row>
    <row r="292" spans="1:20" ht="23.4" x14ac:dyDescent="0.3">
      <c r="A292" s="252" t="s">
        <v>109</v>
      </c>
      <c r="B292" s="260" t="s">
        <v>29</v>
      </c>
      <c r="C292" s="481">
        <f t="shared" si="225"/>
        <v>0</v>
      </c>
      <c r="D292" s="250">
        <v>0</v>
      </c>
      <c r="E292" s="251">
        <v>0</v>
      </c>
      <c r="F292" s="482">
        <v>80000</v>
      </c>
      <c r="G292" s="483">
        <f t="shared" si="239"/>
        <v>0</v>
      </c>
      <c r="H292" s="254">
        <v>0</v>
      </c>
      <c r="I292" s="627">
        <v>0</v>
      </c>
      <c r="J292" s="629">
        <v>0</v>
      </c>
      <c r="K292" s="481">
        <f t="shared" si="237"/>
        <v>0</v>
      </c>
      <c r="L292" s="483">
        <f t="shared" si="228"/>
        <v>0</v>
      </c>
      <c r="M292" s="484" t="str">
        <f t="shared" si="238"/>
        <v>-</v>
      </c>
      <c r="N292" s="485">
        <f t="shared" si="230"/>
        <v>0</v>
      </c>
      <c r="O292" s="483">
        <f t="shared" si="231"/>
        <v>0</v>
      </c>
      <c r="P292" s="486" t="str">
        <f t="shared" si="236"/>
        <v>-</v>
      </c>
      <c r="Q292" s="483" t="str">
        <f t="shared" si="232"/>
        <v>-</v>
      </c>
      <c r="R292" s="483">
        <f t="shared" si="233"/>
        <v>0</v>
      </c>
      <c r="S292" s="501" t="str">
        <f t="shared" si="234"/>
        <v>-</v>
      </c>
      <c r="T292" s="502" t="str">
        <f t="shared" si="235"/>
        <v>-</v>
      </c>
    </row>
    <row r="293" spans="1:20" ht="23.4" x14ac:dyDescent="0.3">
      <c r="A293" s="248" t="s">
        <v>109</v>
      </c>
      <c r="B293" s="260" t="s">
        <v>31</v>
      </c>
      <c r="C293" s="481">
        <f t="shared" si="225"/>
        <v>0</v>
      </c>
      <c r="D293" s="250">
        <v>0</v>
      </c>
      <c r="E293" s="251">
        <v>0</v>
      </c>
      <c r="F293" s="482">
        <v>50000</v>
      </c>
      <c r="G293" s="483">
        <f t="shared" si="239"/>
        <v>0</v>
      </c>
      <c r="H293" s="254">
        <v>0</v>
      </c>
      <c r="I293" s="627">
        <v>0</v>
      </c>
      <c r="J293" s="630">
        <v>0</v>
      </c>
      <c r="K293" s="481">
        <f t="shared" si="237"/>
        <v>0</v>
      </c>
      <c r="L293" s="483">
        <f t="shared" si="228"/>
        <v>0</v>
      </c>
      <c r="M293" s="484" t="str">
        <f t="shared" si="238"/>
        <v>-</v>
      </c>
      <c r="N293" s="485">
        <f t="shared" si="230"/>
        <v>0</v>
      </c>
      <c r="O293" s="483">
        <f t="shared" si="231"/>
        <v>0</v>
      </c>
      <c r="P293" s="486" t="str">
        <f t="shared" si="236"/>
        <v>-</v>
      </c>
      <c r="Q293" s="483" t="str">
        <f t="shared" si="232"/>
        <v>-</v>
      </c>
      <c r="R293" s="483">
        <f t="shared" si="233"/>
        <v>0</v>
      </c>
      <c r="S293" s="501" t="str">
        <f t="shared" si="234"/>
        <v>-</v>
      </c>
      <c r="T293" s="502" t="str">
        <f t="shared" si="235"/>
        <v>-</v>
      </c>
    </row>
    <row r="294" spans="1:20" ht="24" thickBot="1" x14ac:dyDescent="0.35">
      <c r="A294" s="255" t="s">
        <v>109</v>
      </c>
      <c r="B294" s="261" t="s">
        <v>32</v>
      </c>
      <c r="C294" s="503">
        <f t="shared" si="225"/>
        <v>0</v>
      </c>
      <c r="D294" s="257">
        <v>0</v>
      </c>
      <c r="E294" s="258">
        <v>0</v>
      </c>
      <c r="F294" s="504">
        <v>110000</v>
      </c>
      <c r="G294" s="505">
        <f t="shared" si="239"/>
        <v>0</v>
      </c>
      <c r="H294" s="259">
        <v>0</v>
      </c>
      <c r="I294" s="705">
        <v>0</v>
      </c>
      <c r="J294" s="633">
        <v>0</v>
      </c>
      <c r="K294" s="503">
        <f t="shared" si="237"/>
        <v>0</v>
      </c>
      <c r="L294" s="505">
        <f t="shared" si="228"/>
        <v>0</v>
      </c>
      <c r="M294" s="506" t="str">
        <f t="shared" si="238"/>
        <v>-</v>
      </c>
      <c r="N294" s="507">
        <f t="shared" si="230"/>
        <v>0</v>
      </c>
      <c r="O294" s="505">
        <f t="shared" si="231"/>
        <v>0</v>
      </c>
      <c r="P294" s="508" t="str">
        <f t="shared" si="236"/>
        <v>-</v>
      </c>
      <c r="Q294" s="505" t="str">
        <f t="shared" si="232"/>
        <v>-</v>
      </c>
      <c r="R294" s="505">
        <f t="shared" si="233"/>
        <v>0</v>
      </c>
      <c r="S294" s="509" t="str">
        <f t="shared" si="234"/>
        <v>-</v>
      </c>
      <c r="T294" s="510" t="str">
        <f t="shared" si="235"/>
        <v>-</v>
      </c>
    </row>
    <row r="295" spans="1:20" ht="23.4" x14ac:dyDescent="0.3">
      <c r="A295" s="248" t="s">
        <v>110</v>
      </c>
      <c r="B295" s="249" t="s">
        <v>238</v>
      </c>
      <c r="C295" s="481">
        <f t="shared" si="225"/>
        <v>0</v>
      </c>
      <c r="D295" s="250">
        <v>0</v>
      </c>
      <c r="E295" s="251">
        <v>0</v>
      </c>
      <c r="F295" s="482">
        <v>6500</v>
      </c>
      <c r="G295" s="483">
        <f t="shared" si="239"/>
        <v>0</v>
      </c>
      <c r="H295" s="482">
        <v>0</v>
      </c>
      <c r="I295" s="631">
        <v>0</v>
      </c>
      <c r="J295" s="630">
        <v>0</v>
      </c>
      <c r="K295" s="481">
        <f t="shared" si="237"/>
        <v>0</v>
      </c>
      <c r="L295" s="483">
        <f t="shared" si="228"/>
        <v>0</v>
      </c>
      <c r="M295" s="484" t="str">
        <f t="shared" si="238"/>
        <v>-</v>
      </c>
      <c r="N295" s="485">
        <f t="shared" si="230"/>
        <v>0</v>
      </c>
      <c r="O295" s="483">
        <f t="shared" si="231"/>
        <v>0</v>
      </c>
      <c r="P295" s="486" t="str">
        <f t="shared" si="236"/>
        <v>-</v>
      </c>
      <c r="Q295" s="483" t="str">
        <f t="shared" si="232"/>
        <v>-</v>
      </c>
      <c r="R295" s="483">
        <f t="shared" si="233"/>
        <v>0</v>
      </c>
      <c r="S295" s="501" t="str">
        <f t="shared" si="234"/>
        <v>-</v>
      </c>
      <c r="T295" s="502" t="str">
        <f t="shared" si="235"/>
        <v>-</v>
      </c>
    </row>
    <row r="296" spans="1:20" ht="23.4" x14ac:dyDescent="0.3">
      <c r="A296" s="252" t="s">
        <v>110</v>
      </c>
      <c r="B296" s="249" t="s">
        <v>40</v>
      </c>
      <c r="C296" s="481">
        <f t="shared" si="225"/>
        <v>0</v>
      </c>
      <c r="D296" s="250">
        <v>0</v>
      </c>
      <c r="E296" s="251">
        <v>0</v>
      </c>
      <c r="F296" s="482">
        <v>2800</v>
      </c>
      <c r="G296" s="483">
        <f t="shared" si="239"/>
        <v>0</v>
      </c>
      <c r="H296" s="482"/>
      <c r="I296" s="631"/>
      <c r="J296" s="630">
        <v>0</v>
      </c>
      <c r="K296" s="481">
        <f t="shared" si="237"/>
        <v>0</v>
      </c>
      <c r="L296" s="483">
        <f t="shared" si="228"/>
        <v>0</v>
      </c>
      <c r="M296" s="484" t="str">
        <f t="shared" si="238"/>
        <v>-</v>
      </c>
      <c r="N296" s="485">
        <f t="shared" si="230"/>
        <v>0</v>
      </c>
      <c r="O296" s="483">
        <f t="shared" si="231"/>
        <v>0</v>
      </c>
      <c r="P296" s="486" t="str">
        <f t="shared" si="236"/>
        <v>-</v>
      </c>
      <c r="Q296" s="483" t="str">
        <f t="shared" si="232"/>
        <v>-</v>
      </c>
      <c r="R296" s="483">
        <f t="shared" si="233"/>
        <v>0</v>
      </c>
      <c r="S296" s="501" t="str">
        <f t="shared" si="234"/>
        <v>-</v>
      </c>
      <c r="T296" s="502" t="str">
        <f t="shared" si="235"/>
        <v>-</v>
      </c>
    </row>
    <row r="297" spans="1:20" ht="23.4" x14ac:dyDescent="0.3">
      <c r="A297" s="248" t="s">
        <v>110</v>
      </c>
      <c r="B297" s="249" t="s">
        <v>42</v>
      </c>
      <c r="C297" s="481">
        <f t="shared" si="225"/>
        <v>0</v>
      </c>
      <c r="D297" s="250">
        <v>0</v>
      </c>
      <c r="E297" s="251">
        <v>0</v>
      </c>
      <c r="F297" s="482">
        <v>25000</v>
      </c>
      <c r="G297" s="483">
        <f t="shared" si="239"/>
        <v>0</v>
      </c>
      <c r="H297" s="482">
        <v>0</v>
      </c>
      <c r="I297" s="631">
        <v>0</v>
      </c>
      <c r="J297" s="630">
        <v>0</v>
      </c>
      <c r="K297" s="481">
        <f t="shared" si="237"/>
        <v>0</v>
      </c>
      <c r="L297" s="483">
        <f t="shared" si="228"/>
        <v>0</v>
      </c>
      <c r="M297" s="484" t="str">
        <f t="shared" si="238"/>
        <v>-</v>
      </c>
      <c r="N297" s="485">
        <f t="shared" si="230"/>
        <v>0</v>
      </c>
      <c r="O297" s="483">
        <f t="shared" si="231"/>
        <v>0</v>
      </c>
      <c r="P297" s="486" t="str">
        <f t="shared" si="236"/>
        <v>-</v>
      </c>
      <c r="Q297" s="483" t="str">
        <f t="shared" si="232"/>
        <v>-</v>
      </c>
      <c r="R297" s="483">
        <f t="shared" si="233"/>
        <v>0</v>
      </c>
      <c r="S297" s="501" t="str">
        <f t="shared" si="234"/>
        <v>-</v>
      </c>
      <c r="T297" s="502" t="str">
        <f t="shared" si="235"/>
        <v>-</v>
      </c>
    </row>
    <row r="298" spans="1:20" ht="47.4" thickBot="1" x14ac:dyDescent="0.35">
      <c r="A298" s="635" t="s">
        <v>110</v>
      </c>
      <c r="B298" s="261" t="s">
        <v>237</v>
      </c>
      <c r="C298" s="636">
        <f t="shared" si="225"/>
        <v>0</v>
      </c>
      <c r="D298" s="637">
        <v>0</v>
      </c>
      <c r="E298" s="638">
        <v>0</v>
      </c>
      <c r="F298" s="639">
        <v>25000</v>
      </c>
      <c r="G298" s="640">
        <f t="shared" si="239"/>
        <v>0</v>
      </c>
      <c r="H298" s="639">
        <v>0</v>
      </c>
      <c r="I298" s="641">
        <v>0</v>
      </c>
      <c r="J298" s="634">
        <v>0</v>
      </c>
      <c r="K298" s="636">
        <f t="shared" si="237"/>
        <v>0</v>
      </c>
      <c r="L298" s="640">
        <f t="shared" si="228"/>
        <v>0</v>
      </c>
      <c r="M298" s="642" t="str">
        <f t="shared" si="238"/>
        <v>-</v>
      </c>
      <c r="N298" s="643">
        <f t="shared" si="230"/>
        <v>0</v>
      </c>
      <c r="O298" s="640">
        <f t="shared" si="231"/>
        <v>0</v>
      </c>
      <c r="P298" s="644" t="str">
        <f t="shared" si="236"/>
        <v>-</v>
      </c>
      <c r="Q298" s="640" t="str">
        <f t="shared" si="232"/>
        <v>-</v>
      </c>
      <c r="R298" s="640">
        <f t="shared" si="233"/>
        <v>0</v>
      </c>
      <c r="S298" s="645" t="str">
        <f t="shared" si="234"/>
        <v>-</v>
      </c>
      <c r="T298" s="646" t="str">
        <f t="shared" si="235"/>
        <v>-</v>
      </c>
    </row>
    <row r="299" spans="1:20" ht="23.4" x14ac:dyDescent="0.3">
      <c r="A299" s="935" t="s">
        <v>1</v>
      </c>
      <c r="B299" s="944" t="s">
        <v>2</v>
      </c>
      <c r="C299" s="944" t="s">
        <v>226</v>
      </c>
      <c r="D299" s="945"/>
      <c r="E299" s="946"/>
      <c r="F299" s="944" t="s">
        <v>476</v>
      </c>
      <c r="G299" s="945"/>
      <c r="H299" s="945"/>
      <c r="I299" s="946"/>
      <c r="J299" s="1040" t="s">
        <v>223</v>
      </c>
      <c r="K299" s="944" t="s">
        <v>211</v>
      </c>
      <c r="L299" s="945"/>
      <c r="M299" s="946"/>
      <c r="N299" s="945" t="s">
        <v>212</v>
      </c>
      <c r="O299" s="945"/>
      <c r="P299" s="946"/>
      <c r="Q299" s="944" t="s">
        <v>213</v>
      </c>
      <c r="R299" s="945"/>
      <c r="S299" s="945"/>
      <c r="T299" s="1042" t="s">
        <v>210</v>
      </c>
    </row>
    <row r="300" spans="1:20" ht="87.6" thickBot="1" x14ac:dyDescent="0.35">
      <c r="A300" s="1038"/>
      <c r="B300" s="1039"/>
      <c r="C300" s="235" t="s">
        <v>227</v>
      </c>
      <c r="D300" s="236" t="s">
        <v>224</v>
      </c>
      <c r="E300" s="237" t="s">
        <v>225</v>
      </c>
      <c r="F300" s="238" t="s">
        <v>382</v>
      </c>
      <c r="G300" s="236" t="s">
        <v>220</v>
      </c>
      <c r="H300" s="239" t="s">
        <v>221</v>
      </c>
      <c r="I300" s="240" t="s">
        <v>222</v>
      </c>
      <c r="J300" s="1041"/>
      <c r="K300" s="235" t="s">
        <v>214</v>
      </c>
      <c r="L300" s="239" t="s">
        <v>215</v>
      </c>
      <c r="M300" s="241" t="s">
        <v>228</v>
      </c>
      <c r="N300" s="242" t="s">
        <v>216</v>
      </c>
      <c r="O300" s="239" t="s">
        <v>217</v>
      </c>
      <c r="P300" s="241" t="s">
        <v>229</v>
      </c>
      <c r="Q300" s="235" t="s">
        <v>218</v>
      </c>
      <c r="R300" s="239" t="s">
        <v>219</v>
      </c>
      <c r="S300" s="243" t="s">
        <v>230</v>
      </c>
      <c r="T300" s="1043"/>
    </row>
    <row r="301" spans="1:20" ht="23.4" x14ac:dyDescent="0.3">
      <c r="A301" s="244" t="s">
        <v>111</v>
      </c>
      <c r="B301" s="245" t="s">
        <v>16</v>
      </c>
      <c r="C301" s="474">
        <f>+D301+E301</f>
        <v>0</v>
      </c>
      <c r="D301" s="246">
        <v>0</v>
      </c>
      <c r="E301" s="247">
        <v>0</v>
      </c>
      <c r="F301" s="618">
        <v>15000</v>
      </c>
      <c r="G301" s="475">
        <f>+H301+I301</f>
        <v>0</v>
      </c>
      <c r="H301" s="624">
        <v>0</v>
      </c>
      <c r="I301" s="626">
        <v>0</v>
      </c>
      <c r="J301" s="629">
        <v>0</v>
      </c>
      <c r="K301" s="474">
        <f>+L301-E301</f>
        <v>0</v>
      </c>
      <c r="L301" s="475">
        <f>+J301-D301</f>
        <v>0</v>
      </c>
      <c r="M301" s="476" t="str">
        <f>IFERROR(K301/L301,"-")</f>
        <v>-</v>
      </c>
      <c r="N301" s="477">
        <f>+O301-C301</f>
        <v>0</v>
      </c>
      <c r="O301" s="475">
        <f>+K301</f>
        <v>0</v>
      </c>
      <c r="P301" s="478" t="str">
        <f>IFERROR(N301/O301,"-")</f>
        <v>-</v>
      </c>
      <c r="Q301" s="475" t="str">
        <f>IFERROR(N301-(J301-(J301*H301/G301)),"-")</f>
        <v>-</v>
      </c>
      <c r="R301" s="475">
        <f>+N301</f>
        <v>0</v>
      </c>
      <c r="S301" s="479" t="str">
        <f>IFERROR(Q301/R301,"-")</f>
        <v>-</v>
      </c>
      <c r="T301" s="480" t="str">
        <f>IFERROR(M301*P301*S301,"-")</f>
        <v>-</v>
      </c>
    </row>
    <row r="302" spans="1:20" ht="23.4" x14ac:dyDescent="0.3">
      <c r="A302" s="248" t="s">
        <v>111</v>
      </c>
      <c r="B302" s="249" t="s">
        <v>234</v>
      </c>
      <c r="C302" s="481">
        <f t="shared" ref="C302:C316" si="240">+D302+E302</f>
        <v>430</v>
      </c>
      <c r="D302" s="250">
        <v>60</v>
      </c>
      <c r="E302" s="251">
        <v>370</v>
      </c>
      <c r="F302" s="619">
        <v>100000</v>
      </c>
      <c r="G302" s="483">
        <f t="shared" ref="G302:G307" si="241">+H302+I302</f>
        <v>49298</v>
      </c>
      <c r="H302" s="254">
        <v>48960</v>
      </c>
      <c r="I302" s="627">
        <v>338</v>
      </c>
      <c r="J302" s="630">
        <v>960</v>
      </c>
      <c r="K302" s="481">
        <f>+L302-E302</f>
        <v>530</v>
      </c>
      <c r="L302" s="483">
        <f>+J302-D302</f>
        <v>900</v>
      </c>
      <c r="M302" s="484">
        <f>IFERROR(K302/L302,"-")</f>
        <v>0.58888888888888891</v>
      </c>
      <c r="N302" s="485">
        <f>+O302-C302</f>
        <v>100</v>
      </c>
      <c r="O302" s="483">
        <f>+K302</f>
        <v>530</v>
      </c>
      <c r="P302" s="486">
        <f>IFERROR(N302/O302,"-")</f>
        <v>0.18867924528301888</v>
      </c>
      <c r="Q302" s="483">
        <f t="shared" ref="Q302:Q316" si="242">IFERROR(N302-(J302-(J302*H302/G302)),"-")</f>
        <v>93.417988559373612</v>
      </c>
      <c r="R302" s="483">
        <f t="shared" ref="R302:R316" si="243">+N302</f>
        <v>100</v>
      </c>
      <c r="S302" s="487">
        <f t="shared" ref="S302:S316" si="244">IFERROR(Q302/R302,"-")</f>
        <v>0.9341798855937361</v>
      </c>
      <c r="T302" s="488">
        <f>IFERROR(M302*P302*S302,"-")</f>
        <v>0.10379776506597069</v>
      </c>
    </row>
    <row r="303" spans="1:20" ht="23.4" x14ac:dyDescent="0.3">
      <c r="A303" s="248" t="s">
        <v>111</v>
      </c>
      <c r="B303" s="249" t="s">
        <v>233</v>
      </c>
      <c r="C303" s="481">
        <f t="shared" si="240"/>
        <v>0</v>
      </c>
      <c r="D303" s="250">
        <v>0</v>
      </c>
      <c r="E303" s="251">
        <v>0</v>
      </c>
      <c r="F303" s="619">
        <v>80000</v>
      </c>
      <c r="G303" s="483">
        <f t="shared" si="241"/>
        <v>0</v>
      </c>
      <c r="H303" s="254">
        <v>0</v>
      </c>
      <c r="I303" s="627">
        <v>0</v>
      </c>
      <c r="J303" s="630">
        <v>0</v>
      </c>
      <c r="K303" s="481">
        <f t="shared" ref="K303:K305" si="245">+L303-E303</f>
        <v>0</v>
      </c>
      <c r="L303" s="483">
        <f t="shared" ref="L303:L316" si="246">+J303-D303</f>
        <v>0</v>
      </c>
      <c r="M303" s="484" t="str">
        <f t="shared" ref="M303:M305" si="247">IFERROR(K303/L303,"-")</f>
        <v>-</v>
      </c>
      <c r="N303" s="485">
        <f t="shared" ref="N303:N316" si="248">+O303-C303</f>
        <v>0</v>
      </c>
      <c r="O303" s="483">
        <f t="shared" ref="O303:O316" si="249">+K303</f>
        <v>0</v>
      </c>
      <c r="P303" s="486" t="str">
        <f t="shared" ref="P303:P316" si="250">IFERROR(N303/O303,"-")</f>
        <v>-</v>
      </c>
      <c r="Q303" s="483" t="str">
        <f t="shared" si="242"/>
        <v>-</v>
      </c>
      <c r="R303" s="483">
        <f t="shared" si="243"/>
        <v>0</v>
      </c>
      <c r="S303" s="487" t="str">
        <f t="shared" si="244"/>
        <v>-</v>
      </c>
      <c r="T303" s="488" t="str">
        <f t="shared" ref="T303:T316" si="251">IFERROR(M303*P303*S303,"-")</f>
        <v>-</v>
      </c>
    </row>
    <row r="304" spans="1:20" ht="23.4" x14ac:dyDescent="0.3">
      <c r="A304" s="252" t="s">
        <v>111</v>
      </c>
      <c r="B304" s="249" t="s">
        <v>236</v>
      </c>
      <c r="C304" s="481">
        <f t="shared" si="240"/>
        <v>195</v>
      </c>
      <c r="D304" s="250">
        <v>30</v>
      </c>
      <c r="E304" s="251">
        <v>165</v>
      </c>
      <c r="F304" s="619">
        <v>110000</v>
      </c>
      <c r="G304" s="483">
        <f t="shared" si="241"/>
        <v>50848</v>
      </c>
      <c r="H304" s="254">
        <v>50688</v>
      </c>
      <c r="I304" s="627">
        <v>160</v>
      </c>
      <c r="J304" s="630">
        <v>480</v>
      </c>
      <c r="K304" s="481">
        <f t="shared" si="245"/>
        <v>285</v>
      </c>
      <c r="L304" s="483">
        <f t="shared" si="246"/>
        <v>450</v>
      </c>
      <c r="M304" s="484">
        <f t="shared" si="247"/>
        <v>0.6333333333333333</v>
      </c>
      <c r="N304" s="485">
        <f t="shared" si="248"/>
        <v>90</v>
      </c>
      <c r="O304" s="483">
        <f t="shared" si="249"/>
        <v>285</v>
      </c>
      <c r="P304" s="486">
        <f t="shared" si="250"/>
        <v>0.31578947368421051</v>
      </c>
      <c r="Q304" s="483">
        <f t="shared" si="242"/>
        <v>88.48961611076146</v>
      </c>
      <c r="R304" s="483">
        <f t="shared" si="243"/>
        <v>90</v>
      </c>
      <c r="S304" s="487">
        <f t="shared" si="244"/>
        <v>0.98321795678623847</v>
      </c>
      <c r="T304" s="488">
        <f t="shared" si="251"/>
        <v>0.19664359135724768</v>
      </c>
    </row>
    <row r="305" spans="1:20" ht="23.4" x14ac:dyDescent="0.3">
      <c r="A305" s="248" t="s">
        <v>111</v>
      </c>
      <c r="B305" s="249" t="s">
        <v>235</v>
      </c>
      <c r="C305" s="481">
        <f t="shared" si="240"/>
        <v>0</v>
      </c>
      <c r="D305" s="250">
        <v>0</v>
      </c>
      <c r="E305" s="251">
        <v>0</v>
      </c>
      <c r="F305" s="619">
        <v>50000</v>
      </c>
      <c r="G305" s="483">
        <f t="shared" si="241"/>
        <v>0</v>
      </c>
      <c r="H305" s="254">
        <v>0</v>
      </c>
      <c r="I305" s="627">
        <v>0</v>
      </c>
      <c r="J305" s="630">
        <v>0</v>
      </c>
      <c r="K305" s="481">
        <f t="shared" si="245"/>
        <v>0</v>
      </c>
      <c r="L305" s="483">
        <f t="shared" si="246"/>
        <v>0</v>
      </c>
      <c r="M305" s="484" t="str">
        <f t="shared" si="247"/>
        <v>-</v>
      </c>
      <c r="N305" s="485">
        <f t="shared" si="248"/>
        <v>0</v>
      </c>
      <c r="O305" s="483">
        <f t="shared" si="249"/>
        <v>0</v>
      </c>
      <c r="P305" s="486" t="str">
        <f t="shared" si="250"/>
        <v>-</v>
      </c>
      <c r="Q305" s="483" t="str">
        <f t="shared" si="242"/>
        <v>-</v>
      </c>
      <c r="R305" s="483">
        <f t="shared" si="243"/>
        <v>0</v>
      </c>
      <c r="S305" s="487" t="str">
        <f t="shared" si="244"/>
        <v>-</v>
      </c>
      <c r="T305" s="488" t="str">
        <f t="shared" si="251"/>
        <v>-</v>
      </c>
    </row>
    <row r="306" spans="1:20" ht="23.4" x14ac:dyDescent="0.3">
      <c r="A306" s="248">
        <v>5</v>
      </c>
      <c r="B306" s="249" t="s">
        <v>22</v>
      </c>
      <c r="C306" s="481">
        <f t="shared" si="240"/>
        <v>120</v>
      </c>
      <c r="D306" s="250">
        <v>30</v>
      </c>
      <c r="E306" s="251">
        <v>90</v>
      </c>
      <c r="F306" s="619">
        <v>80000</v>
      </c>
      <c r="G306" s="483">
        <f t="shared" si="241"/>
        <v>59484</v>
      </c>
      <c r="H306" s="254">
        <v>59400</v>
      </c>
      <c r="I306" s="627">
        <v>84</v>
      </c>
      <c r="J306" s="630">
        <v>480</v>
      </c>
      <c r="K306" s="481">
        <f>+L306-E306</f>
        <v>360</v>
      </c>
      <c r="L306" s="483">
        <f t="shared" si="246"/>
        <v>450</v>
      </c>
      <c r="M306" s="484">
        <f>IFERROR(K306/L306,"-")</f>
        <v>0.8</v>
      </c>
      <c r="N306" s="485">
        <f t="shared" si="248"/>
        <v>240</v>
      </c>
      <c r="O306" s="483">
        <f t="shared" si="249"/>
        <v>360</v>
      </c>
      <c r="P306" s="486">
        <f t="shared" si="250"/>
        <v>0.66666666666666663</v>
      </c>
      <c r="Q306" s="483">
        <f t="shared" si="242"/>
        <v>239.32217066774257</v>
      </c>
      <c r="R306" s="483">
        <f t="shared" si="243"/>
        <v>240</v>
      </c>
      <c r="S306" s="487">
        <f t="shared" si="244"/>
        <v>0.997175711115594</v>
      </c>
      <c r="T306" s="488">
        <f t="shared" si="251"/>
        <v>0.53182704592831676</v>
      </c>
    </row>
    <row r="307" spans="1:20" ht="23.4" x14ac:dyDescent="0.3">
      <c r="A307" s="248" t="s">
        <v>111</v>
      </c>
      <c r="B307" s="249" t="s">
        <v>23</v>
      </c>
      <c r="C307" s="481">
        <f t="shared" si="240"/>
        <v>50</v>
      </c>
      <c r="D307" s="250">
        <v>30</v>
      </c>
      <c r="E307" s="251">
        <v>20</v>
      </c>
      <c r="F307" s="619">
        <v>14000</v>
      </c>
      <c r="G307" s="483">
        <f t="shared" si="241"/>
        <v>13200</v>
      </c>
      <c r="H307" s="254">
        <v>13125</v>
      </c>
      <c r="I307" s="627">
        <v>75</v>
      </c>
      <c r="J307" s="630">
        <v>480</v>
      </c>
      <c r="K307" s="481">
        <f t="shared" ref="K307:K316" si="252">+L307-E307</f>
        <v>430</v>
      </c>
      <c r="L307" s="483">
        <f t="shared" si="246"/>
        <v>450</v>
      </c>
      <c r="M307" s="484">
        <f t="shared" ref="M307:M316" si="253">IFERROR(K307/L307,"-")</f>
        <v>0.9555555555555556</v>
      </c>
      <c r="N307" s="485">
        <f t="shared" si="248"/>
        <v>380</v>
      </c>
      <c r="O307" s="483">
        <f t="shared" si="249"/>
        <v>430</v>
      </c>
      <c r="P307" s="486">
        <f t="shared" si="250"/>
        <v>0.88372093023255816</v>
      </c>
      <c r="Q307" s="483">
        <f t="shared" si="242"/>
        <v>377.27272727272725</v>
      </c>
      <c r="R307" s="483">
        <f t="shared" si="243"/>
        <v>380</v>
      </c>
      <c r="S307" s="487">
        <f t="shared" si="244"/>
        <v>0.99282296650717694</v>
      </c>
      <c r="T307" s="488">
        <f t="shared" si="251"/>
        <v>0.83838383838383845</v>
      </c>
    </row>
    <row r="308" spans="1:20" ht="23.4" x14ac:dyDescent="0.3">
      <c r="A308" s="248" t="s">
        <v>111</v>
      </c>
      <c r="B308" s="253" t="s">
        <v>231</v>
      </c>
      <c r="C308" s="489">
        <f t="shared" si="240"/>
        <v>320</v>
      </c>
      <c r="D308" s="250">
        <v>60</v>
      </c>
      <c r="E308" s="251">
        <v>260</v>
      </c>
      <c r="F308" s="619">
        <v>4500</v>
      </c>
      <c r="G308" s="483">
        <f>+H308+I308</f>
        <v>15499</v>
      </c>
      <c r="H308" s="254">
        <v>15255</v>
      </c>
      <c r="I308" s="322">
        <v>244</v>
      </c>
      <c r="J308" s="630">
        <v>960</v>
      </c>
      <c r="K308" s="489">
        <f t="shared" si="252"/>
        <v>640</v>
      </c>
      <c r="L308" s="250">
        <f t="shared" si="246"/>
        <v>900</v>
      </c>
      <c r="M308" s="490">
        <f t="shared" si="253"/>
        <v>0.71111111111111114</v>
      </c>
      <c r="N308" s="491">
        <f t="shared" si="248"/>
        <v>320</v>
      </c>
      <c r="O308" s="250">
        <f t="shared" si="249"/>
        <v>640</v>
      </c>
      <c r="P308" s="492">
        <f t="shared" si="250"/>
        <v>0.5</v>
      </c>
      <c r="Q308" s="250">
        <f t="shared" si="242"/>
        <v>304.88676688818634</v>
      </c>
      <c r="R308" s="250">
        <f t="shared" si="243"/>
        <v>320</v>
      </c>
      <c r="S308" s="493">
        <f t="shared" si="244"/>
        <v>0.95277114652558237</v>
      </c>
      <c r="T308" s="494">
        <f t="shared" si="251"/>
        <v>0.33876307432020708</v>
      </c>
    </row>
    <row r="309" spans="1:20" ht="24" thickBot="1" x14ac:dyDescent="0.35">
      <c r="A309" s="255" t="s">
        <v>111</v>
      </c>
      <c r="B309" s="256" t="s">
        <v>232</v>
      </c>
      <c r="C309" s="495">
        <f t="shared" si="240"/>
        <v>120</v>
      </c>
      <c r="D309" s="257">
        <v>60</v>
      </c>
      <c r="E309" s="258">
        <v>60</v>
      </c>
      <c r="F309" s="625">
        <v>5000</v>
      </c>
      <c r="G309" s="505">
        <f t="shared" ref="G309:G316" si="254">+H309+I309</f>
        <v>23013</v>
      </c>
      <c r="H309" s="259">
        <v>22946</v>
      </c>
      <c r="I309" s="628">
        <v>67</v>
      </c>
      <c r="J309" s="633">
        <v>960</v>
      </c>
      <c r="K309" s="495">
        <f t="shared" si="252"/>
        <v>840</v>
      </c>
      <c r="L309" s="257">
        <f t="shared" si="246"/>
        <v>900</v>
      </c>
      <c r="M309" s="496">
        <f t="shared" si="253"/>
        <v>0.93333333333333335</v>
      </c>
      <c r="N309" s="497">
        <f t="shared" si="248"/>
        <v>720</v>
      </c>
      <c r="O309" s="257">
        <f t="shared" si="249"/>
        <v>840</v>
      </c>
      <c r="P309" s="498">
        <f t="shared" si="250"/>
        <v>0.8571428571428571</v>
      </c>
      <c r="Q309" s="257">
        <f t="shared" si="242"/>
        <v>717.20505801068964</v>
      </c>
      <c r="R309" s="257">
        <f t="shared" si="243"/>
        <v>720</v>
      </c>
      <c r="S309" s="499">
        <f t="shared" si="244"/>
        <v>0.99611813612595779</v>
      </c>
      <c r="T309" s="500">
        <f t="shared" si="251"/>
        <v>0.79689450890076619</v>
      </c>
    </row>
    <row r="310" spans="1:20" ht="23.4" x14ac:dyDescent="0.3">
      <c r="A310" s="252" t="s">
        <v>109</v>
      </c>
      <c r="B310" s="260" t="s">
        <v>29</v>
      </c>
      <c r="C310" s="481">
        <f t="shared" si="240"/>
        <v>0</v>
      </c>
      <c r="D310" s="250">
        <v>0</v>
      </c>
      <c r="E310" s="251">
        <v>0</v>
      </c>
      <c r="F310" s="482">
        <v>80000</v>
      </c>
      <c r="G310" s="483">
        <f t="shared" si="254"/>
        <v>0</v>
      </c>
      <c r="H310" s="254">
        <v>0</v>
      </c>
      <c r="I310" s="627">
        <v>0</v>
      </c>
      <c r="J310" s="629">
        <v>0</v>
      </c>
      <c r="K310" s="481">
        <f t="shared" si="252"/>
        <v>0</v>
      </c>
      <c r="L310" s="483">
        <f t="shared" si="246"/>
        <v>0</v>
      </c>
      <c r="M310" s="484" t="str">
        <f t="shared" si="253"/>
        <v>-</v>
      </c>
      <c r="N310" s="485">
        <f t="shared" si="248"/>
        <v>0</v>
      </c>
      <c r="O310" s="483">
        <f t="shared" si="249"/>
        <v>0</v>
      </c>
      <c r="P310" s="486" t="str">
        <f t="shared" si="250"/>
        <v>-</v>
      </c>
      <c r="Q310" s="483" t="str">
        <f t="shared" si="242"/>
        <v>-</v>
      </c>
      <c r="R310" s="483">
        <f t="shared" si="243"/>
        <v>0</v>
      </c>
      <c r="S310" s="501" t="str">
        <f t="shared" si="244"/>
        <v>-</v>
      </c>
      <c r="T310" s="502" t="str">
        <f t="shared" si="251"/>
        <v>-</v>
      </c>
    </row>
    <row r="311" spans="1:20" ht="23.4" x14ac:dyDescent="0.3">
      <c r="A311" s="248" t="s">
        <v>109</v>
      </c>
      <c r="B311" s="260" t="s">
        <v>31</v>
      </c>
      <c r="C311" s="481">
        <f t="shared" si="240"/>
        <v>0</v>
      </c>
      <c r="D311" s="250">
        <v>0</v>
      </c>
      <c r="E311" s="251">
        <v>0</v>
      </c>
      <c r="F311" s="482">
        <v>50000</v>
      </c>
      <c r="G311" s="483">
        <f t="shared" si="254"/>
        <v>0</v>
      </c>
      <c r="H311" s="254">
        <v>0</v>
      </c>
      <c r="I311" s="627">
        <v>0</v>
      </c>
      <c r="J311" s="630">
        <v>0</v>
      </c>
      <c r="K311" s="481">
        <f t="shared" si="252"/>
        <v>0</v>
      </c>
      <c r="L311" s="483">
        <f t="shared" si="246"/>
        <v>0</v>
      </c>
      <c r="M311" s="484" t="str">
        <f t="shared" si="253"/>
        <v>-</v>
      </c>
      <c r="N311" s="485">
        <f t="shared" si="248"/>
        <v>0</v>
      </c>
      <c r="O311" s="483">
        <f t="shared" si="249"/>
        <v>0</v>
      </c>
      <c r="P311" s="486" t="str">
        <f t="shared" si="250"/>
        <v>-</v>
      </c>
      <c r="Q311" s="483" t="str">
        <f t="shared" si="242"/>
        <v>-</v>
      </c>
      <c r="R311" s="483">
        <f t="shared" si="243"/>
        <v>0</v>
      </c>
      <c r="S311" s="501" t="str">
        <f t="shared" si="244"/>
        <v>-</v>
      </c>
      <c r="T311" s="502" t="str">
        <f t="shared" si="251"/>
        <v>-</v>
      </c>
    </row>
    <row r="312" spans="1:20" ht="24" thickBot="1" x14ac:dyDescent="0.35">
      <c r="A312" s="255" t="s">
        <v>109</v>
      </c>
      <c r="B312" s="261" t="s">
        <v>32</v>
      </c>
      <c r="C312" s="503">
        <f t="shared" si="240"/>
        <v>0</v>
      </c>
      <c r="D312" s="257">
        <v>0</v>
      </c>
      <c r="E312" s="258">
        <v>0</v>
      </c>
      <c r="F312" s="504">
        <v>110000</v>
      </c>
      <c r="G312" s="505">
        <f t="shared" si="254"/>
        <v>0</v>
      </c>
      <c r="H312" s="259">
        <v>0</v>
      </c>
      <c r="I312" s="705">
        <v>0</v>
      </c>
      <c r="J312" s="633">
        <v>0</v>
      </c>
      <c r="K312" s="503">
        <f t="shared" si="252"/>
        <v>0</v>
      </c>
      <c r="L312" s="505">
        <f t="shared" si="246"/>
        <v>0</v>
      </c>
      <c r="M312" s="506" t="str">
        <f t="shared" si="253"/>
        <v>-</v>
      </c>
      <c r="N312" s="507">
        <f t="shared" si="248"/>
        <v>0</v>
      </c>
      <c r="O312" s="505">
        <f t="shared" si="249"/>
        <v>0</v>
      </c>
      <c r="P312" s="508" t="str">
        <f t="shared" si="250"/>
        <v>-</v>
      </c>
      <c r="Q312" s="505" t="str">
        <f t="shared" si="242"/>
        <v>-</v>
      </c>
      <c r="R312" s="505">
        <f t="shared" si="243"/>
        <v>0</v>
      </c>
      <c r="S312" s="509" t="str">
        <f t="shared" si="244"/>
        <v>-</v>
      </c>
      <c r="T312" s="510" t="str">
        <f t="shared" si="251"/>
        <v>-</v>
      </c>
    </row>
    <row r="313" spans="1:20" ht="23.4" x14ac:dyDescent="0.3">
      <c r="A313" s="248" t="s">
        <v>110</v>
      </c>
      <c r="B313" s="249" t="s">
        <v>238</v>
      </c>
      <c r="C313" s="481">
        <f t="shared" si="240"/>
        <v>0</v>
      </c>
      <c r="D313" s="250">
        <v>0</v>
      </c>
      <c r="E313" s="251">
        <v>0</v>
      </c>
      <c r="F313" s="482">
        <v>6500</v>
      </c>
      <c r="G313" s="483">
        <f t="shared" si="254"/>
        <v>0</v>
      </c>
      <c r="H313" s="482">
        <v>0</v>
      </c>
      <c r="I313" s="631">
        <v>0</v>
      </c>
      <c r="J313" s="630">
        <v>0</v>
      </c>
      <c r="K313" s="481">
        <f t="shared" si="252"/>
        <v>0</v>
      </c>
      <c r="L313" s="483">
        <f t="shared" si="246"/>
        <v>0</v>
      </c>
      <c r="M313" s="484" t="str">
        <f t="shared" si="253"/>
        <v>-</v>
      </c>
      <c r="N313" s="485">
        <f t="shared" si="248"/>
        <v>0</v>
      </c>
      <c r="O313" s="483">
        <f t="shared" si="249"/>
        <v>0</v>
      </c>
      <c r="P313" s="486" t="str">
        <f t="shared" si="250"/>
        <v>-</v>
      </c>
      <c r="Q313" s="483" t="str">
        <f t="shared" si="242"/>
        <v>-</v>
      </c>
      <c r="R313" s="483">
        <f t="shared" si="243"/>
        <v>0</v>
      </c>
      <c r="S313" s="501" t="str">
        <f t="shared" si="244"/>
        <v>-</v>
      </c>
      <c r="T313" s="502" t="str">
        <f t="shared" si="251"/>
        <v>-</v>
      </c>
    </row>
    <row r="314" spans="1:20" ht="23.4" x14ac:dyDescent="0.3">
      <c r="A314" s="252" t="s">
        <v>110</v>
      </c>
      <c r="B314" s="249" t="s">
        <v>40</v>
      </c>
      <c r="C314" s="481">
        <f t="shared" si="240"/>
        <v>0</v>
      </c>
      <c r="D314" s="250">
        <v>0</v>
      </c>
      <c r="E314" s="251">
        <v>0</v>
      </c>
      <c r="F314" s="482">
        <v>2800</v>
      </c>
      <c r="G314" s="483">
        <f t="shared" si="254"/>
        <v>0</v>
      </c>
      <c r="H314" s="482"/>
      <c r="I314" s="631"/>
      <c r="J314" s="630">
        <v>0</v>
      </c>
      <c r="K314" s="481">
        <f t="shared" si="252"/>
        <v>0</v>
      </c>
      <c r="L314" s="483">
        <f t="shared" si="246"/>
        <v>0</v>
      </c>
      <c r="M314" s="484" t="str">
        <f t="shared" si="253"/>
        <v>-</v>
      </c>
      <c r="N314" s="485">
        <f t="shared" si="248"/>
        <v>0</v>
      </c>
      <c r="O314" s="483">
        <f t="shared" si="249"/>
        <v>0</v>
      </c>
      <c r="P314" s="486" t="str">
        <f t="shared" si="250"/>
        <v>-</v>
      </c>
      <c r="Q314" s="483" t="str">
        <f t="shared" si="242"/>
        <v>-</v>
      </c>
      <c r="R314" s="483">
        <f t="shared" si="243"/>
        <v>0</v>
      </c>
      <c r="S314" s="501" t="str">
        <f t="shared" si="244"/>
        <v>-</v>
      </c>
      <c r="T314" s="502" t="str">
        <f t="shared" si="251"/>
        <v>-</v>
      </c>
    </row>
    <row r="315" spans="1:20" ht="23.4" x14ac:dyDescent="0.3">
      <c r="A315" s="248" t="s">
        <v>110</v>
      </c>
      <c r="B315" s="249" t="s">
        <v>42</v>
      </c>
      <c r="C315" s="481">
        <f t="shared" si="240"/>
        <v>0</v>
      </c>
      <c r="D315" s="250">
        <v>0</v>
      </c>
      <c r="E315" s="251">
        <v>0</v>
      </c>
      <c r="F315" s="482">
        <v>25000</v>
      </c>
      <c r="G315" s="483">
        <f t="shared" si="254"/>
        <v>0</v>
      </c>
      <c r="H315" s="482">
        <v>0</v>
      </c>
      <c r="I315" s="631">
        <v>0</v>
      </c>
      <c r="J315" s="630">
        <v>0</v>
      </c>
      <c r="K315" s="481">
        <f t="shared" si="252"/>
        <v>0</v>
      </c>
      <c r="L315" s="483">
        <f t="shared" si="246"/>
        <v>0</v>
      </c>
      <c r="M315" s="484" t="str">
        <f t="shared" si="253"/>
        <v>-</v>
      </c>
      <c r="N315" s="485">
        <f t="shared" si="248"/>
        <v>0</v>
      </c>
      <c r="O315" s="483">
        <f t="shared" si="249"/>
        <v>0</v>
      </c>
      <c r="P315" s="486" t="str">
        <f t="shared" si="250"/>
        <v>-</v>
      </c>
      <c r="Q315" s="483" t="str">
        <f t="shared" si="242"/>
        <v>-</v>
      </c>
      <c r="R315" s="483">
        <f t="shared" si="243"/>
        <v>0</v>
      </c>
      <c r="S315" s="501" t="str">
        <f t="shared" si="244"/>
        <v>-</v>
      </c>
      <c r="T315" s="502" t="str">
        <f t="shared" si="251"/>
        <v>-</v>
      </c>
    </row>
    <row r="316" spans="1:20" ht="47.4" thickBot="1" x14ac:dyDescent="0.35">
      <c r="A316" s="635" t="s">
        <v>110</v>
      </c>
      <c r="B316" s="261" t="s">
        <v>237</v>
      </c>
      <c r="C316" s="636">
        <f t="shared" si="240"/>
        <v>0</v>
      </c>
      <c r="D316" s="637">
        <v>0</v>
      </c>
      <c r="E316" s="638">
        <v>0</v>
      </c>
      <c r="F316" s="639">
        <v>25000</v>
      </c>
      <c r="G316" s="640">
        <f t="shared" si="254"/>
        <v>0</v>
      </c>
      <c r="H316" s="639">
        <v>0</v>
      </c>
      <c r="I316" s="641">
        <v>0</v>
      </c>
      <c r="J316" s="634">
        <v>0</v>
      </c>
      <c r="K316" s="636">
        <f t="shared" si="252"/>
        <v>0</v>
      </c>
      <c r="L316" s="640">
        <f t="shared" si="246"/>
        <v>0</v>
      </c>
      <c r="M316" s="642" t="str">
        <f t="shared" si="253"/>
        <v>-</v>
      </c>
      <c r="N316" s="643">
        <f t="shared" si="248"/>
        <v>0</v>
      </c>
      <c r="O316" s="640">
        <f t="shared" si="249"/>
        <v>0</v>
      </c>
      <c r="P316" s="644" t="str">
        <f t="shared" si="250"/>
        <v>-</v>
      </c>
      <c r="Q316" s="640" t="str">
        <f t="shared" si="242"/>
        <v>-</v>
      </c>
      <c r="R316" s="640">
        <f t="shared" si="243"/>
        <v>0</v>
      </c>
      <c r="S316" s="645" t="str">
        <f t="shared" si="244"/>
        <v>-</v>
      </c>
      <c r="T316" s="646" t="str">
        <f t="shared" si="251"/>
        <v>-</v>
      </c>
    </row>
    <row r="317" spans="1:20" ht="23.4" x14ac:dyDescent="0.3">
      <c r="A317" s="935" t="s">
        <v>1</v>
      </c>
      <c r="B317" s="944" t="s">
        <v>2</v>
      </c>
      <c r="C317" s="944" t="s">
        <v>226</v>
      </c>
      <c r="D317" s="945"/>
      <c r="E317" s="946"/>
      <c r="F317" s="944" t="s">
        <v>479</v>
      </c>
      <c r="G317" s="945"/>
      <c r="H317" s="945"/>
      <c r="I317" s="946"/>
      <c r="J317" s="1040" t="s">
        <v>223</v>
      </c>
      <c r="K317" s="944" t="s">
        <v>211</v>
      </c>
      <c r="L317" s="945"/>
      <c r="M317" s="946"/>
      <c r="N317" s="945" t="s">
        <v>212</v>
      </c>
      <c r="O317" s="945"/>
      <c r="P317" s="946"/>
      <c r="Q317" s="944" t="s">
        <v>213</v>
      </c>
      <c r="R317" s="945"/>
      <c r="S317" s="945"/>
      <c r="T317" s="1042" t="s">
        <v>210</v>
      </c>
    </row>
    <row r="318" spans="1:20" ht="87.6" thickBot="1" x14ac:dyDescent="0.35">
      <c r="A318" s="1038"/>
      <c r="B318" s="1039"/>
      <c r="C318" s="235" t="s">
        <v>227</v>
      </c>
      <c r="D318" s="236" t="s">
        <v>224</v>
      </c>
      <c r="E318" s="237" t="s">
        <v>225</v>
      </c>
      <c r="F318" s="238" t="s">
        <v>382</v>
      </c>
      <c r="G318" s="236" t="s">
        <v>220</v>
      </c>
      <c r="H318" s="239" t="s">
        <v>221</v>
      </c>
      <c r="I318" s="240" t="s">
        <v>222</v>
      </c>
      <c r="J318" s="1041"/>
      <c r="K318" s="235" t="s">
        <v>214</v>
      </c>
      <c r="L318" s="239" t="s">
        <v>215</v>
      </c>
      <c r="M318" s="241" t="s">
        <v>228</v>
      </c>
      <c r="N318" s="242" t="s">
        <v>216</v>
      </c>
      <c r="O318" s="239" t="s">
        <v>217</v>
      </c>
      <c r="P318" s="241" t="s">
        <v>229</v>
      </c>
      <c r="Q318" s="235" t="s">
        <v>218</v>
      </c>
      <c r="R318" s="239" t="s">
        <v>219</v>
      </c>
      <c r="S318" s="243" t="s">
        <v>230</v>
      </c>
      <c r="T318" s="1043"/>
    </row>
    <row r="319" spans="1:20" ht="23.4" x14ac:dyDescent="0.3">
      <c r="A319" s="244" t="s">
        <v>111</v>
      </c>
      <c r="B319" s="245" t="s">
        <v>16</v>
      </c>
      <c r="C319" s="474">
        <f>+D319+E319</f>
        <v>0</v>
      </c>
      <c r="D319" s="246">
        <v>0</v>
      </c>
      <c r="E319" s="247">
        <v>0</v>
      </c>
      <c r="F319" s="618">
        <v>15000</v>
      </c>
      <c r="G319" s="475">
        <f>+H319+I319</f>
        <v>0</v>
      </c>
      <c r="H319" s="624">
        <v>0</v>
      </c>
      <c r="I319" s="626">
        <v>0</v>
      </c>
      <c r="J319" s="629">
        <v>0</v>
      </c>
      <c r="K319" s="474">
        <f>+L319-E319</f>
        <v>0</v>
      </c>
      <c r="L319" s="475">
        <f>+J319-D319</f>
        <v>0</v>
      </c>
      <c r="M319" s="476" t="str">
        <f>IFERROR(K319/L319,"-")</f>
        <v>-</v>
      </c>
      <c r="N319" s="477">
        <f>+O319-C319</f>
        <v>0</v>
      </c>
      <c r="O319" s="475">
        <f>+K319</f>
        <v>0</v>
      </c>
      <c r="P319" s="478" t="str">
        <f>IFERROR(N319/O319,"-")</f>
        <v>-</v>
      </c>
      <c r="Q319" s="475" t="str">
        <f>IFERROR(N319-(J319-(J319*H319/G319)),"-")</f>
        <v>-</v>
      </c>
      <c r="R319" s="475">
        <f>+N319</f>
        <v>0</v>
      </c>
      <c r="S319" s="479" t="str">
        <f>IFERROR(Q319/R319,"-")</f>
        <v>-</v>
      </c>
      <c r="T319" s="480" t="str">
        <f>IFERROR(M319*P319*S319,"-")</f>
        <v>-</v>
      </c>
    </row>
    <row r="320" spans="1:20" ht="23.4" x14ac:dyDescent="0.3">
      <c r="A320" s="248" t="s">
        <v>111</v>
      </c>
      <c r="B320" s="249" t="s">
        <v>234</v>
      </c>
      <c r="C320" s="481">
        <f t="shared" ref="C320:C334" si="255">+D320+E320</f>
        <v>60</v>
      </c>
      <c r="D320" s="250">
        <v>60</v>
      </c>
      <c r="E320" s="251">
        <v>0</v>
      </c>
      <c r="F320" s="619">
        <v>100000</v>
      </c>
      <c r="G320" s="483">
        <f t="shared" ref="G320:G325" si="256">+H320+I320</f>
        <v>183909</v>
      </c>
      <c r="H320" s="254">
        <v>183600</v>
      </c>
      <c r="I320" s="627">
        <f>169+140</f>
        <v>309</v>
      </c>
      <c r="J320" s="630">
        <v>960</v>
      </c>
      <c r="K320" s="481">
        <f>+L320-E320</f>
        <v>900</v>
      </c>
      <c r="L320" s="483">
        <f>+J320-D320</f>
        <v>900</v>
      </c>
      <c r="M320" s="484">
        <f>IFERROR(K320/L320,"-")</f>
        <v>1</v>
      </c>
      <c r="N320" s="485">
        <f>+O320-C320</f>
        <v>840</v>
      </c>
      <c r="O320" s="483">
        <f>+K320</f>
        <v>900</v>
      </c>
      <c r="P320" s="486">
        <f>IFERROR(N320/O320,"-")</f>
        <v>0.93333333333333335</v>
      </c>
      <c r="Q320" s="483">
        <f t="shared" ref="Q320:Q334" si="257">IFERROR(N320-(J320-(J320*H320/G320)),"-")</f>
        <v>838.38702836729033</v>
      </c>
      <c r="R320" s="483">
        <f t="shared" ref="R320:R334" si="258">+N320</f>
        <v>840</v>
      </c>
      <c r="S320" s="487">
        <f t="shared" ref="S320:S334" si="259">IFERROR(Q320/R320,"-")</f>
        <v>0.99807979567534566</v>
      </c>
      <c r="T320" s="488">
        <f>IFERROR(M320*P320*S320,"-")</f>
        <v>0.93154114263032262</v>
      </c>
    </row>
    <row r="321" spans="1:20" ht="23.4" x14ac:dyDescent="0.3">
      <c r="A321" s="248" t="s">
        <v>111</v>
      </c>
      <c r="B321" s="249" t="s">
        <v>233</v>
      </c>
      <c r="C321" s="481">
        <f t="shared" si="255"/>
        <v>0</v>
      </c>
      <c r="D321" s="250">
        <v>0</v>
      </c>
      <c r="E321" s="251">
        <v>0</v>
      </c>
      <c r="F321" s="619">
        <v>80000</v>
      </c>
      <c r="G321" s="483">
        <f t="shared" si="256"/>
        <v>0</v>
      </c>
      <c r="H321" s="254">
        <v>0</v>
      </c>
      <c r="I321" s="627">
        <v>0</v>
      </c>
      <c r="J321" s="630">
        <v>0</v>
      </c>
      <c r="K321" s="481">
        <f t="shared" ref="K321:K323" si="260">+L321-E321</f>
        <v>0</v>
      </c>
      <c r="L321" s="483">
        <f t="shared" ref="L321:L334" si="261">+J321-D321</f>
        <v>0</v>
      </c>
      <c r="M321" s="484" t="str">
        <f t="shared" ref="M321:M323" si="262">IFERROR(K321/L321,"-")</f>
        <v>-</v>
      </c>
      <c r="N321" s="485">
        <f t="shared" ref="N321:N334" si="263">+O321-C321</f>
        <v>0</v>
      </c>
      <c r="O321" s="483">
        <f t="shared" ref="O321:O334" si="264">+K321</f>
        <v>0</v>
      </c>
      <c r="P321" s="486" t="str">
        <f t="shared" ref="P321:P334" si="265">IFERROR(N321/O321,"-")</f>
        <v>-</v>
      </c>
      <c r="Q321" s="483" t="str">
        <f t="shared" si="257"/>
        <v>-</v>
      </c>
      <c r="R321" s="483">
        <f t="shared" si="258"/>
        <v>0</v>
      </c>
      <c r="S321" s="487" t="str">
        <f t="shared" si="259"/>
        <v>-</v>
      </c>
      <c r="T321" s="488" t="str">
        <f t="shared" ref="T321:T334" si="266">IFERROR(M321*P321*S321,"-")</f>
        <v>-</v>
      </c>
    </row>
    <row r="322" spans="1:20" ht="23.4" x14ac:dyDescent="0.3">
      <c r="A322" s="252" t="s">
        <v>111</v>
      </c>
      <c r="B322" s="249" t="s">
        <v>236</v>
      </c>
      <c r="C322" s="481">
        <f t="shared" si="255"/>
        <v>30</v>
      </c>
      <c r="D322" s="250">
        <v>30</v>
      </c>
      <c r="E322" s="251">
        <v>0</v>
      </c>
      <c r="F322" s="619">
        <v>110000</v>
      </c>
      <c r="G322" s="483">
        <f t="shared" si="256"/>
        <v>67754</v>
      </c>
      <c r="H322" s="254">
        <v>67584</v>
      </c>
      <c r="I322" s="627">
        <v>170</v>
      </c>
      <c r="J322" s="630">
        <v>480</v>
      </c>
      <c r="K322" s="481">
        <f t="shared" si="260"/>
        <v>450</v>
      </c>
      <c r="L322" s="483">
        <f t="shared" si="261"/>
        <v>450</v>
      </c>
      <c r="M322" s="484">
        <f t="shared" si="262"/>
        <v>1</v>
      </c>
      <c r="N322" s="485">
        <f t="shared" si="263"/>
        <v>420</v>
      </c>
      <c r="O322" s="483">
        <f t="shared" si="264"/>
        <v>450</v>
      </c>
      <c r="P322" s="486">
        <f t="shared" si="265"/>
        <v>0.93333333333333335</v>
      </c>
      <c r="Q322" s="483">
        <f t="shared" si="257"/>
        <v>418.79564306166424</v>
      </c>
      <c r="R322" s="483">
        <f t="shared" si="258"/>
        <v>420</v>
      </c>
      <c r="S322" s="487">
        <f t="shared" si="259"/>
        <v>0.99713248348015293</v>
      </c>
      <c r="T322" s="488">
        <f t="shared" si="266"/>
        <v>0.93065698458147605</v>
      </c>
    </row>
    <row r="323" spans="1:20" ht="23.4" x14ac:dyDescent="0.3">
      <c r="A323" s="248" t="s">
        <v>111</v>
      </c>
      <c r="B323" s="249" t="s">
        <v>235</v>
      </c>
      <c r="C323" s="481">
        <f t="shared" si="255"/>
        <v>0</v>
      </c>
      <c r="D323" s="250">
        <v>0</v>
      </c>
      <c r="E323" s="251">
        <v>0</v>
      </c>
      <c r="F323" s="619">
        <v>50000</v>
      </c>
      <c r="G323" s="483">
        <f t="shared" si="256"/>
        <v>0</v>
      </c>
      <c r="H323" s="254">
        <v>0</v>
      </c>
      <c r="I323" s="627">
        <v>0</v>
      </c>
      <c r="J323" s="630">
        <v>0</v>
      </c>
      <c r="K323" s="481">
        <f t="shared" si="260"/>
        <v>0</v>
      </c>
      <c r="L323" s="483">
        <f t="shared" si="261"/>
        <v>0</v>
      </c>
      <c r="M323" s="484" t="str">
        <f t="shared" si="262"/>
        <v>-</v>
      </c>
      <c r="N323" s="485">
        <f t="shared" si="263"/>
        <v>0</v>
      </c>
      <c r="O323" s="483">
        <f t="shared" si="264"/>
        <v>0</v>
      </c>
      <c r="P323" s="486" t="str">
        <f t="shared" si="265"/>
        <v>-</v>
      </c>
      <c r="Q323" s="483" t="str">
        <f t="shared" si="257"/>
        <v>-</v>
      </c>
      <c r="R323" s="483">
        <f t="shared" si="258"/>
        <v>0</v>
      </c>
      <c r="S323" s="487" t="str">
        <f t="shared" si="259"/>
        <v>-</v>
      </c>
      <c r="T323" s="488" t="str">
        <f t="shared" si="266"/>
        <v>-</v>
      </c>
    </row>
    <row r="324" spans="1:20" ht="23.4" x14ac:dyDescent="0.3">
      <c r="A324" s="248">
        <v>5</v>
      </c>
      <c r="B324" s="249" t="s">
        <v>22</v>
      </c>
      <c r="C324" s="481">
        <f t="shared" si="255"/>
        <v>30</v>
      </c>
      <c r="D324" s="250">
        <v>30</v>
      </c>
      <c r="E324" s="251">
        <v>0</v>
      </c>
      <c r="F324" s="619">
        <v>80000</v>
      </c>
      <c r="G324" s="483">
        <f t="shared" si="256"/>
        <v>69396</v>
      </c>
      <c r="H324" s="254">
        <v>69300</v>
      </c>
      <c r="I324" s="627">
        <v>96</v>
      </c>
      <c r="J324" s="630">
        <v>480</v>
      </c>
      <c r="K324" s="481">
        <f>+L324-E324</f>
        <v>450</v>
      </c>
      <c r="L324" s="483">
        <f t="shared" si="261"/>
        <v>450</v>
      </c>
      <c r="M324" s="484">
        <f>IFERROR(K324/L324,"-")</f>
        <v>1</v>
      </c>
      <c r="N324" s="485">
        <f t="shared" si="263"/>
        <v>420</v>
      </c>
      <c r="O324" s="483">
        <f t="shared" si="264"/>
        <v>450</v>
      </c>
      <c r="P324" s="486">
        <f t="shared" si="265"/>
        <v>0.93333333333333335</v>
      </c>
      <c r="Q324" s="483">
        <f t="shared" si="257"/>
        <v>419.33598478298461</v>
      </c>
      <c r="R324" s="483">
        <f t="shared" si="258"/>
        <v>420</v>
      </c>
      <c r="S324" s="487">
        <f t="shared" si="259"/>
        <v>0.99841901138805855</v>
      </c>
      <c r="T324" s="488">
        <f t="shared" si="266"/>
        <v>0.93185774396218801</v>
      </c>
    </row>
    <row r="325" spans="1:20" ht="23.4" x14ac:dyDescent="0.3">
      <c r="A325" s="248" t="s">
        <v>111</v>
      </c>
      <c r="B325" s="249" t="s">
        <v>23</v>
      </c>
      <c r="C325" s="481">
        <f t="shared" si="255"/>
        <v>110</v>
      </c>
      <c r="D325" s="250">
        <v>30</v>
      </c>
      <c r="E325" s="251">
        <v>80</v>
      </c>
      <c r="F325" s="619">
        <v>14000</v>
      </c>
      <c r="G325" s="483">
        <f t="shared" si="256"/>
        <v>11445</v>
      </c>
      <c r="H325" s="254">
        <v>11375</v>
      </c>
      <c r="I325" s="627">
        <v>70</v>
      </c>
      <c r="J325" s="630">
        <v>480</v>
      </c>
      <c r="K325" s="481">
        <f t="shared" ref="K325:K334" si="267">+L325-E325</f>
        <v>370</v>
      </c>
      <c r="L325" s="483">
        <f t="shared" si="261"/>
        <v>450</v>
      </c>
      <c r="M325" s="484">
        <f t="shared" ref="M325:M334" si="268">IFERROR(K325/L325,"-")</f>
        <v>0.82222222222222219</v>
      </c>
      <c r="N325" s="485">
        <f t="shared" si="263"/>
        <v>260</v>
      </c>
      <c r="O325" s="483">
        <f t="shared" si="264"/>
        <v>370</v>
      </c>
      <c r="P325" s="486">
        <f t="shared" si="265"/>
        <v>0.70270270270270274</v>
      </c>
      <c r="Q325" s="483">
        <f t="shared" si="257"/>
        <v>257.06422018348621</v>
      </c>
      <c r="R325" s="483">
        <f t="shared" si="258"/>
        <v>260</v>
      </c>
      <c r="S325" s="487">
        <f t="shared" si="259"/>
        <v>0.98870853916725465</v>
      </c>
      <c r="T325" s="488">
        <f t="shared" si="266"/>
        <v>0.57125382262996938</v>
      </c>
    </row>
    <row r="326" spans="1:20" ht="23.4" x14ac:dyDescent="0.3">
      <c r="A326" s="248" t="s">
        <v>111</v>
      </c>
      <c r="B326" s="253" t="s">
        <v>231</v>
      </c>
      <c r="C326" s="489">
        <f t="shared" si="255"/>
        <v>430</v>
      </c>
      <c r="D326" s="250">
        <f>60+90+100</f>
        <v>250</v>
      </c>
      <c r="E326" s="251">
        <v>180</v>
      </c>
      <c r="F326" s="619">
        <v>4500</v>
      </c>
      <c r="G326" s="483">
        <f>+H326+I326</f>
        <v>23596</v>
      </c>
      <c r="H326" s="254">
        <f>19576+3891</f>
        <v>23467</v>
      </c>
      <c r="I326" s="322">
        <f>54+75</f>
        <v>129</v>
      </c>
      <c r="J326" s="630">
        <v>960</v>
      </c>
      <c r="K326" s="489">
        <f t="shared" si="267"/>
        <v>530</v>
      </c>
      <c r="L326" s="250">
        <f t="shared" si="261"/>
        <v>710</v>
      </c>
      <c r="M326" s="490">
        <f t="shared" si="268"/>
        <v>0.74647887323943662</v>
      </c>
      <c r="N326" s="491">
        <f t="shared" si="263"/>
        <v>100</v>
      </c>
      <c r="O326" s="250">
        <f t="shared" si="264"/>
        <v>530</v>
      </c>
      <c r="P326" s="492">
        <f t="shared" si="265"/>
        <v>0.18867924528301888</v>
      </c>
      <c r="Q326" s="250">
        <f t="shared" si="257"/>
        <v>94.751652822512256</v>
      </c>
      <c r="R326" s="250">
        <f t="shared" si="258"/>
        <v>100</v>
      </c>
      <c r="S326" s="493">
        <f t="shared" si="259"/>
        <v>0.94751652822512256</v>
      </c>
      <c r="T326" s="494">
        <f t="shared" si="266"/>
        <v>0.13345303214438348</v>
      </c>
    </row>
    <row r="327" spans="1:20" ht="24" thickBot="1" x14ac:dyDescent="0.35">
      <c r="A327" s="255" t="s">
        <v>111</v>
      </c>
      <c r="B327" s="256" t="s">
        <v>232</v>
      </c>
      <c r="C327" s="495">
        <f t="shared" si="255"/>
        <v>270</v>
      </c>
      <c r="D327" s="257">
        <f>60+90+90+30</f>
        <v>270</v>
      </c>
      <c r="E327" s="258">
        <v>0</v>
      </c>
      <c r="F327" s="625">
        <v>5000</v>
      </c>
      <c r="G327" s="505">
        <f t="shared" ref="G327:G334" si="269">+H327+I327</f>
        <v>26932</v>
      </c>
      <c r="H327" s="259">
        <v>26846</v>
      </c>
      <c r="I327" s="628">
        <v>86</v>
      </c>
      <c r="J327" s="633">
        <v>960</v>
      </c>
      <c r="K327" s="495">
        <f t="shared" si="267"/>
        <v>690</v>
      </c>
      <c r="L327" s="257">
        <f t="shared" si="261"/>
        <v>690</v>
      </c>
      <c r="M327" s="496">
        <f t="shared" si="268"/>
        <v>1</v>
      </c>
      <c r="N327" s="497">
        <f t="shared" si="263"/>
        <v>420</v>
      </c>
      <c r="O327" s="257">
        <f t="shared" si="264"/>
        <v>690</v>
      </c>
      <c r="P327" s="498">
        <f t="shared" si="265"/>
        <v>0.60869565217391308</v>
      </c>
      <c r="Q327" s="257">
        <f t="shared" si="257"/>
        <v>416.93450170800531</v>
      </c>
      <c r="R327" s="257">
        <f t="shared" si="258"/>
        <v>420</v>
      </c>
      <c r="S327" s="499">
        <f t="shared" si="259"/>
        <v>0.99270119454286976</v>
      </c>
      <c r="T327" s="500">
        <f t="shared" si="266"/>
        <v>0.60425290102609464</v>
      </c>
    </row>
    <row r="328" spans="1:20" ht="23.4" x14ac:dyDescent="0.3">
      <c r="A328" s="252" t="s">
        <v>109</v>
      </c>
      <c r="B328" s="260" t="s">
        <v>29</v>
      </c>
      <c r="C328" s="481">
        <f t="shared" si="255"/>
        <v>385</v>
      </c>
      <c r="D328" s="250">
        <v>90</v>
      </c>
      <c r="E328" s="251">
        <v>295</v>
      </c>
      <c r="F328" s="482">
        <v>80000</v>
      </c>
      <c r="G328" s="483">
        <f t="shared" si="269"/>
        <v>141327</v>
      </c>
      <c r="H328" s="254">
        <v>139230</v>
      </c>
      <c r="I328" s="627">
        <v>2097</v>
      </c>
      <c r="J328" s="629">
        <v>1260</v>
      </c>
      <c r="K328" s="481">
        <f t="shared" si="267"/>
        <v>875</v>
      </c>
      <c r="L328" s="483">
        <f t="shared" si="261"/>
        <v>1170</v>
      </c>
      <c r="M328" s="484">
        <f t="shared" si="268"/>
        <v>0.74786324786324787</v>
      </c>
      <c r="N328" s="485">
        <f t="shared" si="263"/>
        <v>490</v>
      </c>
      <c r="O328" s="483">
        <f t="shared" si="264"/>
        <v>875</v>
      </c>
      <c r="P328" s="486">
        <f t="shared" si="265"/>
        <v>0.56000000000000005</v>
      </c>
      <c r="Q328" s="483">
        <f t="shared" si="257"/>
        <v>471.30420938674138</v>
      </c>
      <c r="R328" s="483">
        <f t="shared" si="258"/>
        <v>490</v>
      </c>
      <c r="S328" s="501">
        <f t="shared" si="259"/>
        <v>0.96184532527906408</v>
      </c>
      <c r="T328" s="502">
        <f t="shared" si="266"/>
        <v>0.40282411058695855</v>
      </c>
    </row>
    <row r="329" spans="1:20" ht="23.4" x14ac:dyDescent="0.3">
      <c r="A329" s="248" t="s">
        <v>109</v>
      </c>
      <c r="B329" s="260" t="s">
        <v>31</v>
      </c>
      <c r="C329" s="481">
        <f t="shared" si="255"/>
        <v>70</v>
      </c>
      <c r="D329" s="250">
        <v>30</v>
      </c>
      <c r="E329" s="251">
        <v>40</v>
      </c>
      <c r="F329" s="482">
        <v>50000</v>
      </c>
      <c r="G329" s="483">
        <f t="shared" si="269"/>
        <v>4374</v>
      </c>
      <c r="H329" s="254">
        <v>3744</v>
      </c>
      <c r="I329" s="627">
        <v>630</v>
      </c>
      <c r="J329" s="630">
        <v>120</v>
      </c>
      <c r="K329" s="481">
        <f t="shared" si="267"/>
        <v>50</v>
      </c>
      <c r="L329" s="483">
        <f t="shared" si="261"/>
        <v>90</v>
      </c>
      <c r="M329" s="484">
        <f t="shared" si="268"/>
        <v>0.55555555555555558</v>
      </c>
      <c r="N329" s="485">
        <f t="shared" si="263"/>
        <v>-20</v>
      </c>
      <c r="O329" s="483">
        <f t="shared" si="264"/>
        <v>50</v>
      </c>
      <c r="P329" s="486">
        <f t="shared" si="265"/>
        <v>-0.4</v>
      </c>
      <c r="Q329" s="483">
        <f t="shared" si="257"/>
        <v>-37.283950617283949</v>
      </c>
      <c r="R329" s="483">
        <f t="shared" si="258"/>
        <v>-20</v>
      </c>
      <c r="S329" s="501">
        <f t="shared" si="259"/>
        <v>1.8641975308641974</v>
      </c>
      <c r="T329" s="502">
        <f t="shared" si="266"/>
        <v>-0.41426611796982166</v>
      </c>
    </row>
    <row r="330" spans="1:20" ht="24" thickBot="1" x14ac:dyDescent="0.35">
      <c r="A330" s="255" t="s">
        <v>109</v>
      </c>
      <c r="B330" s="261" t="s">
        <v>32</v>
      </c>
      <c r="C330" s="503">
        <f t="shared" si="255"/>
        <v>0</v>
      </c>
      <c r="D330" s="257">
        <v>0</v>
      </c>
      <c r="E330" s="258">
        <v>0</v>
      </c>
      <c r="F330" s="504">
        <v>110000</v>
      </c>
      <c r="G330" s="505">
        <f t="shared" si="269"/>
        <v>0</v>
      </c>
      <c r="H330" s="259">
        <v>0</v>
      </c>
      <c r="I330" s="705">
        <v>0</v>
      </c>
      <c r="J330" s="633">
        <v>0</v>
      </c>
      <c r="K330" s="503">
        <f t="shared" si="267"/>
        <v>0</v>
      </c>
      <c r="L330" s="505">
        <f t="shared" si="261"/>
        <v>0</v>
      </c>
      <c r="M330" s="506" t="str">
        <f t="shared" si="268"/>
        <v>-</v>
      </c>
      <c r="N330" s="507">
        <f t="shared" si="263"/>
        <v>0</v>
      </c>
      <c r="O330" s="505">
        <f t="shared" si="264"/>
        <v>0</v>
      </c>
      <c r="P330" s="508" t="str">
        <f t="shared" si="265"/>
        <v>-</v>
      </c>
      <c r="Q330" s="505" t="str">
        <f t="shared" si="257"/>
        <v>-</v>
      </c>
      <c r="R330" s="505">
        <f t="shared" si="258"/>
        <v>0</v>
      </c>
      <c r="S330" s="509" t="str">
        <f t="shared" si="259"/>
        <v>-</v>
      </c>
      <c r="T330" s="510" t="str">
        <f t="shared" si="266"/>
        <v>-</v>
      </c>
    </row>
    <row r="331" spans="1:20" ht="23.4" x14ac:dyDescent="0.3">
      <c r="A331" s="248" t="s">
        <v>110</v>
      </c>
      <c r="B331" s="249" t="s">
        <v>238</v>
      </c>
      <c r="C331" s="481">
        <f t="shared" si="255"/>
        <v>0</v>
      </c>
      <c r="D331" s="250">
        <v>0</v>
      </c>
      <c r="E331" s="251">
        <v>0</v>
      </c>
      <c r="F331" s="482">
        <v>6500</v>
      </c>
      <c r="G331" s="483">
        <f t="shared" si="269"/>
        <v>0</v>
      </c>
      <c r="H331" s="482">
        <v>0</v>
      </c>
      <c r="I331" s="631">
        <v>0</v>
      </c>
      <c r="J331" s="630">
        <v>0</v>
      </c>
      <c r="K331" s="481">
        <f t="shared" si="267"/>
        <v>0</v>
      </c>
      <c r="L331" s="483">
        <f t="shared" si="261"/>
        <v>0</v>
      </c>
      <c r="M331" s="484" t="str">
        <f t="shared" si="268"/>
        <v>-</v>
      </c>
      <c r="N331" s="485">
        <f t="shared" si="263"/>
        <v>0</v>
      </c>
      <c r="O331" s="483">
        <f t="shared" si="264"/>
        <v>0</v>
      </c>
      <c r="P331" s="486" t="str">
        <f t="shared" si="265"/>
        <v>-</v>
      </c>
      <c r="Q331" s="483" t="str">
        <f t="shared" si="257"/>
        <v>-</v>
      </c>
      <c r="R331" s="483">
        <f t="shared" si="258"/>
        <v>0</v>
      </c>
      <c r="S331" s="501" t="str">
        <f t="shared" si="259"/>
        <v>-</v>
      </c>
      <c r="T331" s="502" t="str">
        <f t="shared" si="266"/>
        <v>-</v>
      </c>
    </row>
    <row r="332" spans="1:20" ht="23.4" x14ac:dyDescent="0.3">
      <c r="A332" s="252" t="s">
        <v>110</v>
      </c>
      <c r="B332" s="249" t="s">
        <v>40</v>
      </c>
      <c r="C332" s="481">
        <f t="shared" si="255"/>
        <v>0</v>
      </c>
      <c r="D332" s="250">
        <v>0</v>
      </c>
      <c r="E332" s="251">
        <v>0</v>
      </c>
      <c r="F332" s="482">
        <v>2800</v>
      </c>
      <c r="G332" s="483">
        <f t="shared" si="269"/>
        <v>0</v>
      </c>
      <c r="H332" s="482"/>
      <c r="I332" s="631"/>
      <c r="J332" s="630">
        <v>0</v>
      </c>
      <c r="K332" s="481">
        <f t="shared" si="267"/>
        <v>0</v>
      </c>
      <c r="L332" s="483">
        <f t="shared" si="261"/>
        <v>0</v>
      </c>
      <c r="M332" s="484" t="str">
        <f t="shared" si="268"/>
        <v>-</v>
      </c>
      <c r="N332" s="485">
        <f t="shared" si="263"/>
        <v>0</v>
      </c>
      <c r="O332" s="483">
        <f t="shared" si="264"/>
        <v>0</v>
      </c>
      <c r="P332" s="486" t="str">
        <f t="shared" si="265"/>
        <v>-</v>
      </c>
      <c r="Q332" s="483" t="str">
        <f t="shared" si="257"/>
        <v>-</v>
      </c>
      <c r="R332" s="483">
        <f t="shared" si="258"/>
        <v>0</v>
      </c>
      <c r="S332" s="501" t="str">
        <f t="shared" si="259"/>
        <v>-</v>
      </c>
      <c r="T332" s="502" t="str">
        <f t="shared" si="266"/>
        <v>-</v>
      </c>
    </row>
    <row r="333" spans="1:20" ht="23.4" x14ac:dyDescent="0.3">
      <c r="A333" s="248" t="s">
        <v>110</v>
      </c>
      <c r="B333" s="249" t="s">
        <v>42</v>
      </c>
      <c r="C333" s="481">
        <f t="shared" si="255"/>
        <v>0</v>
      </c>
      <c r="D333" s="250">
        <v>0</v>
      </c>
      <c r="E333" s="251">
        <v>0</v>
      </c>
      <c r="F333" s="482">
        <v>25000</v>
      </c>
      <c r="G333" s="483">
        <f t="shared" si="269"/>
        <v>0</v>
      </c>
      <c r="H333" s="482">
        <v>0</v>
      </c>
      <c r="I333" s="631">
        <v>0</v>
      </c>
      <c r="J333" s="630">
        <v>0</v>
      </c>
      <c r="K333" s="481">
        <f t="shared" si="267"/>
        <v>0</v>
      </c>
      <c r="L333" s="483">
        <f t="shared" si="261"/>
        <v>0</v>
      </c>
      <c r="M333" s="484" t="str">
        <f t="shared" si="268"/>
        <v>-</v>
      </c>
      <c r="N333" s="485">
        <f t="shared" si="263"/>
        <v>0</v>
      </c>
      <c r="O333" s="483">
        <f t="shared" si="264"/>
        <v>0</v>
      </c>
      <c r="P333" s="486" t="str">
        <f t="shared" si="265"/>
        <v>-</v>
      </c>
      <c r="Q333" s="483" t="str">
        <f t="shared" si="257"/>
        <v>-</v>
      </c>
      <c r="R333" s="483">
        <f t="shared" si="258"/>
        <v>0</v>
      </c>
      <c r="S333" s="501" t="str">
        <f t="shared" si="259"/>
        <v>-</v>
      </c>
      <c r="T333" s="502" t="str">
        <f t="shared" si="266"/>
        <v>-</v>
      </c>
    </row>
    <row r="334" spans="1:20" ht="47.4" thickBot="1" x14ac:dyDescent="0.35">
      <c r="A334" s="635" t="s">
        <v>110</v>
      </c>
      <c r="B334" s="261" t="s">
        <v>237</v>
      </c>
      <c r="C334" s="636">
        <f t="shared" si="255"/>
        <v>0</v>
      </c>
      <c r="D334" s="637">
        <v>0</v>
      </c>
      <c r="E334" s="638">
        <v>0</v>
      </c>
      <c r="F334" s="639">
        <v>25000</v>
      </c>
      <c r="G334" s="640">
        <f t="shared" si="269"/>
        <v>0</v>
      </c>
      <c r="H334" s="639">
        <v>0</v>
      </c>
      <c r="I334" s="641">
        <v>0</v>
      </c>
      <c r="J334" s="634">
        <v>0</v>
      </c>
      <c r="K334" s="636">
        <f t="shared" si="267"/>
        <v>0</v>
      </c>
      <c r="L334" s="640">
        <f t="shared" si="261"/>
        <v>0</v>
      </c>
      <c r="M334" s="642" t="str">
        <f t="shared" si="268"/>
        <v>-</v>
      </c>
      <c r="N334" s="643">
        <f t="shared" si="263"/>
        <v>0</v>
      </c>
      <c r="O334" s="640">
        <f t="shared" si="264"/>
        <v>0</v>
      </c>
      <c r="P334" s="644" t="str">
        <f t="shared" si="265"/>
        <v>-</v>
      </c>
      <c r="Q334" s="640" t="str">
        <f t="shared" si="257"/>
        <v>-</v>
      </c>
      <c r="R334" s="640">
        <f t="shared" si="258"/>
        <v>0</v>
      </c>
      <c r="S334" s="645" t="str">
        <f t="shared" si="259"/>
        <v>-</v>
      </c>
      <c r="T334" s="646" t="str">
        <f t="shared" si="266"/>
        <v>-</v>
      </c>
    </row>
    <row r="335" spans="1:20" ht="23.4" x14ac:dyDescent="0.3">
      <c r="A335" s="935" t="s">
        <v>1</v>
      </c>
      <c r="B335" s="944" t="s">
        <v>2</v>
      </c>
      <c r="C335" s="944" t="s">
        <v>226</v>
      </c>
      <c r="D335" s="945"/>
      <c r="E335" s="946"/>
      <c r="F335" s="944" t="s">
        <v>480</v>
      </c>
      <c r="G335" s="945"/>
      <c r="H335" s="945"/>
      <c r="I335" s="946"/>
      <c r="J335" s="1040" t="s">
        <v>223</v>
      </c>
      <c r="K335" s="944" t="s">
        <v>211</v>
      </c>
      <c r="L335" s="945"/>
      <c r="M335" s="946"/>
      <c r="N335" s="945" t="s">
        <v>212</v>
      </c>
      <c r="O335" s="945"/>
      <c r="P335" s="946"/>
      <c r="Q335" s="944" t="s">
        <v>213</v>
      </c>
      <c r="R335" s="945"/>
      <c r="S335" s="945"/>
      <c r="T335" s="1042" t="s">
        <v>210</v>
      </c>
    </row>
    <row r="336" spans="1:20" ht="87.6" thickBot="1" x14ac:dyDescent="0.35">
      <c r="A336" s="1038"/>
      <c r="B336" s="1039"/>
      <c r="C336" s="235" t="s">
        <v>227</v>
      </c>
      <c r="D336" s="236" t="s">
        <v>224</v>
      </c>
      <c r="E336" s="237" t="s">
        <v>225</v>
      </c>
      <c r="F336" s="238" t="s">
        <v>382</v>
      </c>
      <c r="G336" s="236" t="s">
        <v>220</v>
      </c>
      <c r="H336" s="239" t="s">
        <v>221</v>
      </c>
      <c r="I336" s="240" t="s">
        <v>222</v>
      </c>
      <c r="J336" s="1041"/>
      <c r="K336" s="235" t="s">
        <v>214</v>
      </c>
      <c r="L336" s="239" t="s">
        <v>215</v>
      </c>
      <c r="M336" s="241" t="s">
        <v>228</v>
      </c>
      <c r="N336" s="242" t="s">
        <v>216</v>
      </c>
      <c r="O336" s="239" t="s">
        <v>217</v>
      </c>
      <c r="P336" s="241" t="s">
        <v>229</v>
      </c>
      <c r="Q336" s="235" t="s">
        <v>218</v>
      </c>
      <c r="R336" s="239" t="s">
        <v>219</v>
      </c>
      <c r="S336" s="243" t="s">
        <v>230</v>
      </c>
      <c r="T336" s="1043"/>
    </row>
    <row r="337" spans="1:20" ht="23.4" x14ac:dyDescent="0.3">
      <c r="A337" s="244" t="s">
        <v>111</v>
      </c>
      <c r="B337" s="245" t="s">
        <v>16</v>
      </c>
      <c r="C337" s="474">
        <f>+D337+E337</f>
        <v>0</v>
      </c>
      <c r="D337" s="246">
        <v>0</v>
      </c>
      <c r="E337" s="247">
        <v>0</v>
      </c>
      <c r="F337" s="618">
        <v>15000</v>
      </c>
      <c r="G337" s="475">
        <f>+H337+I337</f>
        <v>0</v>
      </c>
      <c r="H337" s="624">
        <v>0</v>
      </c>
      <c r="I337" s="626">
        <v>0</v>
      </c>
      <c r="J337" s="629">
        <v>0</v>
      </c>
      <c r="K337" s="474">
        <f>+L337-E337</f>
        <v>0</v>
      </c>
      <c r="L337" s="475">
        <f>+J337-D337</f>
        <v>0</v>
      </c>
      <c r="M337" s="476" t="str">
        <f>IFERROR(K337/L337,"-")</f>
        <v>-</v>
      </c>
      <c r="N337" s="477">
        <f>+O337-C337</f>
        <v>0</v>
      </c>
      <c r="O337" s="475">
        <f>+K337</f>
        <v>0</v>
      </c>
      <c r="P337" s="478" t="str">
        <f>IFERROR(N337/O337,"-")</f>
        <v>-</v>
      </c>
      <c r="Q337" s="475" t="str">
        <f>IFERROR(N337-(J337-(J337*H337/G337)),"-")</f>
        <v>-</v>
      </c>
      <c r="R337" s="475">
        <f>+N337</f>
        <v>0</v>
      </c>
      <c r="S337" s="479" t="str">
        <f>IFERROR(Q337/R337,"-")</f>
        <v>-</v>
      </c>
      <c r="T337" s="480" t="str">
        <f>IFERROR(M337*P337*S337,"-")</f>
        <v>-</v>
      </c>
    </row>
    <row r="338" spans="1:20" ht="23.4" x14ac:dyDescent="0.3">
      <c r="A338" s="248" t="s">
        <v>111</v>
      </c>
      <c r="B338" s="249" t="s">
        <v>234</v>
      </c>
      <c r="C338" s="481">
        <f t="shared" ref="C338:C352" si="270">+D338+E338</f>
        <v>120</v>
      </c>
      <c r="D338" s="250">
        <v>60</v>
      </c>
      <c r="E338" s="251">
        <v>60</v>
      </c>
      <c r="F338" s="619">
        <v>100000</v>
      </c>
      <c r="G338" s="483">
        <f t="shared" ref="G338:G343" si="271">+H338+I338</f>
        <v>220633</v>
      </c>
      <c r="H338" s="254">
        <f>36720+79560+104040</f>
        <v>220320</v>
      </c>
      <c r="I338" s="627">
        <f>139+174</f>
        <v>313</v>
      </c>
      <c r="J338" s="630">
        <v>960</v>
      </c>
      <c r="K338" s="481">
        <f>+L338-E338</f>
        <v>840</v>
      </c>
      <c r="L338" s="483">
        <f>+J338-D338</f>
        <v>900</v>
      </c>
      <c r="M338" s="484">
        <f>IFERROR(K338/L338,"-")</f>
        <v>0.93333333333333335</v>
      </c>
      <c r="N338" s="485">
        <f>+O338-C338</f>
        <v>720</v>
      </c>
      <c r="O338" s="483">
        <f>+K338</f>
        <v>840</v>
      </c>
      <c r="P338" s="486">
        <f>IFERROR(N338/O338,"-")</f>
        <v>0.8571428571428571</v>
      </c>
      <c r="Q338" s="483">
        <f t="shared" ref="Q338:Q352" si="272">IFERROR(N338-(J338-(J338*H338/G338)),"-")</f>
        <v>718.63810037483063</v>
      </c>
      <c r="R338" s="483">
        <f t="shared" ref="R338:R352" si="273">+N338</f>
        <v>720</v>
      </c>
      <c r="S338" s="487">
        <f t="shared" ref="S338:S352" si="274">IFERROR(Q338/R338,"-")</f>
        <v>0.99810847274282033</v>
      </c>
      <c r="T338" s="488">
        <f>IFERROR(M338*P338*S338,"-")</f>
        <v>0.79848677819425617</v>
      </c>
    </row>
    <row r="339" spans="1:20" ht="23.4" x14ac:dyDescent="0.3">
      <c r="A339" s="248" t="s">
        <v>111</v>
      </c>
      <c r="B339" s="249" t="s">
        <v>233</v>
      </c>
      <c r="C339" s="481">
        <f t="shared" si="270"/>
        <v>0</v>
      </c>
      <c r="D339" s="250">
        <v>0</v>
      </c>
      <c r="E339" s="251">
        <v>0</v>
      </c>
      <c r="F339" s="619">
        <v>80000</v>
      </c>
      <c r="G339" s="483">
        <f t="shared" si="271"/>
        <v>0</v>
      </c>
      <c r="H339" s="254">
        <v>0</v>
      </c>
      <c r="I339" s="627">
        <v>0</v>
      </c>
      <c r="J339" s="630">
        <v>0</v>
      </c>
      <c r="K339" s="481">
        <f t="shared" ref="K339:K341" si="275">+L339-E339</f>
        <v>0</v>
      </c>
      <c r="L339" s="483">
        <f t="shared" ref="L339:L352" si="276">+J339-D339</f>
        <v>0</v>
      </c>
      <c r="M339" s="484" t="str">
        <f t="shared" ref="M339:M341" si="277">IFERROR(K339/L339,"-")</f>
        <v>-</v>
      </c>
      <c r="N339" s="485">
        <f t="shared" ref="N339:N352" si="278">+O339-C339</f>
        <v>0</v>
      </c>
      <c r="O339" s="483">
        <f t="shared" ref="O339:O352" si="279">+K339</f>
        <v>0</v>
      </c>
      <c r="P339" s="486" t="str">
        <f t="shared" ref="P339:P352" si="280">IFERROR(N339/O339,"-")</f>
        <v>-</v>
      </c>
      <c r="Q339" s="483" t="str">
        <f t="shared" si="272"/>
        <v>-</v>
      </c>
      <c r="R339" s="483">
        <f t="shared" si="273"/>
        <v>0</v>
      </c>
      <c r="S339" s="487" t="str">
        <f t="shared" si="274"/>
        <v>-</v>
      </c>
      <c r="T339" s="488" t="str">
        <f t="shared" ref="T339:T352" si="281">IFERROR(M339*P339*S339,"-")</f>
        <v>-</v>
      </c>
    </row>
    <row r="340" spans="1:20" ht="23.4" x14ac:dyDescent="0.3">
      <c r="A340" s="252" t="s">
        <v>111</v>
      </c>
      <c r="B340" s="249" t="s">
        <v>236</v>
      </c>
      <c r="C340" s="481">
        <f t="shared" si="270"/>
        <v>180</v>
      </c>
      <c r="D340" s="250">
        <v>30</v>
      </c>
      <c r="E340" s="251">
        <f>60+60+30</f>
        <v>150</v>
      </c>
      <c r="F340" s="619">
        <v>110000</v>
      </c>
      <c r="G340" s="483">
        <f t="shared" si="271"/>
        <v>50868</v>
      </c>
      <c r="H340" s="254">
        <v>50688</v>
      </c>
      <c r="I340" s="627">
        <v>180</v>
      </c>
      <c r="J340" s="630">
        <v>480</v>
      </c>
      <c r="K340" s="481">
        <f t="shared" si="275"/>
        <v>300</v>
      </c>
      <c r="L340" s="483">
        <f t="shared" si="276"/>
        <v>450</v>
      </c>
      <c r="M340" s="484">
        <f t="shared" si="277"/>
        <v>0.66666666666666663</v>
      </c>
      <c r="N340" s="485">
        <f t="shared" si="278"/>
        <v>120</v>
      </c>
      <c r="O340" s="483">
        <f t="shared" si="279"/>
        <v>300</v>
      </c>
      <c r="P340" s="486">
        <f t="shared" si="280"/>
        <v>0.4</v>
      </c>
      <c r="Q340" s="483">
        <f t="shared" si="272"/>
        <v>118.30148619957538</v>
      </c>
      <c r="R340" s="483">
        <f t="shared" si="273"/>
        <v>120</v>
      </c>
      <c r="S340" s="487">
        <f t="shared" si="274"/>
        <v>0.98584571832979484</v>
      </c>
      <c r="T340" s="488">
        <f t="shared" si="281"/>
        <v>0.26289219155461196</v>
      </c>
    </row>
    <row r="341" spans="1:20" ht="23.4" x14ac:dyDescent="0.3">
      <c r="A341" s="248" t="s">
        <v>111</v>
      </c>
      <c r="B341" s="249" t="s">
        <v>235</v>
      </c>
      <c r="C341" s="481">
        <f t="shared" si="270"/>
        <v>0</v>
      </c>
      <c r="D341" s="250">
        <v>0</v>
      </c>
      <c r="E341" s="251">
        <v>0</v>
      </c>
      <c r="F341" s="619">
        <v>50000</v>
      </c>
      <c r="G341" s="483">
        <f t="shared" si="271"/>
        <v>0</v>
      </c>
      <c r="H341" s="254">
        <v>0</v>
      </c>
      <c r="I341" s="627">
        <v>0</v>
      </c>
      <c r="J341" s="630">
        <v>0</v>
      </c>
      <c r="K341" s="481">
        <f t="shared" si="275"/>
        <v>0</v>
      </c>
      <c r="L341" s="483">
        <f t="shared" si="276"/>
        <v>0</v>
      </c>
      <c r="M341" s="484" t="str">
        <f t="shared" si="277"/>
        <v>-</v>
      </c>
      <c r="N341" s="485">
        <f t="shared" si="278"/>
        <v>0</v>
      </c>
      <c r="O341" s="483">
        <f t="shared" si="279"/>
        <v>0</v>
      </c>
      <c r="P341" s="486" t="str">
        <f t="shared" si="280"/>
        <v>-</v>
      </c>
      <c r="Q341" s="483" t="str">
        <f t="shared" si="272"/>
        <v>-</v>
      </c>
      <c r="R341" s="483">
        <f t="shared" si="273"/>
        <v>0</v>
      </c>
      <c r="S341" s="487" t="str">
        <f t="shared" si="274"/>
        <v>-</v>
      </c>
      <c r="T341" s="488" t="str">
        <f t="shared" si="281"/>
        <v>-</v>
      </c>
    </row>
    <row r="342" spans="1:20" ht="23.4" x14ac:dyDescent="0.3">
      <c r="A342" s="248">
        <v>5</v>
      </c>
      <c r="B342" s="249" t="s">
        <v>22</v>
      </c>
      <c r="C342" s="481">
        <f t="shared" si="270"/>
        <v>30</v>
      </c>
      <c r="D342" s="250">
        <v>30</v>
      </c>
      <c r="E342" s="251">
        <v>0</v>
      </c>
      <c r="F342" s="619">
        <v>80000</v>
      </c>
      <c r="G342" s="483">
        <f t="shared" si="271"/>
        <v>83235</v>
      </c>
      <c r="H342" s="254">
        <v>83160</v>
      </c>
      <c r="I342" s="627">
        <v>75</v>
      </c>
      <c r="J342" s="630">
        <v>480</v>
      </c>
      <c r="K342" s="481">
        <f>+L342-E342</f>
        <v>450</v>
      </c>
      <c r="L342" s="483">
        <f t="shared" si="276"/>
        <v>450</v>
      </c>
      <c r="M342" s="484">
        <f>IFERROR(K342/L342,"-")</f>
        <v>1</v>
      </c>
      <c r="N342" s="485">
        <f t="shared" si="278"/>
        <v>420</v>
      </c>
      <c r="O342" s="483">
        <f t="shared" si="279"/>
        <v>450</v>
      </c>
      <c r="P342" s="486">
        <f t="shared" si="280"/>
        <v>0.93333333333333335</v>
      </c>
      <c r="Q342" s="483">
        <f t="shared" si="272"/>
        <v>419.56748963777255</v>
      </c>
      <c r="R342" s="483">
        <f t="shared" si="273"/>
        <v>420</v>
      </c>
      <c r="S342" s="487">
        <f t="shared" si="274"/>
        <v>0.99897021342326797</v>
      </c>
      <c r="T342" s="488">
        <f t="shared" si="281"/>
        <v>0.9323721991950501</v>
      </c>
    </row>
    <row r="343" spans="1:20" ht="23.4" x14ac:dyDescent="0.3">
      <c r="A343" s="248" t="s">
        <v>111</v>
      </c>
      <c r="B343" s="249" t="s">
        <v>23</v>
      </c>
      <c r="C343" s="481">
        <f t="shared" si="270"/>
        <v>330</v>
      </c>
      <c r="D343" s="250">
        <v>30</v>
      </c>
      <c r="E343" s="251">
        <v>300</v>
      </c>
      <c r="F343" s="619">
        <v>14000</v>
      </c>
      <c r="G343" s="483">
        <f t="shared" si="271"/>
        <v>5930</v>
      </c>
      <c r="H343" s="254">
        <v>5515</v>
      </c>
      <c r="I343" s="627">
        <v>415</v>
      </c>
      <c r="J343" s="630">
        <v>480</v>
      </c>
      <c r="K343" s="481">
        <f t="shared" ref="K343:K352" si="282">+L343-E343</f>
        <v>150</v>
      </c>
      <c r="L343" s="483">
        <f t="shared" si="276"/>
        <v>450</v>
      </c>
      <c r="M343" s="484">
        <f t="shared" ref="M343:M352" si="283">IFERROR(K343/L343,"-")</f>
        <v>0.33333333333333331</v>
      </c>
      <c r="N343" s="485">
        <f t="shared" si="278"/>
        <v>-180</v>
      </c>
      <c r="O343" s="483">
        <f t="shared" si="279"/>
        <v>150</v>
      </c>
      <c r="P343" s="486">
        <f t="shared" si="280"/>
        <v>-1.2</v>
      </c>
      <c r="Q343" s="483">
        <f t="shared" si="272"/>
        <v>-213.5919055649241</v>
      </c>
      <c r="R343" s="483">
        <f t="shared" si="273"/>
        <v>-180</v>
      </c>
      <c r="S343" s="487">
        <f t="shared" si="274"/>
        <v>1.1866216975829116</v>
      </c>
      <c r="T343" s="488">
        <f t="shared" si="281"/>
        <v>-0.4746486790331646</v>
      </c>
    </row>
    <row r="344" spans="1:20" ht="23.4" x14ac:dyDescent="0.3">
      <c r="A344" s="248" t="s">
        <v>111</v>
      </c>
      <c r="B344" s="253" t="s">
        <v>231</v>
      </c>
      <c r="C344" s="489">
        <f t="shared" si="270"/>
        <v>720</v>
      </c>
      <c r="D344" s="250">
        <f>60+30</f>
        <v>90</v>
      </c>
      <c r="E344" s="251">
        <f>450+180</f>
        <v>630</v>
      </c>
      <c r="F344" s="619">
        <v>4500</v>
      </c>
      <c r="G344" s="483">
        <f>+H344+I344</f>
        <v>10843</v>
      </c>
      <c r="H344" s="254">
        <v>10829</v>
      </c>
      <c r="I344" s="322">
        <v>14</v>
      </c>
      <c r="J344" s="630">
        <v>960</v>
      </c>
      <c r="K344" s="489">
        <f t="shared" si="282"/>
        <v>240</v>
      </c>
      <c r="L344" s="250">
        <f t="shared" si="276"/>
        <v>870</v>
      </c>
      <c r="M344" s="490">
        <f t="shared" si="283"/>
        <v>0.27586206896551724</v>
      </c>
      <c r="N344" s="491">
        <f t="shared" si="278"/>
        <v>-480</v>
      </c>
      <c r="O344" s="250">
        <f t="shared" si="279"/>
        <v>240</v>
      </c>
      <c r="P344" s="492">
        <f t="shared" si="280"/>
        <v>-2</v>
      </c>
      <c r="Q344" s="250">
        <f t="shared" si="272"/>
        <v>-481.23950936087795</v>
      </c>
      <c r="R344" s="250">
        <f t="shared" si="273"/>
        <v>-480</v>
      </c>
      <c r="S344" s="493">
        <f t="shared" si="274"/>
        <v>1.0025823111684957</v>
      </c>
      <c r="T344" s="494">
        <f t="shared" si="281"/>
        <v>-0.55314886133434249</v>
      </c>
    </row>
    <row r="345" spans="1:20" ht="24" thickBot="1" x14ac:dyDescent="0.35">
      <c r="A345" s="255" t="s">
        <v>111</v>
      </c>
      <c r="B345" s="256" t="s">
        <v>232</v>
      </c>
      <c r="C345" s="495">
        <f t="shared" si="270"/>
        <v>450</v>
      </c>
      <c r="D345" s="257">
        <f>60+90+120</f>
        <v>270</v>
      </c>
      <c r="E345" s="258">
        <v>180</v>
      </c>
      <c r="F345" s="625">
        <v>5000</v>
      </c>
      <c r="G345" s="505">
        <f t="shared" ref="G345:G352" si="284">+H345+I345</f>
        <v>21310</v>
      </c>
      <c r="H345" s="259">
        <v>21286</v>
      </c>
      <c r="I345" s="628">
        <v>24</v>
      </c>
      <c r="J345" s="633">
        <v>960</v>
      </c>
      <c r="K345" s="495">
        <f t="shared" si="282"/>
        <v>510</v>
      </c>
      <c r="L345" s="257">
        <f t="shared" si="276"/>
        <v>690</v>
      </c>
      <c r="M345" s="496">
        <f t="shared" si="283"/>
        <v>0.73913043478260865</v>
      </c>
      <c r="N345" s="497">
        <f t="shared" si="278"/>
        <v>60</v>
      </c>
      <c r="O345" s="257">
        <f t="shared" si="279"/>
        <v>510</v>
      </c>
      <c r="P345" s="498">
        <f t="shared" si="280"/>
        <v>0.11764705882352941</v>
      </c>
      <c r="Q345" s="257">
        <f t="shared" si="272"/>
        <v>58.91881745659316</v>
      </c>
      <c r="R345" s="257">
        <f t="shared" si="273"/>
        <v>60</v>
      </c>
      <c r="S345" s="499">
        <f t="shared" si="274"/>
        <v>0.98198029094321937</v>
      </c>
      <c r="T345" s="500">
        <f t="shared" si="281"/>
        <v>8.5389590516801686E-2</v>
      </c>
    </row>
    <row r="346" spans="1:20" ht="23.4" x14ac:dyDescent="0.3">
      <c r="A346" s="252" t="s">
        <v>109</v>
      </c>
      <c r="B346" s="260" t="s">
        <v>29</v>
      </c>
      <c r="C346" s="481">
        <f t="shared" si="270"/>
        <v>745</v>
      </c>
      <c r="D346" s="250">
        <v>90</v>
      </c>
      <c r="E346" s="251">
        <v>655</v>
      </c>
      <c r="F346" s="482">
        <v>80000</v>
      </c>
      <c r="G346" s="483">
        <f t="shared" si="284"/>
        <v>105408</v>
      </c>
      <c r="H346" s="254">
        <v>103428</v>
      </c>
      <c r="I346" s="627">
        <v>1980</v>
      </c>
      <c r="J346" s="629">
        <v>1380</v>
      </c>
      <c r="K346" s="481">
        <f t="shared" si="282"/>
        <v>635</v>
      </c>
      <c r="L346" s="483">
        <f t="shared" si="276"/>
        <v>1290</v>
      </c>
      <c r="M346" s="484">
        <f t="shared" si="283"/>
        <v>0.49224806201550386</v>
      </c>
      <c r="N346" s="485">
        <f t="shared" si="278"/>
        <v>-110</v>
      </c>
      <c r="O346" s="483">
        <f t="shared" si="279"/>
        <v>635</v>
      </c>
      <c r="P346" s="486">
        <f t="shared" si="280"/>
        <v>-0.17322834645669291</v>
      </c>
      <c r="Q346" s="483">
        <f t="shared" si="272"/>
        <v>-135.92213114754099</v>
      </c>
      <c r="R346" s="483">
        <f t="shared" si="273"/>
        <v>-110</v>
      </c>
      <c r="S346" s="501">
        <f t="shared" si="274"/>
        <v>1.2356557377049182</v>
      </c>
      <c r="T346" s="502">
        <f t="shared" si="281"/>
        <v>-0.10536599313762868</v>
      </c>
    </row>
    <row r="347" spans="1:20" ht="23.4" x14ac:dyDescent="0.3">
      <c r="A347" s="248" t="s">
        <v>109</v>
      </c>
      <c r="B347" s="260" t="s">
        <v>31</v>
      </c>
      <c r="C347" s="481">
        <f t="shared" si="270"/>
        <v>0</v>
      </c>
      <c r="D347" s="250">
        <v>0</v>
      </c>
      <c r="E347" s="251">
        <v>0</v>
      </c>
      <c r="F347" s="482">
        <v>50000</v>
      </c>
      <c r="G347" s="483">
        <f t="shared" si="284"/>
        <v>0</v>
      </c>
      <c r="H347" s="254">
        <v>0</v>
      </c>
      <c r="I347" s="627">
        <v>0</v>
      </c>
      <c r="J347" s="630">
        <v>0</v>
      </c>
      <c r="K347" s="481">
        <f t="shared" si="282"/>
        <v>0</v>
      </c>
      <c r="L347" s="483">
        <f t="shared" si="276"/>
        <v>0</v>
      </c>
      <c r="M347" s="484" t="str">
        <f t="shared" si="283"/>
        <v>-</v>
      </c>
      <c r="N347" s="485">
        <f t="shared" si="278"/>
        <v>0</v>
      </c>
      <c r="O347" s="483">
        <f t="shared" si="279"/>
        <v>0</v>
      </c>
      <c r="P347" s="486" t="str">
        <f t="shared" si="280"/>
        <v>-</v>
      </c>
      <c r="Q347" s="483" t="str">
        <f t="shared" si="272"/>
        <v>-</v>
      </c>
      <c r="R347" s="483">
        <f t="shared" si="273"/>
        <v>0</v>
      </c>
      <c r="S347" s="501" t="str">
        <f t="shared" si="274"/>
        <v>-</v>
      </c>
      <c r="T347" s="502" t="str">
        <f t="shared" si="281"/>
        <v>-</v>
      </c>
    </row>
    <row r="348" spans="1:20" ht="24" thickBot="1" x14ac:dyDescent="0.35">
      <c r="A348" s="255" t="s">
        <v>109</v>
      </c>
      <c r="B348" s="261" t="s">
        <v>32</v>
      </c>
      <c r="C348" s="503">
        <f t="shared" si="270"/>
        <v>0</v>
      </c>
      <c r="D348" s="257">
        <v>0</v>
      </c>
      <c r="E348" s="258">
        <v>0</v>
      </c>
      <c r="F348" s="504">
        <v>110000</v>
      </c>
      <c r="G348" s="505">
        <f t="shared" si="284"/>
        <v>0</v>
      </c>
      <c r="H348" s="259">
        <v>0</v>
      </c>
      <c r="I348" s="705">
        <v>0</v>
      </c>
      <c r="J348" s="633">
        <v>0</v>
      </c>
      <c r="K348" s="503">
        <f t="shared" si="282"/>
        <v>0</v>
      </c>
      <c r="L348" s="505">
        <f t="shared" si="276"/>
        <v>0</v>
      </c>
      <c r="M348" s="506" t="str">
        <f t="shared" si="283"/>
        <v>-</v>
      </c>
      <c r="N348" s="507">
        <f t="shared" si="278"/>
        <v>0</v>
      </c>
      <c r="O348" s="505">
        <f t="shared" si="279"/>
        <v>0</v>
      </c>
      <c r="P348" s="508" t="str">
        <f t="shared" si="280"/>
        <v>-</v>
      </c>
      <c r="Q348" s="505" t="str">
        <f t="shared" si="272"/>
        <v>-</v>
      </c>
      <c r="R348" s="505">
        <f t="shared" si="273"/>
        <v>0</v>
      </c>
      <c r="S348" s="509" t="str">
        <f t="shared" si="274"/>
        <v>-</v>
      </c>
      <c r="T348" s="510" t="str">
        <f t="shared" si="281"/>
        <v>-</v>
      </c>
    </row>
    <row r="349" spans="1:20" ht="23.4" x14ac:dyDescent="0.3">
      <c r="A349" s="248" t="s">
        <v>110</v>
      </c>
      <c r="B349" s="249" t="s">
        <v>238</v>
      </c>
      <c r="C349" s="481">
        <f t="shared" si="270"/>
        <v>0</v>
      </c>
      <c r="D349" s="250">
        <v>0</v>
      </c>
      <c r="E349" s="251">
        <v>0</v>
      </c>
      <c r="F349" s="482">
        <v>6500</v>
      </c>
      <c r="G349" s="483">
        <f t="shared" si="284"/>
        <v>0</v>
      </c>
      <c r="H349" s="482">
        <v>0</v>
      </c>
      <c r="I349" s="631">
        <v>0</v>
      </c>
      <c r="J349" s="630">
        <v>0</v>
      </c>
      <c r="K349" s="481">
        <f t="shared" si="282"/>
        <v>0</v>
      </c>
      <c r="L349" s="483">
        <f t="shared" si="276"/>
        <v>0</v>
      </c>
      <c r="M349" s="484" t="str">
        <f t="shared" si="283"/>
        <v>-</v>
      </c>
      <c r="N349" s="485">
        <f t="shared" si="278"/>
        <v>0</v>
      </c>
      <c r="O349" s="483">
        <f t="shared" si="279"/>
        <v>0</v>
      </c>
      <c r="P349" s="486" t="str">
        <f t="shared" si="280"/>
        <v>-</v>
      </c>
      <c r="Q349" s="483" t="str">
        <f t="shared" si="272"/>
        <v>-</v>
      </c>
      <c r="R349" s="483">
        <f t="shared" si="273"/>
        <v>0</v>
      </c>
      <c r="S349" s="501" t="str">
        <f t="shared" si="274"/>
        <v>-</v>
      </c>
      <c r="T349" s="502" t="str">
        <f t="shared" si="281"/>
        <v>-</v>
      </c>
    </row>
    <row r="350" spans="1:20" ht="23.4" x14ac:dyDescent="0.3">
      <c r="A350" s="252" t="s">
        <v>110</v>
      </c>
      <c r="B350" s="249" t="s">
        <v>40</v>
      </c>
      <c r="C350" s="481">
        <f t="shared" si="270"/>
        <v>0</v>
      </c>
      <c r="D350" s="250">
        <v>0</v>
      </c>
      <c r="E350" s="251">
        <v>0</v>
      </c>
      <c r="F350" s="482">
        <v>2800</v>
      </c>
      <c r="G350" s="483">
        <f t="shared" si="284"/>
        <v>0</v>
      </c>
      <c r="H350" s="482"/>
      <c r="I350" s="631"/>
      <c r="J350" s="630">
        <v>0</v>
      </c>
      <c r="K350" s="481">
        <f t="shared" si="282"/>
        <v>0</v>
      </c>
      <c r="L350" s="483">
        <f t="shared" si="276"/>
        <v>0</v>
      </c>
      <c r="M350" s="484" t="str">
        <f t="shared" si="283"/>
        <v>-</v>
      </c>
      <c r="N350" s="485">
        <f t="shared" si="278"/>
        <v>0</v>
      </c>
      <c r="O350" s="483">
        <f t="shared" si="279"/>
        <v>0</v>
      </c>
      <c r="P350" s="486" t="str">
        <f t="shared" si="280"/>
        <v>-</v>
      </c>
      <c r="Q350" s="483" t="str">
        <f t="shared" si="272"/>
        <v>-</v>
      </c>
      <c r="R350" s="483">
        <f t="shared" si="273"/>
        <v>0</v>
      </c>
      <c r="S350" s="501" t="str">
        <f t="shared" si="274"/>
        <v>-</v>
      </c>
      <c r="T350" s="502" t="str">
        <f t="shared" si="281"/>
        <v>-</v>
      </c>
    </row>
    <row r="351" spans="1:20" ht="23.4" x14ac:dyDescent="0.3">
      <c r="A351" s="248" t="s">
        <v>110</v>
      </c>
      <c r="B351" s="249" t="s">
        <v>42</v>
      </c>
      <c r="C351" s="481">
        <f t="shared" si="270"/>
        <v>0</v>
      </c>
      <c r="D351" s="250">
        <v>0</v>
      </c>
      <c r="E351" s="251">
        <v>0</v>
      </c>
      <c r="F351" s="482">
        <v>25000</v>
      </c>
      <c r="G351" s="483">
        <f t="shared" si="284"/>
        <v>0</v>
      </c>
      <c r="H351" s="482">
        <v>0</v>
      </c>
      <c r="I351" s="631">
        <v>0</v>
      </c>
      <c r="J351" s="630">
        <v>0</v>
      </c>
      <c r="K351" s="481">
        <f t="shared" si="282"/>
        <v>0</v>
      </c>
      <c r="L351" s="483">
        <f t="shared" si="276"/>
        <v>0</v>
      </c>
      <c r="M351" s="484" t="str">
        <f t="shared" si="283"/>
        <v>-</v>
      </c>
      <c r="N351" s="485">
        <f t="shared" si="278"/>
        <v>0</v>
      </c>
      <c r="O351" s="483">
        <f t="shared" si="279"/>
        <v>0</v>
      </c>
      <c r="P351" s="486" t="str">
        <f t="shared" si="280"/>
        <v>-</v>
      </c>
      <c r="Q351" s="483" t="str">
        <f t="shared" si="272"/>
        <v>-</v>
      </c>
      <c r="R351" s="483">
        <f t="shared" si="273"/>
        <v>0</v>
      </c>
      <c r="S351" s="501" t="str">
        <f t="shared" si="274"/>
        <v>-</v>
      </c>
      <c r="T351" s="502" t="str">
        <f t="shared" si="281"/>
        <v>-</v>
      </c>
    </row>
    <row r="352" spans="1:20" ht="47.4" thickBot="1" x14ac:dyDescent="0.35">
      <c r="A352" s="635" t="s">
        <v>110</v>
      </c>
      <c r="B352" s="261" t="s">
        <v>237</v>
      </c>
      <c r="C352" s="636">
        <f t="shared" si="270"/>
        <v>0</v>
      </c>
      <c r="D352" s="637">
        <v>0</v>
      </c>
      <c r="E352" s="638">
        <v>0</v>
      </c>
      <c r="F352" s="639">
        <v>25000</v>
      </c>
      <c r="G352" s="640">
        <f t="shared" si="284"/>
        <v>0</v>
      </c>
      <c r="H352" s="639">
        <v>0</v>
      </c>
      <c r="I352" s="641">
        <v>0</v>
      </c>
      <c r="J352" s="634">
        <v>0</v>
      </c>
      <c r="K352" s="636">
        <f t="shared" si="282"/>
        <v>0</v>
      </c>
      <c r="L352" s="640">
        <f t="shared" si="276"/>
        <v>0</v>
      </c>
      <c r="M352" s="642" t="str">
        <f t="shared" si="283"/>
        <v>-</v>
      </c>
      <c r="N352" s="643">
        <f t="shared" si="278"/>
        <v>0</v>
      </c>
      <c r="O352" s="640">
        <f t="shared" si="279"/>
        <v>0</v>
      </c>
      <c r="P352" s="644" t="str">
        <f t="shared" si="280"/>
        <v>-</v>
      </c>
      <c r="Q352" s="640" t="str">
        <f t="shared" si="272"/>
        <v>-</v>
      </c>
      <c r="R352" s="640">
        <f t="shared" si="273"/>
        <v>0</v>
      </c>
      <c r="S352" s="645" t="str">
        <f t="shared" si="274"/>
        <v>-</v>
      </c>
      <c r="T352" s="646" t="str">
        <f t="shared" si="281"/>
        <v>-</v>
      </c>
    </row>
    <row r="353" spans="1:20" ht="23.4" x14ac:dyDescent="0.3">
      <c r="A353" s="935" t="s">
        <v>1</v>
      </c>
      <c r="B353" s="944" t="s">
        <v>2</v>
      </c>
      <c r="C353" s="944" t="s">
        <v>226</v>
      </c>
      <c r="D353" s="945"/>
      <c r="E353" s="946"/>
      <c r="F353" s="944" t="s">
        <v>484</v>
      </c>
      <c r="G353" s="945"/>
      <c r="H353" s="945"/>
      <c r="I353" s="946"/>
      <c r="J353" s="1040" t="s">
        <v>223</v>
      </c>
      <c r="K353" s="944" t="s">
        <v>211</v>
      </c>
      <c r="L353" s="945"/>
      <c r="M353" s="946"/>
      <c r="N353" s="945" t="s">
        <v>212</v>
      </c>
      <c r="O353" s="945"/>
      <c r="P353" s="946"/>
      <c r="Q353" s="944" t="s">
        <v>213</v>
      </c>
      <c r="R353" s="945"/>
      <c r="S353" s="945"/>
      <c r="T353" s="1042" t="s">
        <v>210</v>
      </c>
    </row>
    <row r="354" spans="1:20" ht="87.6" thickBot="1" x14ac:dyDescent="0.35">
      <c r="A354" s="1038"/>
      <c r="B354" s="1039"/>
      <c r="C354" s="235" t="s">
        <v>227</v>
      </c>
      <c r="D354" s="236" t="s">
        <v>224</v>
      </c>
      <c r="E354" s="237" t="s">
        <v>225</v>
      </c>
      <c r="F354" s="238" t="s">
        <v>382</v>
      </c>
      <c r="G354" s="236" t="s">
        <v>220</v>
      </c>
      <c r="H354" s="239" t="s">
        <v>221</v>
      </c>
      <c r="I354" s="240" t="s">
        <v>222</v>
      </c>
      <c r="J354" s="1041"/>
      <c r="K354" s="235" t="s">
        <v>214</v>
      </c>
      <c r="L354" s="239" t="s">
        <v>215</v>
      </c>
      <c r="M354" s="241" t="s">
        <v>228</v>
      </c>
      <c r="N354" s="242" t="s">
        <v>216</v>
      </c>
      <c r="O354" s="239" t="s">
        <v>217</v>
      </c>
      <c r="P354" s="241" t="s">
        <v>229</v>
      </c>
      <c r="Q354" s="235" t="s">
        <v>218</v>
      </c>
      <c r="R354" s="239" t="s">
        <v>219</v>
      </c>
      <c r="S354" s="243" t="s">
        <v>230</v>
      </c>
      <c r="T354" s="1043"/>
    </row>
    <row r="355" spans="1:20" ht="23.4" x14ac:dyDescent="0.3">
      <c r="A355" s="244" t="s">
        <v>111</v>
      </c>
      <c r="B355" s="865" t="s">
        <v>16</v>
      </c>
      <c r="C355" s="474">
        <f>+D355+E355</f>
        <v>0</v>
      </c>
      <c r="D355" s="246">
        <v>0</v>
      </c>
      <c r="E355" s="247">
        <v>0</v>
      </c>
      <c r="F355" s="618">
        <v>15000</v>
      </c>
      <c r="G355" s="475">
        <f>+H355+I355</f>
        <v>0</v>
      </c>
      <c r="H355" s="624">
        <v>0</v>
      </c>
      <c r="I355" s="626">
        <v>0</v>
      </c>
      <c r="J355" s="629">
        <v>0</v>
      </c>
      <c r="K355" s="474">
        <f>+L355-E355</f>
        <v>0</v>
      </c>
      <c r="L355" s="475">
        <f>+J355-D355</f>
        <v>0</v>
      </c>
      <c r="M355" s="476" t="str">
        <f>IFERROR(K355/L355,"-")</f>
        <v>-</v>
      </c>
      <c r="N355" s="477">
        <f>+O355-C355</f>
        <v>0</v>
      </c>
      <c r="O355" s="475">
        <f>+K355</f>
        <v>0</v>
      </c>
      <c r="P355" s="478" t="str">
        <f>IFERROR(N355/O355,"-")</f>
        <v>-</v>
      </c>
      <c r="Q355" s="475" t="str">
        <f>IFERROR(N355-(J355-(J355*H355/G355)),"-")</f>
        <v>-</v>
      </c>
      <c r="R355" s="475">
        <f>+N355</f>
        <v>0</v>
      </c>
      <c r="S355" s="479" t="str">
        <f>IFERROR(Q355/R355,"-")</f>
        <v>-</v>
      </c>
      <c r="T355" s="480" t="str">
        <f>IFERROR(M355*P355*S355,"-")</f>
        <v>-</v>
      </c>
    </row>
    <row r="356" spans="1:20" ht="23.4" x14ac:dyDescent="0.3">
      <c r="A356" s="248" t="s">
        <v>111</v>
      </c>
      <c r="B356" s="866" t="s">
        <v>234</v>
      </c>
      <c r="C356" s="481">
        <f t="shared" ref="C356:C370" si="285">+D356+E356</f>
        <v>0</v>
      </c>
      <c r="D356" s="250">
        <v>0</v>
      </c>
      <c r="E356" s="251">
        <v>0</v>
      </c>
      <c r="F356" s="619">
        <v>100000</v>
      </c>
      <c r="G356" s="483">
        <f t="shared" ref="G356:G361" si="286">+H356+I356</f>
        <v>0</v>
      </c>
      <c r="H356" s="254">
        <v>0</v>
      </c>
      <c r="I356" s="627">
        <v>0</v>
      </c>
      <c r="J356" s="630">
        <v>0</v>
      </c>
      <c r="K356" s="481">
        <f>+L356-E356</f>
        <v>0</v>
      </c>
      <c r="L356" s="483">
        <f>+J356-D356</f>
        <v>0</v>
      </c>
      <c r="M356" s="484" t="str">
        <f>IFERROR(K356/L356,"-")</f>
        <v>-</v>
      </c>
      <c r="N356" s="485">
        <f>+O356-C356</f>
        <v>0</v>
      </c>
      <c r="O356" s="483">
        <f>+K356</f>
        <v>0</v>
      </c>
      <c r="P356" s="486" t="str">
        <f>IFERROR(N356/O356,"-")</f>
        <v>-</v>
      </c>
      <c r="Q356" s="483" t="str">
        <f t="shared" ref="Q356:Q370" si="287">IFERROR(N356-(J356-(J356*H356/G356)),"-")</f>
        <v>-</v>
      </c>
      <c r="R356" s="483">
        <f t="shared" ref="R356:R370" si="288">+N356</f>
        <v>0</v>
      </c>
      <c r="S356" s="487" t="str">
        <f t="shared" ref="S356:S370" si="289">IFERROR(Q356/R356,"-")</f>
        <v>-</v>
      </c>
      <c r="T356" s="488" t="str">
        <f>IFERROR(M356*P356*S356,"-")</f>
        <v>-</v>
      </c>
    </row>
    <row r="357" spans="1:20" ht="23.4" x14ac:dyDescent="0.3">
      <c r="A357" s="248" t="s">
        <v>111</v>
      </c>
      <c r="B357" s="866" t="s">
        <v>233</v>
      </c>
      <c r="C357" s="481">
        <f t="shared" si="285"/>
        <v>0</v>
      </c>
      <c r="D357" s="250">
        <v>0</v>
      </c>
      <c r="E357" s="251">
        <v>0</v>
      </c>
      <c r="F357" s="619">
        <v>80000</v>
      </c>
      <c r="G357" s="483">
        <f t="shared" si="286"/>
        <v>0</v>
      </c>
      <c r="H357" s="254">
        <v>0</v>
      </c>
      <c r="I357" s="627">
        <v>0</v>
      </c>
      <c r="J357" s="630">
        <v>0</v>
      </c>
      <c r="K357" s="481">
        <f t="shared" ref="K357:K359" si="290">+L357-E357</f>
        <v>0</v>
      </c>
      <c r="L357" s="483">
        <f t="shared" ref="L357:L370" si="291">+J357-D357</f>
        <v>0</v>
      </c>
      <c r="M357" s="484" t="str">
        <f t="shared" ref="M357:M359" si="292">IFERROR(K357/L357,"-")</f>
        <v>-</v>
      </c>
      <c r="N357" s="485">
        <f t="shared" ref="N357:N370" si="293">+O357-C357</f>
        <v>0</v>
      </c>
      <c r="O357" s="483">
        <f t="shared" ref="O357:O370" si="294">+K357</f>
        <v>0</v>
      </c>
      <c r="P357" s="486" t="str">
        <f t="shared" ref="P357:P370" si="295">IFERROR(N357/O357,"-")</f>
        <v>-</v>
      </c>
      <c r="Q357" s="483" t="str">
        <f t="shared" si="287"/>
        <v>-</v>
      </c>
      <c r="R357" s="483">
        <f t="shared" si="288"/>
        <v>0</v>
      </c>
      <c r="S357" s="487" t="str">
        <f t="shared" si="289"/>
        <v>-</v>
      </c>
      <c r="T357" s="488" t="str">
        <f t="shared" ref="T357:T370" si="296">IFERROR(M357*P357*S357,"-")</f>
        <v>-</v>
      </c>
    </row>
    <row r="358" spans="1:20" ht="23.4" x14ac:dyDescent="0.3">
      <c r="A358" s="252" t="s">
        <v>111</v>
      </c>
      <c r="B358" s="866" t="s">
        <v>236</v>
      </c>
      <c r="C358" s="481">
        <f t="shared" si="285"/>
        <v>0</v>
      </c>
      <c r="D358" s="250">
        <v>0</v>
      </c>
      <c r="E358" s="251">
        <v>0</v>
      </c>
      <c r="F358" s="619">
        <v>110000</v>
      </c>
      <c r="G358" s="483">
        <f t="shared" si="286"/>
        <v>0</v>
      </c>
      <c r="H358" s="254">
        <v>0</v>
      </c>
      <c r="I358" s="627">
        <v>0</v>
      </c>
      <c r="J358" s="630">
        <v>0</v>
      </c>
      <c r="K358" s="481">
        <f t="shared" si="290"/>
        <v>0</v>
      </c>
      <c r="L358" s="483">
        <f t="shared" si="291"/>
        <v>0</v>
      </c>
      <c r="M358" s="484" t="str">
        <f t="shared" si="292"/>
        <v>-</v>
      </c>
      <c r="N358" s="485">
        <f t="shared" si="293"/>
        <v>0</v>
      </c>
      <c r="O358" s="483">
        <f t="shared" si="294"/>
        <v>0</v>
      </c>
      <c r="P358" s="486" t="str">
        <f t="shared" si="295"/>
        <v>-</v>
      </c>
      <c r="Q358" s="483" t="str">
        <f t="shared" si="287"/>
        <v>-</v>
      </c>
      <c r="R358" s="483">
        <f t="shared" si="288"/>
        <v>0</v>
      </c>
      <c r="S358" s="487" t="str">
        <f t="shared" si="289"/>
        <v>-</v>
      </c>
      <c r="T358" s="488" t="str">
        <f t="shared" si="296"/>
        <v>-</v>
      </c>
    </row>
    <row r="359" spans="1:20" ht="23.4" x14ac:dyDescent="0.3">
      <c r="A359" s="248" t="s">
        <v>111</v>
      </c>
      <c r="B359" s="866" t="s">
        <v>235</v>
      </c>
      <c r="C359" s="481">
        <f t="shared" si="285"/>
        <v>0</v>
      </c>
      <c r="D359" s="250">
        <v>0</v>
      </c>
      <c r="E359" s="251">
        <v>0</v>
      </c>
      <c r="F359" s="619">
        <v>50000</v>
      </c>
      <c r="G359" s="483">
        <f t="shared" si="286"/>
        <v>0</v>
      </c>
      <c r="H359" s="254">
        <v>0</v>
      </c>
      <c r="I359" s="627">
        <v>0</v>
      </c>
      <c r="J359" s="630">
        <v>0</v>
      </c>
      <c r="K359" s="481">
        <f t="shared" si="290"/>
        <v>0</v>
      </c>
      <c r="L359" s="483">
        <f t="shared" si="291"/>
        <v>0</v>
      </c>
      <c r="M359" s="484" t="str">
        <f t="shared" si="292"/>
        <v>-</v>
      </c>
      <c r="N359" s="485">
        <f t="shared" si="293"/>
        <v>0</v>
      </c>
      <c r="O359" s="483">
        <f t="shared" si="294"/>
        <v>0</v>
      </c>
      <c r="P359" s="486" t="str">
        <f t="shared" si="295"/>
        <v>-</v>
      </c>
      <c r="Q359" s="483" t="str">
        <f t="shared" si="287"/>
        <v>-</v>
      </c>
      <c r="R359" s="483">
        <f t="shared" si="288"/>
        <v>0</v>
      </c>
      <c r="S359" s="487" t="str">
        <f t="shared" si="289"/>
        <v>-</v>
      </c>
      <c r="T359" s="488" t="str">
        <f t="shared" si="296"/>
        <v>-</v>
      </c>
    </row>
    <row r="360" spans="1:20" ht="23.4" x14ac:dyDescent="0.3">
      <c r="A360" s="248">
        <v>5</v>
      </c>
      <c r="B360" s="866" t="s">
        <v>22</v>
      </c>
      <c r="C360" s="481">
        <f t="shared" si="285"/>
        <v>0</v>
      </c>
      <c r="D360" s="250">
        <v>0</v>
      </c>
      <c r="E360" s="251">
        <v>0</v>
      </c>
      <c r="F360" s="619">
        <v>80000</v>
      </c>
      <c r="G360" s="483">
        <f t="shared" si="286"/>
        <v>0</v>
      </c>
      <c r="H360" s="254">
        <v>0</v>
      </c>
      <c r="I360" s="627">
        <v>0</v>
      </c>
      <c r="J360" s="630">
        <v>0</v>
      </c>
      <c r="K360" s="481">
        <f>+L360-E360</f>
        <v>0</v>
      </c>
      <c r="L360" s="483">
        <f t="shared" si="291"/>
        <v>0</v>
      </c>
      <c r="M360" s="484" t="str">
        <f>IFERROR(K360/L360,"-")</f>
        <v>-</v>
      </c>
      <c r="N360" s="485">
        <f t="shared" si="293"/>
        <v>0</v>
      </c>
      <c r="O360" s="483">
        <f t="shared" si="294"/>
        <v>0</v>
      </c>
      <c r="P360" s="486" t="str">
        <f t="shared" si="295"/>
        <v>-</v>
      </c>
      <c r="Q360" s="483" t="str">
        <f t="shared" si="287"/>
        <v>-</v>
      </c>
      <c r="R360" s="483">
        <f t="shared" si="288"/>
        <v>0</v>
      </c>
      <c r="S360" s="487" t="str">
        <f t="shared" si="289"/>
        <v>-</v>
      </c>
      <c r="T360" s="488" t="str">
        <f t="shared" si="296"/>
        <v>-</v>
      </c>
    </row>
    <row r="361" spans="1:20" ht="23.4" x14ac:dyDescent="0.3">
      <c r="A361" s="248" t="s">
        <v>111</v>
      </c>
      <c r="B361" s="866" t="s">
        <v>23</v>
      </c>
      <c r="C361" s="481">
        <f t="shared" si="285"/>
        <v>0</v>
      </c>
      <c r="D361" s="250">
        <v>0</v>
      </c>
      <c r="E361" s="251">
        <v>0</v>
      </c>
      <c r="F361" s="619">
        <v>14000</v>
      </c>
      <c r="G361" s="483">
        <f t="shared" si="286"/>
        <v>0</v>
      </c>
      <c r="H361" s="254">
        <v>0</v>
      </c>
      <c r="I361" s="627">
        <v>0</v>
      </c>
      <c r="J361" s="630">
        <v>0</v>
      </c>
      <c r="K361" s="481">
        <f t="shared" ref="K361:K370" si="297">+L361-E361</f>
        <v>0</v>
      </c>
      <c r="L361" s="483">
        <f t="shared" si="291"/>
        <v>0</v>
      </c>
      <c r="M361" s="484" t="str">
        <f t="shared" ref="M361:M370" si="298">IFERROR(K361/L361,"-")</f>
        <v>-</v>
      </c>
      <c r="N361" s="485">
        <f t="shared" si="293"/>
        <v>0</v>
      </c>
      <c r="O361" s="483">
        <f t="shared" si="294"/>
        <v>0</v>
      </c>
      <c r="P361" s="486" t="str">
        <f t="shared" si="295"/>
        <v>-</v>
      </c>
      <c r="Q361" s="483" t="str">
        <f t="shared" si="287"/>
        <v>-</v>
      </c>
      <c r="R361" s="483">
        <f t="shared" si="288"/>
        <v>0</v>
      </c>
      <c r="S361" s="487" t="str">
        <f t="shared" si="289"/>
        <v>-</v>
      </c>
      <c r="T361" s="488" t="str">
        <f t="shared" si="296"/>
        <v>-</v>
      </c>
    </row>
    <row r="362" spans="1:20" ht="23.4" x14ac:dyDescent="0.3">
      <c r="A362" s="248" t="s">
        <v>111</v>
      </c>
      <c r="B362" s="867" t="s">
        <v>231</v>
      </c>
      <c r="C362" s="489">
        <f t="shared" si="285"/>
        <v>0</v>
      </c>
      <c r="D362" s="250">
        <v>0</v>
      </c>
      <c r="E362" s="251">
        <v>0</v>
      </c>
      <c r="F362" s="619">
        <v>4500</v>
      </c>
      <c r="G362" s="483">
        <f>+H362+I362</f>
        <v>0</v>
      </c>
      <c r="H362" s="254">
        <v>0</v>
      </c>
      <c r="I362" s="322">
        <v>0</v>
      </c>
      <c r="J362" s="630">
        <v>0</v>
      </c>
      <c r="K362" s="489">
        <f t="shared" si="297"/>
        <v>0</v>
      </c>
      <c r="L362" s="250">
        <f t="shared" si="291"/>
        <v>0</v>
      </c>
      <c r="M362" s="490" t="str">
        <f t="shared" si="298"/>
        <v>-</v>
      </c>
      <c r="N362" s="491">
        <f t="shared" si="293"/>
        <v>0</v>
      </c>
      <c r="O362" s="250">
        <f t="shared" si="294"/>
        <v>0</v>
      </c>
      <c r="P362" s="492" t="str">
        <f t="shared" si="295"/>
        <v>-</v>
      </c>
      <c r="Q362" s="250" t="str">
        <f t="shared" si="287"/>
        <v>-</v>
      </c>
      <c r="R362" s="250">
        <f t="shared" si="288"/>
        <v>0</v>
      </c>
      <c r="S362" s="493" t="str">
        <f t="shared" si="289"/>
        <v>-</v>
      </c>
      <c r="T362" s="494" t="str">
        <f t="shared" si="296"/>
        <v>-</v>
      </c>
    </row>
    <row r="363" spans="1:20" ht="24" thickBot="1" x14ac:dyDescent="0.35">
      <c r="A363" s="255" t="s">
        <v>111</v>
      </c>
      <c r="B363" s="868" t="s">
        <v>232</v>
      </c>
      <c r="C363" s="495">
        <f t="shared" si="285"/>
        <v>0</v>
      </c>
      <c r="D363" s="257">
        <v>0</v>
      </c>
      <c r="E363" s="258">
        <v>0</v>
      </c>
      <c r="F363" s="625">
        <v>5000</v>
      </c>
      <c r="G363" s="505">
        <f t="shared" ref="G363:G370" si="299">+H363+I363</f>
        <v>0</v>
      </c>
      <c r="H363" s="259">
        <v>0</v>
      </c>
      <c r="I363" s="628">
        <v>0</v>
      </c>
      <c r="J363" s="633">
        <v>0</v>
      </c>
      <c r="K363" s="495">
        <f t="shared" si="297"/>
        <v>0</v>
      </c>
      <c r="L363" s="257">
        <f t="shared" si="291"/>
        <v>0</v>
      </c>
      <c r="M363" s="496" t="str">
        <f t="shared" si="298"/>
        <v>-</v>
      </c>
      <c r="N363" s="497">
        <f t="shared" si="293"/>
        <v>0</v>
      </c>
      <c r="O363" s="257">
        <f t="shared" si="294"/>
        <v>0</v>
      </c>
      <c r="P363" s="498" t="str">
        <f t="shared" si="295"/>
        <v>-</v>
      </c>
      <c r="Q363" s="257" t="str">
        <f t="shared" si="287"/>
        <v>-</v>
      </c>
      <c r="R363" s="257">
        <f t="shared" si="288"/>
        <v>0</v>
      </c>
      <c r="S363" s="499" t="str">
        <f t="shared" si="289"/>
        <v>-</v>
      </c>
      <c r="T363" s="500" t="str">
        <f t="shared" si="296"/>
        <v>-</v>
      </c>
    </row>
    <row r="364" spans="1:20" ht="23.4" x14ac:dyDescent="0.3">
      <c r="A364" s="252" t="s">
        <v>109</v>
      </c>
      <c r="B364" s="862" t="s">
        <v>29</v>
      </c>
      <c r="C364" s="863">
        <f t="shared" si="285"/>
        <v>420</v>
      </c>
      <c r="D364" s="864">
        <v>90</v>
      </c>
      <c r="E364" s="276">
        <v>330</v>
      </c>
      <c r="F364" s="482">
        <v>80000</v>
      </c>
      <c r="G364" s="483">
        <f t="shared" si="299"/>
        <v>161313</v>
      </c>
      <c r="H364" s="254">
        <v>159120</v>
      </c>
      <c r="I364" s="627">
        <v>2193</v>
      </c>
      <c r="J364" s="629">
        <v>1380</v>
      </c>
      <c r="K364" s="481">
        <f t="shared" si="297"/>
        <v>960</v>
      </c>
      <c r="L364" s="483">
        <f t="shared" si="291"/>
        <v>1290</v>
      </c>
      <c r="M364" s="484">
        <f t="shared" si="298"/>
        <v>0.7441860465116279</v>
      </c>
      <c r="N364" s="485">
        <f t="shared" si="293"/>
        <v>540</v>
      </c>
      <c r="O364" s="483">
        <f t="shared" si="294"/>
        <v>960</v>
      </c>
      <c r="P364" s="486">
        <f t="shared" si="295"/>
        <v>0.5625</v>
      </c>
      <c r="Q364" s="483">
        <f t="shared" si="287"/>
        <v>521.23932975023718</v>
      </c>
      <c r="R364" s="483">
        <f t="shared" si="288"/>
        <v>540</v>
      </c>
      <c r="S364" s="501">
        <f t="shared" si="289"/>
        <v>0.96525801805599476</v>
      </c>
      <c r="T364" s="502">
        <f t="shared" si="296"/>
        <v>0.4040614959304164</v>
      </c>
    </row>
    <row r="365" spans="1:20" ht="23.4" x14ac:dyDescent="0.3">
      <c r="A365" s="248" t="s">
        <v>109</v>
      </c>
      <c r="B365" s="260" t="s">
        <v>31</v>
      </c>
      <c r="C365" s="481">
        <f t="shared" si="285"/>
        <v>0</v>
      </c>
      <c r="D365" s="250">
        <v>0</v>
      </c>
      <c r="E365" s="251">
        <v>0</v>
      </c>
      <c r="F365" s="482">
        <v>50000</v>
      </c>
      <c r="G365" s="483">
        <f t="shared" si="299"/>
        <v>0</v>
      </c>
      <c r="H365" s="254">
        <v>0</v>
      </c>
      <c r="I365" s="627">
        <v>0</v>
      </c>
      <c r="J365" s="630">
        <v>0</v>
      </c>
      <c r="K365" s="481">
        <f t="shared" si="297"/>
        <v>0</v>
      </c>
      <c r="L365" s="483">
        <f t="shared" si="291"/>
        <v>0</v>
      </c>
      <c r="M365" s="484" t="str">
        <f t="shared" si="298"/>
        <v>-</v>
      </c>
      <c r="N365" s="485">
        <f t="shared" si="293"/>
        <v>0</v>
      </c>
      <c r="O365" s="483">
        <f t="shared" si="294"/>
        <v>0</v>
      </c>
      <c r="P365" s="486" t="str">
        <f t="shared" si="295"/>
        <v>-</v>
      </c>
      <c r="Q365" s="483" t="str">
        <f t="shared" si="287"/>
        <v>-</v>
      </c>
      <c r="R365" s="483">
        <f t="shared" si="288"/>
        <v>0</v>
      </c>
      <c r="S365" s="501" t="str">
        <f t="shared" si="289"/>
        <v>-</v>
      </c>
      <c r="T365" s="502" t="str">
        <f t="shared" si="296"/>
        <v>-</v>
      </c>
    </row>
    <row r="366" spans="1:20" ht="24" thickBot="1" x14ac:dyDescent="0.35">
      <c r="A366" s="255" t="s">
        <v>109</v>
      </c>
      <c r="B366" s="261" t="s">
        <v>32</v>
      </c>
      <c r="C366" s="503">
        <f t="shared" si="285"/>
        <v>0</v>
      </c>
      <c r="D366" s="257">
        <v>0</v>
      </c>
      <c r="E366" s="258">
        <v>0</v>
      </c>
      <c r="F366" s="504">
        <v>110000</v>
      </c>
      <c r="G366" s="505">
        <f t="shared" si="299"/>
        <v>0</v>
      </c>
      <c r="H366" s="259">
        <v>0</v>
      </c>
      <c r="I366" s="705">
        <v>0</v>
      </c>
      <c r="J366" s="633">
        <v>0</v>
      </c>
      <c r="K366" s="503">
        <f t="shared" si="297"/>
        <v>0</v>
      </c>
      <c r="L366" s="505">
        <f t="shared" si="291"/>
        <v>0</v>
      </c>
      <c r="M366" s="506" t="str">
        <f t="shared" si="298"/>
        <v>-</v>
      </c>
      <c r="N366" s="507">
        <f t="shared" si="293"/>
        <v>0</v>
      </c>
      <c r="O366" s="505">
        <f t="shared" si="294"/>
        <v>0</v>
      </c>
      <c r="P366" s="508" t="str">
        <f t="shared" si="295"/>
        <v>-</v>
      </c>
      <c r="Q366" s="505" t="str">
        <f t="shared" si="287"/>
        <v>-</v>
      </c>
      <c r="R366" s="505">
        <f t="shared" si="288"/>
        <v>0</v>
      </c>
      <c r="S366" s="509" t="str">
        <f t="shared" si="289"/>
        <v>-</v>
      </c>
      <c r="T366" s="510" t="str">
        <f t="shared" si="296"/>
        <v>-</v>
      </c>
    </row>
    <row r="367" spans="1:20" ht="23.4" x14ac:dyDescent="0.3">
      <c r="A367" s="248" t="s">
        <v>110</v>
      </c>
      <c r="B367" s="249" t="s">
        <v>238</v>
      </c>
      <c r="C367" s="481">
        <f t="shared" si="285"/>
        <v>0</v>
      </c>
      <c r="D367" s="250">
        <v>0</v>
      </c>
      <c r="E367" s="251">
        <v>0</v>
      </c>
      <c r="F367" s="482">
        <v>6500</v>
      </c>
      <c r="G367" s="483">
        <f t="shared" si="299"/>
        <v>0</v>
      </c>
      <c r="H367" s="482">
        <v>0</v>
      </c>
      <c r="I367" s="631">
        <v>0</v>
      </c>
      <c r="J367" s="630">
        <v>0</v>
      </c>
      <c r="K367" s="481">
        <f t="shared" si="297"/>
        <v>0</v>
      </c>
      <c r="L367" s="483">
        <f t="shared" si="291"/>
        <v>0</v>
      </c>
      <c r="M367" s="484" t="str">
        <f t="shared" si="298"/>
        <v>-</v>
      </c>
      <c r="N367" s="485">
        <f t="shared" si="293"/>
        <v>0</v>
      </c>
      <c r="O367" s="483">
        <f t="shared" si="294"/>
        <v>0</v>
      </c>
      <c r="P367" s="486" t="str">
        <f t="shared" si="295"/>
        <v>-</v>
      </c>
      <c r="Q367" s="483" t="str">
        <f t="shared" si="287"/>
        <v>-</v>
      </c>
      <c r="R367" s="483">
        <f t="shared" si="288"/>
        <v>0</v>
      </c>
      <c r="S367" s="501" t="str">
        <f t="shared" si="289"/>
        <v>-</v>
      </c>
      <c r="T367" s="502" t="str">
        <f t="shared" si="296"/>
        <v>-</v>
      </c>
    </row>
    <row r="368" spans="1:20" ht="23.4" x14ac:dyDescent="0.3">
      <c r="A368" s="252" t="s">
        <v>110</v>
      </c>
      <c r="B368" s="249" t="s">
        <v>40</v>
      </c>
      <c r="C368" s="481">
        <f t="shared" si="285"/>
        <v>0</v>
      </c>
      <c r="D368" s="250">
        <v>0</v>
      </c>
      <c r="E368" s="251">
        <v>0</v>
      </c>
      <c r="F368" s="482">
        <v>2800</v>
      </c>
      <c r="G368" s="483">
        <f t="shared" si="299"/>
        <v>0</v>
      </c>
      <c r="H368" s="482"/>
      <c r="I368" s="631"/>
      <c r="J368" s="630">
        <v>0</v>
      </c>
      <c r="K368" s="481">
        <f t="shared" si="297"/>
        <v>0</v>
      </c>
      <c r="L368" s="483">
        <f t="shared" si="291"/>
        <v>0</v>
      </c>
      <c r="M368" s="484" t="str">
        <f t="shared" si="298"/>
        <v>-</v>
      </c>
      <c r="N368" s="485">
        <f t="shared" si="293"/>
        <v>0</v>
      </c>
      <c r="O368" s="483">
        <f t="shared" si="294"/>
        <v>0</v>
      </c>
      <c r="P368" s="486" t="str">
        <f t="shared" si="295"/>
        <v>-</v>
      </c>
      <c r="Q368" s="483" t="str">
        <f t="shared" si="287"/>
        <v>-</v>
      </c>
      <c r="R368" s="483">
        <f t="shared" si="288"/>
        <v>0</v>
      </c>
      <c r="S368" s="501" t="str">
        <f t="shared" si="289"/>
        <v>-</v>
      </c>
      <c r="T368" s="502" t="str">
        <f t="shared" si="296"/>
        <v>-</v>
      </c>
    </row>
    <row r="369" spans="1:20" ht="23.4" x14ac:dyDescent="0.3">
      <c r="A369" s="248" t="s">
        <v>110</v>
      </c>
      <c r="B369" s="249" t="s">
        <v>42</v>
      </c>
      <c r="C369" s="481">
        <f t="shared" si="285"/>
        <v>0</v>
      </c>
      <c r="D369" s="250">
        <v>0</v>
      </c>
      <c r="E369" s="251">
        <v>0</v>
      </c>
      <c r="F369" s="482">
        <v>25000</v>
      </c>
      <c r="G369" s="483">
        <f t="shared" si="299"/>
        <v>0</v>
      </c>
      <c r="H369" s="482">
        <v>0</v>
      </c>
      <c r="I369" s="631">
        <v>0</v>
      </c>
      <c r="J369" s="630">
        <v>0</v>
      </c>
      <c r="K369" s="481">
        <f t="shared" si="297"/>
        <v>0</v>
      </c>
      <c r="L369" s="483">
        <f t="shared" si="291"/>
        <v>0</v>
      </c>
      <c r="M369" s="484" t="str">
        <f t="shared" si="298"/>
        <v>-</v>
      </c>
      <c r="N369" s="485">
        <f t="shared" si="293"/>
        <v>0</v>
      </c>
      <c r="O369" s="483">
        <f t="shared" si="294"/>
        <v>0</v>
      </c>
      <c r="P369" s="486" t="str">
        <f t="shared" si="295"/>
        <v>-</v>
      </c>
      <c r="Q369" s="483" t="str">
        <f t="shared" si="287"/>
        <v>-</v>
      </c>
      <c r="R369" s="483">
        <f t="shared" si="288"/>
        <v>0</v>
      </c>
      <c r="S369" s="501" t="str">
        <f t="shared" si="289"/>
        <v>-</v>
      </c>
      <c r="T369" s="502" t="str">
        <f t="shared" si="296"/>
        <v>-</v>
      </c>
    </row>
    <row r="370" spans="1:20" ht="47.4" thickBot="1" x14ac:dyDescent="0.35">
      <c r="A370" s="635" t="s">
        <v>110</v>
      </c>
      <c r="B370" s="261" t="s">
        <v>237</v>
      </c>
      <c r="C370" s="636">
        <f t="shared" si="285"/>
        <v>0</v>
      </c>
      <c r="D370" s="637">
        <v>0</v>
      </c>
      <c r="E370" s="638">
        <v>0</v>
      </c>
      <c r="F370" s="639">
        <v>25000</v>
      </c>
      <c r="G370" s="640">
        <f t="shared" si="299"/>
        <v>0</v>
      </c>
      <c r="H370" s="639">
        <v>0</v>
      </c>
      <c r="I370" s="641">
        <v>0</v>
      </c>
      <c r="J370" s="634">
        <v>0</v>
      </c>
      <c r="K370" s="636">
        <f t="shared" si="297"/>
        <v>0</v>
      </c>
      <c r="L370" s="640">
        <f t="shared" si="291"/>
        <v>0</v>
      </c>
      <c r="M370" s="642" t="str">
        <f t="shared" si="298"/>
        <v>-</v>
      </c>
      <c r="N370" s="643">
        <f t="shared" si="293"/>
        <v>0</v>
      </c>
      <c r="O370" s="640">
        <f t="shared" si="294"/>
        <v>0</v>
      </c>
      <c r="P370" s="644" t="str">
        <f t="shared" si="295"/>
        <v>-</v>
      </c>
      <c r="Q370" s="640" t="str">
        <f t="shared" si="287"/>
        <v>-</v>
      </c>
      <c r="R370" s="640">
        <f t="shared" si="288"/>
        <v>0</v>
      </c>
      <c r="S370" s="645" t="str">
        <f t="shared" si="289"/>
        <v>-</v>
      </c>
      <c r="T370" s="646" t="str">
        <f t="shared" si="296"/>
        <v>-</v>
      </c>
    </row>
    <row r="371" spans="1:20" ht="23.4" x14ac:dyDescent="0.3">
      <c r="A371" s="935" t="s">
        <v>1</v>
      </c>
      <c r="B371" s="944" t="s">
        <v>2</v>
      </c>
      <c r="C371" s="944" t="s">
        <v>226</v>
      </c>
      <c r="D371" s="945"/>
      <c r="E371" s="946"/>
      <c r="F371" s="944" t="s">
        <v>485</v>
      </c>
      <c r="G371" s="945"/>
      <c r="H371" s="945"/>
      <c r="I371" s="946"/>
      <c r="J371" s="1040" t="s">
        <v>223</v>
      </c>
      <c r="K371" s="944" t="s">
        <v>211</v>
      </c>
      <c r="L371" s="945"/>
      <c r="M371" s="946"/>
      <c r="N371" s="945" t="s">
        <v>212</v>
      </c>
      <c r="O371" s="945"/>
      <c r="P371" s="946"/>
      <c r="Q371" s="944" t="s">
        <v>213</v>
      </c>
      <c r="R371" s="945"/>
      <c r="S371" s="945"/>
      <c r="T371" s="1042" t="s">
        <v>210</v>
      </c>
    </row>
    <row r="372" spans="1:20" ht="87.6" thickBot="1" x14ac:dyDescent="0.35">
      <c r="A372" s="1038"/>
      <c r="B372" s="1039"/>
      <c r="C372" s="235" t="s">
        <v>227</v>
      </c>
      <c r="D372" s="236" t="s">
        <v>224</v>
      </c>
      <c r="E372" s="237" t="s">
        <v>225</v>
      </c>
      <c r="F372" s="238" t="s">
        <v>382</v>
      </c>
      <c r="G372" s="236" t="s">
        <v>220</v>
      </c>
      <c r="H372" s="239" t="s">
        <v>221</v>
      </c>
      <c r="I372" s="240" t="s">
        <v>222</v>
      </c>
      <c r="J372" s="1041"/>
      <c r="K372" s="235" t="s">
        <v>214</v>
      </c>
      <c r="L372" s="239" t="s">
        <v>215</v>
      </c>
      <c r="M372" s="241" t="s">
        <v>228</v>
      </c>
      <c r="N372" s="242" t="s">
        <v>216</v>
      </c>
      <c r="O372" s="239" t="s">
        <v>217</v>
      </c>
      <c r="P372" s="241" t="s">
        <v>229</v>
      </c>
      <c r="Q372" s="235" t="s">
        <v>218</v>
      </c>
      <c r="R372" s="239" t="s">
        <v>219</v>
      </c>
      <c r="S372" s="243" t="s">
        <v>230</v>
      </c>
      <c r="T372" s="1043"/>
    </row>
    <row r="373" spans="1:20" ht="23.4" x14ac:dyDescent="0.3">
      <c r="A373" s="244" t="s">
        <v>111</v>
      </c>
      <c r="B373" s="865" t="s">
        <v>16</v>
      </c>
      <c r="C373" s="474">
        <f>+D373+E373</f>
        <v>0</v>
      </c>
      <c r="D373" s="246">
        <v>0</v>
      </c>
      <c r="E373" s="247">
        <v>0</v>
      </c>
      <c r="F373" s="618">
        <v>15000</v>
      </c>
      <c r="G373" s="475">
        <f>+H373+I373</f>
        <v>0</v>
      </c>
      <c r="H373" s="624">
        <v>0</v>
      </c>
      <c r="I373" s="626">
        <v>0</v>
      </c>
      <c r="J373" s="629">
        <v>0</v>
      </c>
      <c r="K373" s="474">
        <f>+L373-E373</f>
        <v>0</v>
      </c>
      <c r="L373" s="475">
        <f>+J373-D373</f>
        <v>0</v>
      </c>
      <c r="M373" s="476" t="str">
        <f>IFERROR(K373/L373,"-")</f>
        <v>-</v>
      </c>
      <c r="N373" s="477">
        <f>+O373-C373</f>
        <v>0</v>
      </c>
      <c r="O373" s="475">
        <f>+K373</f>
        <v>0</v>
      </c>
      <c r="P373" s="478" t="str">
        <f>IFERROR(N373/O373,"-")</f>
        <v>-</v>
      </c>
      <c r="Q373" s="475" t="str">
        <f>IFERROR(N373-(J373-(J373*H373/G373)),"-")</f>
        <v>-</v>
      </c>
      <c r="R373" s="475">
        <f>+N373</f>
        <v>0</v>
      </c>
      <c r="S373" s="479" t="str">
        <f>IFERROR(Q373/R373,"-")</f>
        <v>-</v>
      </c>
      <c r="T373" s="480" t="str">
        <f>IFERROR(M373*P373*S373,"-")</f>
        <v>-</v>
      </c>
    </row>
    <row r="374" spans="1:20" ht="23.4" x14ac:dyDescent="0.3">
      <c r="A374" s="248" t="s">
        <v>111</v>
      </c>
      <c r="B374" s="866" t="s">
        <v>234</v>
      </c>
      <c r="C374" s="481">
        <f t="shared" ref="C374:C388" si="300">+D374+E374</f>
        <v>0</v>
      </c>
      <c r="D374" s="250">
        <v>0</v>
      </c>
      <c r="E374" s="251">
        <v>0</v>
      </c>
      <c r="F374" s="619">
        <v>100000</v>
      </c>
      <c r="G374" s="483">
        <f t="shared" ref="G374:G379" si="301">+H374+I374</f>
        <v>0</v>
      </c>
      <c r="H374" s="254">
        <v>0</v>
      </c>
      <c r="I374" s="627">
        <v>0</v>
      </c>
      <c r="J374" s="630">
        <v>0</v>
      </c>
      <c r="K374" s="481">
        <f>+L374-E374</f>
        <v>0</v>
      </c>
      <c r="L374" s="483">
        <f>+J374-D374</f>
        <v>0</v>
      </c>
      <c r="M374" s="484" t="str">
        <f>IFERROR(K374/L374,"-")</f>
        <v>-</v>
      </c>
      <c r="N374" s="485">
        <f>+O374-C374</f>
        <v>0</v>
      </c>
      <c r="O374" s="483">
        <f>+K374</f>
        <v>0</v>
      </c>
      <c r="P374" s="486" t="str">
        <f>IFERROR(N374/O374,"-")</f>
        <v>-</v>
      </c>
      <c r="Q374" s="483" t="str">
        <f t="shared" ref="Q374:Q388" si="302">IFERROR(N374-(J374-(J374*H374/G374)),"-")</f>
        <v>-</v>
      </c>
      <c r="R374" s="483">
        <f t="shared" ref="R374:R388" si="303">+N374</f>
        <v>0</v>
      </c>
      <c r="S374" s="487" t="str">
        <f t="shared" ref="S374:S388" si="304">IFERROR(Q374/R374,"-")</f>
        <v>-</v>
      </c>
      <c r="T374" s="488" t="str">
        <f>IFERROR(M374*P374*S374,"-")</f>
        <v>-</v>
      </c>
    </row>
    <row r="375" spans="1:20" ht="23.4" x14ac:dyDescent="0.3">
      <c r="A375" s="248" t="s">
        <v>111</v>
      </c>
      <c r="B375" s="866" t="s">
        <v>233</v>
      </c>
      <c r="C375" s="481">
        <f t="shared" si="300"/>
        <v>0</v>
      </c>
      <c r="D375" s="250">
        <v>0</v>
      </c>
      <c r="E375" s="251">
        <v>0</v>
      </c>
      <c r="F375" s="619">
        <v>80000</v>
      </c>
      <c r="G375" s="483">
        <f t="shared" si="301"/>
        <v>0</v>
      </c>
      <c r="H375" s="254">
        <v>0</v>
      </c>
      <c r="I375" s="627">
        <v>0</v>
      </c>
      <c r="J375" s="630">
        <v>0</v>
      </c>
      <c r="K375" s="481">
        <f t="shared" ref="K375:K377" si="305">+L375-E375</f>
        <v>0</v>
      </c>
      <c r="L375" s="483">
        <f t="shared" ref="L375:L388" si="306">+J375-D375</f>
        <v>0</v>
      </c>
      <c r="M375" s="484" t="str">
        <f t="shared" ref="M375:M377" si="307">IFERROR(K375/L375,"-")</f>
        <v>-</v>
      </c>
      <c r="N375" s="485">
        <f t="shared" ref="N375:N388" si="308">+O375-C375</f>
        <v>0</v>
      </c>
      <c r="O375" s="483">
        <f t="shared" ref="O375:O388" si="309">+K375</f>
        <v>0</v>
      </c>
      <c r="P375" s="486" t="str">
        <f t="shared" ref="P375:P388" si="310">IFERROR(N375/O375,"-")</f>
        <v>-</v>
      </c>
      <c r="Q375" s="483" t="str">
        <f t="shared" si="302"/>
        <v>-</v>
      </c>
      <c r="R375" s="483">
        <f t="shared" si="303"/>
        <v>0</v>
      </c>
      <c r="S375" s="487" t="str">
        <f t="shared" si="304"/>
        <v>-</v>
      </c>
      <c r="T375" s="488" t="str">
        <f t="shared" ref="T375:T388" si="311">IFERROR(M375*P375*S375,"-")</f>
        <v>-</v>
      </c>
    </row>
    <row r="376" spans="1:20" ht="23.4" x14ac:dyDescent="0.3">
      <c r="A376" s="252" t="s">
        <v>111</v>
      </c>
      <c r="B376" s="866" t="s">
        <v>236</v>
      </c>
      <c r="C376" s="481">
        <f t="shared" si="300"/>
        <v>0</v>
      </c>
      <c r="D376" s="250">
        <v>0</v>
      </c>
      <c r="E376" s="251">
        <v>0</v>
      </c>
      <c r="F376" s="619">
        <v>110000</v>
      </c>
      <c r="G376" s="483">
        <f t="shared" si="301"/>
        <v>0</v>
      </c>
      <c r="H376" s="254">
        <v>0</v>
      </c>
      <c r="I376" s="627">
        <v>0</v>
      </c>
      <c r="J376" s="630">
        <v>0</v>
      </c>
      <c r="K376" s="481">
        <f t="shared" si="305"/>
        <v>0</v>
      </c>
      <c r="L376" s="483">
        <f t="shared" si="306"/>
        <v>0</v>
      </c>
      <c r="M376" s="484" t="str">
        <f t="shared" si="307"/>
        <v>-</v>
      </c>
      <c r="N376" s="485">
        <f t="shared" si="308"/>
        <v>0</v>
      </c>
      <c r="O376" s="483">
        <f t="shared" si="309"/>
        <v>0</v>
      </c>
      <c r="P376" s="486" t="str">
        <f t="shared" si="310"/>
        <v>-</v>
      </c>
      <c r="Q376" s="483" t="str">
        <f t="shared" si="302"/>
        <v>-</v>
      </c>
      <c r="R376" s="483">
        <f t="shared" si="303"/>
        <v>0</v>
      </c>
      <c r="S376" s="487" t="str">
        <f t="shared" si="304"/>
        <v>-</v>
      </c>
      <c r="T376" s="488" t="str">
        <f t="shared" si="311"/>
        <v>-</v>
      </c>
    </row>
    <row r="377" spans="1:20" ht="23.4" x14ac:dyDescent="0.3">
      <c r="A377" s="248" t="s">
        <v>111</v>
      </c>
      <c r="B377" s="866" t="s">
        <v>235</v>
      </c>
      <c r="C377" s="481">
        <f t="shared" si="300"/>
        <v>0</v>
      </c>
      <c r="D377" s="250">
        <v>0</v>
      </c>
      <c r="E377" s="251">
        <v>0</v>
      </c>
      <c r="F377" s="619">
        <v>50000</v>
      </c>
      <c r="G377" s="483">
        <f t="shared" si="301"/>
        <v>0</v>
      </c>
      <c r="H377" s="254">
        <v>0</v>
      </c>
      <c r="I377" s="627">
        <v>0</v>
      </c>
      <c r="J377" s="630">
        <v>0</v>
      </c>
      <c r="K377" s="481">
        <f t="shared" si="305"/>
        <v>0</v>
      </c>
      <c r="L377" s="483">
        <f t="shared" si="306"/>
        <v>0</v>
      </c>
      <c r="M377" s="484" t="str">
        <f t="shared" si="307"/>
        <v>-</v>
      </c>
      <c r="N377" s="485">
        <f t="shared" si="308"/>
        <v>0</v>
      </c>
      <c r="O377" s="483">
        <f t="shared" si="309"/>
        <v>0</v>
      </c>
      <c r="P377" s="486" t="str">
        <f t="shared" si="310"/>
        <v>-</v>
      </c>
      <c r="Q377" s="483" t="str">
        <f t="shared" si="302"/>
        <v>-</v>
      </c>
      <c r="R377" s="483">
        <f t="shared" si="303"/>
        <v>0</v>
      </c>
      <c r="S377" s="487" t="str">
        <f t="shared" si="304"/>
        <v>-</v>
      </c>
      <c r="T377" s="488" t="str">
        <f t="shared" si="311"/>
        <v>-</v>
      </c>
    </row>
    <row r="378" spans="1:20" ht="23.4" x14ac:dyDescent="0.3">
      <c r="A378" s="248">
        <v>5</v>
      </c>
      <c r="B378" s="866" t="s">
        <v>22</v>
      </c>
      <c r="C378" s="481">
        <f t="shared" si="300"/>
        <v>0</v>
      </c>
      <c r="D378" s="250">
        <v>0</v>
      </c>
      <c r="E378" s="251">
        <v>0</v>
      </c>
      <c r="F378" s="619">
        <v>80000</v>
      </c>
      <c r="G378" s="483">
        <f t="shared" si="301"/>
        <v>0</v>
      </c>
      <c r="H378" s="254">
        <v>0</v>
      </c>
      <c r="I378" s="627">
        <v>0</v>
      </c>
      <c r="J378" s="630">
        <v>0</v>
      </c>
      <c r="K378" s="481">
        <f>+L378-E378</f>
        <v>0</v>
      </c>
      <c r="L378" s="483">
        <f t="shared" si="306"/>
        <v>0</v>
      </c>
      <c r="M378" s="484" t="str">
        <f>IFERROR(K378/L378,"-")</f>
        <v>-</v>
      </c>
      <c r="N378" s="485">
        <f t="shared" si="308"/>
        <v>0</v>
      </c>
      <c r="O378" s="483">
        <f t="shared" si="309"/>
        <v>0</v>
      </c>
      <c r="P378" s="486" t="str">
        <f t="shared" si="310"/>
        <v>-</v>
      </c>
      <c r="Q378" s="483" t="str">
        <f t="shared" si="302"/>
        <v>-</v>
      </c>
      <c r="R378" s="483">
        <f t="shared" si="303"/>
        <v>0</v>
      </c>
      <c r="S378" s="487" t="str">
        <f t="shared" si="304"/>
        <v>-</v>
      </c>
      <c r="T378" s="488" t="str">
        <f t="shared" si="311"/>
        <v>-</v>
      </c>
    </row>
    <row r="379" spans="1:20" ht="23.4" x14ac:dyDescent="0.3">
      <c r="A379" s="248" t="s">
        <v>111</v>
      </c>
      <c r="B379" s="866" t="s">
        <v>23</v>
      </c>
      <c r="C379" s="481">
        <f t="shared" si="300"/>
        <v>0</v>
      </c>
      <c r="D379" s="250">
        <v>0</v>
      </c>
      <c r="E379" s="251">
        <v>0</v>
      </c>
      <c r="F379" s="619">
        <v>14000</v>
      </c>
      <c r="G379" s="483">
        <f t="shared" si="301"/>
        <v>0</v>
      </c>
      <c r="H379" s="254">
        <v>0</v>
      </c>
      <c r="I379" s="627">
        <v>0</v>
      </c>
      <c r="J379" s="630">
        <v>0</v>
      </c>
      <c r="K379" s="481">
        <f t="shared" ref="K379:K388" si="312">+L379-E379</f>
        <v>0</v>
      </c>
      <c r="L379" s="483">
        <f t="shared" si="306"/>
        <v>0</v>
      </c>
      <c r="M379" s="484" t="str">
        <f t="shared" ref="M379:M388" si="313">IFERROR(K379/L379,"-")</f>
        <v>-</v>
      </c>
      <c r="N379" s="485">
        <f t="shared" si="308"/>
        <v>0</v>
      </c>
      <c r="O379" s="483">
        <f t="shared" si="309"/>
        <v>0</v>
      </c>
      <c r="P379" s="486" t="str">
        <f t="shared" si="310"/>
        <v>-</v>
      </c>
      <c r="Q379" s="483" t="str">
        <f t="shared" si="302"/>
        <v>-</v>
      </c>
      <c r="R379" s="483">
        <f t="shared" si="303"/>
        <v>0</v>
      </c>
      <c r="S379" s="487" t="str">
        <f t="shared" si="304"/>
        <v>-</v>
      </c>
      <c r="T379" s="488" t="str">
        <f t="shared" si="311"/>
        <v>-</v>
      </c>
    </row>
    <row r="380" spans="1:20" ht="23.4" x14ac:dyDescent="0.3">
      <c r="A380" s="248" t="s">
        <v>111</v>
      </c>
      <c r="B380" s="867" t="s">
        <v>231</v>
      </c>
      <c r="C380" s="489">
        <f t="shared" si="300"/>
        <v>0</v>
      </c>
      <c r="D380" s="250">
        <v>0</v>
      </c>
      <c r="E380" s="251">
        <v>0</v>
      </c>
      <c r="F380" s="619">
        <v>4500</v>
      </c>
      <c r="G380" s="483">
        <f>+H380+I380</f>
        <v>0</v>
      </c>
      <c r="H380" s="254">
        <v>0</v>
      </c>
      <c r="I380" s="322">
        <v>0</v>
      </c>
      <c r="J380" s="630">
        <v>0</v>
      </c>
      <c r="K380" s="489">
        <f t="shared" si="312"/>
        <v>0</v>
      </c>
      <c r="L380" s="250">
        <f t="shared" si="306"/>
        <v>0</v>
      </c>
      <c r="M380" s="490" t="str">
        <f t="shared" si="313"/>
        <v>-</v>
      </c>
      <c r="N380" s="491">
        <f t="shared" si="308"/>
        <v>0</v>
      </c>
      <c r="O380" s="250">
        <f t="shared" si="309"/>
        <v>0</v>
      </c>
      <c r="P380" s="492" t="str">
        <f t="shared" si="310"/>
        <v>-</v>
      </c>
      <c r="Q380" s="250" t="str">
        <f t="shared" si="302"/>
        <v>-</v>
      </c>
      <c r="R380" s="250">
        <f t="shared" si="303"/>
        <v>0</v>
      </c>
      <c r="S380" s="493" t="str">
        <f t="shared" si="304"/>
        <v>-</v>
      </c>
      <c r="T380" s="494" t="str">
        <f t="shared" si="311"/>
        <v>-</v>
      </c>
    </row>
    <row r="381" spans="1:20" ht="24" thickBot="1" x14ac:dyDescent="0.35">
      <c r="A381" s="255" t="s">
        <v>111</v>
      </c>
      <c r="B381" s="868" t="s">
        <v>232</v>
      </c>
      <c r="C381" s="495">
        <f t="shared" si="300"/>
        <v>0</v>
      </c>
      <c r="D381" s="257">
        <v>0</v>
      </c>
      <c r="E381" s="258">
        <v>0</v>
      </c>
      <c r="F381" s="625">
        <v>5000</v>
      </c>
      <c r="G381" s="505">
        <f t="shared" ref="G381:G388" si="314">+H381+I381</f>
        <v>0</v>
      </c>
      <c r="H381" s="259">
        <v>0</v>
      </c>
      <c r="I381" s="628">
        <v>0</v>
      </c>
      <c r="J381" s="633">
        <v>0</v>
      </c>
      <c r="K381" s="495">
        <f t="shared" si="312"/>
        <v>0</v>
      </c>
      <c r="L381" s="257">
        <f t="shared" si="306"/>
        <v>0</v>
      </c>
      <c r="M381" s="496" t="str">
        <f t="shared" si="313"/>
        <v>-</v>
      </c>
      <c r="N381" s="497">
        <f t="shared" si="308"/>
        <v>0</v>
      </c>
      <c r="O381" s="257">
        <f t="shared" si="309"/>
        <v>0</v>
      </c>
      <c r="P381" s="498" t="str">
        <f t="shared" si="310"/>
        <v>-</v>
      </c>
      <c r="Q381" s="257" t="str">
        <f t="shared" si="302"/>
        <v>-</v>
      </c>
      <c r="R381" s="257">
        <f t="shared" si="303"/>
        <v>0</v>
      </c>
      <c r="S381" s="499" t="str">
        <f t="shared" si="304"/>
        <v>-</v>
      </c>
      <c r="T381" s="500" t="str">
        <f t="shared" si="311"/>
        <v>-</v>
      </c>
    </row>
    <row r="382" spans="1:20" ht="23.4" x14ac:dyDescent="0.3">
      <c r="A382" s="252" t="s">
        <v>109</v>
      </c>
      <c r="B382" s="862" t="s">
        <v>29</v>
      </c>
      <c r="C382" s="863">
        <f t="shared" si="300"/>
        <v>540</v>
      </c>
      <c r="D382" s="864">
        <v>90</v>
      </c>
      <c r="E382" s="276">
        <v>450</v>
      </c>
      <c r="F382" s="482">
        <v>80000</v>
      </c>
      <c r="G382" s="483">
        <f t="shared" si="314"/>
        <v>142174</v>
      </c>
      <c r="H382" s="254">
        <v>139230</v>
      </c>
      <c r="I382" s="627">
        <v>2944</v>
      </c>
      <c r="J382" s="629">
        <v>1380</v>
      </c>
      <c r="K382" s="481">
        <f t="shared" si="312"/>
        <v>840</v>
      </c>
      <c r="L382" s="483">
        <f t="shared" si="306"/>
        <v>1290</v>
      </c>
      <c r="M382" s="484">
        <f t="shared" si="313"/>
        <v>0.65116279069767447</v>
      </c>
      <c r="N382" s="485">
        <f t="shared" si="308"/>
        <v>300</v>
      </c>
      <c r="O382" s="483">
        <f t="shared" si="309"/>
        <v>840</v>
      </c>
      <c r="P382" s="486">
        <f t="shared" si="310"/>
        <v>0.35714285714285715</v>
      </c>
      <c r="Q382" s="483">
        <f t="shared" si="302"/>
        <v>271.42431105546734</v>
      </c>
      <c r="R382" s="483">
        <f t="shared" si="303"/>
        <v>300</v>
      </c>
      <c r="S382" s="501">
        <f t="shared" si="304"/>
        <v>0.90474770351822442</v>
      </c>
      <c r="T382" s="502">
        <f t="shared" si="311"/>
        <v>0.21040644267865685</v>
      </c>
    </row>
    <row r="383" spans="1:20" ht="23.4" x14ac:dyDescent="0.3">
      <c r="A383" s="248" t="s">
        <v>109</v>
      </c>
      <c r="B383" s="260" t="s">
        <v>31</v>
      </c>
      <c r="C383" s="481">
        <f t="shared" si="300"/>
        <v>0</v>
      </c>
      <c r="D383" s="250">
        <v>0</v>
      </c>
      <c r="E383" s="251">
        <v>0</v>
      </c>
      <c r="F383" s="482">
        <v>50000</v>
      </c>
      <c r="G383" s="483">
        <f t="shared" si="314"/>
        <v>0</v>
      </c>
      <c r="H383" s="254">
        <v>0</v>
      </c>
      <c r="I383" s="627">
        <v>0</v>
      </c>
      <c r="J383" s="630">
        <v>0</v>
      </c>
      <c r="K383" s="481">
        <f t="shared" si="312"/>
        <v>0</v>
      </c>
      <c r="L383" s="483">
        <f t="shared" si="306"/>
        <v>0</v>
      </c>
      <c r="M383" s="484" t="str">
        <f t="shared" si="313"/>
        <v>-</v>
      </c>
      <c r="N383" s="485">
        <f t="shared" si="308"/>
        <v>0</v>
      </c>
      <c r="O383" s="483">
        <f t="shared" si="309"/>
        <v>0</v>
      </c>
      <c r="P383" s="486" t="str">
        <f t="shared" si="310"/>
        <v>-</v>
      </c>
      <c r="Q383" s="483" t="str">
        <f t="shared" si="302"/>
        <v>-</v>
      </c>
      <c r="R383" s="483">
        <f t="shared" si="303"/>
        <v>0</v>
      </c>
      <c r="S383" s="501" t="str">
        <f t="shared" si="304"/>
        <v>-</v>
      </c>
      <c r="T383" s="502" t="str">
        <f t="shared" si="311"/>
        <v>-</v>
      </c>
    </row>
    <row r="384" spans="1:20" ht="24" thickBot="1" x14ac:dyDescent="0.35">
      <c r="A384" s="255" t="s">
        <v>109</v>
      </c>
      <c r="B384" s="261" t="s">
        <v>32</v>
      </c>
      <c r="C384" s="503">
        <f t="shared" si="300"/>
        <v>0</v>
      </c>
      <c r="D384" s="257">
        <v>0</v>
      </c>
      <c r="E384" s="258">
        <v>0</v>
      </c>
      <c r="F384" s="504">
        <v>110000</v>
      </c>
      <c r="G384" s="505">
        <f t="shared" si="314"/>
        <v>0</v>
      </c>
      <c r="H384" s="259">
        <v>0</v>
      </c>
      <c r="I384" s="705">
        <v>0</v>
      </c>
      <c r="J384" s="633">
        <v>0</v>
      </c>
      <c r="K384" s="503">
        <f t="shared" si="312"/>
        <v>0</v>
      </c>
      <c r="L384" s="505">
        <f t="shared" si="306"/>
        <v>0</v>
      </c>
      <c r="M384" s="506" t="str">
        <f t="shared" si="313"/>
        <v>-</v>
      </c>
      <c r="N384" s="507">
        <f t="shared" si="308"/>
        <v>0</v>
      </c>
      <c r="O384" s="505">
        <f t="shared" si="309"/>
        <v>0</v>
      </c>
      <c r="P384" s="508" t="str">
        <f t="shared" si="310"/>
        <v>-</v>
      </c>
      <c r="Q384" s="505" t="str">
        <f t="shared" si="302"/>
        <v>-</v>
      </c>
      <c r="R384" s="505">
        <f t="shared" si="303"/>
        <v>0</v>
      </c>
      <c r="S384" s="509" t="str">
        <f t="shared" si="304"/>
        <v>-</v>
      </c>
      <c r="T384" s="510" t="str">
        <f t="shared" si="311"/>
        <v>-</v>
      </c>
    </row>
    <row r="385" spans="1:20" ht="23.4" x14ac:dyDescent="0.3">
      <c r="A385" s="248" t="s">
        <v>110</v>
      </c>
      <c r="B385" s="249" t="s">
        <v>238</v>
      </c>
      <c r="C385" s="481">
        <f t="shared" si="300"/>
        <v>480</v>
      </c>
      <c r="D385" s="250">
        <v>30</v>
      </c>
      <c r="E385" s="251">
        <v>450</v>
      </c>
      <c r="F385" s="482">
        <v>6500</v>
      </c>
      <c r="G385" s="483">
        <f t="shared" si="314"/>
        <v>0</v>
      </c>
      <c r="H385" s="482">
        <v>0</v>
      </c>
      <c r="I385" s="631">
        <v>0</v>
      </c>
      <c r="J385" s="630">
        <v>480</v>
      </c>
      <c r="K385" s="481">
        <f t="shared" si="312"/>
        <v>0</v>
      </c>
      <c r="L385" s="483">
        <f t="shared" si="306"/>
        <v>450</v>
      </c>
      <c r="M385" s="484">
        <f t="shared" si="313"/>
        <v>0</v>
      </c>
      <c r="N385" s="485">
        <f t="shared" si="308"/>
        <v>-480</v>
      </c>
      <c r="O385" s="483">
        <f t="shared" si="309"/>
        <v>0</v>
      </c>
      <c r="P385" s="486" t="str">
        <f t="shared" si="310"/>
        <v>-</v>
      </c>
      <c r="Q385" s="483" t="str">
        <f t="shared" si="302"/>
        <v>-</v>
      </c>
      <c r="R385" s="483">
        <f t="shared" si="303"/>
        <v>-480</v>
      </c>
      <c r="S385" s="501" t="str">
        <f t="shared" si="304"/>
        <v>-</v>
      </c>
      <c r="T385" s="502" t="str">
        <f t="shared" si="311"/>
        <v>-</v>
      </c>
    </row>
    <row r="386" spans="1:20" ht="23.4" x14ac:dyDescent="0.3">
      <c r="A386" s="252" t="s">
        <v>110</v>
      </c>
      <c r="B386" s="249" t="s">
        <v>40</v>
      </c>
      <c r="C386" s="481">
        <f t="shared" si="300"/>
        <v>30</v>
      </c>
      <c r="D386" s="250">
        <v>30</v>
      </c>
      <c r="E386" s="251">
        <v>0</v>
      </c>
      <c r="F386" s="482">
        <v>2800</v>
      </c>
      <c r="G386" s="483">
        <f t="shared" si="314"/>
        <v>4339</v>
      </c>
      <c r="H386" s="482">
        <v>4000</v>
      </c>
      <c r="I386" s="631">
        <v>339</v>
      </c>
      <c r="J386" s="630">
        <v>480</v>
      </c>
      <c r="K386" s="481">
        <f t="shared" si="312"/>
        <v>450</v>
      </c>
      <c r="L386" s="483">
        <f t="shared" si="306"/>
        <v>450</v>
      </c>
      <c r="M386" s="484">
        <f t="shared" si="313"/>
        <v>1</v>
      </c>
      <c r="N386" s="485">
        <f t="shared" si="308"/>
        <v>420</v>
      </c>
      <c r="O386" s="483">
        <f t="shared" si="309"/>
        <v>450</v>
      </c>
      <c r="P386" s="486">
        <f t="shared" si="310"/>
        <v>0.93333333333333335</v>
      </c>
      <c r="Q386" s="483">
        <f t="shared" si="302"/>
        <v>382.49827149112701</v>
      </c>
      <c r="R386" s="483">
        <f t="shared" si="303"/>
        <v>420</v>
      </c>
      <c r="S386" s="501">
        <f t="shared" si="304"/>
        <v>0.91071017021696909</v>
      </c>
      <c r="T386" s="502">
        <f t="shared" si="311"/>
        <v>0.84999615886917113</v>
      </c>
    </row>
    <row r="387" spans="1:20" ht="23.4" x14ac:dyDescent="0.3">
      <c r="A387" s="248" t="s">
        <v>110</v>
      </c>
      <c r="B387" s="249" t="s">
        <v>42</v>
      </c>
      <c r="C387" s="481">
        <f t="shared" si="300"/>
        <v>30</v>
      </c>
      <c r="D387" s="250">
        <v>30</v>
      </c>
      <c r="E387" s="251">
        <v>0</v>
      </c>
      <c r="F387" s="482">
        <v>25000</v>
      </c>
      <c r="G387" s="483">
        <f t="shared" si="314"/>
        <v>24670</v>
      </c>
      <c r="H387" s="482">
        <v>24504</v>
      </c>
      <c r="I387" s="631">
        <v>166</v>
      </c>
      <c r="J387" s="630">
        <v>480</v>
      </c>
      <c r="K387" s="481">
        <f t="shared" si="312"/>
        <v>450</v>
      </c>
      <c r="L387" s="483">
        <f t="shared" si="306"/>
        <v>450</v>
      </c>
      <c r="M387" s="484">
        <f t="shared" si="313"/>
        <v>1</v>
      </c>
      <c r="N387" s="485">
        <f t="shared" si="308"/>
        <v>420</v>
      </c>
      <c r="O387" s="483">
        <f t="shared" si="309"/>
        <v>450</v>
      </c>
      <c r="P387" s="486">
        <f t="shared" si="310"/>
        <v>0.93333333333333335</v>
      </c>
      <c r="Q387" s="483">
        <f t="shared" si="302"/>
        <v>416.77016619375758</v>
      </c>
      <c r="R387" s="483">
        <f t="shared" si="303"/>
        <v>420</v>
      </c>
      <c r="S387" s="501">
        <f t="shared" si="304"/>
        <v>0.99230991950894665</v>
      </c>
      <c r="T387" s="502">
        <f t="shared" si="311"/>
        <v>0.92615592487501686</v>
      </c>
    </row>
    <row r="388" spans="1:20" ht="47.4" thickBot="1" x14ac:dyDescent="0.35">
      <c r="A388" s="635" t="s">
        <v>110</v>
      </c>
      <c r="B388" s="261" t="s">
        <v>237</v>
      </c>
      <c r="C388" s="636">
        <f t="shared" si="300"/>
        <v>0</v>
      </c>
      <c r="D388" s="637">
        <v>0</v>
      </c>
      <c r="E388" s="638">
        <v>0</v>
      </c>
      <c r="F388" s="639">
        <v>25000</v>
      </c>
      <c r="G388" s="640">
        <f t="shared" si="314"/>
        <v>0</v>
      </c>
      <c r="H388" s="639">
        <v>0</v>
      </c>
      <c r="I388" s="641">
        <v>0</v>
      </c>
      <c r="J388" s="634">
        <v>0</v>
      </c>
      <c r="K388" s="636">
        <f t="shared" si="312"/>
        <v>0</v>
      </c>
      <c r="L388" s="640">
        <f t="shared" si="306"/>
        <v>0</v>
      </c>
      <c r="M388" s="642" t="str">
        <f t="shared" si="313"/>
        <v>-</v>
      </c>
      <c r="N388" s="643">
        <f t="shared" si="308"/>
        <v>0</v>
      </c>
      <c r="O388" s="640">
        <f t="shared" si="309"/>
        <v>0</v>
      </c>
      <c r="P388" s="644" t="str">
        <f t="shared" si="310"/>
        <v>-</v>
      </c>
      <c r="Q388" s="640" t="str">
        <f t="shared" si="302"/>
        <v>-</v>
      </c>
      <c r="R388" s="640">
        <f t="shared" si="303"/>
        <v>0</v>
      </c>
      <c r="S388" s="645" t="str">
        <f t="shared" si="304"/>
        <v>-</v>
      </c>
      <c r="T388" s="646" t="str">
        <f t="shared" si="311"/>
        <v>-</v>
      </c>
    </row>
    <row r="389" spans="1:20" ht="23.4" x14ac:dyDescent="0.3">
      <c r="A389" s="935" t="s">
        <v>1</v>
      </c>
      <c r="B389" s="944" t="s">
        <v>2</v>
      </c>
      <c r="C389" s="944" t="s">
        <v>226</v>
      </c>
      <c r="D389" s="945"/>
      <c r="E389" s="946"/>
      <c r="F389" s="944" t="s">
        <v>486</v>
      </c>
      <c r="G389" s="945"/>
      <c r="H389" s="945"/>
      <c r="I389" s="946"/>
      <c r="J389" s="1040" t="s">
        <v>223</v>
      </c>
      <c r="K389" s="944" t="s">
        <v>211</v>
      </c>
      <c r="L389" s="945"/>
      <c r="M389" s="946"/>
      <c r="N389" s="945" t="s">
        <v>212</v>
      </c>
      <c r="O389" s="945"/>
      <c r="P389" s="946"/>
      <c r="Q389" s="944" t="s">
        <v>213</v>
      </c>
      <c r="R389" s="945"/>
      <c r="S389" s="945"/>
      <c r="T389" s="1042" t="s">
        <v>210</v>
      </c>
    </row>
    <row r="390" spans="1:20" ht="87.6" thickBot="1" x14ac:dyDescent="0.35">
      <c r="A390" s="1038"/>
      <c r="B390" s="1039"/>
      <c r="C390" s="235" t="s">
        <v>227</v>
      </c>
      <c r="D390" s="236" t="s">
        <v>224</v>
      </c>
      <c r="E390" s="237" t="s">
        <v>225</v>
      </c>
      <c r="F390" s="238" t="s">
        <v>382</v>
      </c>
      <c r="G390" s="236" t="s">
        <v>220</v>
      </c>
      <c r="H390" s="239" t="s">
        <v>221</v>
      </c>
      <c r="I390" s="240" t="s">
        <v>222</v>
      </c>
      <c r="J390" s="1041"/>
      <c r="K390" s="235" t="s">
        <v>214</v>
      </c>
      <c r="L390" s="239" t="s">
        <v>215</v>
      </c>
      <c r="M390" s="241" t="s">
        <v>228</v>
      </c>
      <c r="N390" s="242" t="s">
        <v>216</v>
      </c>
      <c r="O390" s="239" t="s">
        <v>217</v>
      </c>
      <c r="P390" s="241" t="s">
        <v>229</v>
      </c>
      <c r="Q390" s="235" t="s">
        <v>218</v>
      </c>
      <c r="R390" s="239" t="s">
        <v>219</v>
      </c>
      <c r="S390" s="243" t="s">
        <v>230</v>
      </c>
      <c r="T390" s="1043"/>
    </row>
    <row r="391" spans="1:20" ht="23.4" x14ac:dyDescent="0.3">
      <c r="A391" s="244" t="s">
        <v>111</v>
      </c>
      <c r="B391" s="865" t="s">
        <v>16</v>
      </c>
      <c r="C391" s="474">
        <f>+D391+E391</f>
        <v>0</v>
      </c>
      <c r="D391" s="246">
        <v>0</v>
      </c>
      <c r="E391" s="247">
        <v>0</v>
      </c>
      <c r="F391" s="618">
        <v>15000</v>
      </c>
      <c r="G391" s="475">
        <f>+H391+I391</f>
        <v>0</v>
      </c>
      <c r="H391" s="624">
        <v>0</v>
      </c>
      <c r="I391" s="626">
        <v>0</v>
      </c>
      <c r="J391" s="629">
        <v>0</v>
      </c>
      <c r="K391" s="474">
        <f>+L391-E391</f>
        <v>0</v>
      </c>
      <c r="L391" s="475">
        <f>+J391-D391</f>
        <v>0</v>
      </c>
      <c r="M391" s="476" t="str">
        <f>IFERROR(K391/L391,"-")</f>
        <v>-</v>
      </c>
      <c r="N391" s="477">
        <f>+O391-C391</f>
        <v>0</v>
      </c>
      <c r="O391" s="475">
        <f>+K391</f>
        <v>0</v>
      </c>
      <c r="P391" s="478" t="str">
        <f>IFERROR(N391/O391,"-")</f>
        <v>-</v>
      </c>
      <c r="Q391" s="475" t="str">
        <f>IFERROR(N391-(J391-(J391*H391/G391)),"-")</f>
        <v>-</v>
      </c>
      <c r="R391" s="475">
        <f>+N391</f>
        <v>0</v>
      </c>
      <c r="S391" s="479" t="str">
        <f>IFERROR(Q391/R391,"-")</f>
        <v>-</v>
      </c>
      <c r="T391" s="480" t="str">
        <f>IFERROR(M391*P391*S391,"-")</f>
        <v>-</v>
      </c>
    </row>
    <row r="392" spans="1:20" ht="23.4" x14ac:dyDescent="0.3">
      <c r="A392" s="248" t="s">
        <v>111</v>
      </c>
      <c r="B392" s="866" t="s">
        <v>234</v>
      </c>
      <c r="C392" s="481">
        <f t="shared" ref="C392:C406" si="315">+D392+E392</f>
        <v>0</v>
      </c>
      <c r="D392" s="250">
        <v>0</v>
      </c>
      <c r="E392" s="251">
        <v>0</v>
      </c>
      <c r="F392" s="619">
        <v>100000</v>
      </c>
      <c r="G392" s="483">
        <f t="shared" ref="G392:G397" si="316">+H392+I392</f>
        <v>0</v>
      </c>
      <c r="H392" s="254">
        <v>0</v>
      </c>
      <c r="I392" s="627">
        <v>0</v>
      </c>
      <c r="J392" s="630">
        <v>0</v>
      </c>
      <c r="K392" s="481">
        <f>+L392-E392</f>
        <v>0</v>
      </c>
      <c r="L392" s="483">
        <f>+J392-D392</f>
        <v>0</v>
      </c>
      <c r="M392" s="484" t="str">
        <f>IFERROR(K392/L392,"-")</f>
        <v>-</v>
      </c>
      <c r="N392" s="485">
        <f>+O392-C392</f>
        <v>0</v>
      </c>
      <c r="O392" s="483">
        <f>+K392</f>
        <v>0</v>
      </c>
      <c r="P392" s="486" t="str">
        <f>IFERROR(N392/O392,"-")</f>
        <v>-</v>
      </c>
      <c r="Q392" s="483" t="str">
        <f t="shared" ref="Q392:Q406" si="317">IFERROR(N392-(J392-(J392*H392/G392)),"-")</f>
        <v>-</v>
      </c>
      <c r="R392" s="483">
        <f t="shared" ref="R392:R406" si="318">+N392</f>
        <v>0</v>
      </c>
      <c r="S392" s="487" t="str">
        <f t="shared" ref="S392:S406" si="319">IFERROR(Q392/R392,"-")</f>
        <v>-</v>
      </c>
      <c r="T392" s="488" t="str">
        <f>IFERROR(M392*P392*S392,"-")</f>
        <v>-</v>
      </c>
    </row>
    <row r="393" spans="1:20" ht="23.4" x14ac:dyDescent="0.3">
      <c r="A393" s="248" t="s">
        <v>111</v>
      </c>
      <c r="B393" s="866" t="s">
        <v>233</v>
      </c>
      <c r="C393" s="481">
        <f t="shared" si="315"/>
        <v>0</v>
      </c>
      <c r="D393" s="250">
        <v>0</v>
      </c>
      <c r="E393" s="251">
        <v>0</v>
      </c>
      <c r="F393" s="619">
        <v>80000</v>
      </c>
      <c r="G393" s="483">
        <f t="shared" si="316"/>
        <v>0</v>
      </c>
      <c r="H393" s="254">
        <v>0</v>
      </c>
      <c r="I393" s="627">
        <v>0</v>
      </c>
      <c r="J393" s="630">
        <v>0</v>
      </c>
      <c r="K393" s="481">
        <f t="shared" ref="K393:K395" si="320">+L393-E393</f>
        <v>0</v>
      </c>
      <c r="L393" s="483">
        <f t="shared" ref="L393:L406" si="321">+J393-D393</f>
        <v>0</v>
      </c>
      <c r="M393" s="484" t="str">
        <f t="shared" ref="M393:M395" si="322">IFERROR(K393/L393,"-")</f>
        <v>-</v>
      </c>
      <c r="N393" s="485">
        <f t="shared" ref="N393:N406" si="323">+O393-C393</f>
        <v>0</v>
      </c>
      <c r="O393" s="483">
        <f t="shared" ref="O393:O406" si="324">+K393</f>
        <v>0</v>
      </c>
      <c r="P393" s="486" t="str">
        <f t="shared" ref="P393:P406" si="325">IFERROR(N393/O393,"-")</f>
        <v>-</v>
      </c>
      <c r="Q393" s="483" t="str">
        <f t="shared" si="317"/>
        <v>-</v>
      </c>
      <c r="R393" s="483">
        <f t="shared" si="318"/>
        <v>0</v>
      </c>
      <c r="S393" s="487" t="str">
        <f t="shared" si="319"/>
        <v>-</v>
      </c>
      <c r="T393" s="488" t="str">
        <f t="shared" ref="T393:T406" si="326">IFERROR(M393*P393*S393,"-")</f>
        <v>-</v>
      </c>
    </row>
    <row r="394" spans="1:20" ht="23.4" x14ac:dyDescent="0.3">
      <c r="A394" s="252" t="s">
        <v>111</v>
      </c>
      <c r="B394" s="866" t="s">
        <v>236</v>
      </c>
      <c r="C394" s="481">
        <f t="shared" si="315"/>
        <v>0</v>
      </c>
      <c r="D394" s="250">
        <v>0</v>
      </c>
      <c r="E394" s="251">
        <v>0</v>
      </c>
      <c r="F394" s="619">
        <v>110000</v>
      </c>
      <c r="G394" s="483">
        <f t="shared" si="316"/>
        <v>0</v>
      </c>
      <c r="H394" s="254">
        <v>0</v>
      </c>
      <c r="I394" s="627">
        <v>0</v>
      </c>
      <c r="J394" s="630">
        <v>0</v>
      </c>
      <c r="K394" s="481">
        <f t="shared" si="320"/>
        <v>0</v>
      </c>
      <c r="L394" s="483">
        <f t="shared" si="321"/>
        <v>0</v>
      </c>
      <c r="M394" s="484" t="str">
        <f t="shared" si="322"/>
        <v>-</v>
      </c>
      <c r="N394" s="485">
        <f t="shared" si="323"/>
        <v>0</v>
      </c>
      <c r="O394" s="483">
        <f t="shared" si="324"/>
        <v>0</v>
      </c>
      <c r="P394" s="486" t="str">
        <f t="shared" si="325"/>
        <v>-</v>
      </c>
      <c r="Q394" s="483" t="str">
        <f t="shared" si="317"/>
        <v>-</v>
      </c>
      <c r="R394" s="483">
        <f t="shared" si="318"/>
        <v>0</v>
      </c>
      <c r="S394" s="487" t="str">
        <f t="shared" si="319"/>
        <v>-</v>
      </c>
      <c r="T394" s="488" t="str">
        <f t="shared" si="326"/>
        <v>-</v>
      </c>
    </row>
    <row r="395" spans="1:20" ht="23.4" x14ac:dyDescent="0.3">
      <c r="A395" s="248" t="s">
        <v>111</v>
      </c>
      <c r="B395" s="866" t="s">
        <v>235</v>
      </c>
      <c r="C395" s="481">
        <f t="shared" si="315"/>
        <v>0</v>
      </c>
      <c r="D395" s="250">
        <v>0</v>
      </c>
      <c r="E395" s="251">
        <v>0</v>
      </c>
      <c r="F395" s="619">
        <v>50000</v>
      </c>
      <c r="G395" s="483">
        <f t="shared" si="316"/>
        <v>0</v>
      </c>
      <c r="H395" s="254">
        <v>0</v>
      </c>
      <c r="I395" s="627">
        <v>0</v>
      </c>
      <c r="J395" s="630">
        <v>0</v>
      </c>
      <c r="K395" s="481">
        <f t="shared" si="320"/>
        <v>0</v>
      </c>
      <c r="L395" s="483">
        <f t="shared" si="321"/>
        <v>0</v>
      </c>
      <c r="M395" s="484" t="str">
        <f t="shared" si="322"/>
        <v>-</v>
      </c>
      <c r="N395" s="485">
        <f t="shared" si="323"/>
        <v>0</v>
      </c>
      <c r="O395" s="483">
        <f t="shared" si="324"/>
        <v>0</v>
      </c>
      <c r="P395" s="486" t="str">
        <f t="shared" si="325"/>
        <v>-</v>
      </c>
      <c r="Q395" s="483" t="str">
        <f t="shared" si="317"/>
        <v>-</v>
      </c>
      <c r="R395" s="483">
        <f t="shared" si="318"/>
        <v>0</v>
      </c>
      <c r="S395" s="487" t="str">
        <f t="shared" si="319"/>
        <v>-</v>
      </c>
      <c r="T395" s="488" t="str">
        <f t="shared" si="326"/>
        <v>-</v>
      </c>
    </row>
    <row r="396" spans="1:20" ht="23.4" x14ac:dyDescent="0.3">
      <c r="A396" s="248">
        <v>5</v>
      </c>
      <c r="B396" s="866" t="s">
        <v>22</v>
      </c>
      <c r="C396" s="481">
        <f t="shared" si="315"/>
        <v>0</v>
      </c>
      <c r="D396" s="250">
        <v>0</v>
      </c>
      <c r="E396" s="251">
        <v>0</v>
      </c>
      <c r="F396" s="619">
        <v>80000</v>
      </c>
      <c r="G396" s="483">
        <f t="shared" si="316"/>
        <v>0</v>
      </c>
      <c r="H396" s="254">
        <v>0</v>
      </c>
      <c r="I396" s="627">
        <v>0</v>
      </c>
      <c r="J396" s="630">
        <v>0</v>
      </c>
      <c r="K396" s="481">
        <f>+L396-E396</f>
        <v>0</v>
      </c>
      <c r="L396" s="483">
        <f t="shared" si="321"/>
        <v>0</v>
      </c>
      <c r="M396" s="484" t="str">
        <f>IFERROR(K396/L396,"-")</f>
        <v>-</v>
      </c>
      <c r="N396" s="485">
        <f t="shared" si="323"/>
        <v>0</v>
      </c>
      <c r="O396" s="483">
        <f t="shared" si="324"/>
        <v>0</v>
      </c>
      <c r="P396" s="486" t="str">
        <f t="shared" si="325"/>
        <v>-</v>
      </c>
      <c r="Q396" s="483" t="str">
        <f t="shared" si="317"/>
        <v>-</v>
      </c>
      <c r="R396" s="483">
        <f t="shared" si="318"/>
        <v>0</v>
      </c>
      <c r="S396" s="487" t="str">
        <f t="shared" si="319"/>
        <v>-</v>
      </c>
      <c r="T396" s="488" t="str">
        <f t="shared" si="326"/>
        <v>-</v>
      </c>
    </row>
    <row r="397" spans="1:20" ht="23.4" x14ac:dyDescent="0.3">
      <c r="A397" s="248" t="s">
        <v>111</v>
      </c>
      <c r="B397" s="866" t="s">
        <v>23</v>
      </c>
      <c r="C397" s="481">
        <f t="shared" si="315"/>
        <v>0</v>
      </c>
      <c r="D397" s="250">
        <v>0</v>
      </c>
      <c r="E397" s="251">
        <v>0</v>
      </c>
      <c r="F397" s="619">
        <v>14000</v>
      </c>
      <c r="G397" s="483">
        <f t="shared" si="316"/>
        <v>0</v>
      </c>
      <c r="H397" s="254">
        <v>0</v>
      </c>
      <c r="I397" s="627">
        <v>0</v>
      </c>
      <c r="J397" s="630">
        <v>0</v>
      </c>
      <c r="K397" s="481">
        <f t="shared" ref="K397:K406" si="327">+L397-E397</f>
        <v>0</v>
      </c>
      <c r="L397" s="483">
        <f t="shared" si="321"/>
        <v>0</v>
      </c>
      <c r="M397" s="484" t="str">
        <f t="shared" ref="M397:M406" si="328">IFERROR(K397/L397,"-")</f>
        <v>-</v>
      </c>
      <c r="N397" s="485">
        <f t="shared" si="323"/>
        <v>0</v>
      </c>
      <c r="O397" s="483">
        <f t="shared" si="324"/>
        <v>0</v>
      </c>
      <c r="P397" s="486" t="str">
        <f t="shared" si="325"/>
        <v>-</v>
      </c>
      <c r="Q397" s="483" t="str">
        <f t="shared" si="317"/>
        <v>-</v>
      </c>
      <c r="R397" s="483">
        <f t="shared" si="318"/>
        <v>0</v>
      </c>
      <c r="S397" s="487" t="str">
        <f t="shared" si="319"/>
        <v>-</v>
      </c>
      <c r="T397" s="488" t="str">
        <f t="shared" si="326"/>
        <v>-</v>
      </c>
    </row>
    <row r="398" spans="1:20" ht="23.4" x14ac:dyDescent="0.3">
      <c r="A398" s="248" t="s">
        <v>111</v>
      </c>
      <c r="B398" s="867" t="s">
        <v>231</v>
      </c>
      <c r="C398" s="489">
        <f t="shared" si="315"/>
        <v>0</v>
      </c>
      <c r="D398" s="250">
        <v>0</v>
      </c>
      <c r="E398" s="251">
        <v>0</v>
      </c>
      <c r="F398" s="619">
        <v>4500</v>
      </c>
      <c r="G398" s="483">
        <f>+H398+I398</f>
        <v>0</v>
      </c>
      <c r="H398" s="254">
        <v>0</v>
      </c>
      <c r="I398" s="322">
        <v>0</v>
      </c>
      <c r="J398" s="630">
        <v>0</v>
      </c>
      <c r="K398" s="489">
        <f t="shared" si="327"/>
        <v>0</v>
      </c>
      <c r="L398" s="250">
        <f t="shared" si="321"/>
        <v>0</v>
      </c>
      <c r="M398" s="490" t="str">
        <f t="shared" si="328"/>
        <v>-</v>
      </c>
      <c r="N398" s="491">
        <f t="shared" si="323"/>
        <v>0</v>
      </c>
      <c r="O398" s="250">
        <f t="shared" si="324"/>
        <v>0</v>
      </c>
      <c r="P398" s="492" t="str">
        <f t="shared" si="325"/>
        <v>-</v>
      </c>
      <c r="Q398" s="250" t="str">
        <f t="shared" si="317"/>
        <v>-</v>
      </c>
      <c r="R398" s="250">
        <f t="shared" si="318"/>
        <v>0</v>
      </c>
      <c r="S398" s="493" t="str">
        <f t="shared" si="319"/>
        <v>-</v>
      </c>
      <c r="T398" s="494" t="str">
        <f t="shared" si="326"/>
        <v>-</v>
      </c>
    </row>
    <row r="399" spans="1:20" ht="24" thickBot="1" x14ac:dyDescent="0.35">
      <c r="A399" s="255" t="s">
        <v>111</v>
      </c>
      <c r="B399" s="868" t="s">
        <v>232</v>
      </c>
      <c r="C399" s="495">
        <f t="shared" si="315"/>
        <v>0</v>
      </c>
      <c r="D399" s="257">
        <v>0</v>
      </c>
      <c r="E399" s="258">
        <v>0</v>
      </c>
      <c r="F399" s="625">
        <v>5000</v>
      </c>
      <c r="G399" s="505">
        <f t="shared" ref="G399:G406" si="329">+H399+I399</f>
        <v>0</v>
      </c>
      <c r="H399" s="259">
        <v>0</v>
      </c>
      <c r="I399" s="628">
        <v>0</v>
      </c>
      <c r="J399" s="633">
        <v>0</v>
      </c>
      <c r="K399" s="495">
        <f t="shared" si="327"/>
        <v>0</v>
      </c>
      <c r="L399" s="257">
        <f t="shared" si="321"/>
        <v>0</v>
      </c>
      <c r="M399" s="496" t="str">
        <f t="shared" si="328"/>
        <v>-</v>
      </c>
      <c r="N399" s="497">
        <f t="shared" si="323"/>
        <v>0</v>
      </c>
      <c r="O399" s="257">
        <f t="shared" si="324"/>
        <v>0</v>
      </c>
      <c r="P399" s="498" t="str">
        <f t="shared" si="325"/>
        <v>-</v>
      </c>
      <c r="Q399" s="257" t="str">
        <f t="shared" si="317"/>
        <v>-</v>
      </c>
      <c r="R399" s="257">
        <f t="shared" si="318"/>
        <v>0</v>
      </c>
      <c r="S399" s="499" t="str">
        <f t="shared" si="319"/>
        <v>-</v>
      </c>
      <c r="T399" s="500" t="str">
        <f t="shared" si="326"/>
        <v>-</v>
      </c>
    </row>
    <row r="400" spans="1:20" ht="23.4" x14ac:dyDescent="0.3">
      <c r="A400" s="252" t="s">
        <v>109</v>
      </c>
      <c r="B400" s="862" t="s">
        <v>29</v>
      </c>
      <c r="C400" s="863">
        <f t="shared" si="315"/>
        <v>45</v>
      </c>
      <c r="D400" s="864">
        <v>30</v>
      </c>
      <c r="E400" s="276">
        <v>15</v>
      </c>
      <c r="F400" s="482">
        <v>80000</v>
      </c>
      <c r="G400" s="483">
        <f t="shared" si="329"/>
        <v>68224</v>
      </c>
      <c r="H400" s="254">
        <v>67626</v>
      </c>
      <c r="I400" s="627">
        <v>598</v>
      </c>
      <c r="J400" s="629">
        <v>450</v>
      </c>
      <c r="K400" s="481">
        <f t="shared" si="327"/>
        <v>405</v>
      </c>
      <c r="L400" s="483">
        <f t="shared" si="321"/>
        <v>420</v>
      </c>
      <c r="M400" s="484">
        <f t="shared" si="328"/>
        <v>0.9642857142857143</v>
      </c>
      <c r="N400" s="485">
        <f t="shared" si="323"/>
        <v>360</v>
      </c>
      <c r="O400" s="483">
        <f t="shared" si="324"/>
        <v>405</v>
      </c>
      <c r="P400" s="486">
        <f t="shared" si="325"/>
        <v>0.88888888888888884</v>
      </c>
      <c r="Q400" s="483">
        <f t="shared" si="317"/>
        <v>356.05564024390242</v>
      </c>
      <c r="R400" s="483">
        <f t="shared" si="318"/>
        <v>360</v>
      </c>
      <c r="S400" s="501">
        <f t="shared" si="319"/>
        <v>0.98904344512195119</v>
      </c>
      <c r="T400" s="502">
        <f t="shared" si="326"/>
        <v>0.84775152439024382</v>
      </c>
    </row>
    <row r="401" spans="1:20" ht="23.4" x14ac:dyDescent="0.3">
      <c r="A401" s="248" t="s">
        <v>109</v>
      </c>
      <c r="B401" s="260" t="s">
        <v>31</v>
      </c>
      <c r="C401" s="481">
        <f t="shared" si="315"/>
        <v>0</v>
      </c>
      <c r="D401" s="250">
        <v>0</v>
      </c>
      <c r="E401" s="251">
        <v>0</v>
      </c>
      <c r="F401" s="482">
        <v>50000</v>
      </c>
      <c r="G401" s="483">
        <f t="shared" si="329"/>
        <v>0</v>
      </c>
      <c r="H401" s="254">
        <v>0</v>
      </c>
      <c r="I401" s="627">
        <v>0</v>
      </c>
      <c r="J401" s="630">
        <v>0</v>
      </c>
      <c r="K401" s="481">
        <f t="shared" si="327"/>
        <v>0</v>
      </c>
      <c r="L401" s="483">
        <f t="shared" si="321"/>
        <v>0</v>
      </c>
      <c r="M401" s="484" t="str">
        <f t="shared" si="328"/>
        <v>-</v>
      </c>
      <c r="N401" s="485">
        <f t="shared" si="323"/>
        <v>0</v>
      </c>
      <c r="O401" s="483">
        <f t="shared" si="324"/>
        <v>0</v>
      </c>
      <c r="P401" s="486" t="str">
        <f t="shared" si="325"/>
        <v>-</v>
      </c>
      <c r="Q401" s="483" t="str">
        <f t="shared" si="317"/>
        <v>-</v>
      </c>
      <c r="R401" s="483">
        <f t="shared" si="318"/>
        <v>0</v>
      </c>
      <c r="S401" s="501" t="str">
        <f t="shared" si="319"/>
        <v>-</v>
      </c>
      <c r="T401" s="502" t="str">
        <f t="shared" si="326"/>
        <v>-</v>
      </c>
    </row>
    <row r="402" spans="1:20" ht="24" thickBot="1" x14ac:dyDescent="0.35">
      <c r="A402" s="255" t="s">
        <v>109</v>
      </c>
      <c r="B402" s="261" t="s">
        <v>32</v>
      </c>
      <c r="C402" s="503">
        <f t="shared" si="315"/>
        <v>0</v>
      </c>
      <c r="D402" s="257">
        <v>0</v>
      </c>
      <c r="E402" s="258">
        <v>0</v>
      </c>
      <c r="F402" s="504">
        <v>110000</v>
      </c>
      <c r="G402" s="505">
        <f t="shared" si="329"/>
        <v>0</v>
      </c>
      <c r="H402" s="259">
        <v>0</v>
      </c>
      <c r="I402" s="705">
        <v>0</v>
      </c>
      <c r="J402" s="633">
        <v>0</v>
      </c>
      <c r="K402" s="503">
        <f t="shared" si="327"/>
        <v>0</v>
      </c>
      <c r="L402" s="505">
        <f t="shared" si="321"/>
        <v>0</v>
      </c>
      <c r="M402" s="506" t="str">
        <f t="shared" si="328"/>
        <v>-</v>
      </c>
      <c r="N402" s="507">
        <f t="shared" si="323"/>
        <v>0</v>
      </c>
      <c r="O402" s="505">
        <f t="shared" si="324"/>
        <v>0</v>
      </c>
      <c r="P402" s="508" t="str">
        <f t="shared" si="325"/>
        <v>-</v>
      </c>
      <c r="Q402" s="505" t="str">
        <f t="shared" si="317"/>
        <v>-</v>
      </c>
      <c r="R402" s="505">
        <f t="shared" si="318"/>
        <v>0</v>
      </c>
      <c r="S402" s="509" t="str">
        <f t="shared" si="319"/>
        <v>-</v>
      </c>
      <c r="T402" s="510" t="str">
        <f t="shared" si="326"/>
        <v>-</v>
      </c>
    </row>
    <row r="403" spans="1:20" ht="23.4" x14ac:dyDescent="0.3">
      <c r="A403" s="248" t="s">
        <v>110</v>
      </c>
      <c r="B403" s="249" t="s">
        <v>238</v>
      </c>
      <c r="C403" s="481">
        <f t="shared" si="315"/>
        <v>0</v>
      </c>
      <c r="D403" s="250">
        <v>0</v>
      </c>
      <c r="E403" s="251">
        <v>0</v>
      </c>
      <c r="F403" s="482">
        <v>6500</v>
      </c>
      <c r="G403" s="483">
        <f t="shared" si="329"/>
        <v>0</v>
      </c>
      <c r="H403" s="482">
        <v>0</v>
      </c>
      <c r="I403" s="631">
        <v>0</v>
      </c>
      <c r="J403" s="630">
        <v>0</v>
      </c>
      <c r="K403" s="481">
        <f t="shared" si="327"/>
        <v>0</v>
      </c>
      <c r="L403" s="483">
        <f t="shared" si="321"/>
        <v>0</v>
      </c>
      <c r="M403" s="484" t="str">
        <f t="shared" si="328"/>
        <v>-</v>
      </c>
      <c r="N403" s="485">
        <f t="shared" si="323"/>
        <v>0</v>
      </c>
      <c r="O403" s="483">
        <f t="shared" si="324"/>
        <v>0</v>
      </c>
      <c r="P403" s="486" t="str">
        <f t="shared" si="325"/>
        <v>-</v>
      </c>
      <c r="Q403" s="483" t="str">
        <f t="shared" si="317"/>
        <v>-</v>
      </c>
      <c r="R403" s="483">
        <f t="shared" si="318"/>
        <v>0</v>
      </c>
      <c r="S403" s="501" t="str">
        <f t="shared" si="319"/>
        <v>-</v>
      </c>
      <c r="T403" s="502" t="str">
        <f t="shared" si="326"/>
        <v>-</v>
      </c>
    </row>
    <row r="404" spans="1:20" ht="23.4" x14ac:dyDescent="0.3">
      <c r="A404" s="252" t="s">
        <v>110</v>
      </c>
      <c r="B404" s="249" t="s">
        <v>40</v>
      </c>
      <c r="C404" s="481">
        <f t="shared" si="315"/>
        <v>30</v>
      </c>
      <c r="D404" s="250">
        <v>30</v>
      </c>
      <c r="E404" s="251">
        <v>0</v>
      </c>
      <c r="F404" s="482">
        <v>2800</v>
      </c>
      <c r="G404" s="483">
        <f t="shared" si="329"/>
        <v>2607</v>
      </c>
      <c r="H404" s="482">
        <v>2400</v>
      </c>
      <c r="I404" s="631">
        <v>207</v>
      </c>
      <c r="J404" s="630">
        <v>480</v>
      </c>
      <c r="K404" s="481">
        <f t="shared" si="327"/>
        <v>450</v>
      </c>
      <c r="L404" s="483">
        <f t="shared" si="321"/>
        <v>450</v>
      </c>
      <c r="M404" s="484">
        <f t="shared" si="328"/>
        <v>1</v>
      </c>
      <c r="N404" s="485">
        <f t="shared" si="323"/>
        <v>420</v>
      </c>
      <c r="O404" s="483">
        <f t="shared" si="324"/>
        <v>450</v>
      </c>
      <c r="P404" s="486">
        <f t="shared" si="325"/>
        <v>0.93333333333333335</v>
      </c>
      <c r="Q404" s="483">
        <f t="shared" si="317"/>
        <v>381.8872266973533</v>
      </c>
      <c r="R404" s="483">
        <f t="shared" si="318"/>
        <v>420</v>
      </c>
      <c r="S404" s="501">
        <f t="shared" si="319"/>
        <v>0.90925530166036495</v>
      </c>
      <c r="T404" s="502">
        <f t="shared" si="326"/>
        <v>0.84863828154967391</v>
      </c>
    </row>
    <row r="405" spans="1:20" ht="23.4" x14ac:dyDescent="0.3">
      <c r="A405" s="248" t="s">
        <v>110</v>
      </c>
      <c r="B405" s="249" t="s">
        <v>42</v>
      </c>
      <c r="C405" s="481">
        <f t="shared" si="315"/>
        <v>30</v>
      </c>
      <c r="D405" s="250">
        <v>30</v>
      </c>
      <c r="E405" s="251">
        <v>0</v>
      </c>
      <c r="F405" s="482">
        <v>25000</v>
      </c>
      <c r="G405" s="483">
        <f t="shared" si="329"/>
        <v>23640</v>
      </c>
      <c r="H405" s="482">
        <v>23520</v>
      </c>
      <c r="I405" s="631">
        <v>120</v>
      </c>
      <c r="J405" s="630">
        <v>480</v>
      </c>
      <c r="K405" s="481">
        <f t="shared" si="327"/>
        <v>450</v>
      </c>
      <c r="L405" s="483">
        <f t="shared" si="321"/>
        <v>450</v>
      </c>
      <c r="M405" s="484">
        <f t="shared" si="328"/>
        <v>1</v>
      </c>
      <c r="N405" s="485">
        <f t="shared" si="323"/>
        <v>420</v>
      </c>
      <c r="O405" s="483">
        <f t="shared" si="324"/>
        <v>450</v>
      </c>
      <c r="P405" s="486">
        <f t="shared" si="325"/>
        <v>0.93333333333333335</v>
      </c>
      <c r="Q405" s="483">
        <f t="shared" si="317"/>
        <v>417.56345177664974</v>
      </c>
      <c r="R405" s="483">
        <f t="shared" si="318"/>
        <v>420</v>
      </c>
      <c r="S405" s="501">
        <f t="shared" si="319"/>
        <v>0.99419869470630895</v>
      </c>
      <c r="T405" s="502">
        <f t="shared" si="326"/>
        <v>0.92791878172588838</v>
      </c>
    </row>
    <row r="406" spans="1:20" ht="47.4" thickBot="1" x14ac:dyDescent="0.35">
      <c r="A406" s="635" t="s">
        <v>110</v>
      </c>
      <c r="B406" s="261" t="s">
        <v>237</v>
      </c>
      <c r="C406" s="636">
        <f t="shared" si="315"/>
        <v>0</v>
      </c>
      <c r="D406" s="637">
        <v>0</v>
      </c>
      <c r="E406" s="638">
        <v>0</v>
      </c>
      <c r="F406" s="639">
        <v>25000</v>
      </c>
      <c r="G406" s="640">
        <f t="shared" si="329"/>
        <v>0</v>
      </c>
      <c r="H406" s="639">
        <v>0</v>
      </c>
      <c r="I406" s="641">
        <v>0</v>
      </c>
      <c r="J406" s="634">
        <v>0</v>
      </c>
      <c r="K406" s="636">
        <f t="shared" si="327"/>
        <v>0</v>
      </c>
      <c r="L406" s="640">
        <f t="shared" si="321"/>
        <v>0</v>
      </c>
      <c r="M406" s="642" t="str">
        <f t="shared" si="328"/>
        <v>-</v>
      </c>
      <c r="N406" s="643">
        <f t="shared" si="323"/>
        <v>0</v>
      </c>
      <c r="O406" s="640">
        <f t="shared" si="324"/>
        <v>0</v>
      </c>
      <c r="P406" s="644" t="str">
        <f t="shared" si="325"/>
        <v>-</v>
      </c>
      <c r="Q406" s="640" t="str">
        <f t="shared" si="317"/>
        <v>-</v>
      </c>
      <c r="R406" s="640">
        <f t="shared" si="318"/>
        <v>0</v>
      </c>
      <c r="S406" s="645" t="str">
        <f t="shared" si="319"/>
        <v>-</v>
      </c>
      <c r="T406" s="646" t="str">
        <f t="shared" si="326"/>
        <v>-</v>
      </c>
    </row>
    <row r="407" spans="1:20" ht="23.4" x14ac:dyDescent="0.3">
      <c r="A407" s="935" t="s">
        <v>1</v>
      </c>
      <c r="B407" s="944" t="s">
        <v>2</v>
      </c>
      <c r="C407" s="944" t="s">
        <v>226</v>
      </c>
      <c r="D407" s="945"/>
      <c r="E407" s="946"/>
      <c r="F407" s="944" t="s">
        <v>489</v>
      </c>
      <c r="G407" s="945"/>
      <c r="H407" s="945"/>
      <c r="I407" s="946"/>
      <c r="J407" s="1040" t="s">
        <v>223</v>
      </c>
      <c r="K407" s="944" t="s">
        <v>211</v>
      </c>
      <c r="L407" s="945"/>
      <c r="M407" s="946"/>
      <c r="N407" s="945" t="s">
        <v>212</v>
      </c>
      <c r="O407" s="945"/>
      <c r="P407" s="946"/>
      <c r="Q407" s="944" t="s">
        <v>213</v>
      </c>
      <c r="R407" s="945"/>
      <c r="S407" s="945"/>
      <c r="T407" s="1042" t="s">
        <v>210</v>
      </c>
    </row>
    <row r="408" spans="1:20" ht="87.6" thickBot="1" x14ac:dyDescent="0.35">
      <c r="A408" s="1038"/>
      <c r="B408" s="1039"/>
      <c r="C408" s="235" t="s">
        <v>227</v>
      </c>
      <c r="D408" s="236" t="s">
        <v>224</v>
      </c>
      <c r="E408" s="237" t="s">
        <v>225</v>
      </c>
      <c r="F408" s="238" t="s">
        <v>382</v>
      </c>
      <c r="G408" s="236" t="s">
        <v>220</v>
      </c>
      <c r="H408" s="239" t="s">
        <v>221</v>
      </c>
      <c r="I408" s="240" t="s">
        <v>222</v>
      </c>
      <c r="J408" s="1041"/>
      <c r="K408" s="235" t="s">
        <v>214</v>
      </c>
      <c r="L408" s="239" t="s">
        <v>215</v>
      </c>
      <c r="M408" s="241" t="s">
        <v>228</v>
      </c>
      <c r="N408" s="242" t="s">
        <v>216</v>
      </c>
      <c r="O408" s="239" t="s">
        <v>217</v>
      </c>
      <c r="P408" s="241" t="s">
        <v>229</v>
      </c>
      <c r="Q408" s="235" t="s">
        <v>218</v>
      </c>
      <c r="R408" s="239" t="s">
        <v>219</v>
      </c>
      <c r="S408" s="243" t="s">
        <v>230</v>
      </c>
      <c r="T408" s="1043"/>
    </row>
    <row r="409" spans="1:20" ht="23.4" x14ac:dyDescent="0.3">
      <c r="A409" s="244" t="s">
        <v>111</v>
      </c>
      <c r="B409" s="865" t="s">
        <v>16</v>
      </c>
      <c r="C409" s="474">
        <f>+D409+E409</f>
        <v>0</v>
      </c>
      <c r="D409" s="246">
        <v>0</v>
      </c>
      <c r="E409" s="247">
        <v>0</v>
      </c>
      <c r="F409" s="618">
        <v>15000</v>
      </c>
      <c r="G409" s="475">
        <f>+H409+I409</f>
        <v>0</v>
      </c>
      <c r="H409" s="624">
        <v>0</v>
      </c>
      <c r="I409" s="626">
        <v>0</v>
      </c>
      <c r="J409" s="629">
        <v>0</v>
      </c>
      <c r="K409" s="474">
        <f>+L409-E409</f>
        <v>0</v>
      </c>
      <c r="L409" s="475">
        <f>+J409-D409</f>
        <v>0</v>
      </c>
      <c r="M409" s="476" t="str">
        <f>IFERROR(K409/L409,"-")</f>
        <v>-</v>
      </c>
      <c r="N409" s="477">
        <f>+O409-C409</f>
        <v>0</v>
      </c>
      <c r="O409" s="475">
        <f>+K409</f>
        <v>0</v>
      </c>
      <c r="P409" s="478" t="str">
        <f>IFERROR(N409/O409,"-")</f>
        <v>-</v>
      </c>
      <c r="Q409" s="475" t="str">
        <f>IFERROR(N409-(J409-(J409*H409/G409)),"-")</f>
        <v>-</v>
      </c>
      <c r="R409" s="475">
        <f>+N409</f>
        <v>0</v>
      </c>
      <c r="S409" s="479" t="str">
        <f>IFERROR(Q409/R409,"-")</f>
        <v>-</v>
      </c>
      <c r="T409" s="480" t="str">
        <f>IFERROR(M409*P409*S409,"-")</f>
        <v>-</v>
      </c>
    </row>
    <row r="410" spans="1:20" ht="23.4" x14ac:dyDescent="0.3">
      <c r="A410" s="248" t="s">
        <v>111</v>
      </c>
      <c r="B410" s="866" t="s">
        <v>234</v>
      </c>
      <c r="C410" s="481">
        <f t="shared" ref="C410:C424" si="330">+D410+E410</f>
        <v>0</v>
      </c>
      <c r="D410" s="250">
        <v>0</v>
      </c>
      <c r="E410" s="251">
        <v>0</v>
      </c>
      <c r="F410" s="619">
        <v>100000</v>
      </c>
      <c r="G410" s="483">
        <f t="shared" ref="G410:G415" si="331">+H410+I410</f>
        <v>0</v>
      </c>
      <c r="H410" s="254">
        <v>0</v>
      </c>
      <c r="I410" s="627">
        <v>0</v>
      </c>
      <c r="J410" s="630">
        <v>0</v>
      </c>
      <c r="K410" s="481">
        <f>+L410-E410</f>
        <v>0</v>
      </c>
      <c r="L410" s="483">
        <f>+J410-D410</f>
        <v>0</v>
      </c>
      <c r="M410" s="484" t="str">
        <f>IFERROR(K410/L410,"-")</f>
        <v>-</v>
      </c>
      <c r="N410" s="485">
        <f>+O410-C410</f>
        <v>0</v>
      </c>
      <c r="O410" s="483">
        <f>+K410</f>
        <v>0</v>
      </c>
      <c r="P410" s="486" t="str">
        <f>IFERROR(N410/O410,"-")</f>
        <v>-</v>
      </c>
      <c r="Q410" s="483" t="str">
        <f t="shared" ref="Q410:Q424" si="332">IFERROR(N410-(J410-(J410*H410/G410)),"-")</f>
        <v>-</v>
      </c>
      <c r="R410" s="483">
        <f t="shared" ref="R410:R424" si="333">+N410</f>
        <v>0</v>
      </c>
      <c r="S410" s="487" t="str">
        <f t="shared" ref="S410:S424" si="334">IFERROR(Q410/R410,"-")</f>
        <v>-</v>
      </c>
      <c r="T410" s="488" t="str">
        <f>IFERROR(M410*P410*S410,"-")</f>
        <v>-</v>
      </c>
    </row>
    <row r="411" spans="1:20" ht="23.4" x14ac:dyDescent="0.3">
      <c r="A411" s="248" t="s">
        <v>111</v>
      </c>
      <c r="B411" s="866" t="s">
        <v>233</v>
      </c>
      <c r="C411" s="481">
        <f t="shared" si="330"/>
        <v>0</v>
      </c>
      <c r="D411" s="250">
        <v>0</v>
      </c>
      <c r="E411" s="251">
        <v>0</v>
      </c>
      <c r="F411" s="619">
        <v>80000</v>
      </c>
      <c r="G411" s="483">
        <f t="shared" si="331"/>
        <v>0</v>
      </c>
      <c r="H411" s="254">
        <v>0</v>
      </c>
      <c r="I411" s="627">
        <v>0</v>
      </c>
      <c r="J411" s="630">
        <v>0</v>
      </c>
      <c r="K411" s="481">
        <f t="shared" ref="K411:K413" si="335">+L411-E411</f>
        <v>0</v>
      </c>
      <c r="L411" s="483">
        <f t="shared" ref="L411:L424" si="336">+J411-D411</f>
        <v>0</v>
      </c>
      <c r="M411" s="484" t="str">
        <f t="shared" ref="M411:M413" si="337">IFERROR(K411/L411,"-")</f>
        <v>-</v>
      </c>
      <c r="N411" s="485">
        <f t="shared" ref="N411:N424" si="338">+O411-C411</f>
        <v>0</v>
      </c>
      <c r="O411" s="483">
        <f t="shared" ref="O411:O424" si="339">+K411</f>
        <v>0</v>
      </c>
      <c r="P411" s="486" t="str">
        <f t="shared" ref="P411:P424" si="340">IFERROR(N411/O411,"-")</f>
        <v>-</v>
      </c>
      <c r="Q411" s="483" t="str">
        <f t="shared" si="332"/>
        <v>-</v>
      </c>
      <c r="R411" s="483">
        <f t="shared" si="333"/>
        <v>0</v>
      </c>
      <c r="S411" s="487" t="str">
        <f t="shared" si="334"/>
        <v>-</v>
      </c>
      <c r="T411" s="488" t="str">
        <f t="shared" ref="T411:T424" si="341">IFERROR(M411*P411*S411,"-")</f>
        <v>-</v>
      </c>
    </row>
    <row r="412" spans="1:20" ht="23.4" x14ac:dyDescent="0.3">
      <c r="A412" s="252" t="s">
        <v>111</v>
      </c>
      <c r="B412" s="866" t="s">
        <v>236</v>
      </c>
      <c r="C412" s="481">
        <f t="shared" si="330"/>
        <v>0</v>
      </c>
      <c r="D412" s="250">
        <v>0</v>
      </c>
      <c r="E412" s="251">
        <v>0</v>
      </c>
      <c r="F412" s="619">
        <v>110000</v>
      </c>
      <c r="G412" s="483">
        <f t="shared" si="331"/>
        <v>0</v>
      </c>
      <c r="H412" s="254">
        <v>0</v>
      </c>
      <c r="I412" s="627">
        <v>0</v>
      </c>
      <c r="J412" s="630">
        <v>0</v>
      </c>
      <c r="K412" s="481">
        <f t="shared" si="335"/>
        <v>0</v>
      </c>
      <c r="L412" s="483">
        <f t="shared" si="336"/>
        <v>0</v>
      </c>
      <c r="M412" s="484" t="str">
        <f t="shared" si="337"/>
        <v>-</v>
      </c>
      <c r="N412" s="485">
        <f t="shared" si="338"/>
        <v>0</v>
      </c>
      <c r="O412" s="483">
        <f t="shared" si="339"/>
        <v>0</v>
      </c>
      <c r="P412" s="486" t="str">
        <f t="shared" si="340"/>
        <v>-</v>
      </c>
      <c r="Q412" s="483" t="str">
        <f t="shared" si="332"/>
        <v>-</v>
      </c>
      <c r="R412" s="483">
        <f t="shared" si="333"/>
        <v>0</v>
      </c>
      <c r="S412" s="487" t="str">
        <f t="shared" si="334"/>
        <v>-</v>
      </c>
      <c r="T412" s="488" t="str">
        <f t="shared" si="341"/>
        <v>-</v>
      </c>
    </row>
    <row r="413" spans="1:20" ht="23.4" x14ac:dyDescent="0.3">
      <c r="A413" s="248" t="s">
        <v>111</v>
      </c>
      <c r="B413" s="866" t="s">
        <v>235</v>
      </c>
      <c r="C413" s="481">
        <f t="shared" si="330"/>
        <v>0</v>
      </c>
      <c r="D413" s="250">
        <v>0</v>
      </c>
      <c r="E413" s="251">
        <v>0</v>
      </c>
      <c r="F413" s="619">
        <v>50000</v>
      </c>
      <c r="G413" s="483">
        <f t="shared" si="331"/>
        <v>0</v>
      </c>
      <c r="H413" s="254">
        <v>0</v>
      </c>
      <c r="I413" s="627">
        <v>0</v>
      </c>
      <c r="J413" s="630">
        <v>0</v>
      </c>
      <c r="K413" s="481">
        <f t="shared" si="335"/>
        <v>0</v>
      </c>
      <c r="L413" s="483">
        <f t="shared" si="336"/>
        <v>0</v>
      </c>
      <c r="M413" s="484" t="str">
        <f t="shared" si="337"/>
        <v>-</v>
      </c>
      <c r="N413" s="485">
        <f t="shared" si="338"/>
        <v>0</v>
      </c>
      <c r="O413" s="483">
        <f t="shared" si="339"/>
        <v>0</v>
      </c>
      <c r="P413" s="486" t="str">
        <f t="shared" si="340"/>
        <v>-</v>
      </c>
      <c r="Q413" s="483" t="str">
        <f t="shared" si="332"/>
        <v>-</v>
      </c>
      <c r="R413" s="483">
        <f t="shared" si="333"/>
        <v>0</v>
      </c>
      <c r="S413" s="487" t="str">
        <f t="shared" si="334"/>
        <v>-</v>
      </c>
      <c r="T413" s="488" t="str">
        <f t="shared" si="341"/>
        <v>-</v>
      </c>
    </row>
    <row r="414" spans="1:20" ht="23.4" x14ac:dyDescent="0.3">
      <c r="A414" s="248">
        <v>5</v>
      </c>
      <c r="B414" s="866" t="s">
        <v>22</v>
      </c>
      <c r="C414" s="481">
        <f t="shared" si="330"/>
        <v>0</v>
      </c>
      <c r="D414" s="250">
        <v>0</v>
      </c>
      <c r="E414" s="251">
        <v>0</v>
      </c>
      <c r="F414" s="619">
        <v>80000</v>
      </c>
      <c r="G414" s="483">
        <f t="shared" si="331"/>
        <v>0</v>
      </c>
      <c r="H414" s="254">
        <v>0</v>
      </c>
      <c r="I414" s="627">
        <v>0</v>
      </c>
      <c r="J414" s="630">
        <v>0</v>
      </c>
      <c r="K414" s="481">
        <f>+L414-E414</f>
        <v>0</v>
      </c>
      <c r="L414" s="483">
        <f t="shared" si="336"/>
        <v>0</v>
      </c>
      <c r="M414" s="484" t="str">
        <f>IFERROR(K414/L414,"-")</f>
        <v>-</v>
      </c>
      <c r="N414" s="485">
        <f t="shared" si="338"/>
        <v>0</v>
      </c>
      <c r="O414" s="483">
        <f t="shared" si="339"/>
        <v>0</v>
      </c>
      <c r="P414" s="486" t="str">
        <f t="shared" si="340"/>
        <v>-</v>
      </c>
      <c r="Q414" s="483" t="str">
        <f t="shared" si="332"/>
        <v>-</v>
      </c>
      <c r="R414" s="483">
        <f t="shared" si="333"/>
        <v>0</v>
      </c>
      <c r="S414" s="487" t="str">
        <f t="shared" si="334"/>
        <v>-</v>
      </c>
      <c r="T414" s="488" t="str">
        <f t="shared" si="341"/>
        <v>-</v>
      </c>
    </row>
    <row r="415" spans="1:20" ht="23.4" x14ac:dyDescent="0.3">
      <c r="A415" s="248" t="s">
        <v>111</v>
      </c>
      <c r="B415" s="866" t="s">
        <v>23</v>
      </c>
      <c r="C415" s="481">
        <f t="shared" si="330"/>
        <v>0</v>
      </c>
      <c r="D415" s="250">
        <v>0</v>
      </c>
      <c r="E415" s="251">
        <v>0</v>
      </c>
      <c r="F415" s="619">
        <v>14000</v>
      </c>
      <c r="G415" s="483">
        <f t="shared" si="331"/>
        <v>0</v>
      </c>
      <c r="H415" s="254">
        <v>0</v>
      </c>
      <c r="I415" s="627">
        <v>0</v>
      </c>
      <c r="J415" s="630">
        <v>0</v>
      </c>
      <c r="K415" s="481">
        <f t="shared" ref="K415:K424" si="342">+L415-E415</f>
        <v>0</v>
      </c>
      <c r="L415" s="483">
        <f t="shared" si="336"/>
        <v>0</v>
      </c>
      <c r="M415" s="484" t="str">
        <f t="shared" ref="M415:M424" si="343">IFERROR(K415/L415,"-")</f>
        <v>-</v>
      </c>
      <c r="N415" s="485">
        <f t="shared" si="338"/>
        <v>0</v>
      </c>
      <c r="O415" s="483">
        <f t="shared" si="339"/>
        <v>0</v>
      </c>
      <c r="P415" s="486" t="str">
        <f t="shared" si="340"/>
        <v>-</v>
      </c>
      <c r="Q415" s="483" t="str">
        <f t="shared" si="332"/>
        <v>-</v>
      </c>
      <c r="R415" s="483">
        <f t="shared" si="333"/>
        <v>0</v>
      </c>
      <c r="S415" s="487" t="str">
        <f t="shared" si="334"/>
        <v>-</v>
      </c>
      <c r="T415" s="488" t="str">
        <f t="shared" si="341"/>
        <v>-</v>
      </c>
    </row>
    <row r="416" spans="1:20" ht="23.4" x14ac:dyDescent="0.3">
      <c r="A416" s="248" t="s">
        <v>111</v>
      </c>
      <c r="B416" s="867" t="s">
        <v>231</v>
      </c>
      <c r="C416" s="489">
        <f t="shared" si="330"/>
        <v>0</v>
      </c>
      <c r="D416" s="250">
        <v>0</v>
      </c>
      <c r="E416" s="251">
        <v>0</v>
      </c>
      <c r="F416" s="619">
        <v>4500</v>
      </c>
      <c r="G416" s="483">
        <f>+H416+I416</f>
        <v>0</v>
      </c>
      <c r="H416" s="254">
        <v>0</v>
      </c>
      <c r="I416" s="322">
        <v>0</v>
      </c>
      <c r="J416" s="630">
        <v>0</v>
      </c>
      <c r="K416" s="489">
        <f t="shared" si="342"/>
        <v>0</v>
      </c>
      <c r="L416" s="250">
        <f t="shared" si="336"/>
        <v>0</v>
      </c>
      <c r="M416" s="490" t="str">
        <f t="shared" si="343"/>
        <v>-</v>
      </c>
      <c r="N416" s="491">
        <f t="shared" si="338"/>
        <v>0</v>
      </c>
      <c r="O416" s="250">
        <f t="shared" si="339"/>
        <v>0</v>
      </c>
      <c r="P416" s="492" t="str">
        <f t="shared" si="340"/>
        <v>-</v>
      </c>
      <c r="Q416" s="250" t="str">
        <f t="shared" si="332"/>
        <v>-</v>
      </c>
      <c r="R416" s="250">
        <f t="shared" si="333"/>
        <v>0</v>
      </c>
      <c r="S416" s="493" t="str">
        <f t="shared" si="334"/>
        <v>-</v>
      </c>
      <c r="T416" s="494" t="str">
        <f t="shared" si="341"/>
        <v>-</v>
      </c>
    </row>
    <row r="417" spans="1:20" ht="24" thickBot="1" x14ac:dyDescent="0.35">
      <c r="A417" s="255" t="s">
        <v>111</v>
      </c>
      <c r="B417" s="868" t="s">
        <v>232</v>
      </c>
      <c r="C417" s="495">
        <f t="shared" si="330"/>
        <v>0</v>
      </c>
      <c r="D417" s="257">
        <v>0</v>
      </c>
      <c r="E417" s="258">
        <v>0</v>
      </c>
      <c r="F417" s="625">
        <v>5000</v>
      </c>
      <c r="G417" s="505">
        <f t="shared" ref="G417:G424" si="344">+H417+I417</f>
        <v>0</v>
      </c>
      <c r="H417" s="259">
        <v>0</v>
      </c>
      <c r="I417" s="628">
        <v>0</v>
      </c>
      <c r="J417" s="633">
        <v>0</v>
      </c>
      <c r="K417" s="495">
        <f t="shared" si="342"/>
        <v>0</v>
      </c>
      <c r="L417" s="257">
        <f t="shared" si="336"/>
        <v>0</v>
      </c>
      <c r="M417" s="496" t="str">
        <f t="shared" si="343"/>
        <v>-</v>
      </c>
      <c r="N417" s="497">
        <f t="shared" si="338"/>
        <v>0</v>
      </c>
      <c r="O417" s="257">
        <f t="shared" si="339"/>
        <v>0</v>
      </c>
      <c r="P417" s="498" t="str">
        <f t="shared" si="340"/>
        <v>-</v>
      </c>
      <c r="Q417" s="257" t="str">
        <f t="shared" si="332"/>
        <v>-</v>
      </c>
      <c r="R417" s="257">
        <f t="shared" si="333"/>
        <v>0</v>
      </c>
      <c r="S417" s="499" t="str">
        <f t="shared" si="334"/>
        <v>-</v>
      </c>
      <c r="T417" s="500" t="str">
        <f t="shared" si="341"/>
        <v>-</v>
      </c>
    </row>
    <row r="418" spans="1:20" ht="23.4" x14ac:dyDescent="0.3">
      <c r="A418" s="252" t="s">
        <v>109</v>
      </c>
      <c r="B418" s="862" t="s">
        <v>29</v>
      </c>
      <c r="C418" s="863">
        <f t="shared" si="330"/>
        <v>0</v>
      </c>
      <c r="D418" s="864">
        <v>0</v>
      </c>
      <c r="E418" s="276">
        <v>0</v>
      </c>
      <c r="F418" s="482">
        <v>80000</v>
      </c>
      <c r="G418" s="483">
        <f t="shared" si="344"/>
        <v>0</v>
      </c>
      <c r="H418" s="254">
        <v>0</v>
      </c>
      <c r="I418" s="627">
        <v>0</v>
      </c>
      <c r="J418" s="629">
        <v>0</v>
      </c>
      <c r="K418" s="481">
        <f t="shared" si="342"/>
        <v>0</v>
      </c>
      <c r="L418" s="483">
        <f t="shared" si="336"/>
        <v>0</v>
      </c>
      <c r="M418" s="484" t="str">
        <f t="shared" si="343"/>
        <v>-</v>
      </c>
      <c r="N418" s="485">
        <f t="shared" si="338"/>
        <v>0</v>
      </c>
      <c r="O418" s="483">
        <f t="shared" si="339"/>
        <v>0</v>
      </c>
      <c r="P418" s="486" t="str">
        <f t="shared" si="340"/>
        <v>-</v>
      </c>
      <c r="Q418" s="483" t="str">
        <f t="shared" si="332"/>
        <v>-</v>
      </c>
      <c r="R418" s="483">
        <f t="shared" si="333"/>
        <v>0</v>
      </c>
      <c r="S418" s="501" t="str">
        <f t="shared" si="334"/>
        <v>-</v>
      </c>
      <c r="T418" s="502" t="str">
        <f t="shared" si="341"/>
        <v>-</v>
      </c>
    </row>
    <row r="419" spans="1:20" ht="23.4" x14ac:dyDescent="0.3">
      <c r="A419" s="248" t="s">
        <v>109</v>
      </c>
      <c r="B419" s="260" t="s">
        <v>31</v>
      </c>
      <c r="C419" s="481">
        <f t="shared" si="330"/>
        <v>0</v>
      </c>
      <c r="D419" s="250">
        <v>0</v>
      </c>
      <c r="E419" s="251">
        <v>0</v>
      </c>
      <c r="F419" s="482">
        <v>50000</v>
      </c>
      <c r="G419" s="483">
        <f t="shared" si="344"/>
        <v>0</v>
      </c>
      <c r="H419" s="254">
        <v>0</v>
      </c>
      <c r="I419" s="627">
        <v>0</v>
      </c>
      <c r="J419" s="630">
        <v>0</v>
      </c>
      <c r="K419" s="481">
        <f t="shared" si="342"/>
        <v>0</v>
      </c>
      <c r="L419" s="483">
        <f t="shared" si="336"/>
        <v>0</v>
      </c>
      <c r="M419" s="484" t="str">
        <f t="shared" si="343"/>
        <v>-</v>
      </c>
      <c r="N419" s="485">
        <f t="shared" si="338"/>
        <v>0</v>
      </c>
      <c r="O419" s="483">
        <f t="shared" si="339"/>
        <v>0</v>
      </c>
      <c r="P419" s="486" t="str">
        <f t="shared" si="340"/>
        <v>-</v>
      </c>
      <c r="Q419" s="483" t="str">
        <f t="shared" si="332"/>
        <v>-</v>
      </c>
      <c r="R419" s="483">
        <f t="shared" si="333"/>
        <v>0</v>
      </c>
      <c r="S419" s="501" t="str">
        <f t="shared" si="334"/>
        <v>-</v>
      </c>
      <c r="T419" s="502" t="str">
        <f t="shared" si="341"/>
        <v>-</v>
      </c>
    </row>
    <row r="420" spans="1:20" ht="24" thickBot="1" x14ac:dyDescent="0.35">
      <c r="A420" s="255" t="s">
        <v>109</v>
      </c>
      <c r="B420" s="261" t="s">
        <v>32</v>
      </c>
      <c r="C420" s="503">
        <f t="shared" si="330"/>
        <v>0</v>
      </c>
      <c r="D420" s="257">
        <v>0</v>
      </c>
      <c r="E420" s="258">
        <v>0</v>
      </c>
      <c r="F420" s="504">
        <v>110000</v>
      </c>
      <c r="G420" s="505">
        <f t="shared" si="344"/>
        <v>0</v>
      </c>
      <c r="H420" s="259">
        <v>0</v>
      </c>
      <c r="I420" s="705">
        <v>0</v>
      </c>
      <c r="J420" s="633">
        <v>0</v>
      </c>
      <c r="K420" s="503">
        <f t="shared" si="342"/>
        <v>0</v>
      </c>
      <c r="L420" s="505">
        <f t="shared" si="336"/>
        <v>0</v>
      </c>
      <c r="M420" s="506" t="str">
        <f t="shared" si="343"/>
        <v>-</v>
      </c>
      <c r="N420" s="507">
        <f t="shared" si="338"/>
        <v>0</v>
      </c>
      <c r="O420" s="505">
        <f t="shared" si="339"/>
        <v>0</v>
      </c>
      <c r="P420" s="508" t="str">
        <f t="shared" si="340"/>
        <v>-</v>
      </c>
      <c r="Q420" s="505" t="str">
        <f t="shared" si="332"/>
        <v>-</v>
      </c>
      <c r="R420" s="505">
        <f t="shared" si="333"/>
        <v>0</v>
      </c>
      <c r="S420" s="509" t="str">
        <f t="shared" si="334"/>
        <v>-</v>
      </c>
      <c r="T420" s="510" t="str">
        <f t="shared" si="341"/>
        <v>-</v>
      </c>
    </row>
    <row r="421" spans="1:20" ht="23.4" x14ac:dyDescent="0.3">
      <c r="A421" s="248" t="s">
        <v>110</v>
      </c>
      <c r="B421" s="249" t="s">
        <v>238</v>
      </c>
      <c r="C421" s="481">
        <f t="shared" si="330"/>
        <v>0</v>
      </c>
      <c r="D421" s="250">
        <v>0</v>
      </c>
      <c r="E421" s="251">
        <v>0</v>
      </c>
      <c r="F421" s="482">
        <v>6500</v>
      </c>
      <c r="G421" s="483">
        <f t="shared" si="344"/>
        <v>0</v>
      </c>
      <c r="H421" s="482">
        <v>0</v>
      </c>
      <c r="I421" s="631">
        <v>0</v>
      </c>
      <c r="J421" s="630">
        <v>0</v>
      </c>
      <c r="K421" s="481">
        <f t="shared" si="342"/>
        <v>0</v>
      </c>
      <c r="L421" s="483">
        <f t="shared" si="336"/>
        <v>0</v>
      </c>
      <c r="M421" s="484" t="str">
        <f t="shared" si="343"/>
        <v>-</v>
      </c>
      <c r="N421" s="485">
        <f t="shared" si="338"/>
        <v>0</v>
      </c>
      <c r="O421" s="483">
        <f t="shared" si="339"/>
        <v>0</v>
      </c>
      <c r="P421" s="486" t="str">
        <f t="shared" si="340"/>
        <v>-</v>
      </c>
      <c r="Q421" s="483" t="str">
        <f t="shared" si="332"/>
        <v>-</v>
      </c>
      <c r="R421" s="483">
        <f t="shared" si="333"/>
        <v>0</v>
      </c>
      <c r="S421" s="501" t="str">
        <f t="shared" si="334"/>
        <v>-</v>
      </c>
      <c r="T421" s="502" t="str">
        <f t="shared" si="341"/>
        <v>-</v>
      </c>
    </row>
    <row r="422" spans="1:20" ht="23.4" x14ac:dyDescent="0.3">
      <c r="A422" s="252" t="s">
        <v>110</v>
      </c>
      <c r="B422" s="249" t="s">
        <v>40</v>
      </c>
      <c r="C422" s="481">
        <f t="shared" si="330"/>
        <v>0</v>
      </c>
      <c r="D422" s="250">
        <v>0</v>
      </c>
      <c r="E422" s="251">
        <v>0</v>
      </c>
      <c r="F422" s="482">
        <v>2800</v>
      </c>
      <c r="G422" s="483">
        <f t="shared" si="344"/>
        <v>0</v>
      </c>
      <c r="H422" s="482">
        <v>0</v>
      </c>
      <c r="I422" s="631">
        <v>0</v>
      </c>
      <c r="J422" s="630">
        <v>0</v>
      </c>
      <c r="K422" s="481">
        <f t="shared" si="342"/>
        <v>0</v>
      </c>
      <c r="L422" s="483">
        <f t="shared" si="336"/>
        <v>0</v>
      </c>
      <c r="M422" s="484" t="str">
        <f t="shared" si="343"/>
        <v>-</v>
      </c>
      <c r="N422" s="485">
        <f t="shared" si="338"/>
        <v>0</v>
      </c>
      <c r="O422" s="483">
        <f t="shared" si="339"/>
        <v>0</v>
      </c>
      <c r="P422" s="486" t="str">
        <f t="shared" si="340"/>
        <v>-</v>
      </c>
      <c r="Q422" s="483" t="str">
        <f t="shared" si="332"/>
        <v>-</v>
      </c>
      <c r="R422" s="483">
        <f t="shared" si="333"/>
        <v>0</v>
      </c>
      <c r="S422" s="501" t="str">
        <f t="shared" si="334"/>
        <v>-</v>
      </c>
      <c r="T422" s="502" t="str">
        <f t="shared" si="341"/>
        <v>-</v>
      </c>
    </row>
    <row r="423" spans="1:20" ht="23.4" x14ac:dyDescent="0.3">
      <c r="A423" s="248" t="s">
        <v>110</v>
      </c>
      <c r="B423" s="249" t="s">
        <v>42</v>
      </c>
      <c r="C423" s="481">
        <f t="shared" si="330"/>
        <v>0</v>
      </c>
      <c r="D423" s="250">
        <v>0</v>
      </c>
      <c r="E423" s="251">
        <v>0</v>
      </c>
      <c r="F423" s="482">
        <v>25000</v>
      </c>
      <c r="G423" s="483">
        <f t="shared" si="344"/>
        <v>0</v>
      </c>
      <c r="H423" s="482">
        <v>0</v>
      </c>
      <c r="I423" s="631">
        <v>0</v>
      </c>
      <c r="J423" s="630">
        <v>0</v>
      </c>
      <c r="K423" s="481">
        <f t="shared" si="342"/>
        <v>0</v>
      </c>
      <c r="L423" s="483">
        <f t="shared" si="336"/>
        <v>0</v>
      </c>
      <c r="M423" s="484" t="str">
        <f t="shared" si="343"/>
        <v>-</v>
      </c>
      <c r="N423" s="485">
        <f t="shared" si="338"/>
        <v>0</v>
      </c>
      <c r="O423" s="483">
        <f t="shared" si="339"/>
        <v>0</v>
      </c>
      <c r="P423" s="486" t="str">
        <f t="shared" si="340"/>
        <v>-</v>
      </c>
      <c r="Q423" s="483" t="str">
        <f t="shared" si="332"/>
        <v>-</v>
      </c>
      <c r="R423" s="483">
        <f t="shared" si="333"/>
        <v>0</v>
      </c>
      <c r="S423" s="501" t="str">
        <f t="shared" si="334"/>
        <v>-</v>
      </c>
      <c r="T423" s="502" t="str">
        <f t="shared" si="341"/>
        <v>-</v>
      </c>
    </row>
    <row r="424" spans="1:20" ht="47.4" thickBot="1" x14ac:dyDescent="0.35">
      <c r="A424" s="635" t="s">
        <v>110</v>
      </c>
      <c r="B424" s="261" t="s">
        <v>237</v>
      </c>
      <c r="C424" s="636">
        <f t="shared" si="330"/>
        <v>0</v>
      </c>
      <c r="D424" s="637">
        <v>0</v>
      </c>
      <c r="E424" s="638">
        <v>0</v>
      </c>
      <c r="F424" s="639">
        <v>25000</v>
      </c>
      <c r="G424" s="640">
        <f t="shared" si="344"/>
        <v>0</v>
      </c>
      <c r="H424" s="639">
        <v>0</v>
      </c>
      <c r="I424" s="641">
        <v>0</v>
      </c>
      <c r="J424" s="634">
        <v>0</v>
      </c>
      <c r="K424" s="636">
        <f t="shared" si="342"/>
        <v>0</v>
      </c>
      <c r="L424" s="640">
        <f t="shared" si="336"/>
        <v>0</v>
      </c>
      <c r="M424" s="642" t="str">
        <f t="shared" si="343"/>
        <v>-</v>
      </c>
      <c r="N424" s="643">
        <f t="shared" si="338"/>
        <v>0</v>
      </c>
      <c r="O424" s="640">
        <f t="shared" si="339"/>
        <v>0</v>
      </c>
      <c r="P424" s="644" t="str">
        <f t="shared" si="340"/>
        <v>-</v>
      </c>
      <c r="Q424" s="640" t="str">
        <f t="shared" si="332"/>
        <v>-</v>
      </c>
      <c r="R424" s="640">
        <f t="shared" si="333"/>
        <v>0</v>
      </c>
      <c r="S424" s="645" t="str">
        <f t="shared" si="334"/>
        <v>-</v>
      </c>
      <c r="T424" s="646" t="str">
        <f t="shared" si="341"/>
        <v>-</v>
      </c>
    </row>
    <row r="425" spans="1:20" ht="23.4" x14ac:dyDescent="0.3">
      <c r="A425" s="935" t="s">
        <v>1</v>
      </c>
      <c r="B425" s="944" t="s">
        <v>2</v>
      </c>
      <c r="C425" s="944" t="s">
        <v>226</v>
      </c>
      <c r="D425" s="945"/>
      <c r="E425" s="946"/>
      <c r="F425" s="944" t="s">
        <v>492</v>
      </c>
      <c r="G425" s="945"/>
      <c r="H425" s="945"/>
      <c r="I425" s="946"/>
      <c r="J425" s="1040" t="s">
        <v>223</v>
      </c>
      <c r="K425" s="944" t="s">
        <v>211</v>
      </c>
      <c r="L425" s="945"/>
      <c r="M425" s="946"/>
      <c r="N425" s="945" t="s">
        <v>212</v>
      </c>
      <c r="O425" s="945"/>
      <c r="P425" s="946"/>
      <c r="Q425" s="944" t="s">
        <v>213</v>
      </c>
      <c r="R425" s="945"/>
      <c r="S425" s="945"/>
      <c r="T425" s="1042" t="s">
        <v>210</v>
      </c>
    </row>
    <row r="426" spans="1:20" ht="87.6" thickBot="1" x14ac:dyDescent="0.35">
      <c r="A426" s="1038"/>
      <c r="B426" s="1039"/>
      <c r="C426" s="235" t="s">
        <v>227</v>
      </c>
      <c r="D426" s="236" t="s">
        <v>224</v>
      </c>
      <c r="E426" s="237" t="s">
        <v>225</v>
      </c>
      <c r="F426" s="238" t="s">
        <v>382</v>
      </c>
      <c r="G426" s="236" t="s">
        <v>220</v>
      </c>
      <c r="H426" s="239" t="s">
        <v>221</v>
      </c>
      <c r="I426" s="240" t="s">
        <v>222</v>
      </c>
      <c r="J426" s="1041"/>
      <c r="K426" s="235" t="s">
        <v>214</v>
      </c>
      <c r="L426" s="239" t="s">
        <v>215</v>
      </c>
      <c r="M426" s="241" t="s">
        <v>228</v>
      </c>
      <c r="N426" s="242" t="s">
        <v>216</v>
      </c>
      <c r="O426" s="239" t="s">
        <v>217</v>
      </c>
      <c r="P426" s="241" t="s">
        <v>229</v>
      </c>
      <c r="Q426" s="235" t="s">
        <v>218</v>
      </c>
      <c r="R426" s="239" t="s">
        <v>219</v>
      </c>
      <c r="S426" s="243" t="s">
        <v>230</v>
      </c>
      <c r="T426" s="1043"/>
    </row>
    <row r="427" spans="1:20" ht="23.4" x14ac:dyDescent="0.3">
      <c r="A427" s="244" t="s">
        <v>111</v>
      </c>
      <c r="B427" s="865" t="s">
        <v>16</v>
      </c>
      <c r="C427" s="474">
        <f>+D427+E427</f>
        <v>0</v>
      </c>
      <c r="D427" s="246">
        <v>0</v>
      </c>
      <c r="E427" s="247">
        <v>0</v>
      </c>
      <c r="F427" s="618">
        <v>15000</v>
      </c>
      <c r="G427" s="475">
        <f>+H427+I427</f>
        <v>0</v>
      </c>
      <c r="H427" s="624">
        <v>0</v>
      </c>
      <c r="I427" s="626">
        <v>0</v>
      </c>
      <c r="J427" s="629">
        <v>0</v>
      </c>
      <c r="K427" s="474">
        <f>+L427-E427</f>
        <v>0</v>
      </c>
      <c r="L427" s="475">
        <f>+J427-D427</f>
        <v>0</v>
      </c>
      <c r="M427" s="476" t="str">
        <f>IFERROR(K427/L427,"-")</f>
        <v>-</v>
      </c>
      <c r="N427" s="477">
        <f>+O427-C427</f>
        <v>0</v>
      </c>
      <c r="O427" s="475">
        <f>+K427</f>
        <v>0</v>
      </c>
      <c r="P427" s="478" t="str">
        <f>IFERROR(N427/O427,"-")</f>
        <v>-</v>
      </c>
      <c r="Q427" s="475" t="str">
        <f>IFERROR(N427-(J427-(J427*H427/G427)),"-")</f>
        <v>-</v>
      </c>
      <c r="R427" s="475">
        <f>+N427</f>
        <v>0</v>
      </c>
      <c r="S427" s="479" t="str">
        <f>IFERROR(Q427/R427,"-")</f>
        <v>-</v>
      </c>
      <c r="T427" s="480" t="str">
        <f>IFERROR(M427*P427*S427,"-")</f>
        <v>-</v>
      </c>
    </row>
    <row r="428" spans="1:20" ht="23.4" x14ac:dyDescent="0.3">
      <c r="A428" s="248" t="s">
        <v>111</v>
      </c>
      <c r="B428" s="866" t="s">
        <v>234</v>
      </c>
      <c r="C428" s="481">
        <f t="shared" ref="C428:C442" si="345">+D428+E428</f>
        <v>0</v>
      </c>
      <c r="D428" s="250">
        <v>0</v>
      </c>
      <c r="E428" s="251">
        <v>0</v>
      </c>
      <c r="F428" s="619">
        <v>100000</v>
      </c>
      <c r="G428" s="483">
        <f t="shared" ref="G428:G433" si="346">+H428+I428</f>
        <v>0</v>
      </c>
      <c r="H428" s="254">
        <v>0</v>
      </c>
      <c r="I428" s="627">
        <v>0</v>
      </c>
      <c r="J428" s="630">
        <v>0</v>
      </c>
      <c r="K428" s="481">
        <f>+L428-E428</f>
        <v>0</v>
      </c>
      <c r="L428" s="483">
        <f>+J428-D428</f>
        <v>0</v>
      </c>
      <c r="M428" s="484" t="str">
        <f>IFERROR(K428/L428,"-")</f>
        <v>-</v>
      </c>
      <c r="N428" s="485">
        <f>+O428-C428</f>
        <v>0</v>
      </c>
      <c r="O428" s="483">
        <f>+K428</f>
        <v>0</v>
      </c>
      <c r="P428" s="486" t="str">
        <f>IFERROR(N428/O428,"-")</f>
        <v>-</v>
      </c>
      <c r="Q428" s="483" t="str">
        <f t="shared" ref="Q428:Q442" si="347">IFERROR(N428-(J428-(J428*H428/G428)),"-")</f>
        <v>-</v>
      </c>
      <c r="R428" s="483">
        <f t="shared" ref="R428:R442" si="348">+N428</f>
        <v>0</v>
      </c>
      <c r="S428" s="487" t="str">
        <f t="shared" ref="S428:S442" si="349">IFERROR(Q428/R428,"-")</f>
        <v>-</v>
      </c>
      <c r="T428" s="488" t="str">
        <f>IFERROR(M428*P428*S428,"-")</f>
        <v>-</v>
      </c>
    </row>
    <row r="429" spans="1:20" ht="23.4" x14ac:dyDescent="0.3">
      <c r="A429" s="248" t="s">
        <v>111</v>
      </c>
      <c r="B429" s="866" t="s">
        <v>233</v>
      </c>
      <c r="C429" s="481">
        <f t="shared" si="345"/>
        <v>0</v>
      </c>
      <c r="D429" s="250">
        <v>0</v>
      </c>
      <c r="E429" s="251">
        <v>0</v>
      </c>
      <c r="F429" s="619">
        <v>80000</v>
      </c>
      <c r="G429" s="483">
        <f t="shared" si="346"/>
        <v>0</v>
      </c>
      <c r="H429" s="254">
        <v>0</v>
      </c>
      <c r="I429" s="627">
        <v>0</v>
      </c>
      <c r="J429" s="630">
        <v>0</v>
      </c>
      <c r="K429" s="481">
        <f t="shared" ref="K429:K431" si="350">+L429-E429</f>
        <v>0</v>
      </c>
      <c r="L429" s="483">
        <f t="shared" ref="L429:L442" si="351">+J429-D429</f>
        <v>0</v>
      </c>
      <c r="M429" s="484" t="str">
        <f t="shared" ref="M429:M431" si="352">IFERROR(K429/L429,"-")</f>
        <v>-</v>
      </c>
      <c r="N429" s="485">
        <f t="shared" ref="N429:N442" si="353">+O429-C429</f>
        <v>0</v>
      </c>
      <c r="O429" s="483">
        <f t="shared" ref="O429:O442" si="354">+K429</f>
        <v>0</v>
      </c>
      <c r="P429" s="486" t="str">
        <f t="shared" ref="P429:P442" si="355">IFERROR(N429/O429,"-")</f>
        <v>-</v>
      </c>
      <c r="Q429" s="483" t="str">
        <f t="shared" si="347"/>
        <v>-</v>
      </c>
      <c r="R429" s="483">
        <f t="shared" si="348"/>
        <v>0</v>
      </c>
      <c r="S429" s="487" t="str">
        <f t="shared" si="349"/>
        <v>-</v>
      </c>
      <c r="T429" s="488" t="str">
        <f t="shared" ref="T429:T442" si="356">IFERROR(M429*P429*S429,"-")</f>
        <v>-</v>
      </c>
    </row>
    <row r="430" spans="1:20" ht="23.4" x14ac:dyDescent="0.3">
      <c r="A430" s="252" t="s">
        <v>111</v>
      </c>
      <c r="B430" s="866" t="s">
        <v>236</v>
      </c>
      <c r="C430" s="481">
        <f t="shared" si="345"/>
        <v>0</v>
      </c>
      <c r="D430" s="250">
        <v>0</v>
      </c>
      <c r="E430" s="251">
        <v>0</v>
      </c>
      <c r="F430" s="619">
        <v>110000</v>
      </c>
      <c r="G430" s="483">
        <f t="shared" si="346"/>
        <v>0</v>
      </c>
      <c r="H430" s="254">
        <v>0</v>
      </c>
      <c r="I430" s="627">
        <v>0</v>
      </c>
      <c r="J430" s="630">
        <v>0</v>
      </c>
      <c r="K430" s="481">
        <f t="shared" si="350"/>
        <v>0</v>
      </c>
      <c r="L430" s="483">
        <f t="shared" si="351"/>
        <v>0</v>
      </c>
      <c r="M430" s="484" t="str">
        <f t="shared" si="352"/>
        <v>-</v>
      </c>
      <c r="N430" s="485">
        <f t="shared" si="353"/>
        <v>0</v>
      </c>
      <c r="O430" s="483">
        <f t="shared" si="354"/>
        <v>0</v>
      </c>
      <c r="P430" s="486" t="str">
        <f t="shared" si="355"/>
        <v>-</v>
      </c>
      <c r="Q430" s="483" t="str">
        <f t="shared" si="347"/>
        <v>-</v>
      </c>
      <c r="R430" s="483">
        <f t="shared" si="348"/>
        <v>0</v>
      </c>
      <c r="S430" s="487" t="str">
        <f t="shared" si="349"/>
        <v>-</v>
      </c>
      <c r="T430" s="488" t="str">
        <f t="shared" si="356"/>
        <v>-</v>
      </c>
    </row>
    <row r="431" spans="1:20" ht="23.4" x14ac:dyDescent="0.3">
      <c r="A431" s="248" t="s">
        <v>111</v>
      </c>
      <c r="B431" s="866" t="s">
        <v>235</v>
      </c>
      <c r="C431" s="481">
        <f t="shared" si="345"/>
        <v>0</v>
      </c>
      <c r="D431" s="250">
        <v>0</v>
      </c>
      <c r="E431" s="251">
        <v>0</v>
      </c>
      <c r="F431" s="619">
        <v>50000</v>
      </c>
      <c r="G431" s="483">
        <f t="shared" si="346"/>
        <v>0</v>
      </c>
      <c r="H431" s="254">
        <v>0</v>
      </c>
      <c r="I431" s="627">
        <v>0</v>
      </c>
      <c r="J431" s="630">
        <v>0</v>
      </c>
      <c r="K431" s="481">
        <f t="shared" si="350"/>
        <v>0</v>
      </c>
      <c r="L431" s="483">
        <f t="shared" si="351"/>
        <v>0</v>
      </c>
      <c r="M431" s="484" t="str">
        <f t="shared" si="352"/>
        <v>-</v>
      </c>
      <c r="N431" s="485">
        <f t="shared" si="353"/>
        <v>0</v>
      </c>
      <c r="O431" s="483">
        <f t="shared" si="354"/>
        <v>0</v>
      </c>
      <c r="P431" s="486" t="str">
        <f t="shared" si="355"/>
        <v>-</v>
      </c>
      <c r="Q431" s="483" t="str">
        <f t="shared" si="347"/>
        <v>-</v>
      </c>
      <c r="R431" s="483">
        <f t="shared" si="348"/>
        <v>0</v>
      </c>
      <c r="S431" s="487" t="str">
        <f t="shared" si="349"/>
        <v>-</v>
      </c>
      <c r="T431" s="488" t="str">
        <f t="shared" si="356"/>
        <v>-</v>
      </c>
    </row>
    <row r="432" spans="1:20" ht="23.4" x14ac:dyDescent="0.3">
      <c r="A432" s="248">
        <v>5</v>
      </c>
      <c r="B432" s="866" t="s">
        <v>22</v>
      </c>
      <c r="C432" s="481">
        <f t="shared" si="345"/>
        <v>0</v>
      </c>
      <c r="D432" s="250">
        <v>0</v>
      </c>
      <c r="E432" s="251">
        <v>0</v>
      </c>
      <c r="F432" s="619">
        <v>80000</v>
      </c>
      <c r="G432" s="483">
        <f t="shared" si="346"/>
        <v>0</v>
      </c>
      <c r="H432" s="254">
        <v>0</v>
      </c>
      <c r="I432" s="627">
        <v>0</v>
      </c>
      <c r="J432" s="630">
        <v>0</v>
      </c>
      <c r="K432" s="481">
        <f>+L432-E432</f>
        <v>0</v>
      </c>
      <c r="L432" s="483">
        <f t="shared" si="351"/>
        <v>0</v>
      </c>
      <c r="M432" s="484" t="str">
        <f>IFERROR(K432/L432,"-")</f>
        <v>-</v>
      </c>
      <c r="N432" s="485">
        <f t="shared" si="353"/>
        <v>0</v>
      </c>
      <c r="O432" s="483">
        <f t="shared" si="354"/>
        <v>0</v>
      </c>
      <c r="P432" s="486" t="str">
        <f t="shared" si="355"/>
        <v>-</v>
      </c>
      <c r="Q432" s="483" t="str">
        <f t="shared" si="347"/>
        <v>-</v>
      </c>
      <c r="R432" s="483">
        <f t="shared" si="348"/>
        <v>0</v>
      </c>
      <c r="S432" s="487" t="str">
        <f t="shared" si="349"/>
        <v>-</v>
      </c>
      <c r="T432" s="488" t="str">
        <f t="shared" si="356"/>
        <v>-</v>
      </c>
    </row>
    <row r="433" spans="1:20" ht="23.4" x14ac:dyDescent="0.3">
      <c r="A433" s="248" t="s">
        <v>111</v>
      </c>
      <c r="B433" s="866" t="s">
        <v>23</v>
      </c>
      <c r="C433" s="481">
        <f t="shared" si="345"/>
        <v>0</v>
      </c>
      <c r="D433" s="250">
        <v>0</v>
      </c>
      <c r="E433" s="251">
        <v>0</v>
      </c>
      <c r="F433" s="619">
        <v>14000</v>
      </c>
      <c r="G433" s="483">
        <f t="shared" si="346"/>
        <v>0</v>
      </c>
      <c r="H433" s="254">
        <v>0</v>
      </c>
      <c r="I433" s="627">
        <v>0</v>
      </c>
      <c r="J433" s="630">
        <v>0</v>
      </c>
      <c r="K433" s="481">
        <f t="shared" ref="K433:K442" si="357">+L433-E433</f>
        <v>0</v>
      </c>
      <c r="L433" s="483">
        <f t="shared" si="351"/>
        <v>0</v>
      </c>
      <c r="M433" s="484" t="str">
        <f t="shared" ref="M433:M442" si="358">IFERROR(K433/L433,"-")</f>
        <v>-</v>
      </c>
      <c r="N433" s="485">
        <f t="shared" si="353"/>
        <v>0</v>
      </c>
      <c r="O433" s="483">
        <f t="shared" si="354"/>
        <v>0</v>
      </c>
      <c r="P433" s="486" t="str">
        <f t="shared" si="355"/>
        <v>-</v>
      </c>
      <c r="Q433" s="483" t="str">
        <f t="shared" si="347"/>
        <v>-</v>
      </c>
      <c r="R433" s="483">
        <f t="shared" si="348"/>
        <v>0</v>
      </c>
      <c r="S433" s="487" t="str">
        <f t="shared" si="349"/>
        <v>-</v>
      </c>
      <c r="T433" s="488" t="str">
        <f t="shared" si="356"/>
        <v>-</v>
      </c>
    </row>
    <row r="434" spans="1:20" ht="23.4" x14ac:dyDescent="0.3">
      <c r="A434" s="248" t="s">
        <v>111</v>
      </c>
      <c r="B434" s="867" t="s">
        <v>231</v>
      </c>
      <c r="C434" s="489">
        <f t="shared" si="345"/>
        <v>0</v>
      </c>
      <c r="D434" s="250">
        <v>0</v>
      </c>
      <c r="E434" s="251">
        <v>0</v>
      </c>
      <c r="F434" s="619">
        <v>4500</v>
      </c>
      <c r="G434" s="483">
        <f>+H434+I434</f>
        <v>0</v>
      </c>
      <c r="H434" s="254">
        <v>0</v>
      </c>
      <c r="I434" s="322">
        <v>0</v>
      </c>
      <c r="J434" s="630">
        <v>0</v>
      </c>
      <c r="K434" s="489">
        <f t="shared" si="357"/>
        <v>0</v>
      </c>
      <c r="L434" s="250">
        <f t="shared" si="351"/>
        <v>0</v>
      </c>
      <c r="M434" s="490" t="str">
        <f t="shared" si="358"/>
        <v>-</v>
      </c>
      <c r="N434" s="491">
        <f t="shared" si="353"/>
        <v>0</v>
      </c>
      <c r="O434" s="250">
        <f t="shared" si="354"/>
        <v>0</v>
      </c>
      <c r="P434" s="492" t="str">
        <f t="shared" si="355"/>
        <v>-</v>
      </c>
      <c r="Q434" s="250" t="str">
        <f t="shared" si="347"/>
        <v>-</v>
      </c>
      <c r="R434" s="250">
        <f t="shared" si="348"/>
        <v>0</v>
      </c>
      <c r="S434" s="493" t="str">
        <f t="shared" si="349"/>
        <v>-</v>
      </c>
      <c r="T434" s="494" t="str">
        <f t="shared" si="356"/>
        <v>-</v>
      </c>
    </row>
    <row r="435" spans="1:20" ht="24" thickBot="1" x14ac:dyDescent="0.35">
      <c r="A435" s="255" t="s">
        <v>111</v>
      </c>
      <c r="B435" s="868" t="s">
        <v>232</v>
      </c>
      <c r="C435" s="495">
        <f t="shared" si="345"/>
        <v>0</v>
      </c>
      <c r="D435" s="257">
        <v>0</v>
      </c>
      <c r="E435" s="258">
        <v>0</v>
      </c>
      <c r="F435" s="625">
        <v>5000</v>
      </c>
      <c r="G435" s="505">
        <f t="shared" ref="G435:G442" si="359">+H435+I435</f>
        <v>0</v>
      </c>
      <c r="H435" s="259">
        <v>0</v>
      </c>
      <c r="I435" s="628">
        <v>0</v>
      </c>
      <c r="J435" s="633">
        <v>0</v>
      </c>
      <c r="K435" s="495">
        <f t="shared" si="357"/>
        <v>0</v>
      </c>
      <c r="L435" s="257">
        <f t="shared" si="351"/>
        <v>0</v>
      </c>
      <c r="M435" s="496" t="str">
        <f t="shared" si="358"/>
        <v>-</v>
      </c>
      <c r="N435" s="497">
        <f t="shared" si="353"/>
        <v>0</v>
      </c>
      <c r="O435" s="257">
        <f t="shared" si="354"/>
        <v>0</v>
      </c>
      <c r="P435" s="498" t="str">
        <f t="shared" si="355"/>
        <v>-</v>
      </c>
      <c r="Q435" s="257" t="str">
        <f t="shared" si="347"/>
        <v>-</v>
      </c>
      <c r="R435" s="257">
        <f t="shared" si="348"/>
        <v>0</v>
      </c>
      <c r="S435" s="499" t="str">
        <f t="shared" si="349"/>
        <v>-</v>
      </c>
      <c r="T435" s="500" t="str">
        <f t="shared" si="356"/>
        <v>-</v>
      </c>
    </row>
    <row r="436" spans="1:20" ht="23.4" x14ac:dyDescent="0.3">
      <c r="A436" s="252" t="s">
        <v>109</v>
      </c>
      <c r="B436" s="862" t="s">
        <v>29</v>
      </c>
      <c r="C436" s="863">
        <f t="shared" si="345"/>
        <v>0</v>
      </c>
      <c r="D436" s="864">
        <v>0</v>
      </c>
      <c r="E436" s="276">
        <v>0</v>
      </c>
      <c r="F436" s="482">
        <v>80000</v>
      </c>
      <c r="G436" s="483">
        <f t="shared" si="359"/>
        <v>0</v>
      </c>
      <c r="H436" s="254">
        <v>0</v>
      </c>
      <c r="I436" s="627">
        <v>0</v>
      </c>
      <c r="J436" s="629">
        <v>0</v>
      </c>
      <c r="K436" s="481">
        <f t="shared" si="357"/>
        <v>0</v>
      </c>
      <c r="L436" s="483">
        <f t="shared" si="351"/>
        <v>0</v>
      </c>
      <c r="M436" s="484" t="str">
        <f t="shared" si="358"/>
        <v>-</v>
      </c>
      <c r="N436" s="485">
        <f t="shared" si="353"/>
        <v>0</v>
      </c>
      <c r="O436" s="483">
        <f t="shared" si="354"/>
        <v>0</v>
      </c>
      <c r="P436" s="486" t="str">
        <f t="shared" si="355"/>
        <v>-</v>
      </c>
      <c r="Q436" s="483" t="str">
        <f t="shared" si="347"/>
        <v>-</v>
      </c>
      <c r="R436" s="483">
        <f t="shared" si="348"/>
        <v>0</v>
      </c>
      <c r="S436" s="501" t="str">
        <f t="shared" si="349"/>
        <v>-</v>
      </c>
      <c r="T436" s="502" t="str">
        <f t="shared" si="356"/>
        <v>-</v>
      </c>
    </row>
    <row r="437" spans="1:20" ht="23.4" x14ac:dyDescent="0.3">
      <c r="A437" s="248" t="s">
        <v>109</v>
      </c>
      <c r="B437" s="260" t="s">
        <v>31</v>
      </c>
      <c r="C437" s="481">
        <f t="shared" si="345"/>
        <v>0</v>
      </c>
      <c r="D437" s="250">
        <v>0</v>
      </c>
      <c r="E437" s="251">
        <v>0</v>
      </c>
      <c r="F437" s="482">
        <v>50000</v>
      </c>
      <c r="G437" s="483">
        <f t="shared" si="359"/>
        <v>0</v>
      </c>
      <c r="H437" s="254">
        <v>0</v>
      </c>
      <c r="I437" s="627">
        <v>0</v>
      </c>
      <c r="J437" s="630">
        <v>0</v>
      </c>
      <c r="K437" s="481">
        <f t="shared" si="357"/>
        <v>0</v>
      </c>
      <c r="L437" s="483">
        <f t="shared" si="351"/>
        <v>0</v>
      </c>
      <c r="M437" s="484" t="str">
        <f t="shared" si="358"/>
        <v>-</v>
      </c>
      <c r="N437" s="485">
        <f t="shared" si="353"/>
        <v>0</v>
      </c>
      <c r="O437" s="483">
        <f t="shared" si="354"/>
        <v>0</v>
      </c>
      <c r="P437" s="486" t="str">
        <f t="shared" si="355"/>
        <v>-</v>
      </c>
      <c r="Q437" s="483" t="str">
        <f t="shared" si="347"/>
        <v>-</v>
      </c>
      <c r="R437" s="483">
        <f t="shared" si="348"/>
        <v>0</v>
      </c>
      <c r="S437" s="501" t="str">
        <f t="shared" si="349"/>
        <v>-</v>
      </c>
      <c r="T437" s="502" t="str">
        <f t="shared" si="356"/>
        <v>-</v>
      </c>
    </row>
    <row r="438" spans="1:20" ht="24" thickBot="1" x14ac:dyDescent="0.35">
      <c r="A438" s="255" t="s">
        <v>109</v>
      </c>
      <c r="B438" s="261" t="s">
        <v>32</v>
      </c>
      <c r="C438" s="503">
        <f t="shared" si="345"/>
        <v>0</v>
      </c>
      <c r="D438" s="257">
        <v>0</v>
      </c>
      <c r="E438" s="258">
        <v>0</v>
      </c>
      <c r="F438" s="504">
        <v>110000</v>
      </c>
      <c r="G438" s="505">
        <f t="shared" si="359"/>
        <v>0</v>
      </c>
      <c r="H438" s="259">
        <v>0</v>
      </c>
      <c r="I438" s="705">
        <v>0</v>
      </c>
      <c r="J438" s="633">
        <v>0</v>
      </c>
      <c r="K438" s="503">
        <f t="shared" si="357"/>
        <v>0</v>
      </c>
      <c r="L438" s="505">
        <f t="shared" si="351"/>
        <v>0</v>
      </c>
      <c r="M438" s="506" t="str">
        <f t="shared" si="358"/>
        <v>-</v>
      </c>
      <c r="N438" s="507">
        <f t="shared" si="353"/>
        <v>0</v>
      </c>
      <c r="O438" s="505">
        <f t="shared" si="354"/>
        <v>0</v>
      </c>
      <c r="P438" s="508" t="str">
        <f t="shared" si="355"/>
        <v>-</v>
      </c>
      <c r="Q438" s="505" t="str">
        <f t="shared" si="347"/>
        <v>-</v>
      </c>
      <c r="R438" s="505">
        <f t="shared" si="348"/>
        <v>0</v>
      </c>
      <c r="S438" s="509" t="str">
        <f t="shared" si="349"/>
        <v>-</v>
      </c>
      <c r="T438" s="510" t="str">
        <f t="shared" si="356"/>
        <v>-</v>
      </c>
    </row>
    <row r="439" spans="1:20" ht="23.4" x14ac:dyDescent="0.3">
      <c r="A439" s="248" t="s">
        <v>110</v>
      </c>
      <c r="B439" s="249" t="s">
        <v>238</v>
      </c>
      <c r="C439" s="481">
        <f t="shared" si="345"/>
        <v>0</v>
      </c>
      <c r="D439" s="250">
        <v>0</v>
      </c>
      <c r="E439" s="251">
        <v>0</v>
      </c>
      <c r="F439" s="482">
        <v>6500</v>
      </c>
      <c r="G439" s="483">
        <f t="shared" si="359"/>
        <v>0</v>
      </c>
      <c r="H439" s="482">
        <v>0</v>
      </c>
      <c r="I439" s="631">
        <v>0</v>
      </c>
      <c r="J439" s="630">
        <v>0</v>
      </c>
      <c r="K439" s="481">
        <f t="shared" si="357"/>
        <v>0</v>
      </c>
      <c r="L439" s="483">
        <f t="shared" si="351"/>
        <v>0</v>
      </c>
      <c r="M439" s="484" t="str">
        <f t="shared" si="358"/>
        <v>-</v>
      </c>
      <c r="N439" s="485">
        <f t="shared" si="353"/>
        <v>0</v>
      </c>
      <c r="O439" s="483">
        <f t="shared" si="354"/>
        <v>0</v>
      </c>
      <c r="P439" s="486" t="str">
        <f t="shared" si="355"/>
        <v>-</v>
      </c>
      <c r="Q439" s="483" t="str">
        <f t="shared" si="347"/>
        <v>-</v>
      </c>
      <c r="R439" s="483">
        <f t="shared" si="348"/>
        <v>0</v>
      </c>
      <c r="S439" s="501" t="str">
        <f t="shared" si="349"/>
        <v>-</v>
      </c>
      <c r="T439" s="502" t="str">
        <f t="shared" si="356"/>
        <v>-</v>
      </c>
    </row>
    <row r="440" spans="1:20" ht="23.4" x14ac:dyDescent="0.3">
      <c r="A440" s="252" t="s">
        <v>110</v>
      </c>
      <c r="B440" s="249" t="s">
        <v>40</v>
      </c>
      <c r="C440" s="481">
        <f t="shared" si="345"/>
        <v>0</v>
      </c>
      <c r="D440" s="250">
        <v>0</v>
      </c>
      <c r="E440" s="251">
        <v>0</v>
      </c>
      <c r="F440" s="482">
        <v>2800</v>
      </c>
      <c r="G440" s="483">
        <f t="shared" si="359"/>
        <v>0</v>
      </c>
      <c r="H440" s="482">
        <v>0</v>
      </c>
      <c r="I440" s="631">
        <v>0</v>
      </c>
      <c r="J440" s="630">
        <v>0</v>
      </c>
      <c r="K440" s="481">
        <f t="shared" si="357"/>
        <v>0</v>
      </c>
      <c r="L440" s="483">
        <f t="shared" si="351"/>
        <v>0</v>
      </c>
      <c r="M440" s="484" t="str">
        <f t="shared" si="358"/>
        <v>-</v>
      </c>
      <c r="N440" s="485">
        <f t="shared" si="353"/>
        <v>0</v>
      </c>
      <c r="O440" s="483">
        <f t="shared" si="354"/>
        <v>0</v>
      </c>
      <c r="P440" s="486" t="str">
        <f t="shared" si="355"/>
        <v>-</v>
      </c>
      <c r="Q440" s="483" t="str">
        <f t="shared" si="347"/>
        <v>-</v>
      </c>
      <c r="R440" s="483">
        <f t="shared" si="348"/>
        <v>0</v>
      </c>
      <c r="S440" s="501" t="str">
        <f t="shared" si="349"/>
        <v>-</v>
      </c>
      <c r="T440" s="502" t="str">
        <f t="shared" si="356"/>
        <v>-</v>
      </c>
    </row>
    <row r="441" spans="1:20" ht="23.4" x14ac:dyDescent="0.3">
      <c r="A441" s="248" t="s">
        <v>110</v>
      </c>
      <c r="B441" s="249" t="s">
        <v>42</v>
      </c>
      <c r="C441" s="481">
        <f t="shared" si="345"/>
        <v>0</v>
      </c>
      <c r="D441" s="250">
        <v>0</v>
      </c>
      <c r="E441" s="251">
        <v>0</v>
      </c>
      <c r="F441" s="482">
        <v>25000</v>
      </c>
      <c r="G441" s="483">
        <f t="shared" si="359"/>
        <v>0</v>
      </c>
      <c r="H441" s="482">
        <v>0</v>
      </c>
      <c r="I441" s="631">
        <v>0</v>
      </c>
      <c r="J441" s="630">
        <v>0</v>
      </c>
      <c r="K441" s="481">
        <f t="shared" si="357"/>
        <v>0</v>
      </c>
      <c r="L441" s="483">
        <f t="shared" si="351"/>
        <v>0</v>
      </c>
      <c r="M441" s="484" t="str">
        <f t="shared" si="358"/>
        <v>-</v>
      </c>
      <c r="N441" s="485">
        <f t="shared" si="353"/>
        <v>0</v>
      </c>
      <c r="O441" s="483">
        <f t="shared" si="354"/>
        <v>0</v>
      </c>
      <c r="P441" s="486" t="str">
        <f t="shared" si="355"/>
        <v>-</v>
      </c>
      <c r="Q441" s="483" t="str">
        <f t="shared" si="347"/>
        <v>-</v>
      </c>
      <c r="R441" s="483">
        <f t="shared" si="348"/>
        <v>0</v>
      </c>
      <c r="S441" s="501" t="str">
        <f t="shared" si="349"/>
        <v>-</v>
      </c>
      <c r="T441" s="502" t="str">
        <f t="shared" si="356"/>
        <v>-</v>
      </c>
    </row>
    <row r="442" spans="1:20" ht="47.4" thickBot="1" x14ac:dyDescent="0.35">
      <c r="A442" s="635" t="s">
        <v>110</v>
      </c>
      <c r="B442" s="261" t="s">
        <v>237</v>
      </c>
      <c r="C442" s="636">
        <f t="shared" si="345"/>
        <v>0</v>
      </c>
      <c r="D442" s="637">
        <v>0</v>
      </c>
      <c r="E442" s="638">
        <v>0</v>
      </c>
      <c r="F442" s="639">
        <v>25000</v>
      </c>
      <c r="G442" s="640">
        <f t="shared" si="359"/>
        <v>0</v>
      </c>
      <c r="H442" s="639">
        <v>0</v>
      </c>
      <c r="I442" s="641">
        <v>0</v>
      </c>
      <c r="J442" s="634">
        <v>0</v>
      </c>
      <c r="K442" s="636">
        <f t="shared" si="357"/>
        <v>0</v>
      </c>
      <c r="L442" s="640">
        <f t="shared" si="351"/>
        <v>0</v>
      </c>
      <c r="M442" s="642" t="str">
        <f t="shared" si="358"/>
        <v>-</v>
      </c>
      <c r="N442" s="643">
        <f t="shared" si="353"/>
        <v>0</v>
      </c>
      <c r="O442" s="640">
        <f t="shared" si="354"/>
        <v>0</v>
      </c>
      <c r="P442" s="644" t="str">
        <f t="shared" si="355"/>
        <v>-</v>
      </c>
      <c r="Q442" s="640" t="str">
        <f t="shared" si="347"/>
        <v>-</v>
      </c>
      <c r="R442" s="640">
        <f t="shared" si="348"/>
        <v>0</v>
      </c>
      <c r="S442" s="645" t="str">
        <f t="shared" si="349"/>
        <v>-</v>
      </c>
      <c r="T442" s="646" t="str">
        <f t="shared" si="356"/>
        <v>-</v>
      </c>
    </row>
    <row r="443" spans="1:20" ht="23.4" x14ac:dyDescent="0.3">
      <c r="A443" s="935" t="s">
        <v>1</v>
      </c>
      <c r="B443" s="944" t="s">
        <v>2</v>
      </c>
      <c r="C443" s="944" t="s">
        <v>226</v>
      </c>
      <c r="D443" s="945"/>
      <c r="E443" s="946"/>
      <c r="F443" s="944" t="s">
        <v>493</v>
      </c>
      <c r="G443" s="945"/>
      <c r="H443" s="945"/>
      <c r="I443" s="946"/>
      <c r="J443" s="1040" t="s">
        <v>223</v>
      </c>
      <c r="K443" s="944" t="s">
        <v>211</v>
      </c>
      <c r="L443" s="945"/>
      <c r="M443" s="946"/>
      <c r="N443" s="945" t="s">
        <v>212</v>
      </c>
      <c r="O443" s="945"/>
      <c r="P443" s="946"/>
      <c r="Q443" s="944" t="s">
        <v>213</v>
      </c>
      <c r="R443" s="945"/>
      <c r="S443" s="945"/>
      <c r="T443" s="1042" t="s">
        <v>210</v>
      </c>
    </row>
    <row r="444" spans="1:20" ht="87.6" thickBot="1" x14ac:dyDescent="0.35">
      <c r="A444" s="1038"/>
      <c r="B444" s="1039"/>
      <c r="C444" s="235" t="s">
        <v>227</v>
      </c>
      <c r="D444" s="236" t="s">
        <v>224</v>
      </c>
      <c r="E444" s="237" t="s">
        <v>225</v>
      </c>
      <c r="F444" s="238" t="s">
        <v>382</v>
      </c>
      <c r="G444" s="236" t="s">
        <v>220</v>
      </c>
      <c r="H444" s="239" t="s">
        <v>221</v>
      </c>
      <c r="I444" s="240" t="s">
        <v>222</v>
      </c>
      <c r="J444" s="1041"/>
      <c r="K444" s="235" t="s">
        <v>214</v>
      </c>
      <c r="L444" s="239" t="s">
        <v>215</v>
      </c>
      <c r="M444" s="241" t="s">
        <v>228</v>
      </c>
      <c r="N444" s="242" t="s">
        <v>216</v>
      </c>
      <c r="O444" s="239" t="s">
        <v>217</v>
      </c>
      <c r="P444" s="241" t="s">
        <v>229</v>
      </c>
      <c r="Q444" s="235" t="s">
        <v>218</v>
      </c>
      <c r="R444" s="239" t="s">
        <v>219</v>
      </c>
      <c r="S444" s="243" t="s">
        <v>230</v>
      </c>
      <c r="T444" s="1043"/>
    </row>
    <row r="445" spans="1:20" ht="23.4" x14ac:dyDescent="0.3">
      <c r="A445" s="244" t="s">
        <v>111</v>
      </c>
      <c r="B445" s="865" t="s">
        <v>16</v>
      </c>
      <c r="C445" s="474">
        <f>+D445+E445</f>
        <v>0</v>
      </c>
      <c r="D445" s="246">
        <v>0</v>
      </c>
      <c r="E445" s="247">
        <v>0</v>
      </c>
      <c r="F445" s="618">
        <v>15000</v>
      </c>
      <c r="G445" s="475">
        <f>+H445+I445</f>
        <v>0</v>
      </c>
      <c r="H445" s="624">
        <v>0</v>
      </c>
      <c r="I445" s="626">
        <v>0</v>
      </c>
      <c r="J445" s="629">
        <v>0</v>
      </c>
      <c r="K445" s="474">
        <f>+L445-E445</f>
        <v>0</v>
      </c>
      <c r="L445" s="475">
        <f>+J445-D445</f>
        <v>0</v>
      </c>
      <c r="M445" s="476" t="str">
        <f>IFERROR(K445/L445,"-")</f>
        <v>-</v>
      </c>
      <c r="N445" s="477">
        <f>+O445-C445</f>
        <v>0</v>
      </c>
      <c r="O445" s="475">
        <f>+K445</f>
        <v>0</v>
      </c>
      <c r="P445" s="478" t="str">
        <f>IFERROR(N445/O445,"-")</f>
        <v>-</v>
      </c>
      <c r="Q445" s="475" t="str">
        <f>IFERROR(N445-(J445-(J445*H445/G445)),"-")</f>
        <v>-</v>
      </c>
      <c r="R445" s="475">
        <f>+N445</f>
        <v>0</v>
      </c>
      <c r="S445" s="479" t="str">
        <f>IFERROR(Q445/R445,"-")</f>
        <v>-</v>
      </c>
      <c r="T445" s="480" t="str">
        <f>IFERROR(M445*P445*S445,"-")</f>
        <v>-</v>
      </c>
    </row>
    <row r="446" spans="1:20" ht="23.4" x14ac:dyDescent="0.3">
      <c r="A446" s="248" t="s">
        <v>111</v>
      </c>
      <c r="B446" s="866" t="s">
        <v>234</v>
      </c>
      <c r="C446" s="481">
        <f t="shared" ref="C446:C460" si="360">+D446+E446</f>
        <v>60</v>
      </c>
      <c r="D446" s="250">
        <f>30+30</f>
        <v>60</v>
      </c>
      <c r="E446" s="251">
        <f>0</f>
        <v>0</v>
      </c>
      <c r="F446" s="619">
        <v>100000</v>
      </c>
      <c r="G446" s="483">
        <f t="shared" ref="G446:G451" si="361">+H446+I446</f>
        <v>232855</v>
      </c>
      <c r="H446" s="254">
        <f>97920+134640</f>
        <v>232560</v>
      </c>
      <c r="I446" s="627">
        <f>140+155</f>
        <v>295</v>
      </c>
      <c r="J446" s="630">
        <v>960</v>
      </c>
      <c r="K446" s="481">
        <f>+L446-E446</f>
        <v>900</v>
      </c>
      <c r="L446" s="483">
        <f>+J446-D446</f>
        <v>900</v>
      </c>
      <c r="M446" s="484">
        <f>IFERROR(K446/L446,"-")</f>
        <v>1</v>
      </c>
      <c r="N446" s="485">
        <f>+O446-C446</f>
        <v>840</v>
      </c>
      <c r="O446" s="483">
        <f>+K446</f>
        <v>900</v>
      </c>
      <c r="P446" s="486">
        <f>IFERROR(N446/O446,"-")</f>
        <v>0.93333333333333335</v>
      </c>
      <c r="Q446" s="483">
        <f t="shared" ref="Q446:Q460" si="362">IFERROR(N446-(J446-(J446*H446/G446)),"-")</f>
        <v>838.78379248888791</v>
      </c>
      <c r="R446" s="483">
        <f t="shared" ref="R446:R460" si="363">+N446</f>
        <v>840</v>
      </c>
      <c r="S446" s="487">
        <f t="shared" ref="S446:S460" si="364">IFERROR(Q446/R446,"-")</f>
        <v>0.9985521339153427</v>
      </c>
      <c r="T446" s="488">
        <f>IFERROR(M446*P446*S446,"-")</f>
        <v>0.93198199165431983</v>
      </c>
    </row>
    <row r="447" spans="1:20" ht="23.4" x14ac:dyDescent="0.3">
      <c r="A447" s="248" t="s">
        <v>111</v>
      </c>
      <c r="B447" s="866" t="s">
        <v>233</v>
      </c>
      <c r="C447" s="481">
        <f t="shared" si="360"/>
        <v>0</v>
      </c>
      <c r="D447" s="250">
        <v>0</v>
      </c>
      <c r="E447" s="251">
        <v>0</v>
      </c>
      <c r="F447" s="619">
        <v>80000</v>
      </c>
      <c r="G447" s="483">
        <f t="shared" si="361"/>
        <v>0</v>
      </c>
      <c r="H447" s="254">
        <v>0</v>
      </c>
      <c r="I447" s="627">
        <v>0</v>
      </c>
      <c r="J447" s="630">
        <v>0</v>
      </c>
      <c r="K447" s="481">
        <f t="shared" ref="K447:K449" si="365">+L447-E447</f>
        <v>0</v>
      </c>
      <c r="L447" s="483">
        <f t="shared" ref="L447:L460" si="366">+J447-D447</f>
        <v>0</v>
      </c>
      <c r="M447" s="484" t="str">
        <f t="shared" ref="M447:M449" si="367">IFERROR(K447/L447,"-")</f>
        <v>-</v>
      </c>
      <c r="N447" s="485">
        <f t="shared" ref="N447:N460" si="368">+O447-C447</f>
        <v>0</v>
      </c>
      <c r="O447" s="483">
        <f t="shared" ref="O447:O460" si="369">+K447</f>
        <v>0</v>
      </c>
      <c r="P447" s="486" t="str">
        <f t="shared" ref="P447:P460" si="370">IFERROR(N447/O447,"-")</f>
        <v>-</v>
      </c>
      <c r="Q447" s="483" t="str">
        <f t="shared" si="362"/>
        <v>-</v>
      </c>
      <c r="R447" s="483">
        <f t="shared" si="363"/>
        <v>0</v>
      </c>
      <c r="S447" s="487" t="str">
        <f t="shared" si="364"/>
        <v>-</v>
      </c>
      <c r="T447" s="488" t="str">
        <f t="shared" ref="T447:T460" si="371">IFERROR(M447*P447*S447,"-")</f>
        <v>-</v>
      </c>
    </row>
    <row r="448" spans="1:20" ht="23.4" x14ac:dyDescent="0.3">
      <c r="A448" s="252" t="s">
        <v>111</v>
      </c>
      <c r="B448" s="866" t="s">
        <v>236</v>
      </c>
      <c r="C448" s="481">
        <f t="shared" si="360"/>
        <v>50</v>
      </c>
      <c r="D448" s="250">
        <v>30</v>
      </c>
      <c r="E448" s="251">
        <v>20</v>
      </c>
      <c r="F448" s="619">
        <v>110000</v>
      </c>
      <c r="G448" s="483">
        <f t="shared" si="361"/>
        <v>67734</v>
      </c>
      <c r="H448" s="254">
        <v>67584</v>
      </c>
      <c r="I448" s="627">
        <v>150</v>
      </c>
      <c r="J448" s="630">
        <v>480</v>
      </c>
      <c r="K448" s="481">
        <f t="shared" si="365"/>
        <v>430</v>
      </c>
      <c r="L448" s="483">
        <f t="shared" si="366"/>
        <v>450</v>
      </c>
      <c r="M448" s="484">
        <f t="shared" si="367"/>
        <v>0.9555555555555556</v>
      </c>
      <c r="N448" s="485">
        <f t="shared" si="368"/>
        <v>380</v>
      </c>
      <c r="O448" s="483">
        <f t="shared" si="369"/>
        <v>430</v>
      </c>
      <c r="P448" s="486">
        <f t="shared" si="370"/>
        <v>0.88372093023255816</v>
      </c>
      <c r="Q448" s="483">
        <f t="shared" si="362"/>
        <v>378.93701833643371</v>
      </c>
      <c r="R448" s="483">
        <f t="shared" si="363"/>
        <v>380</v>
      </c>
      <c r="S448" s="487">
        <f t="shared" si="364"/>
        <v>0.99720267983272026</v>
      </c>
      <c r="T448" s="488">
        <f t="shared" si="371"/>
        <v>0.84208226296985278</v>
      </c>
    </row>
    <row r="449" spans="1:20" ht="23.4" x14ac:dyDescent="0.3">
      <c r="A449" s="248" t="s">
        <v>111</v>
      </c>
      <c r="B449" s="866" t="s">
        <v>235</v>
      </c>
      <c r="C449" s="481">
        <f t="shared" si="360"/>
        <v>0</v>
      </c>
      <c r="D449" s="250">
        <v>0</v>
      </c>
      <c r="E449" s="251">
        <v>0</v>
      </c>
      <c r="F449" s="619">
        <v>50000</v>
      </c>
      <c r="G449" s="483">
        <f t="shared" si="361"/>
        <v>0</v>
      </c>
      <c r="H449" s="254">
        <v>0</v>
      </c>
      <c r="I449" s="627">
        <v>0</v>
      </c>
      <c r="J449" s="630">
        <v>0</v>
      </c>
      <c r="K449" s="481">
        <f t="shared" si="365"/>
        <v>0</v>
      </c>
      <c r="L449" s="483">
        <f t="shared" si="366"/>
        <v>0</v>
      </c>
      <c r="M449" s="484" t="str">
        <f t="shared" si="367"/>
        <v>-</v>
      </c>
      <c r="N449" s="485">
        <f t="shared" si="368"/>
        <v>0</v>
      </c>
      <c r="O449" s="483">
        <f t="shared" si="369"/>
        <v>0</v>
      </c>
      <c r="P449" s="486" t="str">
        <f t="shared" si="370"/>
        <v>-</v>
      </c>
      <c r="Q449" s="483" t="str">
        <f t="shared" si="362"/>
        <v>-</v>
      </c>
      <c r="R449" s="483">
        <f t="shared" si="363"/>
        <v>0</v>
      </c>
      <c r="S449" s="487" t="str">
        <f t="shared" si="364"/>
        <v>-</v>
      </c>
      <c r="T449" s="488" t="str">
        <f t="shared" si="371"/>
        <v>-</v>
      </c>
    </row>
    <row r="450" spans="1:20" ht="23.4" x14ac:dyDescent="0.3">
      <c r="A450" s="248">
        <v>5</v>
      </c>
      <c r="B450" s="866" t="s">
        <v>22</v>
      </c>
      <c r="C450" s="481">
        <f t="shared" si="360"/>
        <v>90</v>
      </c>
      <c r="D450" s="250">
        <v>30</v>
      </c>
      <c r="E450" s="251">
        <v>60</v>
      </c>
      <c r="F450" s="619">
        <v>80000</v>
      </c>
      <c r="G450" s="483">
        <f t="shared" si="361"/>
        <v>63526</v>
      </c>
      <c r="H450" s="254">
        <v>63360</v>
      </c>
      <c r="I450" s="627">
        <v>166</v>
      </c>
      <c r="J450" s="630">
        <v>480</v>
      </c>
      <c r="K450" s="481">
        <f>+L450-E450</f>
        <v>390</v>
      </c>
      <c r="L450" s="483">
        <f t="shared" si="366"/>
        <v>450</v>
      </c>
      <c r="M450" s="484">
        <f>IFERROR(K450/L450,"-")</f>
        <v>0.8666666666666667</v>
      </c>
      <c r="N450" s="485">
        <f t="shared" si="368"/>
        <v>300</v>
      </c>
      <c r="O450" s="483">
        <f t="shared" si="369"/>
        <v>390</v>
      </c>
      <c r="P450" s="486">
        <f t="shared" si="370"/>
        <v>0.76923076923076927</v>
      </c>
      <c r="Q450" s="483">
        <f t="shared" si="362"/>
        <v>298.74571041778171</v>
      </c>
      <c r="R450" s="483">
        <f t="shared" si="363"/>
        <v>300</v>
      </c>
      <c r="S450" s="487">
        <f t="shared" si="364"/>
        <v>0.99581903472593902</v>
      </c>
      <c r="T450" s="488">
        <f t="shared" si="371"/>
        <v>0.66387935648395946</v>
      </c>
    </row>
    <row r="451" spans="1:20" ht="23.4" x14ac:dyDescent="0.3">
      <c r="A451" s="248" t="s">
        <v>111</v>
      </c>
      <c r="B451" s="866" t="s">
        <v>23</v>
      </c>
      <c r="C451" s="481">
        <f t="shared" si="360"/>
        <v>480</v>
      </c>
      <c r="D451" s="250">
        <v>30</v>
      </c>
      <c r="E451" s="251">
        <v>450</v>
      </c>
      <c r="F451" s="619">
        <v>14000</v>
      </c>
      <c r="G451" s="483">
        <f t="shared" si="361"/>
        <v>0</v>
      </c>
      <c r="H451" s="254">
        <v>0</v>
      </c>
      <c r="I451" s="627">
        <v>0</v>
      </c>
      <c r="J451" s="630">
        <v>480</v>
      </c>
      <c r="K451" s="481">
        <f t="shared" ref="K451:K460" si="372">+L451-E451</f>
        <v>0</v>
      </c>
      <c r="L451" s="483">
        <f t="shared" si="366"/>
        <v>450</v>
      </c>
      <c r="M451" s="484">
        <f t="shared" ref="M451:M460" si="373">IFERROR(K451/L451,"-")</f>
        <v>0</v>
      </c>
      <c r="N451" s="485">
        <f t="shared" si="368"/>
        <v>-480</v>
      </c>
      <c r="O451" s="483">
        <f t="shared" si="369"/>
        <v>0</v>
      </c>
      <c r="P451" s="486" t="str">
        <f t="shared" si="370"/>
        <v>-</v>
      </c>
      <c r="Q451" s="483" t="str">
        <f t="shared" si="362"/>
        <v>-</v>
      </c>
      <c r="R451" s="483">
        <f t="shared" si="363"/>
        <v>-480</v>
      </c>
      <c r="S451" s="487" t="str">
        <f t="shared" si="364"/>
        <v>-</v>
      </c>
      <c r="T451" s="488" t="str">
        <f t="shared" si="371"/>
        <v>-</v>
      </c>
    </row>
    <row r="452" spans="1:20" ht="23.4" x14ac:dyDescent="0.3">
      <c r="A452" s="248" t="s">
        <v>111</v>
      </c>
      <c r="B452" s="867" t="s">
        <v>231</v>
      </c>
      <c r="C452" s="489">
        <f t="shared" si="360"/>
        <v>0</v>
      </c>
      <c r="D452" s="250">
        <v>0</v>
      </c>
      <c r="E452" s="251">
        <v>0</v>
      </c>
      <c r="F452" s="619">
        <v>4500</v>
      </c>
      <c r="G452" s="483">
        <f>+H452+I452</f>
        <v>0</v>
      </c>
      <c r="H452" s="254">
        <v>0</v>
      </c>
      <c r="I452" s="322">
        <v>0</v>
      </c>
      <c r="J452" s="630">
        <v>0</v>
      </c>
      <c r="K452" s="489">
        <f t="shared" si="372"/>
        <v>0</v>
      </c>
      <c r="L452" s="250">
        <f t="shared" si="366"/>
        <v>0</v>
      </c>
      <c r="M452" s="490" t="str">
        <f t="shared" si="373"/>
        <v>-</v>
      </c>
      <c r="N452" s="491">
        <f t="shared" si="368"/>
        <v>0</v>
      </c>
      <c r="O452" s="250">
        <f t="shared" si="369"/>
        <v>0</v>
      </c>
      <c r="P452" s="492" t="str">
        <f t="shared" si="370"/>
        <v>-</v>
      </c>
      <c r="Q452" s="250" t="str">
        <f t="shared" si="362"/>
        <v>-</v>
      </c>
      <c r="R452" s="250">
        <f t="shared" si="363"/>
        <v>0</v>
      </c>
      <c r="S452" s="493" t="str">
        <f t="shared" si="364"/>
        <v>-</v>
      </c>
      <c r="T452" s="494" t="str">
        <f t="shared" si="371"/>
        <v>-</v>
      </c>
    </row>
    <row r="453" spans="1:20" ht="24" thickBot="1" x14ac:dyDescent="0.35">
      <c r="A453" s="255" t="s">
        <v>111</v>
      </c>
      <c r="B453" s="868" t="s">
        <v>232</v>
      </c>
      <c r="C453" s="495">
        <f t="shared" si="360"/>
        <v>0</v>
      </c>
      <c r="D453" s="257">
        <v>0</v>
      </c>
      <c r="E453" s="258">
        <v>0</v>
      </c>
      <c r="F453" s="625">
        <v>5000</v>
      </c>
      <c r="G453" s="505">
        <f t="shared" ref="G453:G460" si="374">+H453+I453</f>
        <v>0</v>
      </c>
      <c r="H453" s="259">
        <v>0</v>
      </c>
      <c r="I453" s="628">
        <v>0</v>
      </c>
      <c r="J453" s="633">
        <v>0</v>
      </c>
      <c r="K453" s="495">
        <f t="shared" si="372"/>
        <v>0</v>
      </c>
      <c r="L453" s="257">
        <f t="shared" si="366"/>
        <v>0</v>
      </c>
      <c r="M453" s="496" t="str">
        <f t="shared" si="373"/>
        <v>-</v>
      </c>
      <c r="N453" s="497">
        <f t="shared" si="368"/>
        <v>0</v>
      </c>
      <c r="O453" s="257">
        <f t="shared" si="369"/>
        <v>0</v>
      </c>
      <c r="P453" s="498" t="str">
        <f t="shared" si="370"/>
        <v>-</v>
      </c>
      <c r="Q453" s="257" t="str">
        <f t="shared" si="362"/>
        <v>-</v>
      </c>
      <c r="R453" s="257">
        <f t="shared" si="363"/>
        <v>0</v>
      </c>
      <c r="S453" s="499" t="str">
        <f t="shared" si="364"/>
        <v>-</v>
      </c>
      <c r="T453" s="500" t="str">
        <f t="shared" si="371"/>
        <v>-</v>
      </c>
    </row>
    <row r="454" spans="1:20" ht="23.4" x14ac:dyDescent="0.3">
      <c r="A454" s="252" t="s">
        <v>109</v>
      </c>
      <c r="B454" s="862" t="s">
        <v>29</v>
      </c>
      <c r="C454" s="863">
        <f t="shared" si="360"/>
        <v>230</v>
      </c>
      <c r="D454" s="864">
        <v>60</v>
      </c>
      <c r="E454" s="276">
        <v>170</v>
      </c>
      <c r="F454" s="482">
        <v>80000</v>
      </c>
      <c r="G454" s="483">
        <f t="shared" si="374"/>
        <v>40633</v>
      </c>
      <c r="H454" s="254">
        <v>39780</v>
      </c>
      <c r="I454" s="627">
        <v>853</v>
      </c>
      <c r="J454" s="629">
        <v>480</v>
      </c>
      <c r="K454" s="481">
        <f t="shared" si="372"/>
        <v>250</v>
      </c>
      <c r="L454" s="483">
        <f t="shared" si="366"/>
        <v>420</v>
      </c>
      <c r="M454" s="484">
        <f t="shared" si="373"/>
        <v>0.59523809523809523</v>
      </c>
      <c r="N454" s="485">
        <f t="shared" si="368"/>
        <v>20</v>
      </c>
      <c r="O454" s="483">
        <f t="shared" si="369"/>
        <v>250</v>
      </c>
      <c r="P454" s="486">
        <f t="shared" si="370"/>
        <v>0.08</v>
      </c>
      <c r="Q454" s="483">
        <f t="shared" si="362"/>
        <v>9.9234612260970039</v>
      </c>
      <c r="R454" s="483">
        <f t="shared" si="363"/>
        <v>20</v>
      </c>
      <c r="S454" s="501">
        <f t="shared" si="364"/>
        <v>0.49617306130485017</v>
      </c>
      <c r="T454" s="502">
        <f t="shared" si="371"/>
        <v>2.3627288633564291E-2</v>
      </c>
    </row>
    <row r="455" spans="1:20" ht="23.4" x14ac:dyDescent="0.3">
      <c r="A455" s="248" t="s">
        <v>109</v>
      </c>
      <c r="B455" s="260" t="s">
        <v>31</v>
      </c>
      <c r="C455" s="481">
        <f t="shared" si="360"/>
        <v>560</v>
      </c>
      <c r="D455" s="250">
        <v>30</v>
      </c>
      <c r="E455" s="251">
        <v>530</v>
      </c>
      <c r="F455" s="482">
        <v>50000</v>
      </c>
      <c r="G455" s="483">
        <f t="shared" si="374"/>
        <v>34306</v>
      </c>
      <c r="H455" s="254">
        <v>33696</v>
      </c>
      <c r="I455" s="627">
        <v>610</v>
      </c>
      <c r="J455" s="630">
        <v>900</v>
      </c>
      <c r="K455" s="481">
        <f t="shared" si="372"/>
        <v>340</v>
      </c>
      <c r="L455" s="483">
        <f t="shared" si="366"/>
        <v>870</v>
      </c>
      <c r="M455" s="484">
        <f t="shared" si="373"/>
        <v>0.39080459770114945</v>
      </c>
      <c r="N455" s="485">
        <f t="shared" si="368"/>
        <v>-220</v>
      </c>
      <c r="O455" s="483">
        <f t="shared" si="369"/>
        <v>340</v>
      </c>
      <c r="P455" s="486">
        <f t="shared" si="370"/>
        <v>-0.6470588235294118</v>
      </c>
      <c r="Q455" s="483">
        <f t="shared" si="362"/>
        <v>-236.00303153967241</v>
      </c>
      <c r="R455" s="483">
        <f t="shared" si="363"/>
        <v>-220</v>
      </c>
      <c r="S455" s="501">
        <f t="shared" si="364"/>
        <v>1.0727410524530563</v>
      </c>
      <c r="T455" s="502">
        <f t="shared" si="371"/>
        <v>-0.27126785234445105</v>
      </c>
    </row>
    <row r="456" spans="1:20" ht="24" thickBot="1" x14ac:dyDescent="0.35">
      <c r="A456" s="255" t="s">
        <v>109</v>
      </c>
      <c r="B456" s="261" t="s">
        <v>32</v>
      </c>
      <c r="C456" s="503">
        <f t="shared" si="360"/>
        <v>0</v>
      </c>
      <c r="D456" s="257">
        <v>0</v>
      </c>
      <c r="E456" s="258">
        <v>0</v>
      </c>
      <c r="F456" s="504">
        <v>110000</v>
      </c>
      <c r="G456" s="505">
        <f t="shared" si="374"/>
        <v>0</v>
      </c>
      <c r="H456" s="259">
        <v>0</v>
      </c>
      <c r="I456" s="705">
        <v>0</v>
      </c>
      <c r="J456" s="633">
        <v>0</v>
      </c>
      <c r="K456" s="503">
        <f t="shared" si="372"/>
        <v>0</v>
      </c>
      <c r="L456" s="505">
        <f t="shared" si="366"/>
        <v>0</v>
      </c>
      <c r="M456" s="506" t="str">
        <f t="shared" si="373"/>
        <v>-</v>
      </c>
      <c r="N456" s="507">
        <f t="shared" si="368"/>
        <v>0</v>
      </c>
      <c r="O456" s="505">
        <f t="shared" si="369"/>
        <v>0</v>
      </c>
      <c r="P456" s="508" t="str">
        <f t="shared" si="370"/>
        <v>-</v>
      </c>
      <c r="Q456" s="505" t="str">
        <f t="shared" si="362"/>
        <v>-</v>
      </c>
      <c r="R456" s="505">
        <f t="shared" si="363"/>
        <v>0</v>
      </c>
      <c r="S456" s="509" t="str">
        <f t="shared" si="364"/>
        <v>-</v>
      </c>
      <c r="T456" s="510" t="str">
        <f t="shared" si="371"/>
        <v>-</v>
      </c>
    </row>
    <row r="457" spans="1:20" ht="23.4" x14ac:dyDescent="0.3">
      <c r="A457" s="248" t="s">
        <v>110</v>
      </c>
      <c r="B457" s="249" t="s">
        <v>238</v>
      </c>
      <c r="C457" s="481">
        <f t="shared" si="360"/>
        <v>0</v>
      </c>
      <c r="D457" s="250">
        <v>0</v>
      </c>
      <c r="E457" s="251">
        <v>0</v>
      </c>
      <c r="F457" s="482">
        <v>6500</v>
      </c>
      <c r="G457" s="483">
        <f t="shared" si="374"/>
        <v>0</v>
      </c>
      <c r="H457" s="482">
        <v>0</v>
      </c>
      <c r="I457" s="631">
        <v>0</v>
      </c>
      <c r="J457" s="630">
        <v>0</v>
      </c>
      <c r="K457" s="481">
        <f t="shared" si="372"/>
        <v>0</v>
      </c>
      <c r="L457" s="483">
        <f t="shared" si="366"/>
        <v>0</v>
      </c>
      <c r="M457" s="484" t="str">
        <f t="shared" si="373"/>
        <v>-</v>
      </c>
      <c r="N457" s="485">
        <f t="shared" si="368"/>
        <v>0</v>
      </c>
      <c r="O457" s="483">
        <f t="shared" si="369"/>
        <v>0</v>
      </c>
      <c r="P457" s="486" t="str">
        <f t="shared" si="370"/>
        <v>-</v>
      </c>
      <c r="Q457" s="483" t="str">
        <f t="shared" si="362"/>
        <v>-</v>
      </c>
      <c r="R457" s="483">
        <f t="shared" si="363"/>
        <v>0</v>
      </c>
      <c r="S457" s="501" t="str">
        <f t="shared" si="364"/>
        <v>-</v>
      </c>
      <c r="T457" s="502" t="str">
        <f t="shared" si="371"/>
        <v>-</v>
      </c>
    </row>
    <row r="458" spans="1:20" ht="23.4" x14ac:dyDescent="0.3">
      <c r="A458" s="252" t="s">
        <v>110</v>
      </c>
      <c r="B458" s="249" t="s">
        <v>40</v>
      </c>
      <c r="C458" s="481">
        <f t="shared" si="360"/>
        <v>30</v>
      </c>
      <c r="D458" s="250">
        <v>30</v>
      </c>
      <c r="E458" s="251">
        <v>0</v>
      </c>
      <c r="F458" s="482">
        <v>2800</v>
      </c>
      <c r="G458" s="483">
        <f t="shared" si="374"/>
        <v>4401</v>
      </c>
      <c r="H458" s="482">
        <v>4000</v>
      </c>
      <c r="I458" s="631">
        <v>401</v>
      </c>
      <c r="J458" s="630">
        <v>480</v>
      </c>
      <c r="K458" s="481">
        <f t="shared" si="372"/>
        <v>450</v>
      </c>
      <c r="L458" s="483">
        <f t="shared" si="366"/>
        <v>450</v>
      </c>
      <c r="M458" s="484">
        <f t="shared" si="373"/>
        <v>1</v>
      </c>
      <c r="N458" s="485">
        <f t="shared" si="368"/>
        <v>420</v>
      </c>
      <c r="O458" s="483">
        <f t="shared" si="369"/>
        <v>450</v>
      </c>
      <c r="P458" s="486">
        <f t="shared" si="370"/>
        <v>0.93333333333333335</v>
      </c>
      <c r="Q458" s="483">
        <f t="shared" si="362"/>
        <v>376.26448534423997</v>
      </c>
      <c r="R458" s="483">
        <f t="shared" si="363"/>
        <v>420</v>
      </c>
      <c r="S458" s="501">
        <f t="shared" si="364"/>
        <v>0.89586782224819039</v>
      </c>
      <c r="T458" s="502">
        <f t="shared" si="371"/>
        <v>0.83614330076497767</v>
      </c>
    </row>
    <row r="459" spans="1:20" ht="23.4" x14ac:dyDescent="0.3">
      <c r="A459" s="248" t="s">
        <v>110</v>
      </c>
      <c r="B459" s="249" t="s">
        <v>42</v>
      </c>
      <c r="C459" s="481">
        <f t="shared" si="360"/>
        <v>30</v>
      </c>
      <c r="D459" s="250">
        <v>30</v>
      </c>
      <c r="E459" s="251">
        <v>0</v>
      </c>
      <c r="F459" s="482">
        <v>25000</v>
      </c>
      <c r="G459" s="483">
        <f t="shared" si="374"/>
        <v>35528</v>
      </c>
      <c r="H459" s="482">
        <v>35280</v>
      </c>
      <c r="I459" s="631">
        <v>248</v>
      </c>
      <c r="J459" s="630">
        <v>480</v>
      </c>
      <c r="K459" s="481">
        <f t="shared" si="372"/>
        <v>450</v>
      </c>
      <c r="L459" s="483">
        <f t="shared" si="366"/>
        <v>450</v>
      </c>
      <c r="M459" s="484">
        <f t="shared" si="373"/>
        <v>1</v>
      </c>
      <c r="N459" s="485">
        <f t="shared" si="368"/>
        <v>420</v>
      </c>
      <c r="O459" s="483">
        <f t="shared" si="369"/>
        <v>450</v>
      </c>
      <c r="P459" s="486">
        <f t="shared" si="370"/>
        <v>0.93333333333333335</v>
      </c>
      <c r="Q459" s="483">
        <f t="shared" si="362"/>
        <v>416.64940328754784</v>
      </c>
      <c r="R459" s="483">
        <f t="shared" si="363"/>
        <v>420</v>
      </c>
      <c r="S459" s="501">
        <f t="shared" si="364"/>
        <v>0.99202238877987581</v>
      </c>
      <c r="T459" s="502">
        <f t="shared" si="371"/>
        <v>0.92588756286121743</v>
      </c>
    </row>
    <row r="460" spans="1:20" ht="47.4" thickBot="1" x14ac:dyDescent="0.35">
      <c r="A460" s="635" t="s">
        <v>110</v>
      </c>
      <c r="B460" s="261" t="s">
        <v>237</v>
      </c>
      <c r="C460" s="636">
        <f t="shared" si="360"/>
        <v>0</v>
      </c>
      <c r="D460" s="637">
        <v>0</v>
      </c>
      <c r="E460" s="638">
        <v>0</v>
      </c>
      <c r="F460" s="639">
        <v>25000</v>
      </c>
      <c r="G460" s="640">
        <f t="shared" si="374"/>
        <v>0</v>
      </c>
      <c r="H460" s="639">
        <v>0</v>
      </c>
      <c r="I460" s="641">
        <v>0</v>
      </c>
      <c r="J460" s="634">
        <v>0</v>
      </c>
      <c r="K460" s="636">
        <f t="shared" si="372"/>
        <v>0</v>
      </c>
      <c r="L460" s="640">
        <f t="shared" si="366"/>
        <v>0</v>
      </c>
      <c r="M460" s="642" t="str">
        <f t="shared" si="373"/>
        <v>-</v>
      </c>
      <c r="N460" s="643">
        <f t="shared" si="368"/>
        <v>0</v>
      </c>
      <c r="O460" s="640">
        <f t="shared" si="369"/>
        <v>0</v>
      </c>
      <c r="P460" s="644" t="str">
        <f t="shared" si="370"/>
        <v>-</v>
      </c>
      <c r="Q460" s="640" t="str">
        <f t="shared" si="362"/>
        <v>-</v>
      </c>
      <c r="R460" s="640">
        <f t="shared" si="363"/>
        <v>0</v>
      </c>
      <c r="S460" s="645" t="str">
        <f t="shared" si="364"/>
        <v>-</v>
      </c>
      <c r="T460" s="646" t="str">
        <f t="shared" si="371"/>
        <v>-</v>
      </c>
    </row>
    <row r="461" spans="1:20" ht="23.4" x14ac:dyDescent="0.3">
      <c r="A461" s="935" t="s">
        <v>1</v>
      </c>
      <c r="B461" s="944" t="s">
        <v>2</v>
      </c>
      <c r="C461" s="944" t="s">
        <v>226</v>
      </c>
      <c r="D461" s="945"/>
      <c r="E461" s="946"/>
      <c r="F461" s="944" t="s">
        <v>500</v>
      </c>
      <c r="G461" s="945"/>
      <c r="H461" s="945"/>
      <c r="I461" s="946"/>
      <c r="J461" s="1040" t="s">
        <v>223</v>
      </c>
      <c r="K461" s="944" t="s">
        <v>211</v>
      </c>
      <c r="L461" s="945"/>
      <c r="M461" s="946"/>
      <c r="N461" s="945" t="s">
        <v>212</v>
      </c>
      <c r="O461" s="945"/>
      <c r="P461" s="946"/>
      <c r="Q461" s="944" t="s">
        <v>213</v>
      </c>
      <c r="R461" s="945"/>
      <c r="S461" s="945"/>
      <c r="T461" s="1042" t="s">
        <v>210</v>
      </c>
    </row>
    <row r="462" spans="1:20" ht="87.6" thickBot="1" x14ac:dyDescent="0.35">
      <c r="A462" s="1038"/>
      <c r="B462" s="1039"/>
      <c r="C462" s="235" t="s">
        <v>227</v>
      </c>
      <c r="D462" s="236" t="s">
        <v>224</v>
      </c>
      <c r="E462" s="237" t="s">
        <v>225</v>
      </c>
      <c r="F462" s="238" t="s">
        <v>382</v>
      </c>
      <c r="G462" s="236" t="s">
        <v>220</v>
      </c>
      <c r="H462" s="239" t="s">
        <v>221</v>
      </c>
      <c r="I462" s="240" t="s">
        <v>222</v>
      </c>
      <c r="J462" s="1041"/>
      <c r="K462" s="235" t="s">
        <v>214</v>
      </c>
      <c r="L462" s="239" t="s">
        <v>215</v>
      </c>
      <c r="M462" s="241" t="s">
        <v>228</v>
      </c>
      <c r="N462" s="242" t="s">
        <v>216</v>
      </c>
      <c r="O462" s="239" t="s">
        <v>217</v>
      </c>
      <c r="P462" s="241" t="s">
        <v>229</v>
      </c>
      <c r="Q462" s="235" t="s">
        <v>218</v>
      </c>
      <c r="R462" s="239" t="s">
        <v>219</v>
      </c>
      <c r="S462" s="243" t="s">
        <v>230</v>
      </c>
      <c r="T462" s="1043"/>
    </row>
    <row r="463" spans="1:20" ht="23.4" x14ac:dyDescent="0.3">
      <c r="A463" s="244" t="s">
        <v>111</v>
      </c>
      <c r="B463" s="865" t="s">
        <v>16</v>
      </c>
      <c r="C463" s="474">
        <f>+D463+E463</f>
        <v>0</v>
      </c>
      <c r="D463" s="246">
        <v>0</v>
      </c>
      <c r="E463" s="247">
        <v>0</v>
      </c>
      <c r="F463" s="618">
        <v>15000</v>
      </c>
      <c r="G463" s="475">
        <f>+H463+I463</f>
        <v>0</v>
      </c>
      <c r="H463" s="624">
        <v>0</v>
      </c>
      <c r="I463" s="626">
        <v>0</v>
      </c>
      <c r="J463" s="629">
        <v>0</v>
      </c>
      <c r="K463" s="474">
        <f>+L463-E463</f>
        <v>0</v>
      </c>
      <c r="L463" s="475">
        <f>+J463-D463</f>
        <v>0</v>
      </c>
      <c r="M463" s="476" t="str">
        <f>IFERROR(K463/L463,"-")</f>
        <v>-</v>
      </c>
      <c r="N463" s="477">
        <f>+O463-C463</f>
        <v>0</v>
      </c>
      <c r="O463" s="475">
        <f>+K463</f>
        <v>0</v>
      </c>
      <c r="P463" s="478" t="str">
        <f>IFERROR(N463/O463,"-")</f>
        <v>-</v>
      </c>
      <c r="Q463" s="475" t="str">
        <f>IFERROR(N463-(J463-(J463*H463/G463)),"-")</f>
        <v>-</v>
      </c>
      <c r="R463" s="475">
        <f>+N463</f>
        <v>0</v>
      </c>
      <c r="S463" s="479" t="str">
        <f>IFERROR(Q463/R463,"-")</f>
        <v>-</v>
      </c>
      <c r="T463" s="480" t="str">
        <f>IFERROR(M463*P463*S463,"-")</f>
        <v>-</v>
      </c>
    </row>
    <row r="464" spans="1:20" ht="23.4" x14ac:dyDescent="0.3">
      <c r="A464" s="248" t="s">
        <v>111</v>
      </c>
      <c r="B464" s="866" t="s">
        <v>234</v>
      </c>
      <c r="C464" s="481">
        <f t="shared" ref="C464:C478" si="375">+D464+E464</f>
        <v>0</v>
      </c>
      <c r="D464" s="250">
        <v>0</v>
      </c>
      <c r="E464" s="251">
        <f>0</f>
        <v>0</v>
      </c>
      <c r="F464" s="619">
        <v>100000</v>
      </c>
      <c r="G464" s="483">
        <f t="shared" ref="G464:G469" si="376">+H464+I464</f>
        <v>0</v>
      </c>
      <c r="H464" s="254">
        <v>0</v>
      </c>
      <c r="I464" s="627">
        <v>0</v>
      </c>
      <c r="J464" s="630">
        <v>0</v>
      </c>
      <c r="K464" s="481">
        <f>+L464-E464</f>
        <v>0</v>
      </c>
      <c r="L464" s="483">
        <f>+J464-D464</f>
        <v>0</v>
      </c>
      <c r="M464" s="484" t="str">
        <f>IFERROR(K464/L464,"-")</f>
        <v>-</v>
      </c>
      <c r="N464" s="485">
        <f>+O464-C464</f>
        <v>0</v>
      </c>
      <c r="O464" s="483">
        <f>+K464</f>
        <v>0</v>
      </c>
      <c r="P464" s="486" t="str">
        <f>IFERROR(N464/O464,"-")</f>
        <v>-</v>
      </c>
      <c r="Q464" s="483" t="str">
        <f t="shared" ref="Q464:Q478" si="377">IFERROR(N464-(J464-(J464*H464/G464)),"-")</f>
        <v>-</v>
      </c>
      <c r="R464" s="483">
        <f t="shared" ref="R464:R478" si="378">+N464</f>
        <v>0</v>
      </c>
      <c r="S464" s="487" t="str">
        <f t="shared" ref="S464:S478" si="379">IFERROR(Q464/R464,"-")</f>
        <v>-</v>
      </c>
      <c r="T464" s="488" t="str">
        <f>IFERROR(M464*P464*S464,"-")</f>
        <v>-</v>
      </c>
    </row>
    <row r="465" spans="1:20" ht="23.4" x14ac:dyDescent="0.3">
      <c r="A465" s="248" t="s">
        <v>111</v>
      </c>
      <c r="B465" s="866" t="s">
        <v>233</v>
      </c>
      <c r="C465" s="481">
        <f t="shared" si="375"/>
        <v>0</v>
      </c>
      <c r="D465" s="250">
        <v>0</v>
      </c>
      <c r="E465" s="251">
        <v>0</v>
      </c>
      <c r="F465" s="619">
        <v>80000</v>
      </c>
      <c r="G465" s="483">
        <f t="shared" si="376"/>
        <v>0</v>
      </c>
      <c r="H465" s="254">
        <v>0</v>
      </c>
      <c r="I465" s="627">
        <v>0</v>
      </c>
      <c r="J465" s="630">
        <v>0</v>
      </c>
      <c r="K465" s="481">
        <f t="shared" ref="K465:K467" si="380">+L465-E465</f>
        <v>0</v>
      </c>
      <c r="L465" s="483">
        <f t="shared" ref="L465:L478" si="381">+J465-D465</f>
        <v>0</v>
      </c>
      <c r="M465" s="484" t="str">
        <f t="shared" ref="M465:M467" si="382">IFERROR(K465/L465,"-")</f>
        <v>-</v>
      </c>
      <c r="N465" s="485">
        <f t="shared" ref="N465:N478" si="383">+O465-C465</f>
        <v>0</v>
      </c>
      <c r="O465" s="483">
        <f t="shared" ref="O465:O478" si="384">+K465</f>
        <v>0</v>
      </c>
      <c r="P465" s="486" t="str">
        <f t="shared" ref="P465:P478" si="385">IFERROR(N465/O465,"-")</f>
        <v>-</v>
      </c>
      <c r="Q465" s="483" t="str">
        <f t="shared" si="377"/>
        <v>-</v>
      </c>
      <c r="R465" s="483">
        <f t="shared" si="378"/>
        <v>0</v>
      </c>
      <c r="S465" s="487" t="str">
        <f t="shared" si="379"/>
        <v>-</v>
      </c>
      <c r="T465" s="488" t="str">
        <f t="shared" ref="T465:T478" si="386">IFERROR(M465*P465*S465,"-")</f>
        <v>-</v>
      </c>
    </row>
    <row r="466" spans="1:20" ht="23.4" x14ac:dyDescent="0.3">
      <c r="A466" s="252" t="s">
        <v>111</v>
      </c>
      <c r="B466" s="866" t="s">
        <v>236</v>
      </c>
      <c r="C466" s="481">
        <f t="shared" si="375"/>
        <v>0</v>
      </c>
      <c r="D466" s="250">
        <v>0</v>
      </c>
      <c r="E466" s="251">
        <v>0</v>
      </c>
      <c r="F466" s="619">
        <v>110000</v>
      </c>
      <c r="G466" s="483">
        <f t="shared" si="376"/>
        <v>0</v>
      </c>
      <c r="H466" s="254">
        <v>0</v>
      </c>
      <c r="I466" s="627">
        <v>0</v>
      </c>
      <c r="J466" s="630">
        <v>0</v>
      </c>
      <c r="K466" s="481">
        <f t="shared" si="380"/>
        <v>0</v>
      </c>
      <c r="L466" s="483">
        <f t="shared" si="381"/>
        <v>0</v>
      </c>
      <c r="M466" s="484" t="str">
        <f t="shared" si="382"/>
        <v>-</v>
      </c>
      <c r="N466" s="485">
        <f t="shared" si="383"/>
        <v>0</v>
      </c>
      <c r="O466" s="483">
        <f t="shared" si="384"/>
        <v>0</v>
      </c>
      <c r="P466" s="486" t="str">
        <f t="shared" si="385"/>
        <v>-</v>
      </c>
      <c r="Q466" s="483" t="str">
        <f t="shared" si="377"/>
        <v>-</v>
      </c>
      <c r="R466" s="483">
        <f t="shared" si="378"/>
        <v>0</v>
      </c>
      <c r="S466" s="487" t="str">
        <f t="shared" si="379"/>
        <v>-</v>
      </c>
      <c r="T466" s="488" t="str">
        <f t="shared" si="386"/>
        <v>-</v>
      </c>
    </row>
    <row r="467" spans="1:20" ht="23.4" x14ac:dyDescent="0.3">
      <c r="A467" s="248" t="s">
        <v>111</v>
      </c>
      <c r="B467" s="866" t="s">
        <v>235</v>
      </c>
      <c r="C467" s="481">
        <f t="shared" si="375"/>
        <v>0</v>
      </c>
      <c r="D467" s="250">
        <v>0</v>
      </c>
      <c r="E467" s="251">
        <v>0</v>
      </c>
      <c r="F467" s="619">
        <v>50000</v>
      </c>
      <c r="G467" s="483">
        <f t="shared" si="376"/>
        <v>0</v>
      </c>
      <c r="H467" s="254">
        <v>0</v>
      </c>
      <c r="I467" s="627">
        <v>0</v>
      </c>
      <c r="J467" s="630">
        <v>0</v>
      </c>
      <c r="K467" s="481">
        <f t="shared" si="380"/>
        <v>0</v>
      </c>
      <c r="L467" s="483">
        <f t="shared" si="381"/>
        <v>0</v>
      </c>
      <c r="M467" s="484" t="str">
        <f t="shared" si="382"/>
        <v>-</v>
      </c>
      <c r="N467" s="485">
        <f t="shared" si="383"/>
        <v>0</v>
      </c>
      <c r="O467" s="483">
        <f t="shared" si="384"/>
        <v>0</v>
      </c>
      <c r="P467" s="486" t="str">
        <f t="shared" si="385"/>
        <v>-</v>
      </c>
      <c r="Q467" s="483" t="str">
        <f t="shared" si="377"/>
        <v>-</v>
      </c>
      <c r="R467" s="483">
        <f t="shared" si="378"/>
        <v>0</v>
      </c>
      <c r="S467" s="487" t="str">
        <f t="shared" si="379"/>
        <v>-</v>
      </c>
      <c r="T467" s="488" t="str">
        <f t="shared" si="386"/>
        <v>-</v>
      </c>
    </row>
    <row r="468" spans="1:20" ht="23.4" x14ac:dyDescent="0.3">
      <c r="A468" s="248">
        <v>5</v>
      </c>
      <c r="B468" s="866" t="s">
        <v>22</v>
      </c>
      <c r="C468" s="481">
        <f t="shared" si="375"/>
        <v>0</v>
      </c>
      <c r="D468" s="250">
        <v>0</v>
      </c>
      <c r="E468" s="251">
        <v>0</v>
      </c>
      <c r="F468" s="619">
        <v>80000</v>
      </c>
      <c r="G468" s="483">
        <f t="shared" si="376"/>
        <v>0</v>
      </c>
      <c r="H468" s="254">
        <v>0</v>
      </c>
      <c r="I468" s="627">
        <v>0</v>
      </c>
      <c r="J468" s="630">
        <v>0</v>
      </c>
      <c r="K468" s="481">
        <f>+L468-E468</f>
        <v>0</v>
      </c>
      <c r="L468" s="483">
        <f t="shared" si="381"/>
        <v>0</v>
      </c>
      <c r="M468" s="484" t="str">
        <f>IFERROR(K468/L468,"-")</f>
        <v>-</v>
      </c>
      <c r="N468" s="485">
        <f t="shared" si="383"/>
        <v>0</v>
      </c>
      <c r="O468" s="483">
        <f t="shared" si="384"/>
        <v>0</v>
      </c>
      <c r="P468" s="486" t="str">
        <f t="shared" si="385"/>
        <v>-</v>
      </c>
      <c r="Q468" s="483" t="str">
        <f t="shared" si="377"/>
        <v>-</v>
      </c>
      <c r="R468" s="483">
        <f t="shared" si="378"/>
        <v>0</v>
      </c>
      <c r="S468" s="487" t="str">
        <f t="shared" si="379"/>
        <v>-</v>
      </c>
      <c r="T468" s="488" t="str">
        <f t="shared" si="386"/>
        <v>-</v>
      </c>
    </row>
    <row r="469" spans="1:20" ht="23.4" x14ac:dyDescent="0.3">
      <c r="A469" s="248" t="s">
        <v>111</v>
      </c>
      <c r="B469" s="866" t="s">
        <v>23</v>
      </c>
      <c r="C469" s="481">
        <f t="shared" si="375"/>
        <v>0</v>
      </c>
      <c r="D469" s="250">
        <v>0</v>
      </c>
      <c r="E469" s="251">
        <v>0</v>
      </c>
      <c r="F469" s="619">
        <v>14000</v>
      </c>
      <c r="G469" s="483">
        <f t="shared" si="376"/>
        <v>0</v>
      </c>
      <c r="H469" s="254">
        <v>0</v>
      </c>
      <c r="I469" s="627">
        <v>0</v>
      </c>
      <c r="J469" s="630">
        <v>0</v>
      </c>
      <c r="K469" s="481">
        <f t="shared" ref="K469:K478" si="387">+L469-E469</f>
        <v>0</v>
      </c>
      <c r="L469" s="483">
        <f t="shared" si="381"/>
        <v>0</v>
      </c>
      <c r="M469" s="484" t="str">
        <f t="shared" ref="M469:M478" si="388">IFERROR(K469/L469,"-")</f>
        <v>-</v>
      </c>
      <c r="N469" s="485">
        <f t="shared" si="383"/>
        <v>0</v>
      </c>
      <c r="O469" s="483">
        <f t="shared" si="384"/>
        <v>0</v>
      </c>
      <c r="P469" s="486" t="str">
        <f t="shared" si="385"/>
        <v>-</v>
      </c>
      <c r="Q469" s="483" t="str">
        <f t="shared" si="377"/>
        <v>-</v>
      </c>
      <c r="R469" s="483">
        <f t="shared" si="378"/>
        <v>0</v>
      </c>
      <c r="S469" s="487" t="str">
        <f t="shared" si="379"/>
        <v>-</v>
      </c>
      <c r="T469" s="488" t="str">
        <f t="shared" si="386"/>
        <v>-</v>
      </c>
    </row>
    <row r="470" spans="1:20" ht="23.4" x14ac:dyDescent="0.3">
      <c r="A470" s="248" t="s">
        <v>111</v>
      </c>
      <c r="B470" s="867" t="s">
        <v>231</v>
      </c>
      <c r="C470" s="489">
        <f t="shared" si="375"/>
        <v>0</v>
      </c>
      <c r="D470" s="250">
        <v>0</v>
      </c>
      <c r="E470" s="251">
        <v>0</v>
      </c>
      <c r="F470" s="619">
        <v>4500</v>
      </c>
      <c r="G470" s="483">
        <f>+H470+I470</f>
        <v>0</v>
      </c>
      <c r="H470" s="254">
        <v>0</v>
      </c>
      <c r="I470" s="322">
        <v>0</v>
      </c>
      <c r="J470" s="630">
        <v>0</v>
      </c>
      <c r="K470" s="489">
        <f t="shared" si="387"/>
        <v>0</v>
      </c>
      <c r="L470" s="250">
        <f t="shared" si="381"/>
        <v>0</v>
      </c>
      <c r="M470" s="490" t="str">
        <f t="shared" si="388"/>
        <v>-</v>
      </c>
      <c r="N470" s="491">
        <f t="shared" si="383"/>
        <v>0</v>
      </c>
      <c r="O470" s="250">
        <f t="shared" si="384"/>
        <v>0</v>
      </c>
      <c r="P470" s="492" t="str">
        <f t="shared" si="385"/>
        <v>-</v>
      </c>
      <c r="Q470" s="250" t="str">
        <f t="shared" si="377"/>
        <v>-</v>
      </c>
      <c r="R470" s="250">
        <f t="shared" si="378"/>
        <v>0</v>
      </c>
      <c r="S470" s="493" t="str">
        <f t="shared" si="379"/>
        <v>-</v>
      </c>
      <c r="T470" s="494" t="str">
        <f t="shared" si="386"/>
        <v>-</v>
      </c>
    </row>
    <row r="471" spans="1:20" ht="24" thickBot="1" x14ac:dyDescent="0.35">
      <c r="A471" s="255" t="s">
        <v>111</v>
      </c>
      <c r="B471" s="868" t="s">
        <v>232</v>
      </c>
      <c r="C471" s="495">
        <f t="shared" si="375"/>
        <v>0</v>
      </c>
      <c r="D471" s="257">
        <v>0</v>
      </c>
      <c r="E471" s="258">
        <v>0</v>
      </c>
      <c r="F471" s="625">
        <v>5000</v>
      </c>
      <c r="G471" s="505">
        <f t="shared" ref="G471:G478" si="389">+H471+I471</f>
        <v>0</v>
      </c>
      <c r="H471" s="259">
        <v>0</v>
      </c>
      <c r="I471" s="628">
        <v>0</v>
      </c>
      <c r="J471" s="633">
        <v>0</v>
      </c>
      <c r="K471" s="495">
        <f t="shared" si="387"/>
        <v>0</v>
      </c>
      <c r="L471" s="257">
        <f t="shared" si="381"/>
        <v>0</v>
      </c>
      <c r="M471" s="496" t="str">
        <f t="shared" si="388"/>
        <v>-</v>
      </c>
      <c r="N471" s="497">
        <f t="shared" si="383"/>
        <v>0</v>
      </c>
      <c r="O471" s="257">
        <f t="shared" si="384"/>
        <v>0</v>
      </c>
      <c r="P471" s="498" t="str">
        <f t="shared" si="385"/>
        <v>-</v>
      </c>
      <c r="Q471" s="257" t="str">
        <f t="shared" si="377"/>
        <v>-</v>
      </c>
      <c r="R471" s="257">
        <f t="shared" si="378"/>
        <v>0</v>
      </c>
      <c r="S471" s="499" t="str">
        <f t="shared" si="379"/>
        <v>-</v>
      </c>
      <c r="T471" s="500" t="str">
        <f t="shared" si="386"/>
        <v>-</v>
      </c>
    </row>
    <row r="472" spans="1:20" ht="23.4" x14ac:dyDescent="0.3">
      <c r="A472" s="252" t="s">
        <v>109</v>
      </c>
      <c r="B472" s="862" t="s">
        <v>29</v>
      </c>
      <c r="C472" s="863">
        <f t="shared" si="375"/>
        <v>215</v>
      </c>
      <c r="D472" s="864">
        <v>30</v>
      </c>
      <c r="E472" s="276">
        <v>185</v>
      </c>
      <c r="F472" s="482">
        <v>80000</v>
      </c>
      <c r="G472" s="483">
        <f t="shared" si="389"/>
        <v>113322</v>
      </c>
      <c r="H472" s="254">
        <v>111384</v>
      </c>
      <c r="I472" s="627">
        <v>1938</v>
      </c>
      <c r="J472" s="629">
        <v>900</v>
      </c>
      <c r="K472" s="481">
        <f t="shared" si="387"/>
        <v>685</v>
      </c>
      <c r="L472" s="483">
        <f t="shared" si="381"/>
        <v>870</v>
      </c>
      <c r="M472" s="484">
        <f t="shared" si="388"/>
        <v>0.78735632183908044</v>
      </c>
      <c r="N472" s="485">
        <f t="shared" si="383"/>
        <v>470</v>
      </c>
      <c r="O472" s="483">
        <f t="shared" si="384"/>
        <v>685</v>
      </c>
      <c r="P472" s="486">
        <f t="shared" si="385"/>
        <v>0.68613138686131392</v>
      </c>
      <c r="Q472" s="483">
        <f t="shared" si="377"/>
        <v>454.60846084608465</v>
      </c>
      <c r="R472" s="483">
        <f t="shared" si="378"/>
        <v>470</v>
      </c>
      <c r="S472" s="501">
        <f t="shared" si="379"/>
        <v>0.96725204435337164</v>
      </c>
      <c r="T472" s="502">
        <f t="shared" si="386"/>
        <v>0.52253846074262611</v>
      </c>
    </row>
    <row r="473" spans="1:20" ht="23.4" x14ac:dyDescent="0.3">
      <c r="A473" s="248" t="s">
        <v>109</v>
      </c>
      <c r="B473" s="260" t="s">
        <v>31</v>
      </c>
      <c r="C473" s="481">
        <f t="shared" si="375"/>
        <v>115</v>
      </c>
      <c r="D473" s="250">
        <v>60</v>
      </c>
      <c r="E473" s="251">
        <v>55</v>
      </c>
      <c r="F473" s="482">
        <v>50000</v>
      </c>
      <c r="G473" s="483">
        <f t="shared" si="389"/>
        <v>50112</v>
      </c>
      <c r="H473" s="254">
        <v>48672</v>
      </c>
      <c r="I473" s="627">
        <v>1440</v>
      </c>
      <c r="J473" s="630">
        <v>600</v>
      </c>
      <c r="K473" s="481">
        <f t="shared" si="387"/>
        <v>485</v>
      </c>
      <c r="L473" s="483">
        <f t="shared" si="381"/>
        <v>540</v>
      </c>
      <c r="M473" s="484">
        <f t="shared" si="388"/>
        <v>0.89814814814814814</v>
      </c>
      <c r="N473" s="485">
        <f t="shared" si="383"/>
        <v>370</v>
      </c>
      <c r="O473" s="483">
        <f t="shared" si="384"/>
        <v>485</v>
      </c>
      <c r="P473" s="486">
        <f t="shared" si="385"/>
        <v>0.76288659793814428</v>
      </c>
      <c r="Q473" s="483">
        <f t="shared" si="377"/>
        <v>352.75862068965512</v>
      </c>
      <c r="R473" s="483">
        <f t="shared" si="378"/>
        <v>370</v>
      </c>
      <c r="S473" s="501">
        <f t="shared" si="379"/>
        <v>0.95340167753960847</v>
      </c>
      <c r="T473" s="502">
        <f t="shared" si="386"/>
        <v>0.65325670498084276</v>
      </c>
    </row>
    <row r="474" spans="1:20" ht="24" thickBot="1" x14ac:dyDescent="0.35">
      <c r="A474" s="255" t="s">
        <v>109</v>
      </c>
      <c r="B474" s="261" t="s">
        <v>32</v>
      </c>
      <c r="C474" s="503">
        <f t="shared" si="375"/>
        <v>0</v>
      </c>
      <c r="D474" s="257">
        <v>0</v>
      </c>
      <c r="E474" s="258">
        <v>0</v>
      </c>
      <c r="F474" s="504">
        <v>110000</v>
      </c>
      <c r="G474" s="505">
        <f t="shared" si="389"/>
        <v>0</v>
      </c>
      <c r="H474" s="259">
        <v>0</v>
      </c>
      <c r="I474" s="705">
        <v>0</v>
      </c>
      <c r="J474" s="633">
        <v>0</v>
      </c>
      <c r="K474" s="503">
        <f t="shared" si="387"/>
        <v>0</v>
      </c>
      <c r="L474" s="505">
        <f t="shared" si="381"/>
        <v>0</v>
      </c>
      <c r="M474" s="506" t="str">
        <f t="shared" si="388"/>
        <v>-</v>
      </c>
      <c r="N474" s="507">
        <f t="shared" si="383"/>
        <v>0</v>
      </c>
      <c r="O474" s="505">
        <f t="shared" si="384"/>
        <v>0</v>
      </c>
      <c r="P474" s="508" t="str">
        <f t="shared" si="385"/>
        <v>-</v>
      </c>
      <c r="Q474" s="505" t="str">
        <f t="shared" si="377"/>
        <v>-</v>
      </c>
      <c r="R474" s="505">
        <f t="shared" si="378"/>
        <v>0</v>
      </c>
      <c r="S474" s="509" t="str">
        <f t="shared" si="379"/>
        <v>-</v>
      </c>
      <c r="T474" s="510" t="str">
        <f t="shared" si="386"/>
        <v>-</v>
      </c>
    </row>
    <row r="475" spans="1:20" ht="23.4" x14ac:dyDescent="0.3">
      <c r="A475" s="248" t="s">
        <v>110</v>
      </c>
      <c r="B475" s="249" t="s">
        <v>238</v>
      </c>
      <c r="C475" s="481">
        <f t="shared" si="375"/>
        <v>0</v>
      </c>
      <c r="D475" s="250">
        <v>0</v>
      </c>
      <c r="E475" s="251">
        <v>0</v>
      </c>
      <c r="F475" s="482">
        <v>6500</v>
      </c>
      <c r="G475" s="483">
        <f t="shared" si="389"/>
        <v>0</v>
      </c>
      <c r="H475" s="482">
        <v>0</v>
      </c>
      <c r="I475" s="631">
        <v>0</v>
      </c>
      <c r="J475" s="630">
        <v>0</v>
      </c>
      <c r="K475" s="481">
        <f t="shared" si="387"/>
        <v>0</v>
      </c>
      <c r="L475" s="483">
        <f t="shared" si="381"/>
        <v>0</v>
      </c>
      <c r="M475" s="484" t="str">
        <f t="shared" si="388"/>
        <v>-</v>
      </c>
      <c r="N475" s="485">
        <f t="shared" si="383"/>
        <v>0</v>
      </c>
      <c r="O475" s="483">
        <f t="shared" si="384"/>
        <v>0</v>
      </c>
      <c r="P475" s="486" t="str">
        <f t="shared" si="385"/>
        <v>-</v>
      </c>
      <c r="Q475" s="483" t="str">
        <f t="shared" si="377"/>
        <v>-</v>
      </c>
      <c r="R475" s="483">
        <f t="shared" si="378"/>
        <v>0</v>
      </c>
      <c r="S475" s="501" t="str">
        <f t="shared" si="379"/>
        <v>-</v>
      </c>
      <c r="T475" s="502" t="str">
        <f t="shared" si="386"/>
        <v>-</v>
      </c>
    </row>
    <row r="476" spans="1:20" ht="23.4" x14ac:dyDescent="0.3">
      <c r="A476" s="252" t="s">
        <v>110</v>
      </c>
      <c r="B476" s="249" t="s">
        <v>40</v>
      </c>
      <c r="C476" s="481">
        <f t="shared" si="375"/>
        <v>30</v>
      </c>
      <c r="D476" s="250">
        <v>30</v>
      </c>
      <c r="E476" s="251">
        <v>0</v>
      </c>
      <c r="F476" s="482">
        <v>2800</v>
      </c>
      <c r="G476" s="483">
        <f t="shared" si="389"/>
        <v>8845</v>
      </c>
      <c r="H476" s="482">
        <v>8800</v>
      </c>
      <c r="I476" s="631">
        <v>45</v>
      </c>
      <c r="J476" s="630">
        <v>480</v>
      </c>
      <c r="K476" s="481">
        <f t="shared" si="387"/>
        <v>450</v>
      </c>
      <c r="L476" s="483">
        <f t="shared" si="381"/>
        <v>450</v>
      </c>
      <c r="M476" s="484">
        <f t="shared" si="388"/>
        <v>1</v>
      </c>
      <c r="N476" s="485">
        <f t="shared" si="383"/>
        <v>420</v>
      </c>
      <c r="O476" s="483">
        <f t="shared" si="384"/>
        <v>450</v>
      </c>
      <c r="P476" s="486">
        <f t="shared" si="385"/>
        <v>0.93333333333333335</v>
      </c>
      <c r="Q476" s="483">
        <f t="shared" si="377"/>
        <v>417.55794234030526</v>
      </c>
      <c r="R476" s="483">
        <f t="shared" si="378"/>
        <v>420</v>
      </c>
      <c r="S476" s="501">
        <f t="shared" si="379"/>
        <v>0.99418557700072685</v>
      </c>
      <c r="T476" s="502">
        <f t="shared" si="386"/>
        <v>0.92790653853401173</v>
      </c>
    </row>
    <row r="477" spans="1:20" ht="23.4" x14ac:dyDescent="0.3">
      <c r="A477" s="248" t="s">
        <v>110</v>
      </c>
      <c r="B477" s="249" t="s">
        <v>42</v>
      </c>
      <c r="C477" s="481">
        <f t="shared" si="375"/>
        <v>30</v>
      </c>
      <c r="D477" s="250">
        <v>30</v>
      </c>
      <c r="E477" s="251">
        <v>0</v>
      </c>
      <c r="F477" s="482">
        <v>25000</v>
      </c>
      <c r="G477" s="483">
        <f t="shared" si="389"/>
        <v>48080</v>
      </c>
      <c r="H477" s="482">
        <v>47640</v>
      </c>
      <c r="I477" s="631">
        <v>440</v>
      </c>
      <c r="J477" s="630">
        <v>480</v>
      </c>
      <c r="K477" s="481">
        <f t="shared" si="387"/>
        <v>450</v>
      </c>
      <c r="L477" s="483">
        <f t="shared" si="381"/>
        <v>450</v>
      </c>
      <c r="M477" s="484">
        <f t="shared" si="388"/>
        <v>1</v>
      </c>
      <c r="N477" s="485">
        <f t="shared" si="383"/>
        <v>420</v>
      </c>
      <c r="O477" s="483">
        <f t="shared" si="384"/>
        <v>450</v>
      </c>
      <c r="P477" s="486">
        <f t="shared" si="385"/>
        <v>0.93333333333333335</v>
      </c>
      <c r="Q477" s="483">
        <f t="shared" si="377"/>
        <v>415.60732113144758</v>
      </c>
      <c r="R477" s="483">
        <f t="shared" si="378"/>
        <v>420</v>
      </c>
      <c r="S477" s="501">
        <f t="shared" si="379"/>
        <v>0.98954124078916095</v>
      </c>
      <c r="T477" s="502">
        <f t="shared" si="386"/>
        <v>0.9235718247365502</v>
      </c>
    </row>
    <row r="478" spans="1:20" ht="47.4" thickBot="1" x14ac:dyDescent="0.35">
      <c r="A478" s="635" t="s">
        <v>110</v>
      </c>
      <c r="B478" s="261" t="s">
        <v>237</v>
      </c>
      <c r="C478" s="636">
        <f t="shared" si="375"/>
        <v>0</v>
      </c>
      <c r="D478" s="637">
        <v>0</v>
      </c>
      <c r="E478" s="638">
        <v>0</v>
      </c>
      <c r="F478" s="639">
        <v>25000</v>
      </c>
      <c r="G478" s="640">
        <f t="shared" si="389"/>
        <v>0</v>
      </c>
      <c r="H478" s="639">
        <v>0</v>
      </c>
      <c r="I478" s="641">
        <v>0</v>
      </c>
      <c r="J478" s="634">
        <v>0</v>
      </c>
      <c r="K478" s="636">
        <f t="shared" si="387"/>
        <v>0</v>
      </c>
      <c r="L478" s="640">
        <f t="shared" si="381"/>
        <v>0</v>
      </c>
      <c r="M478" s="642" t="str">
        <f t="shared" si="388"/>
        <v>-</v>
      </c>
      <c r="N478" s="643">
        <f t="shared" si="383"/>
        <v>0</v>
      </c>
      <c r="O478" s="640">
        <f t="shared" si="384"/>
        <v>0</v>
      </c>
      <c r="P478" s="644" t="str">
        <f t="shared" si="385"/>
        <v>-</v>
      </c>
      <c r="Q478" s="640" t="str">
        <f t="shared" si="377"/>
        <v>-</v>
      </c>
      <c r="R478" s="640">
        <f t="shared" si="378"/>
        <v>0</v>
      </c>
      <c r="S478" s="645" t="str">
        <f t="shared" si="379"/>
        <v>-</v>
      </c>
      <c r="T478" s="646" t="str">
        <f t="shared" si="386"/>
        <v>-</v>
      </c>
    </row>
  </sheetData>
  <dataConsolidate topLabels="1">
    <dataRefs count="1">
      <dataRef ref="B14:H106" sheet="01 Prod Physique Boites" r:id="rId1"/>
    </dataRefs>
  </dataConsolidate>
  <mergeCells count="235">
    <mergeCell ref="A443:A444"/>
    <mergeCell ref="B443:B444"/>
    <mergeCell ref="C443:E443"/>
    <mergeCell ref="F443:I443"/>
    <mergeCell ref="J443:J444"/>
    <mergeCell ref="K443:M443"/>
    <mergeCell ref="N443:P443"/>
    <mergeCell ref="Q443:S443"/>
    <mergeCell ref="T443:T444"/>
    <mergeCell ref="A425:A426"/>
    <mergeCell ref="B425:B426"/>
    <mergeCell ref="C425:E425"/>
    <mergeCell ref="F425:I425"/>
    <mergeCell ref="J425:J426"/>
    <mergeCell ref="K425:M425"/>
    <mergeCell ref="N425:P425"/>
    <mergeCell ref="Q425:S425"/>
    <mergeCell ref="T425:T426"/>
    <mergeCell ref="A407:A408"/>
    <mergeCell ref="B407:B408"/>
    <mergeCell ref="C407:E407"/>
    <mergeCell ref="F407:I407"/>
    <mergeCell ref="J407:J408"/>
    <mergeCell ref="K407:M407"/>
    <mergeCell ref="N407:P407"/>
    <mergeCell ref="Q407:S407"/>
    <mergeCell ref="T407:T408"/>
    <mergeCell ref="A389:A390"/>
    <mergeCell ref="B389:B390"/>
    <mergeCell ref="C389:E389"/>
    <mergeCell ref="F389:I389"/>
    <mergeCell ref="J389:J390"/>
    <mergeCell ref="K389:M389"/>
    <mergeCell ref="N389:P389"/>
    <mergeCell ref="Q389:S389"/>
    <mergeCell ref="T389:T390"/>
    <mergeCell ref="A371:A372"/>
    <mergeCell ref="B371:B372"/>
    <mergeCell ref="C371:E371"/>
    <mergeCell ref="F371:I371"/>
    <mergeCell ref="J371:J372"/>
    <mergeCell ref="K371:M371"/>
    <mergeCell ref="N371:P371"/>
    <mergeCell ref="Q371:S371"/>
    <mergeCell ref="T371:T372"/>
    <mergeCell ref="A353:A354"/>
    <mergeCell ref="B353:B354"/>
    <mergeCell ref="C353:E353"/>
    <mergeCell ref="F353:I353"/>
    <mergeCell ref="J353:J354"/>
    <mergeCell ref="K353:M353"/>
    <mergeCell ref="N353:P353"/>
    <mergeCell ref="Q353:S353"/>
    <mergeCell ref="T353:T354"/>
    <mergeCell ref="K209:M209"/>
    <mergeCell ref="N209:P209"/>
    <mergeCell ref="Q209:S209"/>
    <mergeCell ref="T209:T210"/>
    <mergeCell ref="A227:A228"/>
    <mergeCell ref="B227:B228"/>
    <mergeCell ref="C227:E227"/>
    <mergeCell ref="F227:I227"/>
    <mergeCell ref="J227:J228"/>
    <mergeCell ref="K227:M227"/>
    <mergeCell ref="N227:P227"/>
    <mergeCell ref="Q227:S227"/>
    <mergeCell ref="T227:T228"/>
    <mergeCell ref="A209:A210"/>
    <mergeCell ref="B209:B210"/>
    <mergeCell ref="C209:E209"/>
    <mergeCell ref="F209:I209"/>
    <mergeCell ref="J209:J210"/>
    <mergeCell ref="T155:T156"/>
    <mergeCell ref="A173:A174"/>
    <mergeCell ref="B173:B174"/>
    <mergeCell ref="C173:E173"/>
    <mergeCell ref="F173:I173"/>
    <mergeCell ref="J173:J174"/>
    <mergeCell ref="K173:M173"/>
    <mergeCell ref="N173:P173"/>
    <mergeCell ref="Q173:S173"/>
    <mergeCell ref="T173:T174"/>
    <mergeCell ref="A155:A156"/>
    <mergeCell ref="B155:B156"/>
    <mergeCell ref="C155:E155"/>
    <mergeCell ref="F155:I155"/>
    <mergeCell ref="J155:J156"/>
    <mergeCell ref="F137:I137"/>
    <mergeCell ref="J137:J138"/>
    <mergeCell ref="K137:M137"/>
    <mergeCell ref="N137:P137"/>
    <mergeCell ref="Q137:S137"/>
    <mergeCell ref="T137:T138"/>
    <mergeCell ref="A119:A120"/>
    <mergeCell ref="B119:B120"/>
    <mergeCell ref="C119:E119"/>
    <mergeCell ref="F119:I119"/>
    <mergeCell ref="J119:J120"/>
    <mergeCell ref="K119:M119"/>
    <mergeCell ref="K47:M47"/>
    <mergeCell ref="N47:P47"/>
    <mergeCell ref="Q47:S47"/>
    <mergeCell ref="T47:T48"/>
    <mergeCell ref="A65:A66"/>
    <mergeCell ref="B65:B66"/>
    <mergeCell ref="C65:E65"/>
    <mergeCell ref="F65:I65"/>
    <mergeCell ref="J65:J66"/>
    <mergeCell ref="K65:M65"/>
    <mergeCell ref="N65:P65"/>
    <mergeCell ref="Q65:S65"/>
    <mergeCell ref="T65:T66"/>
    <mergeCell ref="A47:A48"/>
    <mergeCell ref="B47:B48"/>
    <mergeCell ref="C47:E47"/>
    <mergeCell ref="A9:T9"/>
    <mergeCell ref="A11:A12"/>
    <mergeCell ref="B11:B12"/>
    <mergeCell ref="C11:E11"/>
    <mergeCell ref="F11:I11"/>
    <mergeCell ref="J11:J12"/>
    <mergeCell ref="A83:A84"/>
    <mergeCell ref="K11:M11"/>
    <mergeCell ref="N11:P11"/>
    <mergeCell ref="Q11:S11"/>
    <mergeCell ref="T11:T12"/>
    <mergeCell ref="T29:T30"/>
    <mergeCell ref="A29:A30"/>
    <mergeCell ref="B29:B30"/>
    <mergeCell ref="C29:E29"/>
    <mergeCell ref="F29:I29"/>
    <mergeCell ref="J29:J30"/>
    <mergeCell ref="F47:I47"/>
    <mergeCell ref="J47:J48"/>
    <mergeCell ref="K29:M29"/>
    <mergeCell ref="N29:P29"/>
    <mergeCell ref="Q29:S29"/>
    <mergeCell ref="T83:T84"/>
    <mergeCell ref="B83:B84"/>
    <mergeCell ref="C83:E83"/>
    <mergeCell ref="F83:I83"/>
    <mergeCell ref="J83:J84"/>
    <mergeCell ref="K83:M83"/>
    <mergeCell ref="N83:P83"/>
    <mergeCell ref="Q83:S83"/>
    <mergeCell ref="K101:M101"/>
    <mergeCell ref="N101:P101"/>
    <mergeCell ref="Q101:S101"/>
    <mergeCell ref="T101:T102"/>
    <mergeCell ref="A101:A102"/>
    <mergeCell ref="B101:B102"/>
    <mergeCell ref="C101:E101"/>
    <mergeCell ref="F101:I101"/>
    <mergeCell ref="J101:J102"/>
    <mergeCell ref="K191:M191"/>
    <mergeCell ref="N191:P191"/>
    <mergeCell ref="Q191:S191"/>
    <mergeCell ref="T191:T192"/>
    <mergeCell ref="A191:A192"/>
    <mergeCell ref="B191:B192"/>
    <mergeCell ref="C191:E191"/>
    <mergeCell ref="F191:I191"/>
    <mergeCell ref="J191:J192"/>
    <mergeCell ref="N119:P119"/>
    <mergeCell ref="Q119:S119"/>
    <mergeCell ref="K155:M155"/>
    <mergeCell ref="N155:P155"/>
    <mergeCell ref="Q155:S155"/>
    <mergeCell ref="T119:T120"/>
    <mergeCell ref="A137:A138"/>
    <mergeCell ref="B137:B138"/>
    <mergeCell ref="C137:E137"/>
    <mergeCell ref="A245:A246"/>
    <mergeCell ref="B245:B246"/>
    <mergeCell ref="C245:E245"/>
    <mergeCell ref="F245:I245"/>
    <mergeCell ref="J245:J246"/>
    <mergeCell ref="K245:M245"/>
    <mergeCell ref="N245:P245"/>
    <mergeCell ref="Q245:S245"/>
    <mergeCell ref="T245:T246"/>
    <mergeCell ref="A263:A264"/>
    <mergeCell ref="B263:B264"/>
    <mergeCell ref="C263:E263"/>
    <mergeCell ref="F263:I263"/>
    <mergeCell ref="J263:J264"/>
    <mergeCell ref="K263:M263"/>
    <mergeCell ref="N263:P263"/>
    <mergeCell ref="Q263:S263"/>
    <mergeCell ref="T263:T264"/>
    <mergeCell ref="A281:A282"/>
    <mergeCell ref="B281:B282"/>
    <mergeCell ref="C281:E281"/>
    <mergeCell ref="F281:I281"/>
    <mergeCell ref="J281:J282"/>
    <mergeCell ref="K281:M281"/>
    <mergeCell ref="N281:P281"/>
    <mergeCell ref="Q281:S281"/>
    <mergeCell ref="T281:T282"/>
    <mergeCell ref="A299:A300"/>
    <mergeCell ref="B299:B300"/>
    <mergeCell ref="C299:E299"/>
    <mergeCell ref="F299:I299"/>
    <mergeCell ref="J299:J300"/>
    <mergeCell ref="K299:M299"/>
    <mergeCell ref="N299:P299"/>
    <mergeCell ref="Q299:S299"/>
    <mergeCell ref="T299:T300"/>
    <mergeCell ref="A317:A318"/>
    <mergeCell ref="B317:B318"/>
    <mergeCell ref="C317:E317"/>
    <mergeCell ref="F317:I317"/>
    <mergeCell ref="J317:J318"/>
    <mergeCell ref="K317:M317"/>
    <mergeCell ref="N317:P317"/>
    <mergeCell ref="Q317:S317"/>
    <mergeCell ref="T317:T318"/>
    <mergeCell ref="A335:A336"/>
    <mergeCell ref="B335:B336"/>
    <mergeCell ref="C335:E335"/>
    <mergeCell ref="F335:I335"/>
    <mergeCell ref="J335:J336"/>
    <mergeCell ref="K335:M335"/>
    <mergeCell ref="N335:P335"/>
    <mergeCell ref="Q335:S335"/>
    <mergeCell ref="T335:T336"/>
    <mergeCell ref="A461:A462"/>
    <mergeCell ref="B461:B462"/>
    <mergeCell ref="C461:E461"/>
    <mergeCell ref="F461:I461"/>
    <mergeCell ref="J461:J462"/>
    <mergeCell ref="K461:M461"/>
    <mergeCell ref="N461:P461"/>
    <mergeCell ref="Q461:S461"/>
    <mergeCell ref="T461:T462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rowBreaks count="26" manualBreakCount="26">
    <brk id="10" max="19" man="1"/>
    <brk id="28" max="19" man="1"/>
    <brk id="46" max="19" man="1"/>
    <brk id="64" max="19" man="1"/>
    <brk id="82" max="19" man="1"/>
    <brk id="100" max="19" man="1"/>
    <brk id="118" max="19" man="1"/>
    <brk id="136" max="19" man="1"/>
    <brk id="154" max="19" man="1"/>
    <brk id="172" max="19" man="1"/>
    <brk id="190" max="19" man="1"/>
    <brk id="208" max="19" man="1"/>
    <brk id="226" max="19" man="1"/>
    <brk id="244" max="19" man="1"/>
    <brk id="262" max="19" man="1"/>
    <brk id="280" max="19" man="1"/>
    <brk id="298" max="19" man="1"/>
    <brk id="316" max="19" man="1"/>
    <brk id="334" max="19" man="1"/>
    <brk id="352" max="19" man="1"/>
    <brk id="370" max="19" man="1"/>
    <brk id="388" max="19" man="1"/>
    <brk id="406" max="19" man="1"/>
    <brk id="424" max="19" man="1"/>
    <brk id="442" max="19" man="1"/>
    <brk id="460" max="19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defaultColWidth="9.109375" defaultRowHeight="13.8" x14ac:dyDescent="0.3"/>
  <cols>
    <col min="1" max="1" width="10.109375" style="229" customWidth="1"/>
    <col min="2" max="2" width="32.44140625" style="221" customWidth="1"/>
    <col min="3" max="4" width="32.33203125" style="222" customWidth="1"/>
    <col min="5" max="5" width="32.33203125" style="223" customWidth="1"/>
    <col min="6" max="7" width="24.6640625" style="222" customWidth="1"/>
    <col min="8" max="8" width="24.6640625" style="224" customWidth="1"/>
    <col min="9" max="9" width="24.6640625" style="223" customWidth="1"/>
    <col min="10" max="10" width="21.109375" style="222" customWidth="1"/>
    <col min="11" max="12" width="15.6640625" style="222" customWidth="1"/>
    <col min="13" max="13" width="15.6640625" style="262" customWidth="1"/>
    <col min="14" max="15" width="15.6640625" style="222" customWidth="1"/>
    <col min="16" max="16" width="15.6640625" style="262" customWidth="1"/>
    <col min="17" max="18" width="15.6640625" style="222" customWidth="1"/>
    <col min="19" max="19" width="14.6640625" style="224" customWidth="1"/>
    <col min="20" max="20" width="23.33203125" style="224" bestFit="1" customWidth="1"/>
    <col min="21" max="16384" width="9.109375" style="229"/>
  </cols>
  <sheetData>
    <row r="7" spans="1:20" ht="67.2" customHeight="1" x14ac:dyDescent="0.3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3">
      <c r="A9" s="961" t="s">
        <v>254</v>
      </c>
      <c r="B9" s="962"/>
      <c r="C9" s="962"/>
      <c r="D9" s="962"/>
      <c r="E9" s="962"/>
      <c r="F9" s="962"/>
      <c r="G9" s="962"/>
      <c r="H9" s="962"/>
      <c r="I9" s="962"/>
      <c r="J9" s="962"/>
      <c r="K9" s="962"/>
      <c r="L9" s="962"/>
      <c r="M9" s="962"/>
      <c r="N9" s="962"/>
      <c r="O9" s="962"/>
      <c r="P9" s="962"/>
      <c r="Q9" s="962"/>
      <c r="R9" s="962"/>
      <c r="S9" s="962"/>
      <c r="T9" s="962"/>
    </row>
    <row r="10" spans="1:20" ht="24.6" customHeight="1" x14ac:dyDescent="0.3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2" customHeight="1" x14ac:dyDescent="0.3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P1055"/>
  <sheetViews>
    <sheetView topLeftCell="A13" workbookViewId="0">
      <selection activeCell="K37" sqref="K37"/>
    </sheetView>
  </sheetViews>
  <sheetFormatPr defaultColWidth="11.5546875" defaultRowHeight="14.4" x14ac:dyDescent="0.3"/>
  <cols>
    <col min="3" max="3" width="14.44140625" customWidth="1"/>
    <col min="4" max="4" width="31.44140625" customWidth="1"/>
    <col min="5" max="5" width="9.6640625" customWidth="1"/>
    <col min="6" max="6" width="9.109375" customWidth="1"/>
    <col min="8" max="8" width="8.88671875" customWidth="1"/>
    <col min="11" max="11" width="9.5546875" customWidth="1"/>
    <col min="12" max="12" width="8.6640625" customWidth="1"/>
    <col min="14" max="14" width="12.109375" customWidth="1"/>
    <col min="15" max="15" width="13.109375" customWidth="1"/>
  </cols>
  <sheetData>
    <row r="2" spans="2:15" x14ac:dyDescent="0.3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3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3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3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3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3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3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3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3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1" x14ac:dyDescent="0.3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3">
      <c r="B13" s="1104" t="s">
        <v>104</v>
      </c>
      <c r="C13" s="1104"/>
      <c r="D13" s="1104"/>
      <c r="E13" s="1104"/>
      <c r="F13" s="1104"/>
      <c r="G13" s="1104"/>
      <c r="H13" s="1104"/>
      <c r="I13" s="1104"/>
      <c r="J13" s="1104"/>
      <c r="K13" s="1104"/>
      <c r="L13" s="1104"/>
      <c r="M13" s="1104"/>
      <c r="N13" s="1104"/>
      <c r="O13" s="1104"/>
    </row>
    <row r="14" spans="2:15" x14ac:dyDescent="0.3">
      <c r="B14" s="1105" t="s">
        <v>147</v>
      </c>
      <c r="C14" s="1106"/>
      <c r="D14" s="1106"/>
      <c r="E14" s="1106"/>
      <c r="F14" s="1106"/>
      <c r="G14" s="1106"/>
      <c r="H14" s="1106"/>
      <c r="I14" s="1106"/>
      <c r="J14" s="1106"/>
      <c r="K14" s="1106"/>
      <c r="L14" s="1106"/>
      <c r="M14" s="1106"/>
      <c r="N14" s="1106"/>
      <c r="O14" s="1106"/>
    </row>
    <row r="16" spans="2:15" ht="15" thickBot="1" x14ac:dyDescent="0.35"/>
    <row r="17" spans="2:16" x14ac:dyDescent="0.3">
      <c r="B17" s="1078" t="s">
        <v>1</v>
      </c>
      <c r="C17" s="1080" t="s">
        <v>2</v>
      </c>
      <c r="D17" s="1083" t="s">
        <v>3</v>
      </c>
      <c r="E17" s="1086" t="s">
        <v>4</v>
      </c>
      <c r="F17" s="1087"/>
      <c r="G17" s="1087"/>
      <c r="H17" s="1087"/>
      <c r="I17" s="1087"/>
      <c r="J17" s="1087"/>
      <c r="K17" s="1087"/>
      <c r="L17" s="1088"/>
      <c r="M17" s="1089" t="s">
        <v>5</v>
      </c>
      <c r="N17" s="1090"/>
      <c r="O17" s="1091"/>
      <c r="P17" s="1083" t="s">
        <v>6</v>
      </c>
    </row>
    <row r="18" spans="2:16" x14ac:dyDescent="0.3">
      <c r="B18" s="1079"/>
      <c r="C18" s="1081"/>
      <c r="D18" s="1084"/>
      <c r="E18" s="1092" t="s">
        <v>7</v>
      </c>
      <c r="F18" s="1094" t="s">
        <v>148</v>
      </c>
      <c r="G18" s="1094"/>
      <c r="H18" s="1095"/>
      <c r="I18" s="1096" t="s">
        <v>8</v>
      </c>
      <c r="J18" s="1094"/>
      <c r="K18" s="1094"/>
      <c r="L18" s="1095" t="s">
        <v>9</v>
      </c>
      <c r="M18" s="1098" t="s">
        <v>10</v>
      </c>
      <c r="N18" s="1100" t="s">
        <v>11</v>
      </c>
      <c r="O18" s="1102" t="s">
        <v>12</v>
      </c>
      <c r="P18" s="1084"/>
    </row>
    <row r="19" spans="2:16" ht="15" thickBot="1" x14ac:dyDescent="0.35">
      <c r="B19" s="1079"/>
      <c r="C19" s="1082"/>
      <c r="D19" s="1085"/>
      <c r="E19" s="1093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097"/>
      <c r="M19" s="1099"/>
      <c r="N19" s="1101"/>
      <c r="O19" s="1103"/>
      <c r="P19" s="1085"/>
    </row>
    <row r="20" spans="2:16" x14ac:dyDescent="0.3">
      <c r="B20" s="1062" t="s">
        <v>56</v>
      </c>
      <c r="C20" s="29"/>
      <c r="D20" s="117" t="s">
        <v>57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1064"/>
    </row>
    <row r="21" spans="2:16" x14ac:dyDescent="0.3">
      <c r="B21" s="1063"/>
      <c r="C21" s="32"/>
      <c r="D21" s="118" t="s">
        <v>117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1065"/>
    </row>
    <row r="22" spans="2:16" x14ac:dyDescent="0.3">
      <c r="B22" s="1063"/>
      <c r="C22" s="35"/>
      <c r="D22" s="119" t="s">
        <v>58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1065"/>
    </row>
    <row r="23" spans="2:16" x14ac:dyDescent="0.3">
      <c r="B23" s="1063"/>
      <c r="C23" s="35"/>
      <c r="D23" s="119" t="s">
        <v>59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1065"/>
    </row>
    <row r="24" spans="2:16" x14ac:dyDescent="0.3">
      <c r="B24" s="1063"/>
      <c r="C24" s="35"/>
      <c r="D24" s="119" t="s">
        <v>114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1065"/>
    </row>
    <row r="25" spans="2:16" x14ac:dyDescent="0.3">
      <c r="B25" s="1063"/>
      <c r="C25" s="35"/>
      <c r="D25" s="119" t="s">
        <v>118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1065"/>
    </row>
    <row r="26" spans="2:16" ht="15" thickBot="1" x14ac:dyDescent="0.35">
      <c r="B26" s="1063"/>
      <c r="C26" s="82"/>
      <c r="D26" s="120" t="s">
        <v>60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1065"/>
    </row>
    <row r="27" spans="2:16" ht="15" thickBot="1" x14ac:dyDescent="0.35">
      <c r="B27" s="1063"/>
      <c r="C27" s="1068" t="s">
        <v>112</v>
      </c>
      <c r="D27" s="1069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1066"/>
    </row>
    <row r="28" spans="2:16" x14ac:dyDescent="0.3">
      <c r="B28" s="1063"/>
      <c r="C28" s="32"/>
      <c r="D28" s="118" t="s">
        <v>61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1065"/>
    </row>
    <row r="29" spans="2:16" x14ac:dyDescent="0.3">
      <c r="B29" s="1063"/>
      <c r="C29" s="35"/>
      <c r="D29" s="119" t="s">
        <v>62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1065"/>
    </row>
    <row r="30" spans="2:16" x14ac:dyDescent="0.3">
      <c r="B30" s="1063"/>
      <c r="C30" s="35"/>
      <c r="D30" s="119" t="s">
        <v>105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1065"/>
    </row>
    <row r="31" spans="2:16" x14ac:dyDescent="0.3">
      <c r="B31" s="1063"/>
      <c r="C31" s="35"/>
      <c r="D31" s="119" t="s">
        <v>64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1065"/>
    </row>
    <row r="32" spans="2:16" ht="15" thickBot="1" x14ac:dyDescent="0.35">
      <c r="B32" s="1063"/>
      <c r="C32" s="82"/>
      <c r="D32" s="120" t="s">
        <v>63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1067"/>
    </row>
    <row r="33" spans="2:16" ht="15" thickBot="1" x14ac:dyDescent="0.35">
      <c r="B33" s="1047" t="s">
        <v>113</v>
      </c>
      <c r="C33" s="1048"/>
      <c r="D33" s="1048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" thickBot="1" x14ac:dyDescent="0.35">
      <c r="B34" s="1047" t="s">
        <v>106</v>
      </c>
      <c r="C34" s="1048"/>
      <c r="D34" s="1048"/>
      <c r="E34" s="1070"/>
      <c r="F34" s="1070"/>
      <c r="G34" s="1070"/>
      <c r="H34" s="1070"/>
      <c r="I34" s="1048"/>
      <c r="J34" s="1048"/>
      <c r="K34" s="1048"/>
      <c r="L34" s="1048"/>
      <c r="M34" s="1048"/>
      <c r="N34" s="1071"/>
      <c r="O34" s="83">
        <f>O27+O33</f>
        <v>410687.99999999994</v>
      </c>
      <c r="P34" s="161"/>
    </row>
    <row r="35" spans="2:16" x14ac:dyDescent="0.3">
      <c r="B35" s="1062" t="s">
        <v>65</v>
      </c>
      <c r="C35" s="37" t="s">
        <v>66</v>
      </c>
      <c r="D35" s="28" t="s">
        <v>67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1073"/>
    </row>
    <row r="36" spans="2:16" x14ac:dyDescent="0.3">
      <c r="B36" s="1063"/>
      <c r="C36" s="39"/>
      <c r="D36" s="22" t="s">
        <v>68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1074"/>
    </row>
    <row r="37" spans="2:16" x14ac:dyDescent="0.3">
      <c r="B37" s="1063"/>
      <c r="C37" s="39"/>
      <c r="D37" s="23" t="s">
        <v>134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1074"/>
    </row>
    <row r="38" spans="2:16" x14ac:dyDescent="0.3">
      <c r="B38" s="1063"/>
      <c r="C38" s="39"/>
      <c r="D38" s="22" t="s">
        <v>139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1074"/>
    </row>
    <row r="39" spans="2:16" x14ac:dyDescent="0.3">
      <c r="B39" s="1063"/>
      <c r="C39" s="39" t="s">
        <v>69</v>
      </c>
      <c r="D39" s="22" t="s">
        <v>141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1074"/>
    </row>
    <row r="40" spans="2:16" x14ac:dyDescent="0.3">
      <c r="B40" s="1063"/>
      <c r="C40" s="39"/>
      <c r="D40" s="22" t="s">
        <v>68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1074"/>
    </row>
    <row r="41" spans="2:16" ht="15" thickBot="1" x14ac:dyDescent="0.35">
      <c r="B41" s="1063"/>
      <c r="C41" s="39"/>
      <c r="D41" s="22" t="s">
        <v>134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1075"/>
    </row>
    <row r="42" spans="2:16" ht="15" thickBot="1" x14ac:dyDescent="0.35">
      <c r="B42" s="1063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3">
      <c r="B43" s="1063"/>
      <c r="C43" s="1076" t="s">
        <v>70</v>
      </c>
      <c r="D43" s="22" t="s">
        <v>67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1073"/>
    </row>
    <row r="44" spans="2:16" x14ac:dyDescent="0.3">
      <c r="B44" s="1063"/>
      <c r="C44" s="1077"/>
      <c r="D44" s="22" t="s">
        <v>68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1074"/>
    </row>
    <row r="45" spans="2:16" x14ac:dyDescent="0.3">
      <c r="B45" s="1063"/>
      <c r="C45" s="1077"/>
      <c r="D45" s="22" t="s">
        <v>135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1074"/>
    </row>
    <row r="46" spans="2:16" ht="15" thickBot="1" x14ac:dyDescent="0.35">
      <c r="B46" s="1063"/>
      <c r="C46" s="1077"/>
      <c r="D46" s="22" t="s">
        <v>119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1074"/>
    </row>
    <row r="47" spans="2:16" ht="15" thickBot="1" x14ac:dyDescent="0.35">
      <c r="B47" s="1063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1075"/>
    </row>
    <row r="48" spans="2:16" ht="15" thickBot="1" x14ac:dyDescent="0.35">
      <c r="B48" s="1072"/>
      <c r="C48" s="41" t="s">
        <v>71</v>
      </c>
      <c r="D48" s="27" t="s">
        <v>67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" thickBot="1" x14ac:dyDescent="0.35">
      <c r="B49" s="1047" t="s">
        <v>102</v>
      </c>
      <c r="C49" s="1048"/>
      <c r="D49" s="1048"/>
      <c r="E49" s="1048"/>
      <c r="F49" s="1048"/>
      <c r="G49" s="1048"/>
      <c r="H49" s="1048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3">
      <c r="B50" s="1049" t="s">
        <v>72</v>
      </c>
      <c r="C50" s="1052" t="s">
        <v>73</v>
      </c>
      <c r="D50" s="54" t="s">
        <v>74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1054"/>
    </row>
    <row r="51" spans="2:16" x14ac:dyDescent="0.3">
      <c r="B51" s="1050"/>
      <c r="C51" s="1053"/>
      <c r="D51" s="61" t="s">
        <v>75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1055"/>
    </row>
    <row r="52" spans="2:16" x14ac:dyDescent="0.3">
      <c r="B52" s="1050"/>
      <c r="C52" s="1053"/>
      <c r="D52" s="61" t="s">
        <v>76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1055"/>
    </row>
    <row r="53" spans="2:16" x14ac:dyDescent="0.3">
      <c r="B53" s="1050"/>
      <c r="C53" s="1053" t="s">
        <v>77</v>
      </c>
      <c r="D53" s="61" t="s">
        <v>78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1055"/>
    </row>
    <row r="54" spans="2:16" x14ac:dyDescent="0.3">
      <c r="B54" s="1050"/>
      <c r="C54" s="1053"/>
      <c r="D54" s="61" t="s">
        <v>142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1055"/>
    </row>
    <row r="55" spans="2:16" x14ac:dyDescent="0.3">
      <c r="B55" s="1050"/>
      <c r="C55" s="1053"/>
      <c r="D55" s="61" t="s">
        <v>75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1055"/>
    </row>
    <row r="56" spans="2:16" x14ac:dyDescent="0.3">
      <c r="B56" s="1050"/>
      <c r="C56" s="1057" t="s">
        <v>79</v>
      </c>
      <c r="D56" s="61" t="s">
        <v>80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1055"/>
    </row>
    <row r="57" spans="2:16" x14ac:dyDescent="0.3">
      <c r="B57" s="1050"/>
      <c r="C57" s="1058"/>
      <c r="D57" s="61" t="s">
        <v>125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1055"/>
    </row>
    <row r="58" spans="2:16" x14ac:dyDescent="0.3">
      <c r="B58" s="1050"/>
      <c r="C58" s="1057" t="s">
        <v>81</v>
      </c>
      <c r="D58" s="61" t="s">
        <v>82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1055"/>
    </row>
    <row r="59" spans="2:16" x14ac:dyDescent="0.3">
      <c r="B59" s="1050"/>
      <c r="C59" s="1058"/>
      <c r="D59" s="61" t="s">
        <v>75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1055"/>
    </row>
    <row r="60" spans="2:16" x14ac:dyDescent="0.3">
      <c r="B60" s="1050"/>
      <c r="C60" s="160" t="s">
        <v>83</v>
      </c>
      <c r="D60" s="61" t="s">
        <v>84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1055"/>
    </row>
    <row r="61" spans="2:16" x14ac:dyDescent="0.3">
      <c r="B61" s="1050"/>
      <c r="C61" s="1053" t="s">
        <v>85</v>
      </c>
      <c r="D61" s="61" t="s">
        <v>80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1055"/>
    </row>
    <row r="62" spans="2:16" x14ac:dyDescent="0.3">
      <c r="B62" s="1050"/>
      <c r="C62" s="1053"/>
      <c r="D62" s="61" t="s">
        <v>127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1055"/>
    </row>
    <row r="63" spans="2:16" x14ac:dyDescent="0.3">
      <c r="B63" s="1050"/>
      <c r="C63" s="1053"/>
      <c r="D63" s="61" t="s">
        <v>131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1055"/>
    </row>
    <row r="64" spans="2:16" x14ac:dyDescent="0.3">
      <c r="B64" s="1050"/>
      <c r="C64" s="1053"/>
      <c r="D64" s="61" t="s">
        <v>132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1055"/>
    </row>
    <row r="65" spans="2:16" x14ac:dyDescent="0.3">
      <c r="B65" s="1050"/>
      <c r="C65" s="1053"/>
      <c r="D65" s="61" t="s">
        <v>86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1055"/>
    </row>
    <row r="66" spans="2:16" x14ac:dyDescent="0.3">
      <c r="B66" s="1050"/>
      <c r="C66" s="160" t="s">
        <v>136</v>
      </c>
      <c r="D66" s="61" t="s">
        <v>132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1055"/>
    </row>
    <row r="67" spans="2:16" x14ac:dyDescent="0.3">
      <c r="B67" s="1050"/>
      <c r="C67" s="1053" t="s">
        <v>87</v>
      </c>
      <c r="D67" s="61" t="s">
        <v>80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1055"/>
    </row>
    <row r="68" spans="2:16" x14ac:dyDescent="0.3">
      <c r="B68" s="1050"/>
      <c r="C68" s="1053"/>
      <c r="D68" s="61" t="s">
        <v>143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1055"/>
    </row>
    <row r="69" spans="2:16" x14ac:dyDescent="0.3">
      <c r="B69" s="1050"/>
      <c r="C69" s="1053"/>
      <c r="D69" s="61" t="s">
        <v>137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1055"/>
    </row>
    <row r="70" spans="2:16" x14ac:dyDescent="0.3">
      <c r="B70" s="1050"/>
      <c r="C70" s="1053" t="s">
        <v>88</v>
      </c>
      <c r="D70" s="61" t="s">
        <v>80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1055"/>
    </row>
    <row r="71" spans="2:16" x14ac:dyDescent="0.3">
      <c r="B71" s="1050"/>
      <c r="C71" s="1053"/>
      <c r="D71" s="61" t="s">
        <v>120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1055"/>
    </row>
    <row r="72" spans="2:16" x14ac:dyDescent="0.3">
      <c r="B72" s="1050"/>
      <c r="C72" s="1053"/>
      <c r="D72" s="61" t="s">
        <v>126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1055"/>
    </row>
    <row r="73" spans="2:16" x14ac:dyDescent="0.3">
      <c r="B73" s="1050"/>
      <c r="C73" s="1053"/>
      <c r="D73" s="61" t="s">
        <v>129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1055"/>
    </row>
    <row r="74" spans="2:16" x14ac:dyDescent="0.3">
      <c r="B74" s="1050"/>
      <c r="C74" s="1053"/>
      <c r="D74" s="61" t="s">
        <v>144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1055"/>
    </row>
    <row r="75" spans="2:16" x14ac:dyDescent="0.3">
      <c r="B75" s="1050"/>
      <c r="C75" s="160" t="s">
        <v>89</v>
      </c>
      <c r="D75" s="61" t="s">
        <v>80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1055"/>
    </row>
    <row r="76" spans="2:16" x14ac:dyDescent="0.3">
      <c r="B76" s="1050"/>
      <c r="C76" s="160" t="s">
        <v>90</v>
      </c>
      <c r="D76" s="61" t="s">
        <v>80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1055"/>
    </row>
    <row r="77" spans="2:16" ht="15" thickBot="1" x14ac:dyDescent="0.35">
      <c r="B77" s="1050"/>
      <c r="C77" s="68" t="s">
        <v>91</v>
      </c>
      <c r="D77" s="69" t="s">
        <v>92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1056"/>
    </row>
    <row r="78" spans="2:16" ht="15" thickBot="1" x14ac:dyDescent="0.35">
      <c r="B78" s="1051"/>
      <c r="C78" s="1059" t="s">
        <v>107</v>
      </c>
      <c r="D78" s="1060"/>
      <c r="E78" s="1060"/>
      <c r="F78" s="1060"/>
      <c r="G78" s="1060"/>
      <c r="H78" s="1061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" thickBot="1" x14ac:dyDescent="0.35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" thickBot="1" x14ac:dyDescent="0.35">
      <c r="B80" s="1044" t="s">
        <v>108</v>
      </c>
      <c r="C80" s="1045"/>
      <c r="D80" s="1045"/>
      <c r="E80" s="1045"/>
      <c r="F80" s="1045"/>
      <c r="G80" s="1045"/>
      <c r="H80" s="1045"/>
      <c r="I80" s="1045"/>
      <c r="J80" s="1045"/>
      <c r="K80" s="1045"/>
      <c r="L80" s="1045"/>
      <c r="M80" s="1045"/>
      <c r="N80" s="1046"/>
      <c r="O80" s="103">
        <f>+O78+O49+O34</f>
        <v>1349521.7749999999</v>
      </c>
      <c r="P80" s="96"/>
    </row>
    <row r="81" spans="2:16" ht="15" thickBot="1" x14ac:dyDescent="0.35"/>
    <row r="82" spans="2:16" x14ac:dyDescent="0.3">
      <c r="B82" s="1078" t="s">
        <v>1</v>
      </c>
      <c r="C82" s="1080" t="s">
        <v>2</v>
      </c>
      <c r="D82" s="1083" t="s">
        <v>3</v>
      </c>
      <c r="E82" s="1086" t="s">
        <v>4</v>
      </c>
      <c r="F82" s="1087"/>
      <c r="G82" s="1087"/>
      <c r="H82" s="1087"/>
      <c r="I82" s="1087"/>
      <c r="J82" s="1087"/>
      <c r="K82" s="1087"/>
      <c r="L82" s="1088"/>
      <c r="M82" s="1089" t="s">
        <v>5</v>
      </c>
      <c r="N82" s="1090"/>
      <c r="O82" s="1091"/>
      <c r="P82" s="1083" t="s">
        <v>6</v>
      </c>
    </row>
    <row r="83" spans="2:16" x14ac:dyDescent="0.3">
      <c r="B83" s="1079"/>
      <c r="C83" s="1081"/>
      <c r="D83" s="1084"/>
      <c r="E83" s="1092" t="s">
        <v>7</v>
      </c>
      <c r="F83" s="1094" t="s">
        <v>149</v>
      </c>
      <c r="G83" s="1094"/>
      <c r="H83" s="1095"/>
      <c r="I83" s="1096" t="s">
        <v>8</v>
      </c>
      <c r="J83" s="1094"/>
      <c r="K83" s="1094"/>
      <c r="L83" s="1095" t="s">
        <v>9</v>
      </c>
      <c r="M83" s="1098" t="s">
        <v>10</v>
      </c>
      <c r="N83" s="1100" t="s">
        <v>11</v>
      </c>
      <c r="O83" s="1102" t="s">
        <v>12</v>
      </c>
      <c r="P83" s="1084"/>
    </row>
    <row r="84" spans="2:16" ht="15" thickBot="1" x14ac:dyDescent="0.35">
      <c r="B84" s="1079"/>
      <c r="C84" s="1082"/>
      <c r="D84" s="1085"/>
      <c r="E84" s="1093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097"/>
      <c r="M84" s="1099"/>
      <c r="N84" s="1101"/>
      <c r="O84" s="1103"/>
      <c r="P84" s="1085"/>
    </row>
    <row r="85" spans="2:16" x14ac:dyDescent="0.3">
      <c r="B85" s="1062" t="s">
        <v>56</v>
      </c>
      <c r="C85" s="29"/>
      <c r="D85" s="117" t="s">
        <v>57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1064"/>
    </row>
    <row r="86" spans="2:16" x14ac:dyDescent="0.3">
      <c r="B86" s="1063"/>
      <c r="C86" s="32"/>
      <c r="D86" s="118" t="s">
        <v>117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1065"/>
    </row>
    <row r="87" spans="2:16" x14ac:dyDescent="0.3">
      <c r="B87" s="1063"/>
      <c r="C87" s="35"/>
      <c r="D87" s="119" t="s">
        <v>58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1065"/>
    </row>
    <row r="88" spans="2:16" x14ac:dyDescent="0.3">
      <c r="B88" s="1063"/>
      <c r="C88" s="35"/>
      <c r="D88" s="119" t="s">
        <v>59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1065"/>
    </row>
    <row r="89" spans="2:16" x14ac:dyDescent="0.3">
      <c r="B89" s="1063"/>
      <c r="C89" s="35"/>
      <c r="D89" s="119" t="s">
        <v>114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1065"/>
    </row>
    <row r="90" spans="2:16" x14ac:dyDescent="0.3">
      <c r="B90" s="1063"/>
      <c r="C90" s="35"/>
      <c r="D90" s="119" t="s">
        <v>118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1065"/>
    </row>
    <row r="91" spans="2:16" ht="15" thickBot="1" x14ac:dyDescent="0.35">
      <c r="B91" s="1063"/>
      <c r="C91" s="82"/>
      <c r="D91" s="120" t="s">
        <v>60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1065"/>
    </row>
    <row r="92" spans="2:16" ht="15" thickBot="1" x14ac:dyDescent="0.35">
      <c r="B92" s="1063"/>
      <c r="C92" s="1068" t="s">
        <v>112</v>
      </c>
      <c r="D92" s="1069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1066"/>
    </row>
    <row r="93" spans="2:16" x14ac:dyDescent="0.3">
      <c r="B93" s="1063"/>
      <c r="C93" s="32"/>
      <c r="D93" s="118" t="s">
        <v>61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1065"/>
    </row>
    <row r="94" spans="2:16" x14ac:dyDescent="0.3">
      <c r="B94" s="1063"/>
      <c r="C94" s="35"/>
      <c r="D94" s="119" t="s">
        <v>62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1065"/>
    </row>
    <row r="95" spans="2:16" x14ac:dyDescent="0.3">
      <c r="B95" s="1063"/>
      <c r="C95" s="35"/>
      <c r="D95" s="119" t="s">
        <v>105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1065"/>
    </row>
    <row r="96" spans="2:16" x14ac:dyDescent="0.3">
      <c r="B96" s="1063"/>
      <c r="C96" s="35"/>
      <c r="D96" s="119" t="s">
        <v>64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1065"/>
    </row>
    <row r="97" spans="2:16" ht="15" thickBot="1" x14ac:dyDescent="0.35">
      <c r="B97" s="1063"/>
      <c r="C97" s="82"/>
      <c r="D97" s="120" t="s">
        <v>63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1067"/>
    </row>
    <row r="98" spans="2:16" ht="15" thickBot="1" x14ac:dyDescent="0.35">
      <c r="B98" s="1047" t="s">
        <v>113</v>
      </c>
      <c r="C98" s="1048"/>
      <c r="D98" s="1048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" thickBot="1" x14ac:dyDescent="0.35">
      <c r="B99" s="1047" t="s">
        <v>106</v>
      </c>
      <c r="C99" s="1048"/>
      <c r="D99" s="1048"/>
      <c r="E99" s="1070"/>
      <c r="F99" s="1070"/>
      <c r="G99" s="1070"/>
      <c r="H99" s="1070"/>
      <c r="I99" s="1048"/>
      <c r="J99" s="1048"/>
      <c r="K99" s="1048"/>
      <c r="L99" s="1048"/>
      <c r="M99" s="1048"/>
      <c r="N99" s="1071"/>
      <c r="O99" s="83">
        <f>O92+O98</f>
        <v>821375.99999999988</v>
      </c>
      <c r="P99" s="165"/>
    </row>
    <row r="100" spans="2:16" x14ac:dyDescent="0.3">
      <c r="B100" s="1062" t="s">
        <v>65</v>
      </c>
      <c r="C100" s="37" t="s">
        <v>66</v>
      </c>
      <c r="D100" s="28" t="s">
        <v>67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1073"/>
    </row>
    <row r="101" spans="2:16" x14ac:dyDescent="0.3">
      <c r="B101" s="1063"/>
      <c r="C101" s="39"/>
      <c r="D101" s="22" t="s">
        <v>68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1074"/>
    </row>
    <row r="102" spans="2:16" x14ac:dyDescent="0.3">
      <c r="B102" s="1063"/>
      <c r="C102" s="39"/>
      <c r="D102" s="23" t="s">
        <v>134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1074"/>
    </row>
    <row r="103" spans="2:16" x14ac:dyDescent="0.3">
      <c r="B103" s="1063"/>
      <c r="C103" s="39"/>
      <c r="D103" s="22" t="s">
        <v>139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1074"/>
    </row>
    <row r="104" spans="2:16" x14ac:dyDescent="0.3">
      <c r="B104" s="1063"/>
      <c r="C104" s="39" t="s">
        <v>69</v>
      </c>
      <c r="D104" s="22" t="s">
        <v>141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1074"/>
    </row>
    <row r="105" spans="2:16" x14ac:dyDescent="0.3">
      <c r="B105" s="1063"/>
      <c r="C105" s="39"/>
      <c r="D105" s="22" t="s">
        <v>68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1074"/>
    </row>
    <row r="106" spans="2:16" ht="15" thickBot="1" x14ac:dyDescent="0.35">
      <c r="B106" s="1063"/>
      <c r="C106" s="39"/>
      <c r="D106" s="22" t="s">
        <v>134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1075"/>
    </row>
    <row r="107" spans="2:16" ht="15" thickBot="1" x14ac:dyDescent="0.35">
      <c r="B107" s="1063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3">
      <c r="B108" s="1063"/>
      <c r="C108" s="1076" t="s">
        <v>70</v>
      </c>
      <c r="D108" s="22" t="s">
        <v>67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1073"/>
    </row>
    <row r="109" spans="2:16" x14ac:dyDescent="0.3">
      <c r="B109" s="1063"/>
      <c r="C109" s="1077"/>
      <c r="D109" s="22" t="s">
        <v>68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1074"/>
    </row>
    <row r="110" spans="2:16" x14ac:dyDescent="0.3">
      <c r="B110" s="1063"/>
      <c r="C110" s="1077"/>
      <c r="D110" s="22" t="s">
        <v>135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1074"/>
    </row>
    <row r="111" spans="2:16" ht="15" thickBot="1" x14ac:dyDescent="0.35">
      <c r="B111" s="1063"/>
      <c r="C111" s="1077"/>
      <c r="D111" s="22" t="s">
        <v>119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1074"/>
    </row>
    <row r="112" spans="2:16" ht="15" thickBot="1" x14ac:dyDescent="0.35">
      <c r="B112" s="1063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1075"/>
    </row>
    <row r="113" spans="2:16" ht="15" thickBot="1" x14ac:dyDescent="0.35">
      <c r="B113" s="1072"/>
      <c r="C113" s="41" t="s">
        <v>71</v>
      </c>
      <c r="D113" s="27" t="s">
        <v>67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" thickBot="1" x14ac:dyDescent="0.35">
      <c r="B114" s="1047" t="s">
        <v>102</v>
      </c>
      <c r="C114" s="1048"/>
      <c r="D114" s="1048"/>
      <c r="E114" s="1048"/>
      <c r="F114" s="1048"/>
      <c r="G114" s="1048"/>
      <c r="H114" s="1048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3">
      <c r="B115" s="1049" t="s">
        <v>72</v>
      </c>
      <c r="C115" s="1052" t="s">
        <v>73</v>
      </c>
      <c r="D115" s="54" t="s">
        <v>74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1054"/>
    </row>
    <row r="116" spans="2:16" x14ac:dyDescent="0.3">
      <c r="B116" s="1050"/>
      <c r="C116" s="1053"/>
      <c r="D116" s="61" t="s">
        <v>75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1055"/>
    </row>
    <row r="117" spans="2:16" x14ac:dyDescent="0.3">
      <c r="B117" s="1050"/>
      <c r="C117" s="1053"/>
      <c r="D117" s="61" t="s">
        <v>76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1055"/>
    </row>
    <row r="118" spans="2:16" x14ac:dyDescent="0.3">
      <c r="B118" s="1050"/>
      <c r="C118" s="1053" t="s">
        <v>77</v>
      </c>
      <c r="D118" s="61" t="s">
        <v>78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1055"/>
    </row>
    <row r="119" spans="2:16" x14ac:dyDescent="0.3">
      <c r="B119" s="1050"/>
      <c r="C119" s="1053"/>
      <c r="D119" s="61" t="s">
        <v>142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1055"/>
    </row>
    <row r="120" spans="2:16" x14ac:dyDescent="0.3">
      <c r="B120" s="1050"/>
      <c r="C120" s="1053"/>
      <c r="D120" s="61" t="s">
        <v>75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1055"/>
    </row>
    <row r="121" spans="2:16" x14ac:dyDescent="0.3">
      <c r="B121" s="1050"/>
      <c r="C121" s="1057" t="s">
        <v>79</v>
      </c>
      <c r="D121" s="61" t="s">
        <v>80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1055"/>
    </row>
    <row r="122" spans="2:16" x14ac:dyDescent="0.3">
      <c r="B122" s="1050"/>
      <c r="C122" s="1058"/>
      <c r="D122" s="61" t="s">
        <v>125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1055"/>
    </row>
    <row r="123" spans="2:16" x14ac:dyDescent="0.3">
      <c r="B123" s="1050"/>
      <c r="C123" s="1057" t="s">
        <v>81</v>
      </c>
      <c r="D123" s="61" t="s">
        <v>82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1055"/>
    </row>
    <row r="124" spans="2:16" x14ac:dyDescent="0.3">
      <c r="B124" s="1050"/>
      <c r="C124" s="1058"/>
      <c r="D124" s="61" t="s">
        <v>75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1055"/>
    </row>
    <row r="125" spans="2:16" x14ac:dyDescent="0.3">
      <c r="B125" s="1050"/>
      <c r="C125" s="167" t="s">
        <v>83</v>
      </c>
      <c r="D125" s="61" t="s">
        <v>84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1055"/>
    </row>
    <row r="126" spans="2:16" x14ac:dyDescent="0.3">
      <c r="B126" s="1050"/>
      <c r="C126" s="1053" t="s">
        <v>85</v>
      </c>
      <c r="D126" s="61" t="s">
        <v>80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1055"/>
    </row>
    <row r="127" spans="2:16" x14ac:dyDescent="0.3">
      <c r="B127" s="1050"/>
      <c r="C127" s="1053"/>
      <c r="D127" s="61" t="s">
        <v>127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1055"/>
    </row>
    <row r="128" spans="2:16" x14ac:dyDescent="0.3">
      <c r="B128" s="1050"/>
      <c r="C128" s="1053"/>
      <c r="D128" s="61" t="s">
        <v>131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1055"/>
    </row>
    <row r="129" spans="2:16" x14ac:dyDescent="0.3">
      <c r="B129" s="1050"/>
      <c r="C129" s="1053"/>
      <c r="D129" s="61" t="s">
        <v>132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1055"/>
    </row>
    <row r="130" spans="2:16" x14ac:dyDescent="0.3">
      <c r="B130" s="1050"/>
      <c r="C130" s="1053"/>
      <c r="D130" s="61" t="s">
        <v>86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1055"/>
    </row>
    <row r="131" spans="2:16" x14ac:dyDescent="0.3">
      <c r="B131" s="1050"/>
      <c r="C131" s="167" t="s">
        <v>136</v>
      </c>
      <c r="D131" s="61" t="s">
        <v>132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1055"/>
    </row>
    <row r="132" spans="2:16" x14ac:dyDescent="0.3">
      <c r="B132" s="1050"/>
      <c r="C132" s="1053" t="s">
        <v>87</v>
      </c>
      <c r="D132" s="61" t="s">
        <v>80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1055"/>
    </row>
    <row r="133" spans="2:16" x14ac:dyDescent="0.3">
      <c r="B133" s="1050"/>
      <c r="C133" s="1053"/>
      <c r="D133" s="61" t="s">
        <v>143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1055"/>
    </row>
    <row r="134" spans="2:16" x14ac:dyDescent="0.3">
      <c r="B134" s="1050"/>
      <c r="C134" s="1053"/>
      <c r="D134" s="61" t="s">
        <v>137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1055"/>
    </row>
    <row r="135" spans="2:16" x14ac:dyDescent="0.3">
      <c r="B135" s="1050"/>
      <c r="C135" s="1053" t="s">
        <v>88</v>
      </c>
      <c r="D135" s="61" t="s">
        <v>80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1055"/>
    </row>
    <row r="136" spans="2:16" x14ac:dyDescent="0.3">
      <c r="B136" s="1050"/>
      <c r="C136" s="1053"/>
      <c r="D136" s="61" t="s">
        <v>120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1055"/>
    </row>
    <row r="137" spans="2:16" x14ac:dyDescent="0.3">
      <c r="B137" s="1050"/>
      <c r="C137" s="1053"/>
      <c r="D137" s="61" t="s">
        <v>126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1055"/>
    </row>
    <row r="138" spans="2:16" x14ac:dyDescent="0.3">
      <c r="B138" s="1050"/>
      <c r="C138" s="1053"/>
      <c r="D138" s="61" t="s">
        <v>129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1055"/>
    </row>
    <row r="139" spans="2:16" x14ac:dyDescent="0.3">
      <c r="B139" s="1050"/>
      <c r="C139" s="1053"/>
      <c r="D139" s="61" t="s">
        <v>144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1055"/>
    </row>
    <row r="140" spans="2:16" x14ac:dyDescent="0.3">
      <c r="B140" s="1050"/>
      <c r="C140" s="167" t="s">
        <v>89</v>
      </c>
      <c r="D140" s="61" t="s">
        <v>80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1055"/>
    </row>
    <row r="141" spans="2:16" x14ac:dyDescent="0.3">
      <c r="B141" s="1050"/>
      <c r="C141" s="167" t="s">
        <v>90</v>
      </c>
      <c r="D141" s="61" t="s">
        <v>80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1055"/>
    </row>
    <row r="142" spans="2:16" ht="15" thickBot="1" x14ac:dyDescent="0.35">
      <c r="B142" s="1050"/>
      <c r="C142" s="68" t="s">
        <v>91</v>
      </c>
      <c r="D142" s="69" t="s">
        <v>92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1056"/>
    </row>
    <row r="143" spans="2:16" ht="15" thickBot="1" x14ac:dyDescent="0.35">
      <c r="B143" s="1051"/>
      <c r="C143" s="1059" t="s">
        <v>107</v>
      </c>
      <c r="D143" s="1060"/>
      <c r="E143" s="1060"/>
      <c r="F143" s="1060"/>
      <c r="G143" s="1060"/>
      <c r="H143" s="1061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" thickBot="1" x14ac:dyDescent="0.35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" thickBot="1" x14ac:dyDescent="0.35">
      <c r="B145" s="1044" t="s">
        <v>108</v>
      </c>
      <c r="C145" s="1045"/>
      <c r="D145" s="1045"/>
      <c r="E145" s="1045"/>
      <c r="F145" s="1045"/>
      <c r="G145" s="1045"/>
      <c r="H145" s="1045"/>
      <c r="I145" s="1045"/>
      <c r="J145" s="1045"/>
      <c r="K145" s="1045"/>
      <c r="L145" s="1045"/>
      <c r="M145" s="1045"/>
      <c r="N145" s="1046"/>
      <c r="O145" s="103">
        <f>+O143+O114+O99</f>
        <v>2224203.7009999999</v>
      </c>
      <c r="P145" s="96"/>
    </row>
    <row r="146" spans="2:16" ht="15" thickBot="1" x14ac:dyDescent="0.35"/>
    <row r="147" spans="2:16" x14ac:dyDescent="0.3">
      <c r="B147" s="1078" t="s">
        <v>1</v>
      </c>
      <c r="C147" s="1080" t="s">
        <v>2</v>
      </c>
      <c r="D147" s="1083" t="s">
        <v>3</v>
      </c>
      <c r="E147" s="1086" t="s">
        <v>4</v>
      </c>
      <c r="F147" s="1087"/>
      <c r="G147" s="1087"/>
      <c r="H147" s="1087"/>
      <c r="I147" s="1087"/>
      <c r="J147" s="1087"/>
      <c r="K147" s="1087"/>
      <c r="L147" s="1088"/>
      <c r="M147" s="1089" t="s">
        <v>5</v>
      </c>
      <c r="N147" s="1090"/>
      <c r="O147" s="1091"/>
      <c r="P147" s="1083" t="s">
        <v>6</v>
      </c>
    </row>
    <row r="148" spans="2:16" x14ac:dyDescent="0.3">
      <c r="B148" s="1079"/>
      <c r="C148" s="1081"/>
      <c r="D148" s="1084"/>
      <c r="E148" s="1092" t="s">
        <v>7</v>
      </c>
      <c r="F148" s="1094" t="s">
        <v>150</v>
      </c>
      <c r="G148" s="1094"/>
      <c r="H148" s="1095"/>
      <c r="I148" s="1096" t="s">
        <v>8</v>
      </c>
      <c r="J148" s="1094"/>
      <c r="K148" s="1094"/>
      <c r="L148" s="1095" t="s">
        <v>9</v>
      </c>
      <c r="M148" s="1098" t="s">
        <v>10</v>
      </c>
      <c r="N148" s="1100" t="s">
        <v>11</v>
      </c>
      <c r="O148" s="1102" t="s">
        <v>12</v>
      </c>
      <c r="P148" s="1084"/>
    </row>
    <row r="149" spans="2:16" ht="15" thickBot="1" x14ac:dyDescent="0.35">
      <c r="B149" s="1079"/>
      <c r="C149" s="1082"/>
      <c r="D149" s="1085"/>
      <c r="E149" s="1093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097"/>
      <c r="M149" s="1099"/>
      <c r="N149" s="1101"/>
      <c r="O149" s="1103"/>
      <c r="P149" s="1085"/>
    </row>
    <row r="150" spans="2:16" x14ac:dyDescent="0.3">
      <c r="B150" s="1062" t="s">
        <v>56</v>
      </c>
      <c r="C150" s="29"/>
      <c r="D150" s="117" t="s">
        <v>57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1064"/>
    </row>
    <row r="151" spans="2:16" x14ac:dyDescent="0.3">
      <c r="B151" s="1063"/>
      <c r="C151" s="32"/>
      <c r="D151" s="118" t="s">
        <v>117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1065"/>
    </row>
    <row r="152" spans="2:16" x14ac:dyDescent="0.3">
      <c r="B152" s="1063"/>
      <c r="C152" s="35"/>
      <c r="D152" s="119" t="s">
        <v>58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1065"/>
    </row>
    <row r="153" spans="2:16" x14ac:dyDescent="0.3">
      <c r="B153" s="1063"/>
      <c r="C153" s="35"/>
      <c r="D153" s="119" t="s">
        <v>59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1065"/>
    </row>
    <row r="154" spans="2:16" x14ac:dyDescent="0.3">
      <c r="B154" s="1063"/>
      <c r="C154" s="35"/>
      <c r="D154" s="119" t="s">
        <v>114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1065"/>
    </row>
    <row r="155" spans="2:16" x14ac:dyDescent="0.3">
      <c r="B155" s="1063"/>
      <c r="C155" s="35"/>
      <c r="D155" s="119" t="s">
        <v>118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1065"/>
    </row>
    <row r="156" spans="2:16" ht="15" thickBot="1" x14ac:dyDescent="0.35">
      <c r="B156" s="1063"/>
      <c r="C156" s="82"/>
      <c r="D156" s="120" t="s">
        <v>60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1065"/>
    </row>
    <row r="157" spans="2:16" ht="15" thickBot="1" x14ac:dyDescent="0.35">
      <c r="B157" s="1063"/>
      <c r="C157" s="1068" t="s">
        <v>112</v>
      </c>
      <c r="D157" s="1069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1066"/>
    </row>
    <row r="158" spans="2:16" x14ac:dyDescent="0.3">
      <c r="B158" s="1063"/>
      <c r="C158" s="32"/>
      <c r="D158" s="118" t="s">
        <v>61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1065"/>
    </row>
    <row r="159" spans="2:16" x14ac:dyDescent="0.3">
      <c r="B159" s="1063"/>
      <c r="C159" s="35"/>
      <c r="D159" s="119" t="s">
        <v>62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1065"/>
    </row>
    <row r="160" spans="2:16" x14ac:dyDescent="0.3">
      <c r="B160" s="1063"/>
      <c r="C160" s="35"/>
      <c r="D160" s="119" t="s">
        <v>105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1065"/>
    </row>
    <row r="161" spans="2:16" x14ac:dyDescent="0.3">
      <c r="B161" s="1063"/>
      <c r="C161" s="35"/>
      <c r="D161" s="119" t="s">
        <v>64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1065"/>
    </row>
    <row r="162" spans="2:16" ht="15" thickBot="1" x14ac:dyDescent="0.35">
      <c r="B162" s="1063"/>
      <c r="C162" s="82"/>
      <c r="D162" s="120" t="s">
        <v>63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1067"/>
    </row>
    <row r="163" spans="2:16" ht="15" thickBot="1" x14ac:dyDescent="0.35">
      <c r="B163" s="1047" t="s">
        <v>113</v>
      </c>
      <c r="C163" s="1048"/>
      <c r="D163" s="1048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" thickBot="1" x14ac:dyDescent="0.35">
      <c r="B164" s="1047" t="s">
        <v>106</v>
      </c>
      <c r="C164" s="1048"/>
      <c r="D164" s="1048"/>
      <c r="E164" s="1070"/>
      <c r="F164" s="1070"/>
      <c r="G164" s="1070"/>
      <c r="H164" s="1070"/>
      <c r="I164" s="1048"/>
      <c r="J164" s="1048"/>
      <c r="K164" s="1048"/>
      <c r="L164" s="1048"/>
      <c r="M164" s="1048"/>
      <c r="N164" s="1071"/>
      <c r="O164" s="83">
        <f>O157+O163</f>
        <v>1239801.5999999999</v>
      </c>
      <c r="P164" s="170"/>
    </row>
    <row r="165" spans="2:16" x14ac:dyDescent="0.3">
      <c r="B165" s="1062" t="s">
        <v>65</v>
      </c>
      <c r="C165" s="37" t="s">
        <v>66</v>
      </c>
      <c r="D165" s="28" t="s">
        <v>67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1073"/>
    </row>
    <row r="166" spans="2:16" x14ac:dyDescent="0.3">
      <c r="B166" s="1063"/>
      <c r="C166" s="39"/>
      <c r="D166" s="22" t="s">
        <v>68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1074"/>
    </row>
    <row r="167" spans="2:16" x14ac:dyDescent="0.3">
      <c r="B167" s="1063"/>
      <c r="C167" s="39"/>
      <c r="D167" s="23" t="s">
        <v>134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1074"/>
    </row>
    <row r="168" spans="2:16" x14ac:dyDescent="0.3">
      <c r="B168" s="1063"/>
      <c r="C168" s="39"/>
      <c r="D168" s="22" t="s">
        <v>139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1074"/>
    </row>
    <row r="169" spans="2:16" x14ac:dyDescent="0.3">
      <c r="B169" s="1063"/>
      <c r="C169" s="39" t="s">
        <v>69</v>
      </c>
      <c r="D169" s="22" t="s">
        <v>141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1074"/>
    </row>
    <row r="170" spans="2:16" x14ac:dyDescent="0.3">
      <c r="B170" s="1063"/>
      <c r="C170" s="39"/>
      <c r="D170" s="22" t="s">
        <v>68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1074"/>
    </row>
    <row r="171" spans="2:16" ht="15" thickBot="1" x14ac:dyDescent="0.35">
      <c r="B171" s="1063"/>
      <c r="C171" s="39"/>
      <c r="D171" s="22" t="s">
        <v>134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1075"/>
    </row>
    <row r="172" spans="2:16" ht="15" thickBot="1" x14ac:dyDescent="0.35">
      <c r="B172" s="1063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3">
      <c r="B173" s="1063"/>
      <c r="C173" s="1076" t="s">
        <v>70</v>
      </c>
      <c r="D173" s="22" t="s">
        <v>67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1073"/>
    </row>
    <row r="174" spans="2:16" x14ac:dyDescent="0.3">
      <c r="B174" s="1063"/>
      <c r="C174" s="1077"/>
      <c r="D174" s="22" t="s">
        <v>68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1074"/>
    </row>
    <row r="175" spans="2:16" x14ac:dyDescent="0.3">
      <c r="B175" s="1063"/>
      <c r="C175" s="1077"/>
      <c r="D175" s="22" t="s">
        <v>135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1074"/>
    </row>
    <row r="176" spans="2:16" ht="15" thickBot="1" x14ac:dyDescent="0.35">
      <c r="B176" s="1063"/>
      <c r="C176" s="1077"/>
      <c r="D176" s="22" t="s">
        <v>119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1074"/>
    </row>
    <row r="177" spans="2:16" ht="15" thickBot="1" x14ac:dyDescent="0.35">
      <c r="B177" s="1063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1075"/>
    </row>
    <row r="178" spans="2:16" ht="15" thickBot="1" x14ac:dyDescent="0.35">
      <c r="B178" s="1072"/>
      <c r="C178" s="41" t="s">
        <v>71</v>
      </c>
      <c r="D178" s="27" t="s">
        <v>67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" thickBot="1" x14ac:dyDescent="0.35">
      <c r="B179" s="1047" t="s">
        <v>102</v>
      </c>
      <c r="C179" s="1048"/>
      <c r="D179" s="1048"/>
      <c r="E179" s="1048"/>
      <c r="F179" s="1048"/>
      <c r="G179" s="1048"/>
      <c r="H179" s="1048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3">
      <c r="B180" s="1049" t="s">
        <v>72</v>
      </c>
      <c r="C180" s="1052" t="s">
        <v>73</v>
      </c>
      <c r="D180" s="54" t="s">
        <v>74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1054"/>
    </row>
    <row r="181" spans="2:16" x14ac:dyDescent="0.3">
      <c r="B181" s="1050"/>
      <c r="C181" s="1053"/>
      <c r="D181" s="61" t="s">
        <v>75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1055"/>
    </row>
    <row r="182" spans="2:16" x14ac:dyDescent="0.3">
      <c r="B182" s="1050"/>
      <c r="C182" s="1053"/>
      <c r="D182" s="61" t="s">
        <v>76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1055"/>
    </row>
    <row r="183" spans="2:16" x14ac:dyDescent="0.3">
      <c r="B183" s="1050"/>
      <c r="C183" s="1053" t="s">
        <v>77</v>
      </c>
      <c r="D183" s="61" t="s">
        <v>78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1055"/>
    </row>
    <row r="184" spans="2:16" x14ac:dyDescent="0.3">
      <c r="B184" s="1050"/>
      <c r="C184" s="1053"/>
      <c r="D184" s="61" t="s">
        <v>142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1055"/>
    </row>
    <row r="185" spans="2:16" x14ac:dyDescent="0.3">
      <c r="B185" s="1050"/>
      <c r="C185" s="1053"/>
      <c r="D185" s="61" t="s">
        <v>75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1055"/>
    </row>
    <row r="186" spans="2:16" x14ac:dyDescent="0.3">
      <c r="B186" s="1050"/>
      <c r="C186" s="1057" t="s">
        <v>79</v>
      </c>
      <c r="D186" s="61" t="s">
        <v>80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1055"/>
    </row>
    <row r="187" spans="2:16" x14ac:dyDescent="0.3">
      <c r="B187" s="1050"/>
      <c r="C187" s="1058"/>
      <c r="D187" s="61" t="s">
        <v>125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1055"/>
    </row>
    <row r="188" spans="2:16" x14ac:dyDescent="0.3">
      <c r="B188" s="1050"/>
      <c r="C188" s="1057" t="s">
        <v>81</v>
      </c>
      <c r="D188" s="61" t="s">
        <v>82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1055"/>
    </row>
    <row r="189" spans="2:16" x14ac:dyDescent="0.3">
      <c r="B189" s="1050"/>
      <c r="C189" s="1058"/>
      <c r="D189" s="61" t="s">
        <v>75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1055"/>
    </row>
    <row r="190" spans="2:16" x14ac:dyDescent="0.3">
      <c r="B190" s="1050"/>
      <c r="C190" s="169" t="s">
        <v>83</v>
      </c>
      <c r="D190" s="61" t="s">
        <v>84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1055"/>
    </row>
    <row r="191" spans="2:16" x14ac:dyDescent="0.3">
      <c r="B191" s="1050"/>
      <c r="C191" s="1053" t="s">
        <v>85</v>
      </c>
      <c r="D191" s="61" t="s">
        <v>80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1055"/>
    </row>
    <row r="192" spans="2:16" x14ac:dyDescent="0.3">
      <c r="B192" s="1050"/>
      <c r="C192" s="1053"/>
      <c r="D192" s="61" t="s">
        <v>127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1055"/>
    </row>
    <row r="193" spans="2:16" x14ac:dyDescent="0.3">
      <c r="B193" s="1050"/>
      <c r="C193" s="1053"/>
      <c r="D193" s="61" t="s">
        <v>131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1055"/>
    </row>
    <row r="194" spans="2:16" x14ac:dyDescent="0.3">
      <c r="B194" s="1050"/>
      <c r="C194" s="1053"/>
      <c r="D194" s="61" t="s">
        <v>132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1055"/>
    </row>
    <row r="195" spans="2:16" x14ac:dyDescent="0.3">
      <c r="B195" s="1050"/>
      <c r="C195" s="1053"/>
      <c r="D195" s="61" t="s">
        <v>86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1055"/>
    </row>
    <row r="196" spans="2:16" x14ac:dyDescent="0.3">
      <c r="B196" s="1050"/>
      <c r="C196" s="169" t="s">
        <v>136</v>
      </c>
      <c r="D196" s="61" t="s">
        <v>132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1055"/>
    </row>
    <row r="197" spans="2:16" x14ac:dyDescent="0.3">
      <c r="B197" s="1050"/>
      <c r="C197" s="1053" t="s">
        <v>87</v>
      </c>
      <c r="D197" s="61" t="s">
        <v>80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1055"/>
    </row>
    <row r="198" spans="2:16" x14ac:dyDescent="0.3">
      <c r="B198" s="1050"/>
      <c r="C198" s="1053"/>
      <c r="D198" s="61" t="s">
        <v>143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1055"/>
    </row>
    <row r="199" spans="2:16" x14ac:dyDescent="0.3">
      <c r="B199" s="1050"/>
      <c r="C199" s="1053"/>
      <c r="D199" s="61" t="s">
        <v>137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1055"/>
    </row>
    <row r="200" spans="2:16" x14ac:dyDescent="0.3">
      <c r="B200" s="1050"/>
      <c r="C200" s="1053" t="s">
        <v>88</v>
      </c>
      <c r="D200" s="61" t="s">
        <v>80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1055"/>
    </row>
    <row r="201" spans="2:16" x14ac:dyDescent="0.3">
      <c r="B201" s="1050"/>
      <c r="C201" s="1053"/>
      <c r="D201" s="61" t="s">
        <v>120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1055"/>
    </row>
    <row r="202" spans="2:16" x14ac:dyDescent="0.3">
      <c r="B202" s="1050"/>
      <c r="C202" s="1053"/>
      <c r="D202" s="61" t="s">
        <v>126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1055"/>
    </row>
    <row r="203" spans="2:16" x14ac:dyDescent="0.3">
      <c r="B203" s="1050"/>
      <c r="C203" s="1053"/>
      <c r="D203" s="61" t="s">
        <v>129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1055"/>
    </row>
    <row r="204" spans="2:16" x14ac:dyDescent="0.3">
      <c r="B204" s="1050"/>
      <c r="C204" s="1053"/>
      <c r="D204" s="61" t="s">
        <v>144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1055"/>
    </row>
    <row r="205" spans="2:16" x14ac:dyDescent="0.3">
      <c r="B205" s="1050"/>
      <c r="C205" s="169" t="s">
        <v>89</v>
      </c>
      <c r="D205" s="61" t="s">
        <v>80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1055"/>
    </row>
    <row r="206" spans="2:16" x14ac:dyDescent="0.3">
      <c r="B206" s="1050"/>
      <c r="C206" s="169" t="s">
        <v>90</v>
      </c>
      <c r="D206" s="61" t="s">
        <v>80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1055"/>
    </row>
    <row r="207" spans="2:16" ht="15" thickBot="1" x14ac:dyDescent="0.35">
      <c r="B207" s="1050"/>
      <c r="C207" s="68" t="s">
        <v>91</v>
      </c>
      <c r="D207" s="69" t="s">
        <v>92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1056"/>
    </row>
    <row r="208" spans="2:16" ht="15" thickBot="1" x14ac:dyDescent="0.35">
      <c r="B208" s="1051"/>
      <c r="C208" s="1059" t="s">
        <v>107</v>
      </c>
      <c r="D208" s="1060"/>
      <c r="E208" s="1060"/>
      <c r="F208" s="1060"/>
      <c r="G208" s="1060"/>
      <c r="H208" s="1061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" thickBot="1" x14ac:dyDescent="0.35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" thickBot="1" x14ac:dyDescent="0.35">
      <c r="B210" s="1044" t="s">
        <v>108</v>
      </c>
      <c r="C210" s="1045"/>
      <c r="D210" s="1045"/>
      <c r="E210" s="1045"/>
      <c r="F210" s="1045"/>
      <c r="G210" s="1045"/>
      <c r="H210" s="1045"/>
      <c r="I210" s="1045"/>
      <c r="J210" s="1045"/>
      <c r="K210" s="1045"/>
      <c r="L210" s="1045"/>
      <c r="M210" s="1045"/>
      <c r="N210" s="1046"/>
      <c r="O210" s="103">
        <f>+O208+O179+O164</f>
        <v>3364517.6359999999</v>
      </c>
      <c r="P210" s="96"/>
    </row>
    <row r="211" spans="2:16" ht="15" thickBot="1" x14ac:dyDescent="0.35"/>
    <row r="212" spans="2:16" x14ac:dyDescent="0.3">
      <c r="B212" s="1078" t="s">
        <v>1</v>
      </c>
      <c r="C212" s="1080" t="s">
        <v>2</v>
      </c>
      <c r="D212" s="1083" t="s">
        <v>3</v>
      </c>
      <c r="E212" s="1086" t="s">
        <v>4</v>
      </c>
      <c r="F212" s="1087"/>
      <c r="G212" s="1087"/>
      <c r="H212" s="1087"/>
      <c r="I212" s="1087"/>
      <c r="J212" s="1087"/>
      <c r="K212" s="1087"/>
      <c r="L212" s="1088"/>
      <c r="M212" s="1089" t="s">
        <v>5</v>
      </c>
      <c r="N212" s="1090"/>
      <c r="O212" s="1091"/>
      <c r="P212" s="1083" t="s">
        <v>6</v>
      </c>
    </row>
    <row r="213" spans="2:16" x14ac:dyDescent="0.3">
      <c r="B213" s="1079"/>
      <c r="C213" s="1081"/>
      <c r="D213" s="1084"/>
      <c r="E213" s="1092" t="s">
        <v>7</v>
      </c>
      <c r="F213" s="1094" t="s">
        <v>151</v>
      </c>
      <c r="G213" s="1094"/>
      <c r="H213" s="1095"/>
      <c r="I213" s="1096" t="s">
        <v>8</v>
      </c>
      <c r="J213" s="1094"/>
      <c r="K213" s="1094"/>
      <c r="L213" s="1095" t="s">
        <v>9</v>
      </c>
      <c r="M213" s="1098" t="s">
        <v>10</v>
      </c>
      <c r="N213" s="1100" t="s">
        <v>11</v>
      </c>
      <c r="O213" s="1102" t="s">
        <v>12</v>
      </c>
      <c r="P213" s="1084"/>
    </row>
    <row r="214" spans="2:16" ht="15" thickBot="1" x14ac:dyDescent="0.35">
      <c r="B214" s="1079"/>
      <c r="C214" s="1082"/>
      <c r="D214" s="1085"/>
      <c r="E214" s="1093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097"/>
      <c r="M214" s="1099"/>
      <c r="N214" s="1101"/>
      <c r="O214" s="1103"/>
      <c r="P214" s="1085"/>
    </row>
    <row r="215" spans="2:16" x14ac:dyDescent="0.3">
      <c r="B215" s="1062" t="s">
        <v>56</v>
      </c>
      <c r="C215" s="29"/>
      <c r="D215" s="117" t="s">
        <v>152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1064"/>
    </row>
    <row r="216" spans="2:16" x14ac:dyDescent="0.3">
      <c r="B216" s="1063"/>
      <c r="C216" s="32"/>
      <c r="D216" s="118" t="s">
        <v>117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1065"/>
    </row>
    <row r="217" spans="2:16" x14ac:dyDescent="0.3">
      <c r="B217" s="1063"/>
      <c r="C217" s="35"/>
      <c r="D217" s="119" t="s">
        <v>58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1065"/>
    </row>
    <row r="218" spans="2:16" x14ac:dyDescent="0.3">
      <c r="B218" s="1063"/>
      <c r="C218" s="35"/>
      <c r="D218" s="119" t="s">
        <v>59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1065"/>
    </row>
    <row r="219" spans="2:16" x14ac:dyDescent="0.3">
      <c r="B219" s="1063"/>
      <c r="C219" s="35"/>
      <c r="D219" s="119" t="s">
        <v>114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1065"/>
    </row>
    <row r="220" spans="2:16" x14ac:dyDescent="0.3">
      <c r="B220" s="1063"/>
      <c r="C220" s="35"/>
      <c r="D220" s="119" t="s">
        <v>118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1065"/>
    </row>
    <row r="221" spans="2:16" ht="15" thickBot="1" x14ac:dyDescent="0.35">
      <c r="B221" s="1063"/>
      <c r="C221" s="82"/>
      <c r="D221" s="120" t="s">
        <v>60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1065"/>
    </row>
    <row r="222" spans="2:16" ht="15" thickBot="1" x14ac:dyDescent="0.35">
      <c r="B222" s="1063"/>
      <c r="C222" s="1068" t="s">
        <v>112</v>
      </c>
      <c r="D222" s="1069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1066"/>
    </row>
    <row r="223" spans="2:16" x14ac:dyDescent="0.3">
      <c r="B223" s="1063"/>
      <c r="C223" s="32"/>
      <c r="D223" s="118" t="s">
        <v>61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1065"/>
    </row>
    <row r="224" spans="2:16" x14ac:dyDescent="0.3">
      <c r="B224" s="1063"/>
      <c r="C224" s="35"/>
      <c r="D224" s="119" t="s">
        <v>62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1065"/>
    </row>
    <row r="225" spans="2:16" x14ac:dyDescent="0.3">
      <c r="B225" s="1063"/>
      <c r="C225" s="35"/>
      <c r="D225" s="119" t="s">
        <v>105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1065"/>
    </row>
    <row r="226" spans="2:16" x14ac:dyDescent="0.3">
      <c r="B226" s="1063"/>
      <c r="C226" s="35"/>
      <c r="D226" s="119" t="s">
        <v>64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1065"/>
    </row>
    <row r="227" spans="2:16" ht="15" thickBot="1" x14ac:dyDescent="0.35">
      <c r="B227" s="1063"/>
      <c r="C227" s="82"/>
      <c r="D227" s="120" t="s">
        <v>63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1067"/>
    </row>
    <row r="228" spans="2:16" ht="15" thickBot="1" x14ac:dyDescent="0.35">
      <c r="B228" s="1047" t="s">
        <v>113</v>
      </c>
      <c r="C228" s="1048"/>
      <c r="D228" s="1048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" thickBot="1" x14ac:dyDescent="0.35">
      <c r="B229" s="1047" t="s">
        <v>106</v>
      </c>
      <c r="C229" s="1048"/>
      <c r="D229" s="1048"/>
      <c r="E229" s="1070"/>
      <c r="F229" s="1070"/>
      <c r="G229" s="1070"/>
      <c r="H229" s="1070"/>
      <c r="I229" s="1048"/>
      <c r="J229" s="1048"/>
      <c r="K229" s="1048"/>
      <c r="L229" s="1048"/>
      <c r="M229" s="1048"/>
      <c r="N229" s="1071"/>
      <c r="O229" s="83">
        <f>O222+O228</f>
        <v>1941434.7679999999</v>
      </c>
      <c r="P229" s="175"/>
    </row>
    <row r="230" spans="2:16" x14ac:dyDescent="0.3">
      <c r="B230" s="1062" t="s">
        <v>65</v>
      </c>
      <c r="C230" s="37" t="s">
        <v>66</v>
      </c>
      <c r="D230" s="28" t="s">
        <v>67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1073"/>
    </row>
    <row r="231" spans="2:16" x14ac:dyDescent="0.3">
      <c r="B231" s="1063"/>
      <c r="C231" s="39"/>
      <c r="D231" s="22" t="s">
        <v>68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1074"/>
    </row>
    <row r="232" spans="2:16" x14ac:dyDescent="0.3">
      <c r="B232" s="1063"/>
      <c r="C232" s="39"/>
      <c r="D232" s="23" t="s">
        <v>134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1074"/>
    </row>
    <row r="233" spans="2:16" x14ac:dyDescent="0.3">
      <c r="B233" s="1063"/>
      <c r="C233" s="39"/>
      <c r="D233" s="22" t="s">
        <v>139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1074"/>
    </row>
    <row r="234" spans="2:16" x14ac:dyDescent="0.3">
      <c r="B234" s="1063"/>
      <c r="C234" s="39" t="s">
        <v>69</v>
      </c>
      <c r="D234" s="22" t="s">
        <v>141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1074"/>
    </row>
    <row r="235" spans="2:16" x14ac:dyDescent="0.3">
      <c r="B235" s="1063"/>
      <c r="C235" s="39"/>
      <c r="D235" s="22" t="s">
        <v>68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1074"/>
    </row>
    <row r="236" spans="2:16" ht="15" thickBot="1" x14ac:dyDescent="0.35">
      <c r="B236" s="1063"/>
      <c r="C236" s="39"/>
      <c r="D236" s="22" t="s">
        <v>134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1075"/>
    </row>
    <row r="237" spans="2:16" ht="15" thickBot="1" x14ac:dyDescent="0.35">
      <c r="B237" s="1063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3">
      <c r="B238" s="1063"/>
      <c r="C238" s="1076" t="s">
        <v>70</v>
      </c>
      <c r="D238" s="22" t="s">
        <v>67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1073"/>
    </row>
    <row r="239" spans="2:16" x14ac:dyDescent="0.3">
      <c r="B239" s="1063"/>
      <c r="C239" s="1077"/>
      <c r="D239" s="22" t="s">
        <v>68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1074"/>
    </row>
    <row r="240" spans="2:16" x14ac:dyDescent="0.3">
      <c r="B240" s="1063"/>
      <c r="C240" s="1077"/>
      <c r="D240" s="22" t="s">
        <v>135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1074"/>
    </row>
    <row r="241" spans="2:16" ht="15" thickBot="1" x14ac:dyDescent="0.35">
      <c r="B241" s="1063"/>
      <c r="C241" s="1077"/>
      <c r="D241" s="22" t="s">
        <v>119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1074"/>
    </row>
    <row r="242" spans="2:16" ht="15" thickBot="1" x14ac:dyDescent="0.35">
      <c r="B242" s="1063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1075"/>
    </row>
    <row r="243" spans="2:16" ht="15" thickBot="1" x14ac:dyDescent="0.35">
      <c r="B243" s="1072"/>
      <c r="C243" s="41" t="s">
        <v>71</v>
      </c>
      <c r="D243" s="27" t="s">
        <v>67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" thickBot="1" x14ac:dyDescent="0.35">
      <c r="B244" s="1047" t="s">
        <v>102</v>
      </c>
      <c r="C244" s="1048"/>
      <c r="D244" s="1048"/>
      <c r="E244" s="1048"/>
      <c r="F244" s="1048"/>
      <c r="G244" s="1048"/>
      <c r="H244" s="1048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3">
      <c r="B245" s="1049" t="s">
        <v>72</v>
      </c>
      <c r="C245" s="1052" t="s">
        <v>73</v>
      </c>
      <c r="D245" s="54" t="s">
        <v>74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1054"/>
    </row>
    <row r="246" spans="2:16" x14ac:dyDescent="0.3">
      <c r="B246" s="1050"/>
      <c r="C246" s="1053"/>
      <c r="D246" s="61" t="s">
        <v>75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1055"/>
    </row>
    <row r="247" spans="2:16" x14ac:dyDescent="0.3">
      <c r="B247" s="1050"/>
      <c r="C247" s="1053"/>
      <c r="D247" s="61" t="s">
        <v>76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1055"/>
    </row>
    <row r="248" spans="2:16" x14ac:dyDescent="0.3">
      <c r="B248" s="1050"/>
      <c r="C248" s="1053" t="s">
        <v>77</v>
      </c>
      <c r="D248" s="61" t="s">
        <v>78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1055"/>
    </row>
    <row r="249" spans="2:16" x14ac:dyDescent="0.3">
      <c r="B249" s="1050"/>
      <c r="C249" s="1053"/>
      <c r="D249" s="61" t="s">
        <v>142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1055"/>
    </row>
    <row r="250" spans="2:16" x14ac:dyDescent="0.3">
      <c r="B250" s="1050"/>
      <c r="C250" s="1053"/>
      <c r="D250" s="61" t="s">
        <v>75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1055"/>
    </row>
    <row r="251" spans="2:16" x14ac:dyDescent="0.3">
      <c r="B251" s="1050"/>
      <c r="C251" s="1057" t="s">
        <v>79</v>
      </c>
      <c r="D251" s="61" t="s">
        <v>80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1055"/>
    </row>
    <row r="252" spans="2:16" x14ac:dyDescent="0.3">
      <c r="B252" s="1050"/>
      <c r="C252" s="1058"/>
      <c r="D252" s="61" t="s">
        <v>125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1055"/>
    </row>
    <row r="253" spans="2:16" x14ac:dyDescent="0.3">
      <c r="B253" s="1050"/>
      <c r="C253" s="1057" t="s">
        <v>81</v>
      </c>
      <c r="D253" s="61" t="s">
        <v>82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1055"/>
    </row>
    <row r="254" spans="2:16" x14ac:dyDescent="0.3">
      <c r="B254" s="1050"/>
      <c r="C254" s="1058"/>
      <c r="D254" s="61" t="s">
        <v>75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1055"/>
    </row>
    <row r="255" spans="2:16" x14ac:dyDescent="0.3">
      <c r="B255" s="1050"/>
      <c r="C255" s="173" t="s">
        <v>83</v>
      </c>
      <c r="D255" s="61" t="s">
        <v>84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1055"/>
    </row>
    <row r="256" spans="2:16" x14ac:dyDescent="0.3">
      <c r="B256" s="1050"/>
      <c r="C256" s="1053" t="s">
        <v>85</v>
      </c>
      <c r="D256" s="61" t="s">
        <v>80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1055"/>
    </row>
    <row r="257" spans="2:16" x14ac:dyDescent="0.3">
      <c r="B257" s="1050"/>
      <c r="C257" s="1053"/>
      <c r="D257" s="61" t="s">
        <v>127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1055"/>
    </row>
    <row r="258" spans="2:16" x14ac:dyDescent="0.3">
      <c r="B258" s="1050"/>
      <c r="C258" s="1053"/>
      <c r="D258" s="61" t="s">
        <v>131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1055"/>
    </row>
    <row r="259" spans="2:16" x14ac:dyDescent="0.3">
      <c r="B259" s="1050"/>
      <c r="C259" s="1053"/>
      <c r="D259" s="61" t="s">
        <v>132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1055"/>
    </row>
    <row r="260" spans="2:16" x14ac:dyDescent="0.3">
      <c r="B260" s="1050"/>
      <c r="C260" s="1053"/>
      <c r="D260" s="61" t="s">
        <v>86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1055"/>
    </row>
    <row r="261" spans="2:16" x14ac:dyDescent="0.3">
      <c r="B261" s="1050"/>
      <c r="C261" s="173" t="s">
        <v>136</v>
      </c>
      <c r="D261" s="61" t="s">
        <v>132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1055"/>
    </row>
    <row r="262" spans="2:16" x14ac:dyDescent="0.3">
      <c r="B262" s="1050"/>
      <c r="C262" s="1053" t="s">
        <v>87</v>
      </c>
      <c r="D262" s="61" t="s">
        <v>80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1055"/>
    </row>
    <row r="263" spans="2:16" x14ac:dyDescent="0.3">
      <c r="B263" s="1050"/>
      <c r="C263" s="1053"/>
      <c r="D263" s="61" t="s">
        <v>143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1055"/>
    </row>
    <row r="264" spans="2:16" x14ac:dyDescent="0.3">
      <c r="B264" s="1050"/>
      <c r="C264" s="1053"/>
      <c r="D264" s="61" t="s">
        <v>137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1055"/>
    </row>
    <row r="265" spans="2:16" x14ac:dyDescent="0.3">
      <c r="B265" s="1050"/>
      <c r="C265" s="1053" t="s">
        <v>88</v>
      </c>
      <c r="D265" s="61" t="s">
        <v>80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1055"/>
    </row>
    <row r="266" spans="2:16" x14ac:dyDescent="0.3">
      <c r="B266" s="1050"/>
      <c r="C266" s="1053"/>
      <c r="D266" s="61" t="s">
        <v>120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1055"/>
    </row>
    <row r="267" spans="2:16" x14ac:dyDescent="0.3">
      <c r="B267" s="1050"/>
      <c r="C267" s="1053"/>
      <c r="D267" s="61" t="s">
        <v>126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1055"/>
    </row>
    <row r="268" spans="2:16" x14ac:dyDescent="0.3">
      <c r="B268" s="1050"/>
      <c r="C268" s="1053"/>
      <c r="D268" s="61" t="s">
        <v>129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1055"/>
    </row>
    <row r="269" spans="2:16" x14ac:dyDescent="0.3">
      <c r="B269" s="1050"/>
      <c r="C269" s="1053"/>
      <c r="D269" s="61" t="s">
        <v>144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1055"/>
    </row>
    <row r="270" spans="2:16" x14ac:dyDescent="0.3">
      <c r="B270" s="1050"/>
      <c r="C270" s="173" t="s">
        <v>89</v>
      </c>
      <c r="D270" s="61" t="s">
        <v>80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1055"/>
    </row>
    <row r="271" spans="2:16" x14ac:dyDescent="0.3">
      <c r="B271" s="1050"/>
      <c r="C271" s="173" t="s">
        <v>90</v>
      </c>
      <c r="D271" s="61" t="s">
        <v>80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1055"/>
    </row>
    <row r="272" spans="2:16" ht="15" thickBot="1" x14ac:dyDescent="0.35">
      <c r="B272" s="1050"/>
      <c r="C272" s="68" t="s">
        <v>91</v>
      </c>
      <c r="D272" s="69" t="s">
        <v>92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1056"/>
    </row>
    <row r="273" spans="2:16" ht="15" thickBot="1" x14ac:dyDescent="0.35">
      <c r="B273" s="1051"/>
      <c r="C273" s="1059" t="s">
        <v>107</v>
      </c>
      <c r="D273" s="1060"/>
      <c r="E273" s="1060"/>
      <c r="F273" s="1060"/>
      <c r="G273" s="1060"/>
      <c r="H273" s="1061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" thickBot="1" x14ac:dyDescent="0.35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" thickBot="1" x14ac:dyDescent="0.35">
      <c r="B275" s="1044" t="s">
        <v>108</v>
      </c>
      <c r="C275" s="1045"/>
      <c r="D275" s="1045"/>
      <c r="E275" s="1045"/>
      <c r="F275" s="1045"/>
      <c r="G275" s="1045"/>
      <c r="H275" s="1045"/>
      <c r="I275" s="1045"/>
      <c r="J275" s="1045"/>
      <c r="K275" s="1045"/>
      <c r="L275" s="1045"/>
      <c r="M275" s="1045"/>
      <c r="N275" s="1046"/>
      <c r="O275" s="103">
        <f>+O273+O244+O229</f>
        <v>5268211.0190000003</v>
      </c>
      <c r="P275" s="96"/>
    </row>
    <row r="276" spans="2:16" ht="15" thickBot="1" x14ac:dyDescent="0.35"/>
    <row r="277" spans="2:16" x14ac:dyDescent="0.3">
      <c r="B277" s="1078" t="s">
        <v>1</v>
      </c>
      <c r="C277" s="1080" t="s">
        <v>2</v>
      </c>
      <c r="D277" s="1083" t="s">
        <v>3</v>
      </c>
      <c r="E277" s="1086" t="s">
        <v>4</v>
      </c>
      <c r="F277" s="1087"/>
      <c r="G277" s="1087"/>
      <c r="H277" s="1087"/>
      <c r="I277" s="1087"/>
      <c r="J277" s="1087"/>
      <c r="K277" s="1087"/>
      <c r="L277" s="1088"/>
      <c r="M277" s="1089" t="s">
        <v>5</v>
      </c>
      <c r="N277" s="1090"/>
      <c r="O277" s="1091"/>
      <c r="P277" s="1083" t="s">
        <v>6</v>
      </c>
    </row>
    <row r="278" spans="2:16" x14ac:dyDescent="0.3">
      <c r="B278" s="1079"/>
      <c r="C278" s="1081"/>
      <c r="D278" s="1084"/>
      <c r="E278" s="1092" t="s">
        <v>7</v>
      </c>
      <c r="F278" s="1094" t="s">
        <v>153</v>
      </c>
      <c r="G278" s="1094"/>
      <c r="H278" s="1095"/>
      <c r="I278" s="1096" t="s">
        <v>8</v>
      </c>
      <c r="J278" s="1094"/>
      <c r="K278" s="1094"/>
      <c r="L278" s="1095" t="s">
        <v>9</v>
      </c>
      <c r="M278" s="1098" t="s">
        <v>10</v>
      </c>
      <c r="N278" s="1100" t="s">
        <v>11</v>
      </c>
      <c r="O278" s="1102" t="s">
        <v>12</v>
      </c>
      <c r="P278" s="1084"/>
    </row>
    <row r="279" spans="2:16" ht="15" thickBot="1" x14ac:dyDescent="0.35">
      <c r="B279" s="1079"/>
      <c r="C279" s="1082"/>
      <c r="D279" s="1085"/>
      <c r="E279" s="1093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097"/>
      <c r="M279" s="1099"/>
      <c r="N279" s="1101"/>
      <c r="O279" s="1103"/>
      <c r="P279" s="1085"/>
    </row>
    <row r="280" spans="2:16" x14ac:dyDescent="0.3">
      <c r="B280" s="1062" t="s">
        <v>56</v>
      </c>
      <c r="C280" s="29"/>
      <c r="D280" s="117" t="s">
        <v>152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1064"/>
    </row>
    <row r="281" spans="2:16" x14ac:dyDescent="0.3">
      <c r="B281" s="1063"/>
      <c r="C281" s="32"/>
      <c r="D281" s="118" t="s">
        <v>117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1065"/>
    </row>
    <row r="282" spans="2:16" x14ac:dyDescent="0.3">
      <c r="B282" s="1063"/>
      <c r="C282" s="35"/>
      <c r="D282" s="119" t="s">
        <v>58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1065"/>
    </row>
    <row r="283" spans="2:16" x14ac:dyDescent="0.3">
      <c r="B283" s="1063"/>
      <c r="C283" s="35"/>
      <c r="D283" s="119" t="s">
        <v>59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1065"/>
    </row>
    <row r="284" spans="2:16" x14ac:dyDescent="0.3">
      <c r="B284" s="1063"/>
      <c r="C284" s="35"/>
      <c r="D284" s="119" t="s">
        <v>114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1065"/>
    </row>
    <row r="285" spans="2:16" x14ac:dyDescent="0.3">
      <c r="B285" s="1063"/>
      <c r="C285" s="35"/>
      <c r="D285" s="119" t="s">
        <v>118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1065"/>
    </row>
    <row r="286" spans="2:16" ht="15" thickBot="1" x14ac:dyDescent="0.35">
      <c r="B286" s="1063"/>
      <c r="C286" s="82"/>
      <c r="D286" s="120" t="s">
        <v>60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1065"/>
    </row>
    <row r="287" spans="2:16" ht="15" thickBot="1" x14ac:dyDescent="0.35">
      <c r="B287" s="1063"/>
      <c r="C287" s="1068" t="s">
        <v>112</v>
      </c>
      <c r="D287" s="1069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1066"/>
    </row>
    <row r="288" spans="2:16" x14ac:dyDescent="0.3">
      <c r="B288" s="1063"/>
      <c r="C288" s="32"/>
      <c r="D288" s="118" t="s">
        <v>61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1065"/>
    </row>
    <row r="289" spans="2:16" x14ac:dyDescent="0.3">
      <c r="B289" s="1063"/>
      <c r="C289" s="35"/>
      <c r="D289" s="119" t="s">
        <v>62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1065"/>
    </row>
    <row r="290" spans="2:16" x14ac:dyDescent="0.3">
      <c r="B290" s="1063"/>
      <c r="C290" s="35"/>
      <c r="D290" s="119" t="s">
        <v>105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1065"/>
    </row>
    <row r="291" spans="2:16" x14ac:dyDescent="0.3">
      <c r="B291" s="1063"/>
      <c r="C291" s="35"/>
      <c r="D291" s="119" t="s">
        <v>64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1065"/>
    </row>
    <row r="292" spans="2:16" ht="15" thickBot="1" x14ac:dyDescent="0.35">
      <c r="B292" s="1063"/>
      <c r="C292" s="82"/>
      <c r="D292" s="120" t="s">
        <v>63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1067"/>
    </row>
    <row r="293" spans="2:16" ht="15" thickBot="1" x14ac:dyDescent="0.35">
      <c r="B293" s="1047" t="s">
        <v>113</v>
      </c>
      <c r="C293" s="1048"/>
      <c r="D293" s="1048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" thickBot="1" x14ac:dyDescent="0.35">
      <c r="B294" s="1047" t="s">
        <v>106</v>
      </c>
      <c r="C294" s="1048"/>
      <c r="D294" s="1048"/>
      <c r="E294" s="1070"/>
      <c r="F294" s="1070"/>
      <c r="G294" s="1070"/>
      <c r="H294" s="1070"/>
      <c r="I294" s="1048"/>
      <c r="J294" s="1048"/>
      <c r="K294" s="1048"/>
      <c r="L294" s="1048"/>
      <c r="M294" s="1048"/>
      <c r="N294" s="1071"/>
      <c r="O294" s="83">
        <f>O287+O293</f>
        <v>2409843.4239999996</v>
      </c>
      <c r="P294" s="177"/>
    </row>
    <row r="295" spans="2:16" x14ac:dyDescent="0.3">
      <c r="B295" s="1062" t="s">
        <v>65</v>
      </c>
      <c r="C295" s="37" t="s">
        <v>66</v>
      </c>
      <c r="D295" s="28" t="s">
        <v>67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1073"/>
    </row>
    <row r="296" spans="2:16" x14ac:dyDescent="0.3">
      <c r="B296" s="1063"/>
      <c r="C296" s="39"/>
      <c r="D296" s="22" t="s">
        <v>68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1074"/>
    </row>
    <row r="297" spans="2:16" x14ac:dyDescent="0.3">
      <c r="B297" s="1063"/>
      <c r="C297" s="39"/>
      <c r="D297" s="23" t="s">
        <v>134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1074"/>
    </row>
    <row r="298" spans="2:16" x14ac:dyDescent="0.3">
      <c r="B298" s="1063"/>
      <c r="C298" s="39"/>
      <c r="D298" s="22" t="s">
        <v>139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1074"/>
    </row>
    <row r="299" spans="2:16" x14ac:dyDescent="0.3">
      <c r="B299" s="1063"/>
      <c r="C299" s="39" t="s">
        <v>69</v>
      </c>
      <c r="D299" s="22" t="s">
        <v>141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1074"/>
    </row>
    <row r="300" spans="2:16" x14ac:dyDescent="0.3">
      <c r="B300" s="1063"/>
      <c r="C300" s="39"/>
      <c r="D300" s="22" t="s">
        <v>68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1074"/>
    </row>
    <row r="301" spans="2:16" ht="15" thickBot="1" x14ac:dyDescent="0.35">
      <c r="B301" s="1063"/>
      <c r="C301" s="39"/>
      <c r="D301" s="22" t="s">
        <v>134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1075"/>
    </row>
    <row r="302" spans="2:16" ht="15" thickBot="1" x14ac:dyDescent="0.35">
      <c r="B302" s="1063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3">
      <c r="B303" s="1063"/>
      <c r="C303" s="1076" t="s">
        <v>70</v>
      </c>
      <c r="D303" s="22" t="s">
        <v>67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1073"/>
    </row>
    <row r="304" spans="2:16" x14ac:dyDescent="0.3">
      <c r="B304" s="1063"/>
      <c r="C304" s="1077"/>
      <c r="D304" s="22" t="s">
        <v>68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1074"/>
    </row>
    <row r="305" spans="2:16" x14ac:dyDescent="0.3">
      <c r="B305" s="1063"/>
      <c r="C305" s="1077"/>
      <c r="D305" s="22" t="s">
        <v>135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1074"/>
    </row>
    <row r="306" spans="2:16" ht="15" thickBot="1" x14ac:dyDescent="0.35">
      <c r="B306" s="1063"/>
      <c r="C306" s="1077"/>
      <c r="D306" s="22" t="s">
        <v>119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1074"/>
    </row>
    <row r="307" spans="2:16" ht="15" thickBot="1" x14ac:dyDescent="0.35">
      <c r="B307" s="1063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1075"/>
    </row>
    <row r="308" spans="2:16" ht="15" thickBot="1" x14ac:dyDescent="0.35">
      <c r="B308" s="1072"/>
      <c r="C308" s="41" t="s">
        <v>71</v>
      </c>
      <c r="D308" s="27" t="s">
        <v>67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" thickBot="1" x14ac:dyDescent="0.35">
      <c r="B309" s="1047" t="s">
        <v>102</v>
      </c>
      <c r="C309" s="1048"/>
      <c r="D309" s="1048"/>
      <c r="E309" s="1048"/>
      <c r="F309" s="1048"/>
      <c r="G309" s="1048"/>
      <c r="H309" s="1048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3">
      <c r="B310" s="1049" t="s">
        <v>72</v>
      </c>
      <c r="C310" s="1052" t="s">
        <v>73</v>
      </c>
      <c r="D310" s="54" t="s">
        <v>74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1054"/>
    </row>
    <row r="311" spans="2:16" x14ac:dyDescent="0.3">
      <c r="B311" s="1050"/>
      <c r="C311" s="1053"/>
      <c r="D311" s="61" t="s">
        <v>75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1055"/>
    </row>
    <row r="312" spans="2:16" x14ac:dyDescent="0.3">
      <c r="B312" s="1050"/>
      <c r="C312" s="1053"/>
      <c r="D312" s="61" t="s">
        <v>76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1055"/>
    </row>
    <row r="313" spans="2:16" x14ac:dyDescent="0.3">
      <c r="B313" s="1050"/>
      <c r="C313" s="1053" t="s">
        <v>77</v>
      </c>
      <c r="D313" s="61" t="s">
        <v>78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1055"/>
    </row>
    <row r="314" spans="2:16" x14ac:dyDescent="0.3">
      <c r="B314" s="1050"/>
      <c r="C314" s="1053"/>
      <c r="D314" s="61" t="s">
        <v>142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1055"/>
    </row>
    <row r="315" spans="2:16" x14ac:dyDescent="0.3">
      <c r="B315" s="1050"/>
      <c r="C315" s="1053"/>
      <c r="D315" s="61" t="s">
        <v>75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1055"/>
    </row>
    <row r="316" spans="2:16" x14ac:dyDescent="0.3">
      <c r="B316" s="1050"/>
      <c r="C316" s="1057" t="s">
        <v>79</v>
      </c>
      <c r="D316" s="61" t="s">
        <v>80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1055"/>
    </row>
    <row r="317" spans="2:16" x14ac:dyDescent="0.3">
      <c r="B317" s="1050"/>
      <c r="C317" s="1058"/>
      <c r="D317" s="61" t="s">
        <v>125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1055"/>
    </row>
    <row r="318" spans="2:16" x14ac:dyDescent="0.3">
      <c r="B318" s="1050"/>
      <c r="C318" s="1057" t="s">
        <v>81</v>
      </c>
      <c r="D318" s="61" t="s">
        <v>82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1055"/>
    </row>
    <row r="319" spans="2:16" x14ac:dyDescent="0.3">
      <c r="B319" s="1050"/>
      <c r="C319" s="1058"/>
      <c r="D319" s="61" t="s">
        <v>75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1055"/>
    </row>
    <row r="320" spans="2:16" x14ac:dyDescent="0.3">
      <c r="B320" s="1050"/>
      <c r="C320" s="176" t="s">
        <v>83</v>
      </c>
      <c r="D320" s="61" t="s">
        <v>84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1055"/>
    </row>
    <row r="321" spans="2:16" x14ac:dyDescent="0.3">
      <c r="B321" s="1050"/>
      <c r="C321" s="1053" t="s">
        <v>85</v>
      </c>
      <c r="D321" s="61" t="s">
        <v>80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1055"/>
    </row>
    <row r="322" spans="2:16" x14ac:dyDescent="0.3">
      <c r="B322" s="1050"/>
      <c r="C322" s="1053"/>
      <c r="D322" s="61" t="s">
        <v>127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1055"/>
    </row>
    <row r="323" spans="2:16" x14ac:dyDescent="0.3">
      <c r="B323" s="1050"/>
      <c r="C323" s="1053"/>
      <c r="D323" s="61" t="s">
        <v>131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1055"/>
    </row>
    <row r="324" spans="2:16" x14ac:dyDescent="0.3">
      <c r="B324" s="1050"/>
      <c r="C324" s="1053"/>
      <c r="D324" s="61" t="s">
        <v>132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1055"/>
    </row>
    <row r="325" spans="2:16" x14ac:dyDescent="0.3">
      <c r="B325" s="1050"/>
      <c r="C325" s="1053"/>
      <c r="D325" s="61" t="s">
        <v>86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1055"/>
    </row>
    <row r="326" spans="2:16" x14ac:dyDescent="0.3">
      <c r="B326" s="1050"/>
      <c r="C326" s="176" t="s">
        <v>136</v>
      </c>
      <c r="D326" s="61" t="s">
        <v>132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1055"/>
    </row>
    <row r="327" spans="2:16" x14ac:dyDescent="0.3">
      <c r="B327" s="1050"/>
      <c r="C327" s="1053" t="s">
        <v>87</v>
      </c>
      <c r="D327" s="61" t="s">
        <v>80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1055"/>
    </row>
    <row r="328" spans="2:16" x14ac:dyDescent="0.3">
      <c r="B328" s="1050"/>
      <c r="C328" s="1053"/>
      <c r="D328" s="61" t="s">
        <v>143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1055"/>
    </row>
    <row r="329" spans="2:16" x14ac:dyDescent="0.3">
      <c r="B329" s="1050"/>
      <c r="C329" s="1053"/>
      <c r="D329" s="61" t="s">
        <v>137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1055"/>
    </row>
    <row r="330" spans="2:16" x14ac:dyDescent="0.3">
      <c r="B330" s="1050"/>
      <c r="C330" s="1053" t="s">
        <v>88</v>
      </c>
      <c r="D330" s="61" t="s">
        <v>80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1055"/>
    </row>
    <row r="331" spans="2:16" x14ac:dyDescent="0.3">
      <c r="B331" s="1050"/>
      <c r="C331" s="1053"/>
      <c r="D331" s="61" t="s">
        <v>120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1055"/>
    </row>
    <row r="332" spans="2:16" x14ac:dyDescent="0.3">
      <c r="B332" s="1050"/>
      <c r="C332" s="1053"/>
      <c r="D332" s="61" t="s">
        <v>126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1055"/>
    </row>
    <row r="333" spans="2:16" x14ac:dyDescent="0.3">
      <c r="B333" s="1050"/>
      <c r="C333" s="1053"/>
      <c r="D333" s="61" t="s">
        <v>129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1055"/>
    </row>
    <row r="334" spans="2:16" x14ac:dyDescent="0.3">
      <c r="B334" s="1050"/>
      <c r="C334" s="1053"/>
      <c r="D334" s="61" t="s">
        <v>144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1055"/>
    </row>
    <row r="335" spans="2:16" x14ac:dyDescent="0.3">
      <c r="B335" s="1050"/>
      <c r="C335" s="176" t="s">
        <v>89</v>
      </c>
      <c r="D335" s="61" t="s">
        <v>80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1055"/>
    </row>
    <row r="336" spans="2:16" x14ac:dyDescent="0.3">
      <c r="B336" s="1050"/>
      <c r="C336" s="176" t="s">
        <v>90</v>
      </c>
      <c r="D336" s="61" t="s">
        <v>80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1055"/>
    </row>
    <row r="337" spans="2:16" ht="15" thickBot="1" x14ac:dyDescent="0.35">
      <c r="B337" s="1050"/>
      <c r="C337" s="68" t="s">
        <v>91</v>
      </c>
      <c r="D337" s="69" t="s">
        <v>92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1056"/>
    </row>
    <row r="338" spans="2:16" ht="15" thickBot="1" x14ac:dyDescent="0.35">
      <c r="B338" s="1051"/>
      <c r="C338" s="1059" t="s">
        <v>107</v>
      </c>
      <c r="D338" s="1060"/>
      <c r="E338" s="1060"/>
      <c r="F338" s="1060"/>
      <c r="G338" s="1060"/>
      <c r="H338" s="1061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" thickBot="1" x14ac:dyDescent="0.35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" thickBot="1" x14ac:dyDescent="0.35">
      <c r="B340" s="1044" t="s">
        <v>108</v>
      </c>
      <c r="C340" s="1045"/>
      <c r="D340" s="1045"/>
      <c r="E340" s="1045"/>
      <c r="F340" s="1045"/>
      <c r="G340" s="1045"/>
      <c r="H340" s="1045"/>
      <c r="I340" s="1045"/>
      <c r="J340" s="1045"/>
      <c r="K340" s="1045"/>
      <c r="L340" s="1045"/>
      <c r="M340" s="1045"/>
      <c r="N340" s="1046"/>
      <c r="O340" s="103">
        <f>+O338+O309+O294</f>
        <v>6457605.7129999995</v>
      </c>
      <c r="P340" s="96"/>
    </row>
    <row r="341" spans="2:16" ht="15" thickBot="1" x14ac:dyDescent="0.35"/>
    <row r="342" spans="2:16" x14ac:dyDescent="0.3">
      <c r="B342" s="1078" t="s">
        <v>1</v>
      </c>
      <c r="C342" s="1080" t="s">
        <v>2</v>
      </c>
      <c r="D342" s="1083" t="s">
        <v>3</v>
      </c>
      <c r="E342" s="1086" t="s">
        <v>4</v>
      </c>
      <c r="F342" s="1087"/>
      <c r="G342" s="1087"/>
      <c r="H342" s="1087"/>
      <c r="I342" s="1087"/>
      <c r="J342" s="1087"/>
      <c r="K342" s="1087"/>
      <c r="L342" s="1088"/>
      <c r="M342" s="1089" t="s">
        <v>5</v>
      </c>
      <c r="N342" s="1090"/>
      <c r="O342" s="1091"/>
      <c r="P342" s="1083" t="s">
        <v>6</v>
      </c>
    </row>
    <row r="343" spans="2:16" x14ac:dyDescent="0.3">
      <c r="B343" s="1079"/>
      <c r="C343" s="1081"/>
      <c r="D343" s="1084"/>
      <c r="E343" s="1092" t="s">
        <v>7</v>
      </c>
      <c r="F343" s="1094" t="s">
        <v>154</v>
      </c>
      <c r="G343" s="1094"/>
      <c r="H343" s="1095"/>
      <c r="I343" s="1096" t="s">
        <v>8</v>
      </c>
      <c r="J343" s="1094"/>
      <c r="K343" s="1094"/>
      <c r="L343" s="1095" t="s">
        <v>9</v>
      </c>
      <c r="M343" s="1098" t="s">
        <v>10</v>
      </c>
      <c r="N343" s="1100" t="s">
        <v>11</v>
      </c>
      <c r="O343" s="1102" t="s">
        <v>12</v>
      </c>
      <c r="P343" s="1084"/>
    </row>
    <row r="344" spans="2:16" ht="15" thickBot="1" x14ac:dyDescent="0.35">
      <c r="B344" s="1079"/>
      <c r="C344" s="1082"/>
      <c r="D344" s="1085"/>
      <c r="E344" s="1093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097"/>
      <c r="M344" s="1099"/>
      <c r="N344" s="1101"/>
      <c r="O344" s="1103"/>
      <c r="P344" s="1085"/>
    </row>
    <row r="345" spans="2:16" x14ac:dyDescent="0.3">
      <c r="B345" s="1062" t="s">
        <v>56</v>
      </c>
      <c r="C345" s="29"/>
      <c r="D345" s="117" t="s">
        <v>152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1064"/>
    </row>
    <row r="346" spans="2:16" x14ac:dyDescent="0.3">
      <c r="B346" s="1063"/>
      <c r="C346" s="32"/>
      <c r="D346" s="118" t="s">
        <v>117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1065"/>
    </row>
    <row r="347" spans="2:16" x14ac:dyDescent="0.3">
      <c r="B347" s="1063"/>
      <c r="C347" s="35"/>
      <c r="D347" s="119" t="s">
        <v>58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1065"/>
    </row>
    <row r="348" spans="2:16" x14ac:dyDescent="0.3">
      <c r="B348" s="1063"/>
      <c r="C348" s="35"/>
      <c r="D348" s="119" t="s">
        <v>59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1065"/>
    </row>
    <row r="349" spans="2:16" x14ac:dyDescent="0.3">
      <c r="B349" s="1063"/>
      <c r="C349" s="35"/>
      <c r="D349" s="119" t="s">
        <v>114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1065"/>
    </row>
    <row r="350" spans="2:16" x14ac:dyDescent="0.3">
      <c r="B350" s="1063"/>
      <c r="C350" s="35"/>
      <c r="D350" s="119" t="s">
        <v>118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1065"/>
    </row>
    <row r="351" spans="2:16" ht="15" thickBot="1" x14ac:dyDescent="0.35">
      <c r="B351" s="1063"/>
      <c r="C351" s="82"/>
      <c r="D351" s="120" t="s">
        <v>60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1065"/>
    </row>
    <row r="352" spans="2:16" ht="15" thickBot="1" x14ac:dyDescent="0.35">
      <c r="B352" s="1063"/>
      <c r="C352" s="1068" t="s">
        <v>112</v>
      </c>
      <c r="D352" s="1069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1066"/>
    </row>
    <row r="353" spans="2:16" x14ac:dyDescent="0.3">
      <c r="B353" s="1063"/>
      <c r="C353" s="32"/>
      <c r="D353" s="118" t="s">
        <v>61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1065"/>
    </row>
    <row r="354" spans="2:16" x14ac:dyDescent="0.3">
      <c r="B354" s="1063"/>
      <c r="C354" s="35"/>
      <c r="D354" s="119" t="s">
        <v>62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1065"/>
    </row>
    <row r="355" spans="2:16" x14ac:dyDescent="0.3">
      <c r="B355" s="1063"/>
      <c r="C355" s="35"/>
      <c r="D355" s="119" t="s">
        <v>105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1065"/>
    </row>
    <row r="356" spans="2:16" x14ac:dyDescent="0.3">
      <c r="B356" s="1063"/>
      <c r="C356" s="35"/>
      <c r="D356" s="119" t="s">
        <v>64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1065"/>
    </row>
    <row r="357" spans="2:16" ht="15" thickBot="1" x14ac:dyDescent="0.35">
      <c r="B357" s="1063"/>
      <c r="C357" s="82"/>
      <c r="D357" s="120" t="s">
        <v>63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1067"/>
    </row>
    <row r="358" spans="2:16" ht="15" thickBot="1" x14ac:dyDescent="0.35">
      <c r="B358" s="1047" t="s">
        <v>113</v>
      </c>
      <c r="C358" s="1048"/>
      <c r="D358" s="1048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" thickBot="1" x14ac:dyDescent="0.35">
      <c r="B359" s="1047" t="s">
        <v>106</v>
      </c>
      <c r="C359" s="1048"/>
      <c r="D359" s="1048"/>
      <c r="E359" s="1070"/>
      <c r="F359" s="1070"/>
      <c r="G359" s="1070"/>
      <c r="H359" s="1070"/>
      <c r="I359" s="1048"/>
      <c r="J359" s="1048"/>
      <c r="K359" s="1048"/>
      <c r="L359" s="1048"/>
      <c r="M359" s="1048"/>
      <c r="N359" s="1071"/>
      <c r="O359" s="83">
        <f>O352+O358</f>
        <v>2957427.4239999996</v>
      </c>
      <c r="P359" s="182"/>
    </row>
    <row r="360" spans="2:16" x14ac:dyDescent="0.3">
      <c r="B360" s="1062" t="s">
        <v>65</v>
      </c>
      <c r="C360" s="37" t="s">
        <v>66</v>
      </c>
      <c r="D360" s="28" t="s">
        <v>67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1073"/>
    </row>
    <row r="361" spans="2:16" x14ac:dyDescent="0.3">
      <c r="B361" s="1063"/>
      <c r="C361" s="39"/>
      <c r="D361" s="22" t="s">
        <v>68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1074"/>
    </row>
    <row r="362" spans="2:16" x14ac:dyDescent="0.3">
      <c r="B362" s="1063"/>
      <c r="C362" s="39"/>
      <c r="D362" s="23" t="s">
        <v>134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1074"/>
    </row>
    <row r="363" spans="2:16" x14ac:dyDescent="0.3">
      <c r="B363" s="1063"/>
      <c r="C363" s="39"/>
      <c r="D363" s="22" t="s">
        <v>139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1074"/>
    </row>
    <row r="364" spans="2:16" x14ac:dyDescent="0.3">
      <c r="B364" s="1063"/>
      <c r="C364" s="39" t="s">
        <v>69</v>
      </c>
      <c r="D364" s="22" t="s">
        <v>141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1074"/>
    </row>
    <row r="365" spans="2:16" x14ac:dyDescent="0.3">
      <c r="B365" s="1063"/>
      <c r="C365" s="39"/>
      <c r="D365" s="22" t="s">
        <v>68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1074"/>
    </row>
    <row r="366" spans="2:16" ht="15" thickBot="1" x14ac:dyDescent="0.35">
      <c r="B366" s="1063"/>
      <c r="C366" s="39"/>
      <c r="D366" s="22" t="s">
        <v>134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1075"/>
    </row>
    <row r="367" spans="2:16" ht="15" thickBot="1" x14ac:dyDescent="0.35">
      <c r="B367" s="1063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3">
      <c r="B368" s="1063"/>
      <c r="C368" s="1076" t="s">
        <v>70</v>
      </c>
      <c r="D368" s="22" t="s">
        <v>67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1073"/>
    </row>
    <row r="369" spans="2:16" x14ac:dyDescent="0.3">
      <c r="B369" s="1063"/>
      <c r="C369" s="1077"/>
      <c r="D369" s="22" t="s">
        <v>68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1074"/>
    </row>
    <row r="370" spans="2:16" x14ac:dyDescent="0.3">
      <c r="B370" s="1063"/>
      <c r="C370" s="1077"/>
      <c r="D370" s="22" t="s">
        <v>135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1074"/>
    </row>
    <row r="371" spans="2:16" ht="15" thickBot="1" x14ac:dyDescent="0.35">
      <c r="B371" s="1063"/>
      <c r="C371" s="1077"/>
      <c r="D371" s="22" t="s">
        <v>119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1074"/>
    </row>
    <row r="372" spans="2:16" ht="15" thickBot="1" x14ac:dyDescent="0.35">
      <c r="B372" s="1063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1075"/>
    </row>
    <row r="373" spans="2:16" ht="15" thickBot="1" x14ac:dyDescent="0.35">
      <c r="B373" s="1072"/>
      <c r="C373" s="41" t="s">
        <v>71</v>
      </c>
      <c r="D373" s="27" t="s">
        <v>67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" thickBot="1" x14ac:dyDescent="0.35">
      <c r="B374" s="1047" t="s">
        <v>102</v>
      </c>
      <c r="C374" s="1048"/>
      <c r="D374" s="1048"/>
      <c r="E374" s="1048"/>
      <c r="F374" s="1048"/>
      <c r="G374" s="1048"/>
      <c r="H374" s="1048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3">
      <c r="B375" s="1049" t="s">
        <v>72</v>
      </c>
      <c r="C375" s="1052" t="s">
        <v>73</v>
      </c>
      <c r="D375" s="54" t="s">
        <v>74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1054"/>
    </row>
    <row r="376" spans="2:16" x14ac:dyDescent="0.3">
      <c r="B376" s="1050"/>
      <c r="C376" s="1053"/>
      <c r="D376" s="61" t="s">
        <v>75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1055"/>
    </row>
    <row r="377" spans="2:16" x14ac:dyDescent="0.3">
      <c r="B377" s="1050"/>
      <c r="C377" s="1053"/>
      <c r="D377" s="61" t="s">
        <v>76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1055"/>
    </row>
    <row r="378" spans="2:16" x14ac:dyDescent="0.3">
      <c r="B378" s="1050"/>
      <c r="C378" s="1053" t="s">
        <v>77</v>
      </c>
      <c r="D378" s="61" t="s">
        <v>78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1055"/>
    </row>
    <row r="379" spans="2:16" x14ac:dyDescent="0.3">
      <c r="B379" s="1050"/>
      <c r="C379" s="1053"/>
      <c r="D379" s="61" t="s">
        <v>142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1055"/>
    </row>
    <row r="380" spans="2:16" x14ac:dyDescent="0.3">
      <c r="B380" s="1050"/>
      <c r="C380" s="1053"/>
      <c r="D380" s="61" t="s">
        <v>75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1055"/>
    </row>
    <row r="381" spans="2:16" x14ac:dyDescent="0.3">
      <c r="B381" s="1050"/>
      <c r="C381" s="1057" t="s">
        <v>79</v>
      </c>
      <c r="D381" s="61" t="s">
        <v>80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1055"/>
    </row>
    <row r="382" spans="2:16" x14ac:dyDescent="0.3">
      <c r="B382" s="1050"/>
      <c r="C382" s="1058"/>
      <c r="D382" s="61" t="s">
        <v>125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1055"/>
    </row>
    <row r="383" spans="2:16" x14ac:dyDescent="0.3">
      <c r="B383" s="1050"/>
      <c r="C383" s="1057" t="s">
        <v>81</v>
      </c>
      <c r="D383" s="61" t="s">
        <v>82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1055"/>
    </row>
    <row r="384" spans="2:16" x14ac:dyDescent="0.3">
      <c r="B384" s="1050"/>
      <c r="C384" s="1058"/>
      <c r="D384" s="61" t="s">
        <v>75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1055"/>
    </row>
    <row r="385" spans="2:16" x14ac:dyDescent="0.3">
      <c r="B385" s="1050"/>
      <c r="C385" s="180" t="s">
        <v>83</v>
      </c>
      <c r="D385" s="61" t="s">
        <v>84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1055"/>
    </row>
    <row r="386" spans="2:16" x14ac:dyDescent="0.3">
      <c r="B386" s="1050"/>
      <c r="C386" s="1053" t="s">
        <v>85</v>
      </c>
      <c r="D386" s="61" t="s">
        <v>80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1055"/>
    </row>
    <row r="387" spans="2:16" x14ac:dyDescent="0.3">
      <c r="B387" s="1050"/>
      <c r="C387" s="1053"/>
      <c r="D387" s="61" t="s">
        <v>127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1055"/>
    </row>
    <row r="388" spans="2:16" x14ac:dyDescent="0.3">
      <c r="B388" s="1050"/>
      <c r="C388" s="1053"/>
      <c r="D388" s="61" t="s">
        <v>131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1055"/>
    </row>
    <row r="389" spans="2:16" x14ac:dyDescent="0.3">
      <c r="B389" s="1050"/>
      <c r="C389" s="1053"/>
      <c r="D389" s="61" t="s">
        <v>132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1055"/>
    </row>
    <row r="390" spans="2:16" x14ac:dyDescent="0.3">
      <c r="B390" s="1050"/>
      <c r="C390" s="1053"/>
      <c r="D390" s="61" t="s">
        <v>86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1055"/>
    </row>
    <row r="391" spans="2:16" x14ac:dyDescent="0.3">
      <c r="B391" s="1050"/>
      <c r="C391" s="180" t="s">
        <v>136</v>
      </c>
      <c r="D391" s="61" t="s">
        <v>132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1055"/>
    </row>
    <row r="392" spans="2:16" x14ac:dyDescent="0.3">
      <c r="B392" s="1050"/>
      <c r="C392" s="1053" t="s">
        <v>87</v>
      </c>
      <c r="D392" s="61" t="s">
        <v>80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1055"/>
    </row>
    <row r="393" spans="2:16" x14ac:dyDescent="0.3">
      <c r="B393" s="1050"/>
      <c r="C393" s="1053"/>
      <c r="D393" s="61" t="s">
        <v>143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1055"/>
    </row>
    <row r="394" spans="2:16" x14ac:dyDescent="0.3">
      <c r="B394" s="1050"/>
      <c r="C394" s="1053"/>
      <c r="D394" s="61" t="s">
        <v>137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1055"/>
    </row>
    <row r="395" spans="2:16" x14ac:dyDescent="0.3">
      <c r="B395" s="1050"/>
      <c r="C395" s="1053" t="s">
        <v>88</v>
      </c>
      <c r="D395" s="61" t="s">
        <v>80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1055"/>
    </row>
    <row r="396" spans="2:16" x14ac:dyDescent="0.3">
      <c r="B396" s="1050"/>
      <c r="C396" s="1053"/>
      <c r="D396" s="61" t="s">
        <v>120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1055"/>
    </row>
    <row r="397" spans="2:16" x14ac:dyDescent="0.3">
      <c r="B397" s="1050"/>
      <c r="C397" s="1053"/>
      <c r="D397" s="61" t="s">
        <v>126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1055"/>
    </row>
    <row r="398" spans="2:16" x14ac:dyDescent="0.3">
      <c r="B398" s="1050"/>
      <c r="C398" s="1053"/>
      <c r="D398" s="61" t="s">
        <v>129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1055"/>
    </row>
    <row r="399" spans="2:16" x14ac:dyDescent="0.3">
      <c r="B399" s="1050"/>
      <c r="C399" s="1053"/>
      <c r="D399" s="61" t="s">
        <v>144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1055"/>
    </row>
    <row r="400" spans="2:16" x14ac:dyDescent="0.3">
      <c r="B400" s="1050"/>
      <c r="C400" s="180" t="s">
        <v>89</v>
      </c>
      <c r="D400" s="61" t="s">
        <v>80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1055"/>
    </row>
    <row r="401" spans="2:16" x14ac:dyDescent="0.3">
      <c r="B401" s="1050"/>
      <c r="C401" s="180" t="s">
        <v>90</v>
      </c>
      <c r="D401" s="61" t="s">
        <v>80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1055"/>
    </row>
    <row r="402" spans="2:16" ht="15" thickBot="1" x14ac:dyDescent="0.35">
      <c r="B402" s="1050"/>
      <c r="C402" s="68" t="s">
        <v>91</v>
      </c>
      <c r="D402" s="69" t="s">
        <v>92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1056"/>
    </row>
    <row r="403" spans="2:16" ht="15" thickBot="1" x14ac:dyDescent="0.35">
      <c r="B403" s="1051"/>
      <c r="C403" s="1059" t="s">
        <v>107</v>
      </c>
      <c r="D403" s="1060"/>
      <c r="E403" s="1060"/>
      <c r="F403" s="1060"/>
      <c r="G403" s="1060"/>
      <c r="H403" s="1061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" thickBot="1" x14ac:dyDescent="0.35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" thickBot="1" x14ac:dyDescent="0.35">
      <c r="B405" s="1044" t="s">
        <v>108</v>
      </c>
      <c r="C405" s="1045"/>
      <c r="D405" s="1045"/>
      <c r="E405" s="1045"/>
      <c r="F405" s="1045"/>
      <c r="G405" s="1045"/>
      <c r="H405" s="1045"/>
      <c r="I405" s="1045"/>
      <c r="J405" s="1045"/>
      <c r="K405" s="1045"/>
      <c r="L405" s="1045"/>
      <c r="M405" s="1045"/>
      <c r="N405" s="1046"/>
      <c r="O405" s="103">
        <f>+O403+O374+O359</f>
        <v>8438824.8289999999</v>
      </c>
      <c r="P405" s="96"/>
    </row>
    <row r="406" spans="2:16" ht="15" thickBot="1" x14ac:dyDescent="0.35"/>
    <row r="407" spans="2:16" x14ac:dyDescent="0.3">
      <c r="B407" s="1078" t="s">
        <v>1</v>
      </c>
      <c r="C407" s="1080" t="s">
        <v>2</v>
      </c>
      <c r="D407" s="1083" t="s">
        <v>3</v>
      </c>
      <c r="E407" s="1086" t="s">
        <v>4</v>
      </c>
      <c r="F407" s="1087"/>
      <c r="G407" s="1087"/>
      <c r="H407" s="1087"/>
      <c r="I407" s="1087"/>
      <c r="J407" s="1087"/>
      <c r="K407" s="1087"/>
      <c r="L407" s="1088"/>
      <c r="M407" s="1089" t="s">
        <v>5</v>
      </c>
      <c r="N407" s="1090"/>
      <c r="O407" s="1091"/>
      <c r="P407" s="1083" t="s">
        <v>6</v>
      </c>
    </row>
    <row r="408" spans="2:16" x14ac:dyDescent="0.3">
      <c r="B408" s="1079"/>
      <c r="C408" s="1081"/>
      <c r="D408" s="1084"/>
      <c r="E408" s="1092" t="s">
        <v>7</v>
      </c>
      <c r="F408" s="1094" t="s">
        <v>155</v>
      </c>
      <c r="G408" s="1094"/>
      <c r="H408" s="1095"/>
      <c r="I408" s="1096" t="s">
        <v>8</v>
      </c>
      <c r="J408" s="1094"/>
      <c r="K408" s="1094"/>
      <c r="L408" s="1095" t="s">
        <v>9</v>
      </c>
      <c r="M408" s="1098" t="s">
        <v>10</v>
      </c>
      <c r="N408" s="1100" t="s">
        <v>11</v>
      </c>
      <c r="O408" s="1102" t="s">
        <v>12</v>
      </c>
      <c r="P408" s="1084"/>
    </row>
    <row r="409" spans="2:16" ht="15" thickBot="1" x14ac:dyDescent="0.35">
      <c r="B409" s="1079"/>
      <c r="C409" s="1082"/>
      <c r="D409" s="1085"/>
      <c r="E409" s="1093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097"/>
      <c r="M409" s="1099"/>
      <c r="N409" s="1101"/>
      <c r="O409" s="1103"/>
      <c r="P409" s="1085"/>
    </row>
    <row r="410" spans="2:16" x14ac:dyDescent="0.3">
      <c r="B410" s="1062" t="s">
        <v>56</v>
      </c>
      <c r="C410" s="29"/>
      <c r="D410" s="117" t="s">
        <v>152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1064"/>
    </row>
    <row r="411" spans="2:16" x14ac:dyDescent="0.3">
      <c r="B411" s="1063"/>
      <c r="C411" s="32"/>
      <c r="D411" s="118" t="s">
        <v>117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1065"/>
    </row>
    <row r="412" spans="2:16" x14ac:dyDescent="0.3">
      <c r="B412" s="1063"/>
      <c r="C412" s="35"/>
      <c r="D412" s="119" t="s">
        <v>58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1065"/>
    </row>
    <row r="413" spans="2:16" x14ac:dyDescent="0.3">
      <c r="B413" s="1063"/>
      <c r="C413" s="35"/>
      <c r="D413" s="119" t="s">
        <v>59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1065"/>
    </row>
    <row r="414" spans="2:16" x14ac:dyDescent="0.3">
      <c r="B414" s="1063"/>
      <c r="C414" s="35"/>
      <c r="D414" s="119" t="s">
        <v>114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1065"/>
    </row>
    <row r="415" spans="2:16" x14ac:dyDescent="0.3">
      <c r="B415" s="1063"/>
      <c r="C415" s="35"/>
      <c r="D415" s="119" t="s">
        <v>118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1065"/>
    </row>
    <row r="416" spans="2:16" ht="15" thickBot="1" x14ac:dyDescent="0.35">
      <c r="B416" s="1063"/>
      <c r="C416" s="82"/>
      <c r="D416" s="120" t="s">
        <v>60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1065"/>
    </row>
    <row r="417" spans="2:16" ht="15" thickBot="1" x14ac:dyDescent="0.35">
      <c r="B417" s="1063"/>
      <c r="C417" s="1068" t="s">
        <v>112</v>
      </c>
      <c r="D417" s="1069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1066"/>
    </row>
    <row r="418" spans="2:16" x14ac:dyDescent="0.3">
      <c r="B418" s="1063"/>
      <c r="C418" s="32"/>
      <c r="D418" s="118" t="s">
        <v>61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1065"/>
    </row>
    <row r="419" spans="2:16" x14ac:dyDescent="0.3">
      <c r="B419" s="1063"/>
      <c r="C419" s="35"/>
      <c r="D419" s="119" t="s">
        <v>62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1065"/>
    </row>
    <row r="420" spans="2:16" x14ac:dyDescent="0.3">
      <c r="B420" s="1063"/>
      <c r="C420" s="35"/>
      <c r="D420" s="119" t="s">
        <v>105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1065"/>
    </row>
    <row r="421" spans="2:16" x14ac:dyDescent="0.3">
      <c r="B421" s="1063"/>
      <c r="C421" s="35"/>
      <c r="D421" s="119" t="s">
        <v>64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1065"/>
    </row>
    <row r="422" spans="2:16" ht="15" thickBot="1" x14ac:dyDescent="0.35">
      <c r="B422" s="1063"/>
      <c r="C422" s="82"/>
      <c r="D422" s="120" t="s">
        <v>63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1067"/>
    </row>
    <row r="423" spans="2:16" ht="15" thickBot="1" x14ac:dyDescent="0.35">
      <c r="B423" s="1047" t="s">
        <v>113</v>
      </c>
      <c r="C423" s="1048"/>
      <c r="D423" s="1048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" thickBot="1" x14ac:dyDescent="0.35">
      <c r="B424" s="1047" t="s">
        <v>106</v>
      </c>
      <c r="C424" s="1048"/>
      <c r="D424" s="1048"/>
      <c r="E424" s="1070"/>
      <c r="F424" s="1070"/>
      <c r="G424" s="1070"/>
      <c r="H424" s="1070"/>
      <c r="I424" s="1048"/>
      <c r="J424" s="1048"/>
      <c r="K424" s="1048"/>
      <c r="L424" s="1048"/>
      <c r="M424" s="1048"/>
      <c r="N424" s="1071"/>
      <c r="O424" s="83">
        <f>O417+O423</f>
        <v>3615084.352</v>
      </c>
      <c r="P424" s="185"/>
    </row>
    <row r="425" spans="2:16" x14ac:dyDescent="0.3">
      <c r="B425" s="1062" t="s">
        <v>65</v>
      </c>
      <c r="C425" s="37" t="s">
        <v>66</v>
      </c>
      <c r="D425" s="28" t="s">
        <v>67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1073"/>
    </row>
    <row r="426" spans="2:16" x14ac:dyDescent="0.3">
      <c r="B426" s="1063"/>
      <c r="C426" s="39"/>
      <c r="D426" s="22" t="s">
        <v>68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1074"/>
    </row>
    <row r="427" spans="2:16" x14ac:dyDescent="0.3">
      <c r="B427" s="1063"/>
      <c r="C427" s="39"/>
      <c r="D427" s="23" t="s">
        <v>134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1074"/>
    </row>
    <row r="428" spans="2:16" x14ac:dyDescent="0.3">
      <c r="B428" s="1063"/>
      <c r="C428" s="39"/>
      <c r="D428" s="22" t="s">
        <v>139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1074"/>
    </row>
    <row r="429" spans="2:16" x14ac:dyDescent="0.3">
      <c r="B429" s="1063"/>
      <c r="C429" s="39" t="s">
        <v>69</v>
      </c>
      <c r="D429" s="22" t="s">
        <v>141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1074"/>
    </row>
    <row r="430" spans="2:16" x14ac:dyDescent="0.3">
      <c r="B430" s="1063"/>
      <c r="C430" s="39"/>
      <c r="D430" s="22" t="s">
        <v>68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1074"/>
    </row>
    <row r="431" spans="2:16" ht="15" thickBot="1" x14ac:dyDescent="0.35">
      <c r="B431" s="1063"/>
      <c r="C431" s="39"/>
      <c r="D431" s="22" t="s">
        <v>134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1075"/>
    </row>
    <row r="432" spans="2:16" ht="15" thickBot="1" x14ac:dyDescent="0.35">
      <c r="B432" s="1063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3">
      <c r="B433" s="1063"/>
      <c r="C433" s="1076" t="s">
        <v>70</v>
      </c>
      <c r="D433" s="22" t="s">
        <v>67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1073"/>
    </row>
    <row r="434" spans="2:16" x14ac:dyDescent="0.3">
      <c r="B434" s="1063"/>
      <c r="C434" s="1077"/>
      <c r="D434" s="22" t="s">
        <v>68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1074"/>
    </row>
    <row r="435" spans="2:16" x14ac:dyDescent="0.3">
      <c r="B435" s="1063"/>
      <c r="C435" s="1077"/>
      <c r="D435" s="22" t="s">
        <v>135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1074"/>
    </row>
    <row r="436" spans="2:16" ht="15" thickBot="1" x14ac:dyDescent="0.35">
      <c r="B436" s="1063"/>
      <c r="C436" s="1077"/>
      <c r="D436" s="22" t="s">
        <v>119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1074"/>
    </row>
    <row r="437" spans="2:16" ht="15" thickBot="1" x14ac:dyDescent="0.35">
      <c r="B437" s="1063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1075"/>
    </row>
    <row r="438" spans="2:16" ht="15" thickBot="1" x14ac:dyDescent="0.35">
      <c r="B438" s="1072"/>
      <c r="C438" s="41" t="s">
        <v>71</v>
      </c>
      <c r="D438" s="27" t="s">
        <v>67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" thickBot="1" x14ac:dyDescent="0.35">
      <c r="B439" s="1047" t="s">
        <v>102</v>
      </c>
      <c r="C439" s="1048"/>
      <c r="D439" s="1048"/>
      <c r="E439" s="1048"/>
      <c r="F439" s="1048"/>
      <c r="G439" s="1048"/>
      <c r="H439" s="1048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3">
      <c r="B440" s="1049" t="s">
        <v>72</v>
      </c>
      <c r="C440" s="1052" t="s">
        <v>73</v>
      </c>
      <c r="D440" s="54" t="s">
        <v>74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1054"/>
    </row>
    <row r="441" spans="2:16" x14ac:dyDescent="0.3">
      <c r="B441" s="1050"/>
      <c r="C441" s="1053"/>
      <c r="D441" s="61" t="s">
        <v>75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1055"/>
    </row>
    <row r="442" spans="2:16" x14ac:dyDescent="0.3">
      <c r="B442" s="1050"/>
      <c r="C442" s="1053"/>
      <c r="D442" s="61" t="s">
        <v>76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1055"/>
    </row>
    <row r="443" spans="2:16" x14ac:dyDescent="0.3">
      <c r="B443" s="1050"/>
      <c r="C443" s="1053" t="s">
        <v>77</v>
      </c>
      <c r="D443" s="61" t="s">
        <v>78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1055"/>
    </row>
    <row r="444" spans="2:16" x14ac:dyDescent="0.3">
      <c r="B444" s="1050"/>
      <c r="C444" s="1053"/>
      <c r="D444" s="61" t="s">
        <v>142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1055"/>
    </row>
    <row r="445" spans="2:16" x14ac:dyDescent="0.3">
      <c r="B445" s="1050"/>
      <c r="C445" s="1053"/>
      <c r="D445" s="61" t="s">
        <v>75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1055"/>
    </row>
    <row r="446" spans="2:16" x14ac:dyDescent="0.3">
      <c r="B446" s="1050"/>
      <c r="C446" s="1057" t="s">
        <v>79</v>
      </c>
      <c r="D446" s="61" t="s">
        <v>80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1055"/>
    </row>
    <row r="447" spans="2:16" x14ac:dyDescent="0.3">
      <c r="B447" s="1050"/>
      <c r="C447" s="1058"/>
      <c r="D447" s="61" t="s">
        <v>125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1055"/>
    </row>
    <row r="448" spans="2:16" x14ac:dyDescent="0.3">
      <c r="B448" s="1050"/>
      <c r="C448" s="1057" t="s">
        <v>81</v>
      </c>
      <c r="D448" s="61" t="s">
        <v>82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1055"/>
    </row>
    <row r="449" spans="2:16" x14ac:dyDescent="0.3">
      <c r="B449" s="1050"/>
      <c r="C449" s="1058"/>
      <c r="D449" s="61" t="s">
        <v>75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1055"/>
    </row>
    <row r="450" spans="2:16" x14ac:dyDescent="0.3">
      <c r="B450" s="1050"/>
      <c r="C450" s="184" t="s">
        <v>83</v>
      </c>
      <c r="D450" s="61" t="s">
        <v>84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1055"/>
    </row>
    <row r="451" spans="2:16" x14ac:dyDescent="0.3">
      <c r="B451" s="1050"/>
      <c r="C451" s="1053" t="s">
        <v>85</v>
      </c>
      <c r="D451" s="61" t="s">
        <v>80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1055"/>
    </row>
    <row r="452" spans="2:16" x14ac:dyDescent="0.3">
      <c r="B452" s="1050"/>
      <c r="C452" s="1053"/>
      <c r="D452" s="61" t="s">
        <v>127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1055"/>
    </row>
    <row r="453" spans="2:16" x14ac:dyDescent="0.3">
      <c r="B453" s="1050"/>
      <c r="C453" s="1053"/>
      <c r="D453" s="61" t="s">
        <v>131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1055"/>
    </row>
    <row r="454" spans="2:16" x14ac:dyDescent="0.3">
      <c r="B454" s="1050"/>
      <c r="C454" s="1053"/>
      <c r="D454" s="61" t="s">
        <v>132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1055"/>
    </row>
    <row r="455" spans="2:16" x14ac:dyDescent="0.3">
      <c r="B455" s="1050"/>
      <c r="C455" s="1053"/>
      <c r="D455" s="61" t="s">
        <v>86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1055"/>
    </row>
    <row r="456" spans="2:16" x14ac:dyDescent="0.3">
      <c r="B456" s="1050"/>
      <c r="C456" s="184" t="s">
        <v>136</v>
      </c>
      <c r="D456" s="61" t="s">
        <v>132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1055"/>
    </row>
    <row r="457" spans="2:16" x14ac:dyDescent="0.3">
      <c r="B457" s="1050"/>
      <c r="C457" s="1053" t="s">
        <v>87</v>
      </c>
      <c r="D457" s="61" t="s">
        <v>80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1055"/>
    </row>
    <row r="458" spans="2:16" x14ac:dyDescent="0.3">
      <c r="B458" s="1050"/>
      <c r="C458" s="1053"/>
      <c r="D458" s="61" t="s">
        <v>143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1055"/>
    </row>
    <row r="459" spans="2:16" x14ac:dyDescent="0.3">
      <c r="B459" s="1050"/>
      <c r="C459" s="1053"/>
      <c r="D459" s="61" t="s">
        <v>137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1055"/>
    </row>
    <row r="460" spans="2:16" x14ac:dyDescent="0.3">
      <c r="B460" s="1050"/>
      <c r="C460" s="1053" t="s">
        <v>88</v>
      </c>
      <c r="D460" s="61" t="s">
        <v>80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1055"/>
    </row>
    <row r="461" spans="2:16" x14ac:dyDescent="0.3">
      <c r="B461" s="1050"/>
      <c r="C461" s="1053"/>
      <c r="D461" s="61" t="s">
        <v>120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1055"/>
    </row>
    <row r="462" spans="2:16" x14ac:dyDescent="0.3">
      <c r="B462" s="1050"/>
      <c r="C462" s="1053"/>
      <c r="D462" s="61" t="s">
        <v>126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1055"/>
    </row>
    <row r="463" spans="2:16" x14ac:dyDescent="0.3">
      <c r="B463" s="1050"/>
      <c r="C463" s="1053"/>
      <c r="D463" s="61" t="s">
        <v>129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1055"/>
    </row>
    <row r="464" spans="2:16" x14ac:dyDescent="0.3">
      <c r="B464" s="1050"/>
      <c r="C464" s="1053"/>
      <c r="D464" s="61" t="s">
        <v>144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1055"/>
    </row>
    <row r="465" spans="2:16" x14ac:dyDescent="0.3">
      <c r="B465" s="1050"/>
      <c r="C465" s="184" t="s">
        <v>89</v>
      </c>
      <c r="D465" s="61" t="s">
        <v>80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1055"/>
    </row>
    <row r="466" spans="2:16" x14ac:dyDescent="0.3">
      <c r="B466" s="1050"/>
      <c r="C466" s="184" t="s">
        <v>90</v>
      </c>
      <c r="D466" s="61" t="s">
        <v>80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1055"/>
    </row>
    <row r="467" spans="2:16" ht="15" thickBot="1" x14ac:dyDescent="0.35">
      <c r="B467" s="1050"/>
      <c r="C467" s="68" t="s">
        <v>91</v>
      </c>
      <c r="D467" s="69" t="s">
        <v>92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1056"/>
    </row>
    <row r="468" spans="2:16" ht="15" thickBot="1" x14ac:dyDescent="0.35">
      <c r="B468" s="1051"/>
      <c r="C468" s="1059" t="s">
        <v>107</v>
      </c>
      <c r="D468" s="1060"/>
      <c r="E468" s="1060"/>
      <c r="F468" s="1060"/>
      <c r="G468" s="1060"/>
      <c r="H468" s="1061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" thickBot="1" x14ac:dyDescent="0.35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" thickBot="1" x14ac:dyDescent="0.35">
      <c r="B470" s="1044" t="s">
        <v>108</v>
      </c>
      <c r="C470" s="1045"/>
      <c r="D470" s="1045"/>
      <c r="E470" s="1045"/>
      <c r="F470" s="1045"/>
      <c r="G470" s="1045"/>
      <c r="H470" s="1045"/>
      <c r="I470" s="1045"/>
      <c r="J470" s="1045"/>
      <c r="K470" s="1045"/>
      <c r="L470" s="1045"/>
      <c r="M470" s="1045"/>
      <c r="N470" s="1046"/>
      <c r="O470" s="103">
        <f>+O468+O439+O424</f>
        <v>9949277.4120000005</v>
      </c>
      <c r="P470" s="96"/>
    </row>
    <row r="471" spans="2:16" ht="15" thickBot="1" x14ac:dyDescent="0.35"/>
    <row r="472" spans="2:16" x14ac:dyDescent="0.3">
      <c r="B472" s="1078" t="s">
        <v>1</v>
      </c>
      <c r="C472" s="1080" t="s">
        <v>2</v>
      </c>
      <c r="D472" s="1083" t="s">
        <v>3</v>
      </c>
      <c r="E472" s="1086" t="s">
        <v>4</v>
      </c>
      <c r="F472" s="1087"/>
      <c r="G472" s="1087"/>
      <c r="H472" s="1087"/>
      <c r="I472" s="1087"/>
      <c r="J472" s="1087"/>
      <c r="K472" s="1087"/>
      <c r="L472" s="1088"/>
      <c r="M472" s="1089" t="s">
        <v>5</v>
      </c>
      <c r="N472" s="1090"/>
      <c r="O472" s="1091"/>
      <c r="P472" s="1083" t="s">
        <v>6</v>
      </c>
    </row>
    <row r="473" spans="2:16" x14ac:dyDescent="0.3">
      <c r="B473" s="1079"/>
      <c r="C473" s="1081"/>
      <c r="D473" s="1084"/>
      <c r="E473" s="1092" t="s">
        <v>7</v>
      </c>
      <c r="F473" s="1094" t="s">
        <v>156</v>
      </c>
      <c r="G473" s="1094"/>
      <c r="H473" s="1095"/>
      <c r="I473" s="1096" t="s">
        <v>8</v>
      </c>
      <c r="J473" s="1094"/>
      <c r="K473" s="1094"/>
      <c r="L473" s="1095" t="s">
        <v>9</v>
      </c>
      <c r="M473" s="1098" t="s">
        <v>10</v>
      </c>
      <c r="N473" s="1100" t="s">
        <v>11</v>
      </c>
      <c r="O473" s="1102" t="s">
        <v>12</v>
      </c>
      <c r="P473" s="1084"/>
    </row>
    <row r="474" spans="2:16" ht="15" thickBot="1" x14ac:dyDescent="0.35">
      <c r="B474" s="1079"/>
      <c r="C474" s="1082"/>
      <c r="D474" s="1085"/>
      <c r="E474" s="1093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097"/>
      <c r="M474" s="1099"/>
      <c r="N474" s="1101"/>
      <c r="O474" s="1103"/>
      <c r="P474" s="1085"/>
    </row>
    <row r="475" spans="2:16" x14ac:dyDescent="0.3">
      <c r="B475" s="1062" t="s">
        <v>56</v>
      </c>
      <c r="C475" s="29"/>
      <c r="D475" s="117" t="s">
        <v>152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1064"/>
    </row>
    <row r="476" spans="2:16" x14ac:dyDescent="0.3">
      <c r="B476" s="1063"/>
      <c r="C476" s="32"/>
      <c r="D476" s="118" t="s">
        <v>117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1065"/>
    </row>
    <row r="477" spans="2:16" x14ac:dyDescent="0.3">
      <c r="B477" s="1063"/>
      <c r="C477" s="35"/>
      <c r="D477" s="119" t="s">
        <v>58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1065"/>
    </row>
    <row r="478" spans="2:16" x14ac:dyDescent="0.3">
      <c r="B478" s="1063"/>
      <c r="C478" s="35"/>
      <c r="D478" s="119" t="s">
        <v>59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1065"/>
    </row>
    <row r="479" spans="2:16" x14ac:dyDescent="0.3">
      <c r="B479" s="1063"/>
      <c r="C479" s="35"/>
      <c r="D479" s="119" t="s">
        <v>114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1065"/>
    </row>
    <row r="480" spans="2:16" x14ac:dyDescent="0.3">
      <c r="B480" s="1063"/>
      <c r="C480" s="35"/>
      <c r="D480" s="119" t="s">
        <v>118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1065"/>
    </row>
    <row r="481" spans="2:16" ht="15" thickBot="1" x14ac:dyDescent="0.35">
      <c r="B481" s="1063"/>
      <c r="C481" s="82"/>
      <c r="D481" s="120" t="s">
        <v>60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1065"/>
    </row>
    <row r="482" spans="2:16" ht="15" thickBot="1" x14ac:dyDescent="0.35">
      <c r="B482" s="1063"/>
      <c r="C482" s="1068" t="s">
        <v>112</v>
      </c>
      <c r="D482" s="1069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1066"/>
    </row>
    <row r="483" spans="2:16" x14ac:dyDescent="0.3">
      <c r="B483" s="1063"/>
      <c r="C483" s="32"/>
      <c r="D483" s="118" t="s">
        <v>61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1065"/>
    </row>
    <row r="484" spans="2:16" x14ac:dyDescent="0.3">
      <c r="B484" s="1063"/>
      <c r="C484" s="35"/>
      <c r="D484" s="119" t="s">
        <v>62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1065"/>
    </row>
    <row r="485" spans="2:16" x14ac:dyDescent="0.3">
      <c r="B485" s="1063"/>
      <c r="C485" s="35"/>
      <c r="D485" s="119" t="s">
        <v>105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1065"/>
    </row>
    <row r="486" spans="2:16" x14ac:dyDescent="0.3">
      <c r="B486" s="1063"/>
      <c r="C486" s="35"/>
      <c r="D486" s="119" t="s">
        <v>64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1065"/>
    </row>
    <row r="487" spans="2:16" ht="15" thickBot="1" x14ac:dyDescent="0.35">
      <c r="B487" s="1063"/>
      <c r="C487" s="82"/>
      <c r="D487" s="120" t="s">
        <v>63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1067"/>
    </row>
    <row r="488" spans="2:16" ht="15" thickBot="1" x14ac:dyDescent="0.35">
      <c r="B488" s="1047" t="s">
        <v>113</v>
      </c>
      <c r="C488" s="1048"/>
      <c r="D488" s="1048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" thickBot="1" x14ac:dyDescent="0.35">
      <c r="B489" s="1047" t="s">
        <v>106</v>
      </c>
      <c r="C489" s="1048"/>
      <c r="D489" s="1048"/>
      <c r="E489" s="1070"/>
      <c r="F489" s="1070"/>
      <c r="G489" s="1070"/>
      <c r="H489" s="1070"/>
      <c r="I489" s="1048"/>
      <c r="J489" s="1048"/>
      <c r="K489" s="1048"/>
      <c r="L489" s="1048"/>
      <c r="M489" s="1048"/>
      <c r="N489" s="1071"/>
      <c r="O489" s="83">
        <f>O482+O488</f>
        <v>3615084.352</v>
      </c>
      <c r="P489" s="185"/>
    </row>
    <row r="490" spans="2:16" x14ac:dyDescent="0.3">
      <c r="B490" s="1062" t="s">
        <v>65</v>
      </c>
      <c r="C490" s="37" t="s">
        <v>66</v>
      </c>
      <c r="D490" s="28" t="s">
        <v>67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1073"/>
    </row>
    <row r="491" spans="2:16" x14ac:dyDescent="0.3">
      <c r="B491" s="1063"/>
      <c r="C491" s="39"/>
      <c r="D491" s="22" t="s">
        <v>68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1074"/>
    </row>
    <row r="492" spans="2:16" x14ac:dyDescent="0.3">
      <c r="B492" s="1063"/>
      <c r="C492" s="39"/>
      <c r="D492" s="23" t="s">
        <v>134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1074"/>
    </row>
    <row r="493" spans="2:16" x14ac:dyDescent="0.3">
      <c r="B493" s="1063"/>
      <c r="C493" s="39"/>
      <c r="D493" s="22" t="s">
        <v>139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1074"/>
    </row>
    <row r="494" spans="2:16" x14ac:dyDescent="0.3">
      <c r="B494" s="1063"/>
      <c r="C494" s="39" t="s">
        <v>69</v>
      </c>
      <c r="D494" s="22" t="s">
        <v>141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1074"/>
    </row>
    <row r="495" spans="2:16" x14ac:dyDescent="0.3">
      <c r="B495" s="1063"/>
      <c r="C495" s="39"/>
      <c r="D495" s="22" t="s">
        <v>68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1074"/>
    </row>
    <row r="496" spans="2:16" ht="15" thickBot="1" x14ac:dyDescent="0.35">
      <c r="B496" s="1063"/>
      <c r="C496" s="39"/>
      <c r="D496" s="22" t="s">
        <v>134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1075"/>
    </row>
    <row r="497" spans="2:16" ht="15" thickBot="1" x14ac:dyDescent="0.35">
      <c r="B497" s="1063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3">
      <c r="B498" s="1063"/>
      <c r="C498" s="1076" t="s">
        <v>70</v>
      </c>
      <c r="D498" s="22" t="s">
        <v>67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1073"/>
    </row>
    <row r="499" spans="2:16" x14ac:dyDescent="0.3">
      <c r="B499" s="1063"/>
      <c r="C499" s="1077"/>
      <c r="D499" s="22" t="s">
        <v>68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1074"/>
    </row>
    <row r="500" spans="2:16" x14ac:dyDescent="0.3">
      <c r="B500" s="1063"/>
      <c r="C500" s="1077"/>
      <c r="D500" s="22" t="s">
        <v>135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1074"/>
    </row>
    <row r="501" spans="2:16" ht="15" thickBot="1" x14ac:dyDescent="0.35">
      <c r="B501" s="1063"/>
      <c r="C501" s="1077"/>
      <c r="D501" s="22" t="s">
        <v>119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1074"/>
    </row>
    <row r="502" spans="2:16" ht="15" thickBot="1" x14ac:dyDescent="0.35">
      <c r="B502" s="1063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1075"/>
    </row>
    <row r="503" spans="2:16" ht="15" thickBot="1" x14ac:dyDescent="0.35">
      <c r="B503" s="1072"/>
      <c r="C503" s="41" t="s">
        <v>71</v>
      </c>
      <c r="D503" s="27" t="s">
        <v>67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" thickBot="1" x14ac:dyDescent="0.35">
      <c r="B504" s="1047" t="s">
        <v>102</v>
      </c>
      <c r="C504" s="1048"/>
      <c r="D504" s="1048"/>
      <c r="E504" s="1048"/>
      <c r="F504" s="1048"/>
      <c r="G504" s="1048"/>
      <c r="H504" s="1048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3">
      <c r="B505" s="1049" t="s">
        <v>72</v>
      </c>
      <c r="C505" s="1052" t="s">
        <v>73</v>
      </c>
      <c r="D505" s="54" t="s">
        <v>74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1054"/>
    </row>
    <row r="506" spans="2:16" x14ac:dyDescent="0.3">
      <c r="B506" s="1050"/>
      <c r="C506" s="1053"/>
      <c r="D506" s="61" t="s">
        <v>75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1055"/>
    </row>
    <row r="507" spans="2:16" x14ac:dyDescent="0.3">
      <c r="B507" s="1050"/>
      <c r="C507" s="1053"/>
      <c r="D507" s="61" t="s">
        <v>76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1055"/>
    </row>
    <row r="508" spans="2:16" x14ac:dyDescent="0.3">
      <c r="B508" s="1050"/>
      <c r="C508" s="1053" t="s">
        <v>77</v>
      </c>
      <c r="D508" s="61" t="s">
        <v>78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1055"/>
    </row>
    <row r="509" spans="2:16" x14ac:dyDescent="0.3">
      <c r="B509" s="1050"/>
      <c r="C509" s="1053"/>
      <c r="D509" s="61" t="s">
        <v>142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1055"/>
    </row>
    <row r="510" spans="2:16" x14ac:dyDescent="0.3">
      <c r="B510" s="1050"/>
      <c r="C510" s="1053"/>
      <c r="D510" s="61" t="s">
        <v>75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1055"/>
    </row>
    <row r="511" spans="2:16" x14ac:dyDescent="0.3">
      <c r="B511" s="1050"/>
      <c r="C511" s="1057" t="s">
        <v>79</v>
      </c>
      <c r="D511" s="61" t="s">
        <v>80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1055"/>
    </row>
    <row r="512" spans="2:16" x14ac:dyDescent="0.3">
      <c r="B512" s="1050"/>
      <c r="C512" s="1058"/>
      <c r="D512" s="61" t="s">
        <v>125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1055"/>
    </row>
    <row r="513" spans="2:16" x14ac:dyDescent="0.3">
      <c r="B513" s="1050"/>
      <c r="C513" s="1057" t="s">
        <v>81</v>
      </c>
      <c r="D513" s="61" t="s">
        <v>82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1055"/>
    </row>
    <row r="514" spans="2:16" x14ac:dyDescent="0.3">
      <c r="B514" s="1050"/>
      <c r="C514" s="1058"/>
      <c r="D514" s="61" t="s">
        <v>75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1055"/>
    </row>
    <row r="515" spans="2:16" x14ac:dyDescent="0.3">
      <c r="B515" s="1050"/>
      <c r="C515" s="184" t="s">
        <v>83</v>
      </c>
      <c r="D515" s="61" t="s">
        <v>84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1055"/>
    </row>
    <row r="516" spans="2:16" x14ac:dyDescent="0.3">
      <c r="B516" s="1050"/>
      <c r="C516" s="1053" t="s">
        <v>85</v>
      </c>
      <c r="D516" s="61" t="s">
        <v>80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1055"/>
    </row>
    <row r="517" spans="2:16" x14ac:dyDescent="0.3">
      <c r="B517" s="1050"/>
      <c r="C517" s="1053"/>
      <c r="D517" s="61" t="s">
        <v>127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1055"/>
    </row>
    <row r="518" spans="2:16" x14ac:dyDescent="0.3">
      <c r="B518" s="1050"/>
      <c r="C518" s="1053"/>
      <c r="D518" s="61" t="s">
        <v>131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1055"/>
    </row>
    <row r="519" spans="2:16" x14ac:dyDescent="0.3">
      <c r="B519" s="1050"/>
      <c r="C519" s="1053"/>
      <c r="D519" s="61" t="s">
        <v>132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1055"/>
    </row>
    <row r="520" spans="2:16" x14ac:dyDescent="0.3">
      <c r="B520" s="1050"/>
      <c r="C520" s="1053"/>
      <c r="D520" s="61" t="s">
        <v>86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1055"/>
    </row>
    <row r="521" spans="2:16" x14ac:dyDescent="0.3">
      <c r="B521" s="1050"/>
      <c r="C521" s="184" t="s">
        <v>136</v>
      </c>
      <c r="D521" s="61" t="s">
        <v>132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1055"/>
    </row>
    <row r="522" spans="2:16" x14ac:dyDescent="0.3">
      <c r="B522" s="1050"/>
      <c r="C522" s="1053" t="s">
        <v>87</v>
      </c>
      <c r="D522" s="61" t="s">
        <v>80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1055"/>
    </row>
    <row r="523" spans="2:16" x14ac:dyDescent="0.3">
      <c r="B523" s="1050"/>
      <c r="C523" s="1053"/>
      <c r="D523" s="61" t="s">
        <v>143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1055"/>
    </row>
    <row r="524" spans="2:16" x14ac:dyDescent="0.3">
      <c r="B524" s="1050"/>
      <c r="C524" s="1053"/>
      <c r="D524" s="61" t="s">
        <v>137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1055"/>
    </row>
    <row r="525" spans="2:16" x14ac:dyDescent="0.3">
      <c r="B525" s="1050"/>
      <c r="C525" s="1053" t="s">
        <v>88</v>
      </c>
      <c r="D525" s="61" t="s">
        <v>80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1055"/>
    </row>
    <row r="526" spans="2:16" x14ac:dyDescent="0.3">
      <c r="B526" s="1050"/>
      <c r="C526" s="1053"/>
      <c r="D526" s="61" t="s">
        <v>120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1055"/>
    </row>
    <row r="527" spans="2:16" x14ac:dyDescent="0.3">
      <c r="B527" s="1050"/>
      <c r="C527" s="1053"/>
      <c r="D527" s="61" t="s">
        <v>126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1055"/>
    </row>
    <row r="528" spans="2:16" x14ac:dyDescent="0.3">
      <c r="B528" s="1050"/>
      <c r="C528" s="1053"/>
      <c r="D528" s="61" t="s">
        <v>129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1055"/>
    </row>
    <row r="529" spans="2:16" x14ac:dyDescent="0.3">
      <c r="B529" s="1050"/>
      <c r="C529" s="1053"/>
      <c r="D529" s="61" t="s">
        <v>144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1055"/>
    </row>
    <row r="530" spans="2:16" x14ac:dyDescent="0.3">
      <c r="B530" s="1050"/>
      <c r="C530" s="184" t="s">
        <v>89</v>
      </c>
      <c r="D530" s="61" t="s">
        <v>80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1055"/>
    </row>
    <row r="531" spans="2:16" x14ac:dyDescent="0.3">
      <c r="B531" s="1050"/>
      <c r="C531" s="184" t="s">
        <v>90</v>
      </c>
      <c r="D531" s="61" t="s">
        <v>80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1055"/>
    </row>
    <row r="532" spans="2:16" ht="15" thickBot="1" x14ac:dyDescent="0.35">
      <c r="B532" s="1050"/>
      <c r="C532" s="68" t="s">
        <v>91</v>
      </c>
      <c r="D532" s="69" t="s">
        <v>92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1056"/>
    </row>
    <row r="533" spans="2:16" ht="15" thickBot="1" x14ac:dyDescent="0.35">
      <c r="B533" s="1051"/>
      <c r="C533" s="1059" t="s">
        <v>107</v>
      </c>
      <c r="D533" s="1060"/>
      <c r="E533" s="1060"/>
      <c r="F533" s="1060"/>
      <c r="G533" s="1060"/>
      <c r="H533" s="1061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" thickBot="1" x14ac:dyDescent="0.35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" thickBot="1" x14ac:dyDescent="0.35">
      <c r="B535" s="1044" t="s">
        <v>108</v>
      </c>
      <c r="C535" s="1045"/>
      <c r="D535" s="1045"/>
      <c r="E535" s="1045"/>
      <c r="F535" s="1045"/>
      <c r="G535" s="1045"/>
      <c r="H535" s="1045"/>
      <c r="I535" s="1045"/>
      <c r="J535" s="1045"/>
      <c r="K535" s="1045"/>
      <c r="L535" s="1045"/>
      <c r="M535" s="1045"/>
      <c r="N535" s="1046"/>
      <c r="O535" s="103">
        <f>+O533+O504+O489</f>
        <v>10039684.446999999</v>
      </c>
      <c r="P535" s="96"/>
    </row>
    <row r="536" spans="2:16" ht="15" thickBot="1" x14ac:dyDescent="0.35"/>
    <row r="537" spans="2:16" x14ac:dyDescent="0.3">
      <c r="B537" s="1078" t="s">
        <v>1</v>
      </c>
      <c r="C537" s="1080" t="s">
        <v>2</v>
      </c>
      <c r="D537" s="1083" t="s">
        <v>3</v>
      </c>
      <c r="E537" s="1086" t="s">
        <v>4</v>
      </c>
      <c r="F537" s="1087"/>
      <c r="G537" s="1087"/>
      <c r="H537" s="1087"/>
      <c r="I537" s="1087"/>
      <c r="J537" s="1087"/>
      <c r="K537" s="1087"/>
      <c r="L537" s="1088"/>
      <c r="M537" s="1089" t="s">
        <v>5</v>
      </c>
      <c r="N537" s="1090"/>
      <c r="O537" s="1091"/>
      <c r="P537" s="1083" t="s">
        <v>6</v>
      </c>
    </row>
    <row r="538" spans="2:16" x14ac:dyDescent="0.3">
      <c r="B538" s="1079"/>
      <c r="C538" s="1081"/>
      <c r="D538" s="1084"/>
      <c r="E538" s="1092" t="s">
        <v>7</v>
      </c>
      <c r="F538" s="1094" t="s">
        <v>157</v>
      </c>
      <c r="G538" s="1094"/>
      <c r="H538" s="1095"/>
      <c r="I538" s="1096" t="s">
        <v>8</v>
      </c>
      <c r="J538" s="1094"/>
      <c r="K538" s="1094"/>
      <c r="L538" s="1095" t="s">
        <v>9</v>
      </c>
      <c r="M538" s="1098" t="s">
        <v>10</v>
      </c>
      <c r="N538" s="1100" t="s">
        <v>11</v>
      </c>
      <c r="O538" s="1102" t="s">
        <v>12</v>
      </c>
      <c r="P538" s="1084"/>
    </row>
    <row r="539" spans="2:16" ht="15" thickBot="1" x14ac:dyDescent="0.35">
      <c r="B539" s="1079"/>
      <c r="C539" s="1082"/>
      <c r="D539" s="1085"/>
      <c r="E539" s="1093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097"/>
      <c r="M539" s="1099"/>
      <c r="N539" s="1101"/>
      <c r="O539" s="1103"/>
      <c r="P539" s="1085"/>
    </row>
    <row r="540" spans="2:16" x14ac:dyDescent="0.3">
      <c r="B540" s="1062" t="s">
        <v>56</v>
      </c>
      <c r="C540" s="29"/>
      <c r="D540" s="117" t="s">
        <v>152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1064"/>
    </row>
    <row r="541" spans="2:16" x14ac:dyDescent="0.3">
      <c r="B541" s="1063"/>
      <c r="C541" s="32"/>
      <c r="D541" s="118" t="s">
        <v>117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1065"/>
    </row>
    <row r="542" spans="2:16" x14ac:dyDescent="0.3">
      <c r="B542" s="1063"/>
      <c r="C542" s="35"/>
      <c r="D542" s="119" t="s">
        <v>58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1065"/>
    </row>
    <row r="543" spans="2:16" x14ac:dyDescent="0.3">
      <c r="B543" s="1063"/>
      <c r="C543" s="35"/>
      <c r="D543" s="119" t="s">
        <v>59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1065"/>
    </row>
    <row r="544" spans="2:16" x14ac:dyDescent="0.3">
      <c r="B544" s="1063"/>
      <c r="C544" s="35"/>
      <c r="D544" s="119" t="s">
        <v>114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1065"/>
    </row>
    <row r="545" spans="2:16" x14ac:dyDescent="0.3">
      <c r="B545" s="1063"/>
      <c r="C545" s="35"/>
      <c r="D545" s="119" t="s">
        <v>118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1065"/>
    </row>
    <row r="546" spans="2:16" ht="15" thickBot="1" x14ac:dyDescent="0.35">
      <c r="B546" s="1063"/>
      <c r="C546" s="82"/>
      <c r="D546" s="120" t="s">
        <v>60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1065"/>
    </row>
    <row r="547" spans="2:16" ht="15" thickBot="1" x14ac:dyDescent="0.35">
      <c r="B547" s="1063"/>
      <c r="C547" s="1068" t="s">
        <v>112</v>
      </c>
      <c r="D547" s="1069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1066"/>
    </row>
    <row r="548" spans="2:16" x14ac:dyDescent="0.3">
      <c r="B548" s="1063"/>
      <c r="C548" s="32"/>
      <c r="D548" s="118" t="s">
        <v>61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1065"/>
    </row>
    <row r="549" spans="2:16" x14ac:dyDescent="0.3">
      <c r="B549" s="1063"/>
      <c r="C549" s="35"/>
      <c r="D549" s="119" t="s">
        <v>62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1065"/>
    </row>
    <row r="550" spans="2:16" x14ac:dyDescent="0.3">
      <c r="B550" s="1063"/>
      <c r="C550" s="35"/>
      <c r="D550" s="119" t="s">
        <v>105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1065"/>
    </row>
    <row r="551" spans="2:16" x14ac:dyDescent="0.3">
      <c r="B551" s="1063"/>
      <c r="C551" s="35"/>
      <c r="D551" s="119" t="s">
        <v>64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1065"/>
    </row>
    <row r="552" spans="2:16" ht="15" thickBot="1" x14ac:dyDescent="0.35">
      <c r="B552" s="1063"/>
      <c r="C552" s="82"/>
      <c r="D552" s="120" t="s">
        <v>63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1067"/>
    </row>
    <row r="553" spans="2:16" ht="15" thickBot="1" x14ac:dyDescent="0.35">
      <c r="B553" s="1047" t="s">
        <v>113</v>
      </c>
      <c r="C553" s="1048"/>
      <c r="D553" s="1048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" thickBot="1" x14ac:dyDescent="0.35">
      <c r="B554" s="1047" t="s">
        <v>106</v>
      </c>
      <c r="C554" s="1048"/>
      <c r="D554" s="1048"/>
      <c r="E554" s="1070"/>
      <c r="F554" s="1070"/>
      <c r="G554" s="1070"/>
      <c r="H554" s="1070"/>
      <c r="I554" s="1048"/>
      <c r="J554" s="1048"/>
      <c r="K554" s="1048"/>
      <c r="L554" s="1048"/>
      <c r="M554" s="1048"/>
      <c r="N554" s="1071"/>
      <c r="O554" s="83">
        <f>O547+O553</f>
        <v>4243706.6239999998</v>
      </c>
      <c r="P554" s="189"/>
    </row>
    <row r="555" spans="2:16" x14ac:dyDescent="0.3">
      <c r="B555" s="1062" t="s">
        <v>65</v>
      </c>
      <c r="C555" s="37" t="s">
        <v>66</v>
      </c>
      <c r="D555" s="28" t="s">
        <v>67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1073"/>
    </row>
    <row r="556" spans="2:16" x14ac:dyDescent="0.3">
      <c r="B556" s="1063"/>
      <c r="C556" s="39"/>
      <c r="D556" s="22" t="s">
        <v>68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1074"/>
    </row>
    <row r="557" spans="2:16" x14ac:dyDescent="0.3">
      <c r="B557" s="1063"/>
      <c r="C557" s="39"/>
      <c r="D557" s="23" t="s">
        <v>134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1074"/>
    </row>
    <row r="558" spans="2:16" x14ac:dyDescent="0.3">
      <c r="B558" s="1063"/>
      <c r="C558" s="39"/>
      <c r="D558" s="22" t="s">
        <v>139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1074"/>
    </row>
    <row r="559" spans="2:16" x14ac:dyDescent="0.3">
      <c r="B559" s="1063"/>
      <c r="C559" s="39" t="s">
        <v>69</v>
      </c>
      <c r="D559" s="22" t="s">
        <v>141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1074"/>
    </row>
    <row r="560" spans="2:16" x14ac:dyDescent="0.3">
      <c r="B560" s="1063"/>
      <c r="C560" s="39"/>
      <c r="D560" s="22" t="s">
        <v>68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1074"/>
    </row>
    <row r="561" spans="2:16" ht="15" thickBot="1" x14ac:dyDescent="0.35">
      <c r="B561" s="1063"/>
      <c r="C561" s="39"/>
      <c r="D561" s="22" t="s">
        <v>134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1075"/>
    </row>
    <row r="562" spans="2:16" ht="15" thickBot="1" x14ac:dyDescent="0.35">
      <c r="B562" s="1063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3">
      <c r="B563" s="1063"/>
      <c r="C563" s="1076" t="s">
        <v>70</v>
      </c>
      <c r="D563" s="22" t="s">
        <v>67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1073"/>
    </row>
    <row r="564" spans="2:16" x14ac:dyDescent="0.3">
      <c r="B564" s="1063"/>
      <c r="C564" s="1077"/>
      <c r="D564" s="22" t="s">
        <v>68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1074"/>
    </row>
    <row r="565" spans="2:16" x14ac:dyDescent="0.3">
      <c r="B565" s="1063"/>
      <c r="C565" s="1077"/>
      <c r="D565" s="22" t="s">
        <v>135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1074"/>
    </row>
    <row r="566" spans="2:16" ht="15" thickBot="1" x14ac:dyDescent="0.35">
      <c r="B566" s="1063"/>
      <c r="C566" s="1077"/>
      <c r="D566" s="22" t="s">
        <v>119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1074"/>
    </row>
    <row r="567" spans="2:16" ht="15" thickBot="1" x14ac:dyDescent="0.35">
      <c r="B567" s="1063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1075"/>
    </row>
    <row r="568" spans="2:16" ht="15" thickBot="1" x14ac:dyDescent="0.35">
      <c r="B568" s="1072"/>
      <c r="C568" s="41" t="s">
        <v>71</v>
      </c>
      <c r="D568" s="27" t="s">
        <v>67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" thickBot="1" x14ac:dyDescent="0.35">
      <c r="B569" s="1047" t="s">
        <v>102</v>
      </c>
      <c r="C569" s="1048"/>
      <c r="D569" s="1048"/>
      <c r="E569" s="1048"/>
      <c r="F569" s="1048"/>
      <c r="G569" s="1048"/>
      <c r="H569" s="1048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3">
      <c r="B570" s="1049" t="s">
        <v>72</v>
      </c>
      <c r="C570" s="1052" t="s">
        <v>73</v>
      </c>
      <c r="D570" s="54" t="s">
        <v>74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1054"/>
    </row>
    <row r="571" spans="2:16" x14ac:dyDescent="0.3">
      <c r="B571" s="1050"/>
      <c r="C571" s="1053"/>
      <c r="D571" s="61" t="s">
        <v>75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1055"/>
    </row>
    <row r="572" spans="2:16" x14ac:dyDescent="0.3">
      <c r="B572" s="1050"/>
      <c r="C572" s="1053"/>
      <c r="D572" s="61" t="s">
        <v>76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1055"/>
    </row>
    <row r="573" spans="2:16" x14ac:dyDescent="0.3">
      <c r="B573" s="1050"/>
      <c r="C573" s="1053" t="s">
        <v>77</v>
      </c>
      <c r="D573" s="61" t="s">
        <v>78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1055"/>
    </row>
    <row r="574" spans="2:16" x14ac:dyDescent="0.3">
      <c r="B574" s="1050"/>
      <c r="C574" s="1053"/>
      <c r="D574" s="61" t="s">
        <v>142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1055"/>
    </row>
    <row r="575" spans="2:16" x14ac:dyDescent="0.3">
      <c r="B575" s="1050"/>
      <c r="C575" s="1053"/>
      <c r="D575" s="61" t="s">
        <v>75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1055"/>
    </row>
    <row r="576" spans="2:16" x14ac:dyDescent="0.3">
      <c r="B576" s="1050"/>
      <c r="C576" s="1057" t="s">
        <v>79</v>
      </c>
      <c r="D576" s="61" t="s">
        <v>80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1055"/>
    </row>
    <row r="577" spans="2:16" x14ac:dyDescent="0.3">
      <c r="B577" s="1050"/>
      <c r="C577" s="1058"/>
      <c r="D577" s="61" t="s">
        <v>125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1055"/>
    </row>
    <row r="578" spans="2:16" x14ac:dyDescent="0.3">
      <c r="B578" s="1050"/>
      <c r="C578" s="1057" t="s">
        <v>81</v>
      </c>
      <c r="D578" s="61" t="s">
        <v>82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1055"/>
    </row>
    <row r="579" spans="2:16" x14ac:dyDescent="0.3">
      <c r="B579" s="1050"/>
      <c r="C579" s="1058"/>
      <c r="D579" s="61" t="s">
        <v>75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1055"/>
    </row>
    <row r="580" spans="2:16" x14ac:dyDescent="0.3">
      <c r="B580" s="1050"/>
      <c r="C580" s="188" t="s">
        <v>83</v>
      </c>
      <c r="D580" s="61" t="s">
        <v>84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1055"/>
    </row>
    <row r="581" spans="2:16" x14ac:dyDescent="0.3">
      <c r="B581" s="1050"/>
      <c r="C581" s="1053" t="s">
        <v>85</v>
      </c>
      <c r="D581" s="61" t="s">
        <v>80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1055"/>
    </row>
    <row r="582" spans="2:16" x14ac:dyDescent="0.3">
      <c r="B582" s="1050"/>
      <c r="C582" s="1053"/>
      <c r="D582" s="61" t="s">
        <v>127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1055"/>
    </row>
    <row r="583" spans="2:16" x14ac:dyDescent="0.3">
      <c r="B583" s="1050"/>
      <c r="C583" s="1053"/>
      <c r="D583" s="61" t="s">
        <v>131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1055"/>
    </row>
    <row r="584" spans="2:16" x14ac:dyDescent="0.3">
      <c r="B584" s="1050"/>
      <c r="C584" s="1053"/>
      <c r="D584" s="61" t="s">
        <v>132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1055"/>
    </row>
    <row r="585" spans="2:16" x14ac:dyDescent="0.3">
      <c r="B585" s="1050"/>
      <c r="C585" s="1053"/>
      <c r="D585" s="61" t="s">
        <v>86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1055"/>
    </row>
    <row r="586" spans="2:16" x14ac:dyDescent="0.3">
      <c r="B586" s="1050"/>
      <c r="C586" s="188" t="s">
        <v>136</v>
      </c>
      <c r="D586" s="61" t="s">
        <v>132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1055"/>
    </row>
    <row r="587" spans="2:16" x14ac:dyDescent="0.3">
      <c r="B587" s="1050"/>
      <c r="C587" s="1053" t="s">
        <v>87</v>
      </c>
      <c r="D587" s="61" t="s">
        <v>80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1055"/>
    </row>
    <row r="588" spans="2:16" x14ac:dyDescent="0.3">
      <c r="B588" s="1050"/>
      <c r="C588" s="1053"/>
      <c r="D588" s="61" t="s">
        <v>143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1055"/>
    </row>
    <row r="589" spans="2:16" x14ac:dyDescent="0.3">
      <c r="B589" s="1050"/>
      <c r="C589" s="1053"/>
      <c r="D589" s="61" t="s">
        <v>137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1055"/>
    </row>
    <row r="590" spans="2:16" x14ac:dyDescent="0.3">
      <c r="B590" s="1050"/>
      <c r="C590" s="1053" t="s">
        <v>88</v>
      </c>
      <c r="D590" s="61" t="s">
        <v>80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1055"/>
    </row>
    <row r="591" spans="2:16" x14ac:dyDescent="0.3">
      <c r="B591" s="1050"/>
      <c r="C591" s="1053"/>
      <c r="D591" s="61" t="s">
        <v>120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1055"/>
    </row>
    <row r="592" spans="2:16" x14ac:dyDescent="0.3">
      <c r="B592" s="1050"/>
      <c r="C592" s="1053"/>
      <c r="D592" s="61" t="s">
        <v>126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1055"/>
    </row>
    <row r="593" spans="2:16" x14ac:dyDescent="0.3">
      <c r="B593" s="1050"/>
      <c r="C593" s="1053"/>
      <c r="D593" s="61" t="s">
        <v>129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1055"/>
    </row>
    <row r="594" spans="2:16" x14ac:dyDescent="0.3">
      <c r="B594" s="1050"/>
      <c r="C594" s="1053"/>
      <c r="D594" s="61" t="s">
        <v>144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1055"/>
    </row>
    <row r="595" spans="2:16" x14ac:dyDescent="0.3">
      <c r="B595" s="1050"/>
      <c r="C595" s="188" t="s">
        <v>89</v>
      </c>
      <c r="D595" s="61" t="s">
        <v>80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1055"/>
    </row>
    <row r="596" spans="2:16" x14ac:dyDescent="0.3">
      <c r="B596" s="1050"/>
      <c r="C596" s="188" t="s">
        <v>90</v>
      </c>
      <c r="D596" s="61" t="s">
        <v>80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1055"/>
    </row>
    <row r="597" spans="2:16" ht="15" thickBot="1" x14ac:dyDescent="0.35">
      <c r="B597" s="1050"/>
      <c r="C597" s="68" t="s">
        <v>91</v>
      </c>
      <c r="D597" s="69" t="s">
        <v>92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1056"/>
    </row>
    <row r="598" spans="2:16" ht="15" thickBot="1" x14ac:dyDescent="0.35">
      <c r="B598" s="1051"/>
      <c r="C598" s="1059" t="s">
        <v>107</v>
      </c>
      <c r="D598" s="1060"/>
      <c r="E598" s="1060"/>
      <c r="F598" s="1060"/>
      <c r="G598" s="1060"/>
      <c r="H598" s="1061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" thickBot="1" x14ac:dyDescent="0.35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" thickBot="1" x14ac:dyDescent="0.35">
      <c r="B600" s="1044" t="s">
        <v>108</v>
      </c>
      <c r="C600" s="1045"/>
      <c r="D600" s="1045"/>
      <c r="E600" s="1045"/>
      <c r="F600" s="1045"/>
      <c r="G600" s="1045"/>
      <c r="H600" s="1045"/>
      <c r="I600" s="1045"/>
      <c r="J600" s="1045"/>
      <c r="K600" s="1045"/>
      <c r="L600" s="1045"/>
      <c r="M600" s="1045"/>
      <c r="N600" s="1046"/>
      <c r="O600" s="103">
        <f>+O598+O569+O554</f>
        <v>11477316.184999999</v>
      </c>
      <c r="P600" s="96"/>
    </row>
    <row r="601" spans="2:16" ht="15" thickBot="1" x14ac:dyDescent="0.35"/>
    <row r="602" spans="2:16" x14ac:dyDescent="0.3">
      <c r="B602" s="1078" t="s">
        <v>1</v>
      </c>
      <c r="C602" s="1080" t="s">
        <v>2</v>
      </c>
      <c r="D602" s="1083" t="s">
        <v>3</v>
      </c>
      <c r="E602" s="1086" t="s">
        <v>4</v>
      </c>
      <c r="F602" s="1087"/>
      <c r="G602" s="1087"/>
      <c r="H602" s="1087"/>
      <c r="I602" s="1087"/>
      <c r="J602" s="1087"/>
      <c r="K602" s="1087"/>
      <c r="L602" s="1088"/>
      <c r="M602" s="1089" t="s">
        <v>5</v>
      </c>
      <c r="N602" s="1090"/>
      <c r="O602" s="1091"/>
      <c r="P602" s="1083" t="s">
        <v>6</v>
      </c>
    </row>
    <row r="603" spans="2:16" x14ac:dyDescent="0.3">
      <c r="B603" s="1079"/>
      <c r="C603" s="1081"/>
      <c r="D603" s="1084"/>
      <c r="E603" s="1092" t="s">
        <v>7</v>
      </c>
      <c r="F603" s="1094" t="s">
        <v>158</v>
      </c>
      <c r="G603" s="1094"/>
      <c r="H603" s="1095"/>
      <c r="I603" s="1096" t="s">
        <v>8</v>
      </c>
      <c r="J603" s="1094"/>
      <c r="K603" s="1094"/>
      <c r="L603" s="1095" t="s">
        <v>9</v>
      </c>
      <c r="M603" s="1098" t="s">
        <v>10</v>
      </c>
      <c r="N603" s="1100" t="s">
        <v>11</v>
      </c>
      <c r="O603" s="1102" t="s">
        <v>12</v>
      </c>
      <c r="P603" s="1084"/>
    </row>
    <row r="604" spans="2:16" ht="15" thickBot="1" x14ac:dyDescent="0.35">
      <c r="B604" s="1079"/>
      <c r="C604" s="1082"/>
      <c r="D604" s="1085"/>
      <c r="E604" s="1093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097"/>
      <c r="M604" s="1099"/>
      <c r="N604" s="1101"/>
      <c r="O604" s="1103"/>
      <c r="P604" s="1085"/>
    </row>
    <row r="605" spans="2:16" x14ac:dyDescent="0.3">
      <c r="B605" s="1062" t="s">
        <v>56</v>
      </c>
      <c r="C605" s="29"/>
      <c r="D605" s="117" t="s">
        <v>152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1064"/>
    </row>
    <row r="606" spans="2:16" x14ac:dyDescent="0.3">
      <c r="B606" s="1063"/>
      <c r="C606" s="32"/>
      <c r="D606" s="118" t="s">
        <v>117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1065"/>
    </row>
    <row r="607" spans="2:16" x14ac:dyDescent="0.3">
      <c r="B607" s="1063"/>
      <c r="C607" s="35"/>
      <c r="D607" s="119" t="s">
        <v>58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1065"/>
    </row>
    <row r="608" spans="2:16" x14ac:dyDescent="0.3">
      <c r="B608" s="1063"/>
      <c r="C608" s="35"/>
      <c r="D608" s="119" t="s">
        <v>59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1065"/>
    </row>
    <row r="609" spans="2:16" x14ac:dyDescent="0.3">
      <c r="B609" s="1063"/>
      <c r="C609" s="35"/>
      <c r="D609" s="119" t="s">
        <v>114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1065"/>
    </row>
    <row r="610" spans="2:16" x14ac:dyDescent="0.3">
      <c r="B610" s="1063"/>
      <c r="C610" s="35"/>
      <c r="D610" s="119" t="s">
        <v>118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1065"/>
    </row>
    <row r="611" spans="2:16" ht="15" thickBot="1" x14ac:dyDescent="0.35">
      <c r="B611" s="1063"/>
      <c r="C611" s="82"/>
      <c r="D611" s="120" t="s">
        <v>60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1065"/>
    </row>
    <row r="612" spans="2:16" ht="15" thickBot="1" x14ac:dyDescent="0.35">
      <c r="B612" s="1063"/>
      <c r="C612" s="1068" t="s">
        <v>112</v>
      </c>
      <c r="D612" s="1069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1066"/>
    </row>
    <row r="613" spans="2:16" x14ac:dyDescent="0.3">
      <c r="B613" s="1063"/>
      <c r="C613" s="32"/>
      <c r="D613" s="118" t="s">
        <v>61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1065"/>
    </row>
    <row r="614" spans="2:16" x14ac:dyDescent="0.3">
      <c r="B614" s="1063"/>
      <c r="C614" s="35"/>
      <c r="D614" s="119" t="s">
        <v>62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1065"/>
    </row>
    <row r="615" spans="2:16" x14ac:dyDescent="0.3">
      <c r="B615" s="1063"/>
      <c r="C615" s="35"/>
      <c r="D615" s="119" t="s">
        <v>105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1065"/>
    </row>
    <row r="616" spans="2:16" x14ac:dyDescent="0.3">
      <c r="B616" s="1063"/>
      <c r="C616" s="35"/>
      <c r="D616" s="119" t="s">
        <v>64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1065"/>
    </row>
    <row r="617" spans="2:16" ht="15" thickBot="1" x14ac:dyDescent="0.35">
      <c r="B617" s="1063"/>
      <c r="C617" s="82"/>
      <c r="D617" s="120" t="s">
        <v>63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1067"/>
    </row>
    <row r="618" spans="2:16" ht="15" thickBot="1" x14ac:dyDescent="0.35">
      <c r="B618" s="1047" t="s">
        <v>113</v>
      </c>
      <c r="C618" s="1048"/>
      <c r="D618" s="1048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" thickBot="1" x14ac:dyDescent="0.35">
      <c r="B619" s="1047" t="s">
        <v>106</v>
      </c>
      <c r="C619" s="1048"/>
      <c r="D619" s="1048"/>
      <c r="E619" s="1070"/>
      <c r="F619" s="1070"/>
      <c r="G619" s="1070"/>
      <c r="H619" s="1070"/>
      <c r="I619" s="1048"/>
      <c r="J619" s="1048"/>
      <c r="K619" s="1048"/>
      <c r="L619" s="1048"/>
      <c r="M619" s="1048"/>
      <c r="N619" s="1071"/>
      <c r="O619" s="83">
        <f>O612+O618</f>
        <v>5027572.1599999992</v>
      </c>
      <c r="P619" s="193"/>
    </row>
    <row r="620" spans="2:16" x14ac:dyDescent="0.3">
      <c r="B620" s="1062" t="s">
        <v>65</v>
      </c>
      <c r="C620" s="37" t="s">
        <v>66</v>
      </c>
      <c r="D620" s="28" t="s">
        <v>67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1073"/>
    </row>
    <row r="621" spans="2:16" x14ac:dyDescent="0.3">
      <c r="B621" s="1063"/>
      <c r="C621" s="39"/>
      <c r="D621" s="22" t="s">
        <v>68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1074"/>
    </row>
    <row r="622" spans="2:16" x14ac:dyDescent="0.3">
      <c r="B622" s="1063"/>
      <c r="C622" s="39"/>
      <c r="D622" s="23" t="s">
        <v>134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1074"/>
    </row>
    <row r="623" spans="2:16" x14ac:dyDescent="0.3">
      <c r="B623" s="1063"/>
      <c r="C623" s="39"/>
      <c r="D623" s="22" t="s">
        <v>139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1074"/>
    </row>
    <row r="624" spans="2:16" x14ac:dyDescent="0.3">
      <c r="B624" s="1063"/>
      <c r="C624" s="39" t="s">
        <v>69</v>
      </c>
      <c r="D624" s="22" t="s">
        <v>141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1074"/>
    </row>
    <row r="625" spans="2:16" x14ac:dyDescent="0.3">
      <c r="B625" s="1063"/>
      <c r="C625" s="39"/>
      <c r="D625" s="22" t="s">
        <v>68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1074"/>
    </row>
    <row r="626" spans="2:16" ht="15" thickBot="1" x14ac:dyDescent="0.35">
      <c r="B626" s="1063"/>
      <c r="C626" s="39"/>
      <c r="D626" s="22" t="s">
        <v>134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1075"/>
    </row>
    <row r="627" spans="2:16" ht="15" thickBot="1" x14ac:dyDescent="0.35">
      <c r="B627" s="1063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3">
      <c r="B628" s="1063"/>
      <c r="C628" s="1076" t="s">
        <v>70</v>
      </c>
      <c r="D628" s="22" t="s">
        <v>67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1073"/>
    </row>
    <row r="629" spans="2:16" x14ac:dyDescent="0.3">
      <c r="B629" s="1063"/>
      <c r="C629" s="1077"/>
      <c r="D629" s="22" t="s">
        <v>68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1074"/>
    </row>
    <row r="630" spans="2:16" x14ac:dyDescent="0.3">
      <c r="B630" s="1063"/>
      <c r="C630" s="1077"/>
      <c r="D630" s="22" t="s">
        <v>135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1074"/>
    </row>
    <row r="631" spans="2:16" ht="15" thickBot="1" x14ac:dyDescent="0.35">
      <c r="B631" s="1063"/>
      <c r="C631" s="1077"/>
      <c r="D631" s="22" t="s">
        <v>119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1074"/>
    </row>
    <row r="632" spans="2:16" ht="15" thickBot="1" x14ac:dyDescent="0.35">
      <c r="B632" s="1063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1075"/>
    </row>
    <row r="633" spans="2:16" ht="15" thickBot="1" x14ac:dyDescent="0.35">
      <c r="B633" s="1072"/>
      <c r="C633" s="41" t="s">
        <v>71</v>
      </c>
      <c r="D633" s="27" t="s">
        <v>67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" thickBot="1" x14ac:dyDescent="0.35">
      <c r="B634" s="1047" t="s">
        <v>102</v>
      </c>
      <c r="C634" s="1048"/>
      <c r="D634" s="1048"/>
      <c r="E634" s="1048"/>
      <c r="F634" s="1048"/>
      <c r="G634" s="1048"/>
      <c r="H634" s="1048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3">
      <c r="B635" s="1049" t="s">
        <v>72</v>
      </c>
      <c r="C635" s="1052" t="s">
        <v>73</v>
      </c>
      <c r="D635" s="54" t="s">
        <v>74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1054"/>
    </row>
    <row r="636" spans="2:16" x14ac:dyDescent="0.3">
      <c r="B636" s="1050"/>
      <c r="C636" s="1053"/>
      <c r="D636" s="61" t="s">
        <v>75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1055"/>
    </row>
    <row r="637" spans="2:16" x14ac:dyDescent="0.3">
      <c r="B637" s="1050"/>
      <c r="C637" s="1053"/>
      <c r="D637" s="61" t="s">
        <v>76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1055"/>
    </row>
    <row r="638" spans="2:16" x14ac:dyDescent="0.3">
      <c r="B638" s="1050"/>
      <c r="C638" s="1053" t="s">
        <v>77</v>
      </c>
      <c r="D638" s="61" t="s">
        <v>78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1055"/>
    </row>
    <row r="639" spans="2:16" x14ac:dyDescent="0.3">
      <c r="B639" s="1050"/>
      <c r="C639" s="1053"/>
      <c r="D639" s="61" t="s">
        <v>142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1055"/>
    </row>
    <row r="640" spans="2:16" x14ac:dyDescent="0.3">
      <c r="B640" s="1050"/>
      <c r="C640" s="1053"/>
      <c r="D640" s="61" t="s">
        <v>75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1055"/>
    </row>
    <row r="641" spans="2:16" x14ac:dyDescent="0.3">
      <c r="B641" s="1050"/>
      <c r="C641" s="1057" t="s">
        <v>79</v>
      </c>
      <c r="D641" s="61" t="s">
        <v>80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1055"/>
    </row>
    <row r="642" spans="2:16" x14ac:dyDescent="0.3">
      <c r="B642" s="1050"/>
      <c r="C642" s="1058"/>
      <c r="D642" s="61" t="s">
        <v>125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1055"/>
    </row>
    <row r="643" spans="2:16" x14ac:dyDescent="0.3">
      <c r="B643" s="1050"/>
      <c r="C643" s="1057" t="s">
        <v>81</v>
      </c>
      <c r="D643" s="61" t="s">
        <v>82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1055"/>
    </row>
    <row r="644" spans="2:16" x14ac:dyDescent="0.3">
      <c r="B644" s="1050"/>
      <c r="C644" s="1058"/>
      <c r="D644" s="61" t="s">
        <v>75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1055"/>
    </row>
    <row r="645" spans="2:16" x14ac:dyDescent="0.3">
      <c r="B645" s="1050"/>
      <c r="C645" s="192" t="s">
        <v>83</v>
      </c>
      <c r="D645" s="61" t="s">
        <v>84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1055"/>
    </row>
    <row r="646" spans="2:16" x14ac:dyDescent="0.3">
      <c r="B646" s="1050"/>
      <c r="C646" s="1053" t="s">
        <v>85</v>
      </c>
      <c r="D646" s="61" t="s">
        <v>80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1055"/>
    </row>
    <row r="647" spans="2:16" x14ac:dyDescent="0.3">
      <c r="B647" s="1050"/>
      <c r="C647" s="1053"/>
      <c r="D647" s="61" t="s">
        <v>127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1055"/>
    </row>
    <row r="648" spans="2:16" x14ac:dyDescent="0.3">
      <c r="B648" s="1050"/>
      <c r="C648" s="1053"/>
      <c r="D648" s="61" t="s">
        <v>131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1055"/>
    </row>
    <row r="649" spans="2:16" x14ac:dyDescent="0.3">
      <c r="B649" s="1050"/>
      <c r="C649" s="1053"/>
      <c r="D649" s="61" t="s">
        <v>132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1055"/>
    </row>
    <row r="650" spans="2:16" x14ac:dyDescent="0.3">
      <c r="B650" s="1050"/>
      <c r="C650" s="1053"/>
      <c r="D650" s="61" t="s">
        <v>86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1055"/>
    </row>
    <row r="651" spans="2:16" x14ac:dyDescent="0.3">
      <c r="B651" s="1050"/>
      <c r="C651" s="192" t="s">
        <v>136</v>
      </c>
      <c r="D651" s="61" t="s">
        <v>132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1055"/>
    </row>
    <row r="652" spans="2:16" x14ac:dyDescent="0.3">
      <c r="B652" s="1050"/>
      <c r="C652" s="1053" t="s">
        <v>87</v>
      </c>
      <c r="D652" s="61" t="s">
        <v>80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1055"/>
    </row>
    <row r="653" spans="2:16" x14ac:dyDescent="0.3">
      <c r="B653" s="1050"/>
      <c r="C653" s="1053"/>
      <c r="D653" s="61" t="s">
        <v>143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1055"/>
    </row>
    <row r="654" spans="2:16" x14ac:dyDescent="0.3">
      <c r="B654" s="1050"/>
      <c r="C654" s="1053"/>
      <c r="D654" s="61" t="s">
        <v>137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1055"/>
    </row>
    <row r="655" spans="2:16" x14ac:dyDescent="0.3">
      <c r="B655" s="1050"/>
      <c r="C655" s="1053" t="s">
        <v>88</v>
      </c>
      <c r="D655" s="61" t="s">
        <v>80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1055"/>
    </row>
    <row r="656" spans="2:16" x14ac:dyDescent="0.3">
      <c r="B656" s="1050"/>
      <c r="C656" s="1053"/>
      <c r="D656" s="61" t="s">
        <v>120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1055"/>
    </row>
    <row r="657" spans="2:16" x14ac:dyDescent="0.3">
      <c r="B657" s="1050"/>
      <c r="C657" s="1053"/>
      <c r="D657" s="61" t="s">
        <v>126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1055"/>
    </row>
    <row r="658" spans="2:16" x14ac:dyDescent="0.3">
      <c r="B658" s="1050"/>
      <c r="C658" s="1053"/>
      <c r="D658" s="61" t="s">
        <v>129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1055"/>
    </row>
    <row r="659" spans="2:16" x14ac:dyDescent="0.3">
      <c r="B659" s="1050"/>
      <c r="C659" s="1053"/>
      <c r="D659" s="61" t="s">
        <v>144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1055"/>
    </row>
    <row r="660" spans="2:16" x14ac:dyDescent="0.3">
      <c r="B660" s="1050"/>
      <c r="C660" s="192" t="s">
        <v>89</v>
      </c>
      <c r="D660" s="61" t="s">
        <v>80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1055"/>
    </row>
    <row r="661" spans="2:16" x14ac:dyDescent="0.3">
      <c r="B661" s="1050"/>
      <c r="C661" s="192" t="s">
        <v>90</v>
      </c>
      <c r="D661" s="61" t="s">
        <v>80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1055"/>
    </row>
    <row r="662" spans="2:16" ht="15" thickBot="1" x14ac:dyDescent="0.35">
      <c r="B662" s="1050"/>
      <c r="C662" s="68" t="s">
        <v>91</v>
      </c>
      <c r="D662" s="69" t="s">
        <v>92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1056"/>
    </row>
    <row r="663" spans="2:16" ht="15" thickBot="1" x14ac:dyDescent="0.35">
      <c r="B663" s="1051"/>
      <c r="C663" s="1059" t="s">
        <v>107</v>
      </c>
      <c r="D663" s="1060"/>
      <c r="E663" s="1060"/>
      <c r="F663" s="1060"/>
      <c r="G663" s="1060"/>
      <c r="H663" s="1061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" thickBot="1" x14ac:dyDescent="0.35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" thickBot="1" x14ac:dyDescent="0.35">
      <c r="B665" s="1044" t="s">
        <v>108</v>
      </c>
      <c r="C665" s="1045"/>
      <c r="D665" s="1045"/>
      <c r="E665" s="1045"/>
      <c r="F665" s="1045"/>
      <c r="G665" s="1045"/>
      <c r="H665" s="1045"/>
      <c r="I665" s="1045"/>
      <c r="J665" s="1045"/>
      <c r="K665" s="1045"/>
      <c r="L665" s="1045"/>
      <c r="M665" s="1045"/>
      <c r="N665" s="1046"/>
      <c r="O665" s="103">
        <f>+O663+O634+O619</f>
        <v>13256196.440299999</v>
      </c>
      <c r="P665" s="96"/>
    </row>
    <row r="666" spans="2:16" ht="15" thickBot="1" x14ac:dyDescent="0.35"/>
    <row r="667" spans="2:16" x14ac:dyDescent="0.3">
      <c r="B667" s="1078" t="s">
        <v>1</v>
      </c>
      <c r="C667" s="1080" t="s">
        <v>2</v>
      </c>
      <c r="D667" s="1083" t="s">
        <v>3</v>
      </c>
      <c r="E667" s="1086" t="s">
        <v>4</v>
      </c>
      <c r="F667" s="1087"/>
      <c r="G667" s="1087"/>
      <c r="H667" s="1087"/>
      <c r="I667" s="1087"/>
      <c r="J667" s="1087"/>
      <c r="K667" s="1087"/>
      <c r="L667" s="1088"/>
      <c r="M667" s="1089" t="s">
        <v>5</v>
      </c>
      <c r="N667" s="1090"/>
      <c r="O667" s="1091"/>
      <c r="P667" s="1083" t="s">
        <v>6</v>
      </c>
    </row>
    <row r="668" spans="2:16" x14ac:dyDescent="0.3">
      <c r="B668" s="1079"/>
      <c r="C668" s="1081"/>
      <c r="D668" s="1084"/>
      <c r="E668" s="1092" t="s">
        <v>7</v>
      </c>
      <c r="F668" s="1094" t="s">
        <v>159</v>
      </c>
      <c r="G668" s="1094"/>
      <c r="H668" s="1095"/>
      <c r="I668" s="1096" t="s">
        <v>8</v>
      </c>
      <c r="J668" s="1094"/>
      <c r="K668" s="1094"/>
      <c r="L668" s="1095" t="s">
        <v>9</v>
      </c>
      <c r="M668" s="1098" t="s">
        <v>10</v>
      </c>
      <c r="N668" s="1100" t="s">
        <v>11</v>
      </c>
      <c r="O668" s="1102" t="s">
        <v>12</v>
      </c>
      <c r="P668" s="1084"/>
    </row>
    <row r="669" spans="2:16" ht="15" thickBot="1" x14ac:dyDescent="0.35">
      <c r="B669" s="1079"/>
      <c r="C669" s="1082"/>
      <c r="D669" s="1085"/>
      <c r="E669" s="1093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097"/>
      <c r="M669" s="1099"/>
      <c r="N669" s="1101"/>
      <c r="O669" s="1103"/>
      <c r="P669" s="1085"/>
    </row>
    <row r="670" spans="2:16" x14ac:dyDescent="0.3">
      <c r="B670" s="1062" t="s">
        <v>56</v>
      </c>
      <c r="C670" s="29"/>
      <c r="D670" s="117" t="s">
        <v>152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1064"/>
    </row>
    <row r="671" spans="2:16" x14ac:dyDescent="0.3">
      <c r="B671" s="1063"/>
      <c r="C671" s="32"/>
      <c r="D671" s="118" t="s">
        <v>117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1065"/>
    </row>
    <row r="672" spans="2:16" x14ac:dyDescent="0.3">
      <c r="B672" s="1063"/>
      <c r="C672" s="35"/>
      <c r="D672" s="119" t="s">
        <v>58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1065"/>
    </row>
    <row r="673" spans="2:16" x14ac:dyDescent="0.3">
      <c r="B673" s="1063"/>
      <c r="C673" s="35"/>
      <c r="D673" s="119" t="s">
        <v>59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1065"/>
    </row>
    <row r="674" spans="2:16" x14ac:dyDescent="0.3">
      <c r="B674" s="1063"/>
      <c r="C674" s="35"/>
      <c r="D674" s="119" t="s">
        <v>114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1065"/>
    </row>
    <row r="675" spans="2:16" x14ac:dyDescent="0.3">
      <c r="B675" s="1063"/>
      <c r="C675" s="35"/>
      <c r="D675" s="119" t="s">
        <v>118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1065"/>
    </row>
    <row r="676" spans="2:16" ht="15" thickBot="1" x14ac:dyDescent="0.35">
      <c r="B676" s="1063"/>
      <c r="C676" s="82"/>
      <c r="D676" s="120" t="s">
        <v>60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1065"/>
    </row>
    <row r="677" spans="2:16" ht="15" thickBot="1" x14ac:dyDescent="0.35">
      <c r="B677" s="1063"/>
      <c r="C677" s="1068" t="s">
        <v>112</v>
      </c>
      <c r="D677" s="1069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1066"/>
    </row>
    <row r="678" spans="2:16" x14ac:dyDescent="0.3">
      <c r="B678" s="1063"/>
      <c r="C678" s="32"/>
      <c r="D678" s="118" t="s">
        <v>61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1065"/>
    </row>
    <row r="679" spans="2:16" x14ac:dyDescent="0.3">
      <c r="B679" s="1063"/>
      <c r="C679" s="35"/>
      <c r="D679" s="119" t="s">
        <v>62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1065"/>
    </row>
    <row r="680" spans="2:16" x14ac:dyDescent="0.3">
      <c r="B680" s="1063"/>
      <c r="C680" s="35"/>
      <c r="D680" s="119" t="s">
        <v>105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1065"/>
    </row>
    <row r="681" spans="2:16" x14ac:dyDescent="0.3">
      <c r="B681" s="1063"/>
      <c r="C681" s="35"/>
      <c r="D681" s="119" t="s">
        <v>64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1065"/>
    </row>
    <row r="682" spans="2:16" ht="15" thickBot="1" x14ac:dyDescent="0.35">
      <c r="B682" s="1063"/>
      <c r="C682" s="82"/>
      <c r="D682" s="120" t="s">
        <v>63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1067"/>
    </row>
    <row r="683" spans="2:16" ht="15" thickBot="1" x14ac:dyDescent="0.35">
      <c r="B683" s="1047" t="s">
        <v>113</v>
      </c>
      <c r="C683" s="1048"/>
      <c r="D683" s="1048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" thickBot="1" x14ac:dyDescent="0.35">
      <c r="B684" s="1047" t="s">
        <v>106</v>
      </c>
      <c r="C684" s="1048"/>
      <c r="D684" s="1048"/>
      <c r="E684" s="1070"/>
      <c r="F684" s="1070"/>
      <c r="G684" s="1070"/>
      <c r="H684" s="1070"/>
      <c r="I684" s="1048"/>
      <c r="J684" s="1048"/>
      <c r="K684" s="1048"/>
      <c r="L684" s="1048"/>
      <c r="M684" s="1048"/>
      <c r="N684" s="1071"/>
      <c r="O684" s="83">
        <f>O677+O683</f>
        <v>5811437.6959999995</v>
      </c>
      <c r="P684" s="197"/>
    </row>
    <row r="685" spans="2:16" x14ac:dyDescent="0.3">
      <c r="B685" s="1062" t="s">
        <v>65</v>
      </c>
      <c r="C685" s="37" t="s">
        <v>66</v>
      </c>
      <c r="D685" s="28" t="s">
        <v>67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1073"/>
    </row>
    <row r="686" spans="2:16" x14ac:dyDescent="0.3">
      <c r="B686" s="1063"/>
      <c r="C686" s="39"/>
      <c r="D686" s="22" t="s">
        <v>68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1074"/>
    </row>
    <row r="687" spans="2:16" x14ac:dyDescent="0.3">
      <c r="B687" s="1063"/>
      <c r="C687" s="39"/>
      <c r="D687" s="23" t="s">
        <v>134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1074"/>
    </row>
    <row r="688" spans="2:16" x14ac:dyDescent="0.3">
      <c r="B688" s="1063"/>
      <c r="C688" s="39"/>
      <c r="D688" s="22" t="s">
        <v>139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1074"/>
    </row>
    <row r="689" spans="2:16" x14ac:dyDescent="0.3">
      <c r="B689" s="1063"/>
      <c r="C689" s="39" t="s">
        <v>69</v>
      </c>
      <c r="D689" s="22" t="s">
        <v>141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1074"/>
    </row>
    <row r="690" spans="2:16" x14ac:dyDescent="0.3">
      <c r="B690" s="1063"/>
      <c r="C690" s="39"/>
      <c r="D690" s="22" t="s">
        <v>68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1074"/>
    </row>
    <row r="691" spans="2:16" ht="15" thickBot="1" x14ac:dyDescent="0.35">
      <c r="B691" s="1063"/>
      <c r="C691" s="39"/>
      <c r="D691" s="22" t="s">
        <v>134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1075"/>
    </row>
    <row r="692" spans="2:16" ht="15" thickBot="1" x14ac:dyDescent="0.35">
      <c r="B692" s="1063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3">
      <c r="B693" s="1063"/>
      <c r="C693" s="1076" t="s">
        <v>70</v>
      </c>
      <c r="D693" s="22" t="s">
        <v>67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1073"/>
    </row>
    <row r="694" spans="2:16" x14ac:dyDescent="0.3">
      <c r="B694" s="1063"/>
      <c r="C694" s="1077"/>
      <c r="D694" s="22" t="s">
        <v>68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1074"/>
    </row>
    <row r="695" spans="2:16" x14ac:dyDescent="0.3">
      <c r="B695" s="1063"/>
      <c r="C695" s="1077"/>
      <c r="D695" s="22" t="s">
        <v>135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1074"/>
    </row>
    <row r="696" spans="2:16" ht="15" thickBot="1" x14ac:dyDescent="0.35">
      <c r="B696" s="1063"/>
      <c r="C696" s="1077"/>
      <c r="D696" s="22" t="s">
        <v>119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1074"/>
    </row>
    <row r="697" spans="2:16" ht="15" thickBot="1" x14ac:dyDescent="0.35">
      <c r="B697" s="1063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1075"/>
    </row>
    <row r="698" spans="2:16" ht="15" thickBot="1" x14ac:dyDescent="0.35">
      <c r="B698" s="1072"/>
      <c r="C698" s="41" t="s">
        <v>71</v>
      </c>
      <c r="D698" s="27" t="s">
        <v>67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" thickBot="1" x14ac:dyDescent="0.35">
      <c r="B699" s="1047" t="s">
        <v>102</v>
      </c>
      <c r="C699" s="1048"/>
      <c r="D699" s="1048"/>
      <c r="E699" s="1048"/>
      <c r="F699" s="1048"/>
      <c r="G699" s="1048"/>
      <c r="H699" s="1048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3">
      <c r="B700" s="1049" t="s">
        <v>72</v>
      </c>
      <c r="C700" s="1052" t="s">
        <v>73</v>
      </c>
      <c r="D700" s="54" t="s">
        <v>74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1054"/>
    </row>
    <row r="701" spans="2:16" x14ac:dyDescent="0.3">
      <c r="B701" s="1050"/>
      <c r="C701" s="1053"/>
      <c r="D701" s="61" t="s">
        <v>75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1055"/>
    </row>
    <row r="702" spans="2:16" x14ac:dyDescent="0.3">
      <c r="B702" s="1050"/>
      <c r="C702" s="1053"/>
      <c r="D702" s="61" t="s">
        <v>76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1055"/>
    </row>
    <row r="703" spans="2:16" x14ac:dyDescent="0.3">
      <c r="B703" s="1050"/>
      <c r="C703" s="1053" t="s">
        <v>77</v>
      </c>
      <c r="D703" s="61" t="s">
        <v>78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1055"/>
    </row>
    <row r="704" spans="2:16" x14ac:dyDescent="0.3">
      <c r="B704" s="1050"/>
      <c r="C704" s="1053"/>
      <c r="D704" s="61" t="s">
        <v>142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1055"/>
    </row>
    <row r="705" spans="2:16" x14ac:dyDescent="0.3">
      <c r="B705" s="1050"/>
      <c r="C705" s="1053"/>
      <c r="D705" s="61" t="s">
        <v>75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1055"/>
    </row>
    <row r="706" spans="2:16" x14ac:dyDescent="0.3">
      <c r="B706" s="1050"/>
      <c r="C706" s="1057" t="s">
        <v>79</v>
      </c>
      <c r="D706" s="61" t="s">
        <v>80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1055"/>
    </row>
    <row r="707" spans="2:16" x14ac:dyDescent="0.3">
      <c r="B707" s="1050"/>
      <c r="C707" s="1058"/>
      <c r="D707" s="61" t="s">
        <v>125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1055"/>
    </row>
    <row r="708" spans="2:16" x14ac:dyDescent="0.3">
      <c r="B708" s="1050"/>
      <c r="C708" s="1057" t="s">
        <v>81</v>
      </c>
      <c r="D708" s="61" t="s">
        <v>82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1055"/>
    </row>
    <row r="709" spans="2:16" x14ac:dyDescent="0.3">
      <c r="B709" s="1050"/>
      <c r="C709" s="1058"/>
      <c r="D709" s="61" t="s">
        <v>75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1055"/>
    </row>
    <row r="710" spans="2:16" x14ac:dyDescent="0.3">
      <c r="B710" s="1050"/>
      <c r="C710" s="196" t="s">
        <v>83</v>
      </c>
      <c r="D710" s="61" t="s">
        <v>84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1055"/>
    </row>
    <row r="711" spans="2:16" x14ac:dyDescent="0.3">
      <c r="B711" s="1050"/>
      <c r="C711" s="1053" t="s">
        <v>85</v>
      </c>
      <c r="D711" s="61" t="s">
        <v>80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1055"/>
    </row>
    <row r="712" spans="2:16" x14ac:dyDescent="0.3">
      <c r="B712" s="1050"/>
      <c r="C712" s="1053"/>
      <c r="D712" s="61" t="s">
        <v>127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1055"/>
    </row>
    <row r="713" spans="2:16" x14ac:dyDescent="0.3">
      <c r="B713" s="1050"/>
      <c r="C713" s="1053"/>
      <c r="D713" s="61" t="s">
        <v>131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1055"/>
    </row>
    <row r="714" spans="2:16" x14ac:dyDescent="0.3">
      <c r="B714" s="1050"/>
      <c r="C714" s="1053"/>
      <c r="D714" s="61" t="s">
        <v>132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1055"/>
    </row>
    <row r="715" spans="2:16" x14ac:dyDescent="0.3">
      <c r="B715" s="1050"/>
      <c r="C715" s="1053"/>
      <c r="D715" s="61" t="s">
        <v>86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1055"/>
    </row>
    <row r="716" spans="2:16" x14ac:dyDescent="0.3">
      <c r="B716" s="1050"/>
      <c r="C716" s="196" t="s">
        <v>136</v>
      </c>
      <c r="D716" s="61" t="s">
        <v>132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1055"/>
    </row>
    <row r="717" spans="2:16" x14ac:dyDescent="0.3">
      <c r="B717" s="1050"/>
      <c r="C717" s="1053" t="s">
        <v>87</v>
      </c>
      <c r="D717" s="61" t="s">
        <v>80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1055"/>
    </row>
    <row r="718" spans="2:16" x14ac:dyDescent="0.3">
      <c r="B718" s="1050"/>
      <c r="C718" s="1053"/>
      <c r="D718" s="61" t="s">
        <v>143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1055"/>
    </row>
    <row r="719" spans="2:16" x14ac:dyDescent="0.3">
      <c r="B719" s="1050"/>
      <c r="C719" s="1053"/>
      <c r="D719" s="61" t="s">
        <v>137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1055"/>
    </row>
    <row r="720" spans="2:16" x14ac:dyDescent="0.3">
      <c r="B720" s="1050"/>
      <c r="C720" s="1053" t="s">
        <v>88</v>
      </c>
      <c r="D720" s="61" t="s">
        <v>80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1055"/>
    </row>
    <row r="721" spans="2:16" x14ac:dyDescent="0.3">
      <c r="B721" s="1050"/>
      <c r="C721" s="1053"/>
      <c r="D721" s="61" t="s">
        <v>120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1055"/>
    </row>
    <row r="722" spans="2:16" x14ac:dyDescent="0.3">
      <c r="B722" s="1050"/>
      <c r="C722" s="1053"/>
      <c r="D722" s="61" t="s">
        <v>126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1055"/>
    </row>
    <row r="723" spans="2:16" x14ac:dyDescent="0.3">
      <c r="B723" s="1050"/>
      <c r="C723" s="1053"/>
      <c r="D723" s="61" t="s">
        <v>129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1055"/>
    </row>
    <row r="724" spans="2:16" x14ac:dyDescent="0.3">
      <c r="B724" s="1050"/>
      <c r="C724" s="1053"/>
      <c r="D724" s="61" t="s">
        <v>144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1055"/>
    </row>
    <row r="725" spans="2:16" x14ac:dyDescent="0.3">
      <c r="B725" s="1050"/>
      <c r="C725" s="196" t="s">
        <v>89</v>
      </c>
      <c r="D725" s="61" t="s">
        <v>80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1055"/>
    </row>
    <row r="726" spans="2:16" x14ac:dyDescent="0.3">
      <c r="B726" s="1050"/>
      <c r="C726" s="196" t="s">
        <v>90</v>
      </c>
      <c r="D726" s="61" t="s">
        <v>80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1055"/>
    </row>
    <row r="727" spans="2:16" ht="15" thickBot="1" x14ac:dyDescent="0.35">
      <c r="B727" s="1050"/>
      <c r="C727" s="68" t="s">
        <v>91</v>
      </c>
      <c r="D727" s="69" t="s">
        <v>92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1056"/>
    </row>
    <row r="728" spans="2:16" ht="15" thickBot="1" x14ac:dyDescent="0.35">
      <c r="B728" s="1051"/>
      <c r="C728" s="1059" t="s">
        <v>107</v>
      </c>
      <c r="D728" s="1060"/>
      <c r="E728" s="1060"/>
      <c r="F728" s="1060"/>
      <c r="G728" s="1060"/>
      <c r="H728" s="1061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" thickBot="1" x14ac:dyDescent="0.35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" thickBot="1" x14ac:dyDescent="0.35">
      <c r="B730" s="1044" t="s">
        <v>108</v>
      </c>
      <c r="C730" s="1045"/>
      <c r="D730" s="1045"/>
      <c r="E730" s="1045"/>
      <c r="F730" s="1045"/>
      <c r="G730" s="1045"/>
      <c r="H730" s="1045"/>
      <c r="I730" s="1045"/>
      <c r="J730" s="1045"/>
      <c r="K730" s="1045"/>
      <c r="L730" s="1045"/>
      <c r="M730" s="1045"/>
      <c r="N730" s="1046"/>
      <c r="O730" s="103">
        <f>+O728+O699+O684</f>
        <v>14743500.3013</v>
      </c>
      <c r="P730" s="96"/>
    </row>
    <row r="731" spans="2:16" ht="15" thickBot="1" x14ac:dyDescent="0.35"/>
    <row r="732" spans="2:16" x14ac:dyDescent="0.3">
      <c r="B732" s="1078" t="s">
        <v>1</v>
      </c>
      <c r="C732" s="1080" t="s">
        <v>2</v>
      </c>
      <c r="D732" s="1083" t="s">
        <v>3</v>
      </c>
      <c r="E732" s="1086" t="s">
        <v>4</v>
      </c>
      <c r="F732" s="1087"/>
      <c r="G732" s="1087"/>
      <c r="H732" s="1087"/>
      <c r="I732" s="1087"/>
      <c r="J732" s="1087"/>
      <c r="K732" s="1087"/>
      <c r="L732" s="1088"/>
      <c r="M732" s="1089" t="s">
        <v>5</v>
      </c>
      <c r="N732" s="1090"/>
      <c r="O732" s="1091"/>
      <c r="P732" s="1083" t="s">
        <v>6</v>
      </c>
    </row>
    <row r="733" spans="2:16" x14ac:dyDescent="0.3">
      <c r="B733" s="1079"/>
      <c r="C733" s="1081"/>
      <c r="D733" s="1084"/>
      <c r="E733" s="1092" t="s">
        <v>7</v>
      </c>
      <c r="F733" s="1094" t="s">
        <v>160</v>
      </c>
      <c r="G733" s="1094"/>
      <c r="H733" s="1095"/>
      <c r="I733" s="1096" t="s">
        <v>8</v>
      </c>
      <c r="J733" s="1094"/>
      <c r="K733" s="1094"/>
      <c r="L733" s="1095" t="s">
        <v>9</v>
      </c>
      <c r="M733" s="1098" t="s">
        <v>10</v>
      </c>
      <c r="N733" s="1100" t="s">
        <v>11</v>
      </c>
      <c r="O733" s="1102" t="s">
        <v>12</v>
      </c>
      <c r="P733" s="1084"/>
    </row>
    <row r="734" spans="2:16" ht="15" thickBot="1" x14ac:dyDescent="0.35">
      <c r="B734" s="1079"/>
      <c r="C734" s="1082"/>
      <c r="D734" s="1085"/>
      <c r="E734" s="1093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097"/>
      <c r="M734" s="1099"/>
      <c r="N734" s="1101"/>
      <c r="O734" s="1103"/>
      <c r="P734" s="1085"/>
    </row>
    <row r="735" spans="2:16" x14ac:dyDescent="0.3">
      <c r="B735" s="1062" t="s">
        <v>56</v>
      </c>
      <c r="C735" s="29"/>
      <c r="D735" s="117" t="s">
        <v>152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1064"/>
    </row>
    <row r="736" spans="2:16" x14ac:dyDescent="0.3">
      <c r="B736" s="1063"/>
      <c r="C736" s="32"/>
      <c r="D736" s="118" t="s">
        <v>117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1065"/>
    </row>
    <row r="737" spans="2:16" x14ac:dyDescent="0.3">
      <c r="B737" s="1063"/>
      <c r="C737" s="35"/>
      <c r="D737" s="119" t="s">
        <v>58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1065"/>
    </row>
    <row r="738" spans="2:16" x14ac:dyDescent="0.3">
      <c r="B738" s="1063"/>
      <c r="C738" s="35"/>
      <c r="D738" s="119" t="s">
        <v>59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1065"/>
    </row>
    <row r="739" spans="2:16" x14ac:dyDescent="0.3">
      <c r="B739" s="1063"/>
      <c r="C739" s="35"/>
      <c r="D739" s="119" t="s">
        <v>114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1065"/>
    </row>
    <row r="740" spans="2:16" x14ac:dyDescent="0.3">
      <c r="B740" s="1063"/>
      <c r="C740" s="35"/>
      <c r="D740" s="119" t="s">
        <v>118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1065"/>
    </row>
    <row r="741" spans="2:16" ht="15" thickBot="1" x14ac:dyDescent="0.35">
      <c r="B741" s="1063"/>
      <c r="C741" s="82"/>
      <c r="D741" s="120" t="s">
        <v>60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1065"/>
    </row>
    <row r="742" spans="2:16" ht="15" thickBot="1" x14ac:dyDescent="0.35">
      <c r="B742" s="1063"/>
      <c r="C742" s="1068" t="s">
        <v>112</v>
      </c>
      <c r="D742" s="1069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1066"/>
    </row>
    <row r="743" spans="2:16" x14ac:dyDescent="0.3">
      <c r="B743" s="1063"/>
      <c r="C743" s="32"/>
      <c r="D743" s="118" t="s">
        <v>61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1065"/>
    </row>
    <row r="744" spans="2:16" x14ac:dyDescent="0.3">
      <c r="B744" s="1063"/>
      <c r="C744" s="35"/>
      <c r="D744" s="119" t="s">
        <v>62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1065"/>
    </row>
    <row r="745" spans="2:16" x14ac:dyDescent="0.3">
      <c r="B745" s="1063"/>
      <c r="C745" s="35"/>
      <c r="D745" s="119" t="s">
        <v>105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1065"/>
    </row>
    <row r="746" spans="2:16" x14ac:dyDescent="0.3">
      <c r="B746" s="1063"/>
      <c r="C746" s="35"/>
      <c r="D746" s="119" t="s">
        <v>64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1065"/>
    </row>
    <row r="747" spans="2:16" ht="15" thickBot="1" x14ac:dyDescent="0.35">
      <c r="B747" s="1063"/>
      <c r="C747" s="82"/>
      <c r="D747" s="120" t="s">
        <v>63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1067"/>
    </row>
    <row r="748" spans="2:16" ht="15" thickBot="1" x14ac:dyDescent="0.35">
      <c r="B748" s="1047" t="s">
        <v>113</v>
      </c>
      <c r="C748" s="1048"/>
      <c r="D748" s="1048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" thickBot="1" x14ac:dyDescent="0.35">
      <c r="B749" s="1047" t="s">
        <v>106</v>
      </c>
      <c r="C749" s="1048"/>
      <c r="D749" s="1048"/>
      <c r="E749" s="1070"/>
      <c r="F749" s="1070"/>
      <c r="G749" s="1070"/>
      <c r="H749" s="1070"/>
      <c r="I749" s="1048"/>
      <c r="J749" s="1048"/>
      <c r="K749" s="1048"/>
      <c r="L749" s="1048"/>
      <c r="M749" s="1048"/>
      <c r="N749" s="1071"/>
      <c r="O749" s="83">
        <f>O742+O748</f>
        <v>6595303.2319999998</v>
      </c>
      <c r="P749" s="201"/>
    </row>
    <row r="750" spans="2:16" x14ac:dyDescent="0.3">
      <c r="B750" s="1062" t="s">
        <v>65</v>
      </c>
      <c r="C750" s="37" t="s">
        <v>66</v>
      </c>
      <c r="D750" s="28" t="s">
        <v>67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1073"/>
    </row>
    <row r="751" spans="2:16" x14ac:dyDescent="0.3">
      <c r="B751" s="1063"/>
      <c r="C751" s="39"/>
      <c r="D751" s="22" t="s">
        <v>68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1074"/>
    </row>
    <row r="752" spans="2:16" x14ac:dyDescent="0.3">
      <c r="B752" s="1063"/>
      <c r="C752" s="39"/>
      <c r="D752" s="23" t="s">
        <v>134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1074"/>
    </row>
    <row r="753" spans="2:16" x14ac:dyDescent="0.3">
      <c r="B753" s="1063"/>
      <c r="C753" s="39"/>
      <c r="D753" s="22" t="s">
        <v>139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1074"/>
    </row>
    <row r="754" spans="2:16" x14ac:dyDescent="0.3">
      <c r="B754" s="1063"/>
      <c r="C754" s="39" t="s">
        <v>69</v>
      </c>
      <c r="D754" s="22" t="s">
        <v>141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1074"/>
    </row>
    <row r="755" spans="2:16" x14ac:dyDescent="0.3">
      <c r="B755" s="1063"/>
      <c r="C755" s="39"/>
      <c r="D755" s="22" t="s">
        <v>68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1074"/>
    </row>
    <row r="756" spans="2:16" ht="15" thickBot="1" x14ac:dyDescent="0.35">
      <c r="B756" s="1063"/>
      <c r="C756" s="39"/>
      <c r="D756" s="22" t="s">
        <v>134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1075"/>
    </row>
    <row r="757" spans="2:16" ht="15" thickBot="1" x14ac:dyDescent="0.35">
      <c r="B757" s="1063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3">
      <c r="B758" s="1063"/>
      <c r="C758" s="1076" t="s">
        <v>70</v>
      </c>
      <c r="D758" s="22" t="s">
        <v>67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1073"/>
    </row>
    <row r="759" spans="2:16" x14ac:dyDescent="0.3">
      <c r="B759" s="1063"/>
      <c r="C759" s="1077"/>
      <c r="D759" s="22" t="s">
        <v>68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1074"/>
    </row>
    <row r="760" spans="2:16" x14ac:dyDescent="0.3">
      <c r="B760" s="1063"/>
      <c r="C760" s="1077"/>
      <c r="D760" s="22" t="s">
        <v>135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1074"/>
    </row>
    <row r="761" spans="2:16" ht="15" thickBot="1" x14ac:dyDescent="0.35">
      <c r="B761" s="1063"/>
      <c r="C761" s="1077"/>
      <c r="D761" s="22" t="s">
        <v>119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1074"/>
    </row>
    <row r="762" spans="2:16" ht="15" thickBot="1" x14ac:dyDescent="0.35">
      <c r="B762" s="1063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1075"/>
    </row>
    <row r="763" spans="2:16" ht="15" thickBot="1" x14ac:dyDescent="0.35">
      <c r="B763" s="1072"/>
      <c r="C763" s="41" t="s">
        <v>71</v>
      </c>
      <c r="D763" s="27" t="s">
        <v>67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" thickBot="1" x14ac:dyDescent="0.35">
      <c r="B764" s="1047" t="s">
        <v>102</v>
      </c>
      <c r="C764" s="1048"/>
      <c r="D764" s="1048"/>
      <c r="E764" s="1048"/>
      <c r="F764" s="1048"/>
      <c r="G764" s="1048"/>
      <c r="H764" s="1048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3">
      <c r="B765" s="1049" t="s">
        <v>72</v>
      </c>
      <c r="C765" s="1052" t="s">
        <v>73</v>
      </c>
      <c r="D765" s="54" t="s">
        <v>74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1054"/>
    </row>
    <row r="766" spans="2:16" x14ac:dyDescent="0.3">
      <c r="B766" s="1050"/>
      <c r="C766" s="1053"/>
      <c r="D766" s="61" t="s">
        <v>75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1055"/>
    </row>
    <row r="767" spans="2:16" x14ac:dyDescent="0.3">
      <c r="B767" s="1050"/>
      <c r="C767" s="1053"/>
      <c r="D767" s="61" t="s">
        <v>76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1055"/>
    </row>
    <row r="768" spans="2:16" x14ac:dyDescent="0.3">
      <c r="B768" s="1050"/>
      <c r="C768" s="1053" t="s">
        <v>77</v>
      </c>
      <c r="D768" s="61" t="s">
        <v>78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1055"/>
    </row>
    <row r="769" spans="2:16" x14ac:dyDescent="0.3">
      <c r="B769" s="1050"/>
      <c r="C769" s="1053"/>
      <c r="D769" s="61" t="s">
        <v>142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1055"/>
    </row>
    <row r="770" spans="2:16" x14ac:dyDescent="0.3">
      <c r="B770" s="1050"/>
      <c r="C770" s="1053"/>
      <c r="D770" s="61" t="s">
        <v>75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1055"/>
    </row>
    <row r="771" spans="2:16" x14ac:dyDescent="0.3">
      <c r="B771" s="1050"/>
      <c r="C771" s="1057" t="s">
        <v>79</v>
      </c>
      <c r="D771" s="61" t="s">
        <v>80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1055"/>
    </row>
    <row r="772" spans="2:16" x14ac:dyDescent="0.3">
      <c r="B772" s="1050"/>
      <c r="C772" s="1058"/>
      <c r="D772" s="61" t="s">
        <v>125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1055"/>
    </row>
    <row r="773" spans="2:16" x14ac:dyDescent="0.3">
      <c r="B773" s="1050"/>
      <c r="C773" s="1057" t="s">
        <v>81</v>
      </c>
      <c r="D773" s="61" t="s">
        <v>82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1055"/>
    </row>
    <row r="774" spans="2:16" x14ac:dyDescent="0.3">
      <c r="B774" s="1050"/>
      <c r="C774" s="1058"/>
      <c r="D774" s="61" t="s">
        <v>75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1055"/>
    </row>
    <row r="775" spans="2:16" x14ac:dyDescent="0.3">
      <c r="B775" s="1050"/>
      <c r="C775" s="200" t="s">
        <v>83</v>
      </c>
      <c r="D775" s="61" t="s">
        <v>84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1055"/>
    </row>
    <row r="776" spans="2:16" x14ac:dyDescent="0.3">
      <c r="B776" s="1050"/>
      <c r="C776" s="1053" t="s">
        <v>85</v>
      </c>
      <c r="D776" s="61" t="s">
        <v>80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1055"/>
    </row>
    <row r="777" spans="2:16" x14ac:dyDescent="0.3">
      <c r="B777" s="1050"/>
      <c r="C777" s="1053"/>
      <c r="D777" s="61" t="s">
        <v>127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1055"/>
    </row>
    <row r="778" spans="2:16" x14ac:dyDescent="0.3">
      <c r="B778" s="1050"/>
      <c r="C778" s="1053"/>
      <c r="D778" s="61" t="s">
        <v>131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1055"/>
    </row>
    <row r="779" spans="2:16" x14ac:dyDescent="0.3">
      <c r="B779" s="1050"/>
      <c r="C779" s="1053"/>
      <c r="D779" s="61" t="s">
        <v>132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1055"/>
    </row>
    <row r="780" spans="2:16" x14ac:dyDescent="0.3">
      <c r="B780" s="1050"/>
      <c r="C780" s="1053"/>
      <c r="D780" s="61" t="s">
        <v>86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1055"/>
    </row>
    <row r="781" spans="2:16" x14ac:dyDescent="0.3">
      <c r="B781" s="1050"/>
      <c r="C781" s="200" t="s">
        <v>136</v>
      </c>
      <c r="D781" s="61" t="s">
        <v>132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1055"/>
    </row>
    <row r="782" spans="2:16" x14ac:dyDescent="0.3">
      <c r="B782" s="1050"/>
      <c r="C782" s="1053" t="s">
        <v>87</v>
      </c>
      <c r="D782" s="61" t="s">
        <v>80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1055"/>
    </row>
    <row r="783" spans="2:16" x14ac:dyDescent="0.3">
      <c r="B783" s="1050"/>
      <c r="C783" s="1053"/>
      <c r="D783" s="61" t="s">
        <v>143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1055"/>
    </row>
    <row r="784" spans="2:16" x14ac:dyDescent="0.3">
      <c r="B784" s="1050"/>
      <c r="C784" s="1053"/>
      <c r="D784" s="61" t="s">
        <v>137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1055"/>
    </row>
    <row r="785" spans="2:16" x14ac:dyDescent="0.3">
      <c r="B785" s="1050"/>
      <c r="C785" s="1053" t="s">
        <v>88</v>
      </c>
      <c r="D785" s="61" t="s">
        <v>80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1055"/>
    </row>
    <row r="786" spans="2:16" x14ac:dyDescent="0.3">
      <c r="B786" s="1050"/>
      <c r="C786" s="1053"/>
      <c r="D786" s="61" t="s">
        <v>120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1055"/>
    </row>
    <row r="787" spans="2:16" x14ac:dyDescent="0.3">
      <c r="B787" s="1050"/>
      <c r="C787" s="1053"/>
      <c r="D787" s="61" t="s">
        <v>126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1055"/>
    </row>
    <row r="788" spans="2:16" x14ac:dyDescent="0.3">
      <c r="B788" s="1050"/>
      <c r="C788" s="1053"/>
      <c r="D788" s="61" t="s">
        <v>129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1055"/>
    </row>
    <row r="789" spans="2:16" x14ac:dyDescent="0.3">
      <c r="B789" s="1050"/>
      <c r="C789" s="1053"/>
      <c r="D789" s="61" t="s">
        <v>144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1055"/>
    </row>
    <row r="790" spans="2:16" x14ac:dyDescent="0.3">
      <c r="B790" s="1050"/>
      <c r="C790" s="200" t="s">
        <v>89</v>
      </c>
      <c r="D790" s="61" t="s">
        <v>80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1055"/>
    </row>
    <row r="791" spans="2:16" x14ac:dyDescent="0.3">
      <c r="B791" s="1050"/>
      <c r="C791" s="200" t="s">
        <v>90</v>
      </c>
      <c r="D791" s="61" t="s">
        <v>80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1055"/>
    </row>
    <row r="792" spans="2:16" ht="15" thickBot="1" x14ac:dyDescent="0.35">
      <c r="B792" s="1050"/>
      <c r="C792" s="68" t="s">
        <v>91</v>
      </c>
      <c r="D792" s="69" t="s">
        <v>92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1056"/>
    </row>
    <row r="793" spans="2:16" ht="15" thickBot="1" x14ac:dyDescent="0.35">
      <c r="B793" s="1051"/>
      <c r="C793" s="1059" t="s">
        <v>107</v>
      </c>
      <c r="D793" s="1060"/>
      <c r="E793" s="1060"/>
      <c r="F793" s="1060"/>
      <c r="G793" s="1060"/>
      <c r="H793" s="1061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" thickBot="1" x14ac:dyDescent="0.35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" thickBot="1" x14ac:dyDescent="0.35">
      <c r="B795" s="1044" t="s">
        <v>108</v>
      </c>
      <c r="C795" s="1045"/>
      <c r="D795" s="1045"/>
      <c r="E795" s="1045"/>
      <c r="F795" s="1045"/>
      <c r="G795" s="1045"/>
      <c r="H795" s="1045"/>
      <c r="I795" s="1045"/>
      <c r="J795" s="1045"/>
      <c r="K795" s="1045"/>
      <c r="L795" s="1045"/>
      <c r="M795" s="1045"/>
      <c r="N795" s="1046"/>
      <c r="O795" s="103">
        <f>+O793+O764+O749</f>
        <v>16167084.592299998</v>
      </c>
      <c r="P795" s="96"/>
    </row>
    <row r="796" spans="2:16" ht="15" thickBot="1" x14ac:dyDescent="0.35"/>
    <row r="797" spans="2:16" x14ac:dyDescent="0.3">
      <c r="B797" s="1078" t="s">
        <v>1</v>
      </c>
      <c r="C797" s="1080" t="s">
        <v>2</v>
      </c>
      <c r="D797" s="1083" t="s">
        <v>3</v>
      </c>
      <c r="E797" s="1086" t="s">
        <v>4</v>
      </c>
      <c r="F797" s="1087"/>
      <c r="G797" s="1087"/>
      <c r="H797" s="1087"/>
      <c r="I797" s="1087"/>
      <c r="J797" s="1087"/>
      <c r="K797" s="1087"/>
      <c r="L797" s="1088"/>
      <c r="M797" s="1089" t="s">
        <v>5</v>
      </c>
      <c r="N797" s="1090"/>
      <c r="O797" s="1091"/>
      <c r="P797" s="1083" t="s">
        <v>6</v>
      </c>
    </row>
    <row r="798" spans="2:16" x14ac:dyDescent="0.3">
      <c r="B798" s="1079"/>
      <c r="C798" s="1081"/>
      <c r="D798" s="1084"/>
      <c r="E798" s="1092" t="s">
        <v>7</v>
      </c>
      <c r="F798" s="1094" t="s">
        <v>161</v>
      </c>
      <c r="G798" s="1094"/>
      <c r="H798" s="1095"/>
      <c r="I798" s="1096" t="s">
        <v>8</v>
      </c>
      <c r="J798" s="1094"/>
      <c r="K798" s="1094"/>
      <c r="L798" s="1095" t="s">
        <v>9</v>
      </c>
      <c r="M798" s="1098" t="s">
        <v>10</v>
      </c>
      <c r="N798" s="1100" t="s">
        <v>11</v>
      </c>
      <c r="O798" s="1102" t="s">
        <v>12</v>
      </c>
      <c r="P798" s="1084"/>
    </row>
    <row r="799" spans="2:16" ht="15" thickBot="1" x14ac:dyDescent="0.35">
      <c r="B799" s="1079"/>
      <c r="C799" s="1082"/>
      <c r="D799" s="1085"/>
      <c r="E799" s="1093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097"/>
      <c r="M799" s="1099"/>
      <c r="N799" s="1101"/>
      <c r="O799" s="1103"/>
      <c r="P799" s="1085"/>
    </row>
    <row r="800" spans="2:16" x14ac:dyDescent="0.3">
      <c r="B800" s="1062" t="s">
        <v>56</v>
      </c>
      <c r="C800" s="29"/>
      <c r="D800" s="117" t="s">
        <v>152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1064"/>
    </row>
    <row r="801" spans="2:16" x14ac:dyDescent="0.3">
      <c r="B801" s="1063"/>
      <c r="C801" s="32"/>
      <c r="D801" s="118" t="s">
        <v>117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1065"/>
    </row>
    <row r="802" spans="2:16" x14ac:dyDescent="0.3">
      <c r="B802" s="1063"/>
      <c r="C802" s="35"/>
      <c r="D802" s="119" t="s">
        <v>58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1065"/>
    </row>
    <row r="803" spans="2:16" x14ac:dyDescent="0.3">
      <c r="B803" s="1063"/>
      <c r="C803" s="35"/>
      <c r="D803" s="119" t="s">
        <v>59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1065"/>
    </row>
    <row r="804" spans="2:16" x14ac:dyDescent="0.3">
      <c r="B804" s="1063"/>
      <c r="C804" s="35"/>
      <c r="D804" s="119" t="s">
        <v>114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1065"/>
    </row>
    <row r="805" spans="2:16" x14ac:dyDescent="0.3">
      <c r="B805" s="1063"/>
      <c r="C805" s="35"/>
      <c r="D805" s="119" t="s">
        <v>118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1065"/>
    </row>
    <row r="806" spans="2:16" ht="15" thickBot="1" x14ac:dyDescent="0.35">
      <c r="B806" s="1063"/>
      <c r="C806" s="82"/>
      <c r="D806" s="120" t="s">
        <v>60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1065"/>
    </row>
    <row r="807" spans="2:16" ht="15" thickBot="1" x14ac:dyDescent="0.35">
      <c r="B807" s="1063"/>
      <c r="C807" s="1068" t="s">
        <v>112</v>
      </c>
      <c r="D807" s="1069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1066"/>
    </row>
    <row r="808" spans="2:16" x14ac:dyDescent="0.3">
      <c r="B808" s="1063"/>
      <c r="C808" s="32"/>
      <c r="D808" s="118" t="s">
        <v>61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1065"/>
    </row>
    <row r="809" spans="2:16" x14ac:dyDescent="0.3">
      <c r="B809" s="1063"/>
      <c r="C809" s="35"/>
      <c r="D809" s="119" t="s">
        <v>62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1065"/>
    </row>
    <row r="810" spans="2:16" x14ac:dyDescent="0.3">
      <c r="B810" s="1063"/>
      <c r="C810" s="35"/>
      <c r="D810" s="119" t="s">
        <v>105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1065"/>
    </row>
    <row r="811" spans="2:16" x14ac:dyDescent="0.3">
      <c r="B811" s="1063"/>
      <c r="C811" s="35"/>
      <c r="D811" s="119" t="s">
        <v>64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1065"/>
    </row>
    <row r="812" spans="2:16" ht="15" thickBot="1" x14ac:dyDescent="0.35">
      <c r="B812" s="1063"/>
      <c r="C812" s="82"/>
      <c r="D812" s="120" t="s">
        <v>63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1067"/>
    </row>
    <row r="813" spans="2:16" ht="15" thickBot="1" x14ac:dyDescent="0.35">
      <c r="B813" s="1047" t="s">
        <v>113</v>
      </c>
      <c r="C813" s="1048"/>
      <c r="D813" s="1048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" thickBot="1" x14ac:dyDescent="0.35">
      <c r="B814" s="1047" t="s">
        <v>106</v>
      </c>
      <c r="C814" s="1048"/>
      <c r="D814" s="1048"/>
      <c r="E814" s="1070"/>
      <c r="F814" s="1070"/>
      <c r="G814" s="1070"/>
      <c r="H814" s="1070"/>
      <c r="I814" s="1048"/>
      <c r="J814" s="1048"/>
      <c r="K814" s="1048"/>
      <c r="L814" s="1048"/>
      <c r="M814" s="1048"/>
      <c r="N814" s="1071"/>
      <c r="O814" s="83">
        <f>O807+O813</f>
        <v>7333301.4560000002</v>
      </c>
      <c r="P814" s="205"/>
    </row>
    <row r="815" spans="2:16" x14ac:dyDescent="0.3">
      <c r="B815" s="1062" t="s">
        <v>65</v>
      </c>
      <c r="C815" s="37" t="s">
        <v>66</v>
      </c>
      <c r="D815" s="28" t="s">
        <v>67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1073"/>
    </row>
    <row r="816" spans="2:16" x14ac:dyDescent="0.3">
      <c r="B816" s="1063"/>
      <c r="C816" s="39"/>
      <c r="D816" s="22" t="s">
        <v>68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1074"/>
    </row>
    <row r="817" spans="2:16" x14ac:dyDescent="0.3">
      <c r="B817" s="1063"/>
      <c r="C817" s="39"/>
      <c r="D817" s="23" t="s">
        <v>134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1074"/>
    </row>
    <row r="818" spans="2:16" x14ac:dyDescent="0.3">
      <c r="B818" s="1063"/>
      <c r="C818" s="39"/>
      <c r="D818" s="22" t="s">
        <v>139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1074"/>
    </row>
    <row r="819" spans="2:16" x14ac:dyDescent="0.3">
      <c r="B819" s="1063"/>
      <c r="C819" s="39" t="s">
        <v>69</v>
      </c>
      <c r="D819" s="22" t="s">
        <v>141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1074"/>
    </row>
    <row r="820" spans="2:16" x14ac:dyDescent="0.3">
      <c r="B820" s="1063"/>
      <c r="C820" s="39"/>
      <c r="D820" s="22" t="s">
        <v>68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1074"/>
    </row>
    <row r="821" spans="2:16" ht="15" thickBot="1" x14ac:dyDescent="0.35">
      <c r="B821" s="1063"/>
      <c r="C821" s="39"/>
      <c r="D821" s="22" t="s">
        <v>134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1075"/>
    </row>
    <row r="822" spans="2:16" ht="15" thickBot="1" x14ac:dyDescent="0.35">
      <c r="B822" s="1063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3">
      <c r="B823" s="1063"/>
      <c r="C823" s="1076" t="s">
        <v>70</v>
      </c>
      <c r="D823" s="22" t="s">
        <v>67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1073"/>
    </row>
    <row r="824" spans="2:16" x14ac:dyDescent="0.3">
      <c r="B824" s="1063"/>
      <c r="C824" s="1077"/>
      <c r="D824" s="22" t="s">
        <v>68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1074"/>
    </row>
    <row r="825" spans="2:16" x14ac:dyDescent="0.3">
      <c r="B825" s="1063"/>
      <c r="C825" s="1077"/>
      <c r="D825" s="22" t="s">
        <v>135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1074"/>
    </row>
    <row r="826" spans="2:16" ht="15" thickBot="1" x14ac:dyDescent="0.35">
      <c r="B826" s="1063"/>
      <c r="C826" s="1077"/>
      <c r="D826" s="22" t="s">
        <v>119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1074"/>
    </row>
    <row r="827" spans="2:16" ht="15" thickBot="1" x14ac:dyDescent="0.35">
      <c r="B827" s="1063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1075"/>
    </row>
    <row r="828" spans="2:16" ht="15" thickBot="1" x14ac:dyDescent="0.35">
      <c r="B828" s="1072"/>
      <c r="C828" s="41" t="s">
        <v>71</v>
      </c>
      <c r="D828" s="27" t="s">
        <v>67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" thickBot="1" x14ac:dyDescent="0.35">
      <c r="B829" s="1047" t="s">
        <v>102</v>
      </c>
      <c r="C829" s="1048"/>
      <c r="D829" s="1048"/>
      <c r="E829" s="1048"/>
      <c r="F829" s="1048"/>
      <c r="G829" s="1048"/>
      <c r="H829" s="1048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3">
      <c r="B830" s="1049" t="s">
        <v>72</v>
      </c>
      <c r="C830" s="1052" t="s">
        <v>73</v>
      </c>
      <c r="D830" s="54" t="s">
        <v>74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1054"/>
    </row>
    <row r="831" spans="2:16" x14ac:dyDescent="0.3">
      <c r="B831" s="1050"/>
      <c r="C831" s="1053"/>
      <c r="D831" s="61" t="s">
        <v>75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1055"/>
    </row>
    <row r="832" spans="2:16" x14ac:dyDescent="0.3">
      <c r="B832" s="1050"/>
      <c r="C832" s="1053"/>
      <c r="D832" s="61" t="s">
        <v>76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1055"/>
    </row>
    <row r="833" spans="2:16" x14ac:dyDescent="0.3">
      <c r="B833" s="1050"/>
      <c r="C833" s="1053" t="s">
        <v>77</v>
      </c>
      <c r="D833" s="61" t="s">
        <v>78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1055"/>
    </row>
    <row r="834" spans="2:16" x14ac:dyDescent="0.3">
      <c r="B834" s="1050"/>
      <c r="C834" s="1053"/>
      <c r="D834" s="61" t="s">
        <v>142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1055"/>
    </row>
    <row r="835" spans="2:16" x14ac:dyDescent="0.3">
      <c r="B835" s="1050"/>
      <c r="C835" s="1053"/>
      <c r="D835" s="61" t="s">
        <v>75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1055"/>
    </row>
    <row r="836" spans="2:16" x14ac:dyDescent="0.3">
      <c r="B836" s="1050"/>
      <c r="C836" s="1057" t="s">
        <v>79</v>
      </c>
      <c r="D836" s="61" t="s">
        <v>80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1055"/>
    </row>
    <row r="837" spans="2:16" x14ac:dyDescent="0.3">
      <c r="B837" s="1050"/>
      <c r="C837" s="1058"/>
      <c r="D837" s="61" t="s">
        <v>125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1055"/>
    </row>
    <row r="838" spans="2:16" x14ac:dyDescent="0.3">
      <c r="B838" s="1050"/>
      <c r="C838" s="1057" t="s">
        <v>81</v>
      </c>
      <c r="D838" s="61" t="s">
        <v>82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1055"/>
    </row>
    <row r="839" spans="2:16" x14ac:dyDescent="0.3">
      <c r="B839" s="1050"/>
      <c r="C839" s="1058"/>
      <c r="D839" s="61" t="s">
        <v>75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1055"/>
    </row>
    <row r="840" spans="2:16" x14ac:dyDescent="0.3">
      <c r="B840" s="1050"/>
      <c r="C840" s="204" t="s">
        <v>83</v>
      </c>
      <c r="D840" s="61" t="s">
        <v>84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1055"/>
    </row>
    <row r="841" spans="2:16" x14ac:dyDescent="0.3">
      <c r="B841" s="1050"/>
      <c r="C841" s="1053" t="s">
        <v>85</v>
      </c>
      <c r="D841" s="61" t="s">
        <v>80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1055"/>
    </row>
    <row r="842" spans="2:16" x14ac:dyDescent="0.3">
      <c r="B842" s="1050"/>
      <c r="C842" s="1053"/>
      <c r="D842" s="61" t="s">
        <v>127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1055"/>
    </row>
    <row r="843" spans="2:16" x14ac:dyDescent="0.3">
      <c r="B843" s="1050"/>
      <c r="C843" s="1053"/>
      <c r="D843" s="61" t="s">
        <v>131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1055"/>
    </row>
    <row r="844" spans="2:16" x14ac:dyDescent="0.3">
      <c r="B844" s="1050"/>
      <c r="C844" s="1053"/>
      <c r="D844" s="61" t="s">
        <v>132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1055"/>
    </row>
    <row r="845" spans="2:16" x14ac:dyDescent="0.3">
      <c r="B845" s="1050"/>
      <c r="C845" s="1053"/>
      <c r="D845" s="61" t="s">
        <v>86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1055"/>
    </row>
    <row r="846" spans="2:16" x14ac:dyDescent="0.3">
      <c r="B846" s="1050"/>
      <c r="C846" s="204" t="s">
        <v>136</v>
      </c>
      <c r="D846" s="61" t="s">
        <v>132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1055"/>
    </row>
    <row r="847" spans="2:16" x14ac:dyDescent="0.3">
      <c r="B847" s="1050"/>
      <c r="C847" s="1053" t="s">
        <v>87</v>
      </c>
      <c r="D847" s="61" t="s">
        <v>80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1055"/>
    </row>
    <row r="848" spans="2:16" x14ac:dyDescent="0.3">
      <c r="B848" s="1050"/>
      <c r="C848" s="1053"/>
      <c r="D848" s="61" t="s">
        <v>143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1055"/>
    </row>
    <row r="849" spans="2:16" x14ac:dyDescent="0.3">
      <c r="B849" s="1050"/>
      <c r="C849" s="1053"/>
      <c r="D849" s="61" t="s">
        <v>137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1055"/>
    </row>
    <row r="850" spans="2:16" x14ac:dyDescent="0.3">
      <c r="B850" s="1050"/>
      <c r="C850" s="1053" t="s">
        <v>88</v>
      </c>
      <c r="D850" s="61" t="s">
        <v>80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1055"/>
    </row>
    <row r="851" spans="2:16" x14ac:dyDescent="0.3">
      <c r="B851" s="1050"/>
      <c r="C851" s="1053"/>
      <c r="D851" s="61" t="s">
        <v>120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1055"/>
    </row>
    <row r="852" spans="2:16" x14ac:dyDescent="0.3">
      <c r="B852" s="1050"/>
      <c r="C852" s="1053"/>
      <c r="D852" s="61" t="s">
        <v>126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1055"/>
    </row>
    <row r="853" spans="2:16" x14ac:dyDescent="0.3">
      <c r="B853" s="1050"/>
      <c r="C853" s="1053"/>
      <c r="D853" s="61" t="s">
        <v>129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1055"/>
    </row>
    <row r="854" spans="2:16" x14ac:dyDescent="0.3">
      <c r="B854" s="1050"/>
      <c r="C854" s="1053"/>
      <c r="D854" s="61" t="s">
        <v>144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1055"/>
    </row>
    <row r="855" spans="2:16" x14ac:dyDescent="0.3">
      <c r="B855" s="1050"/>
      <c r="C855" s="204" t="s">
        <v>89</v>
      </c>
      <c r="D855" s="61" t="s">
        <v>80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1055"/>
    </row>
    <row r="856" spans="2:16" x14ac:dyDescent="0.3">
      <c r="B856" s="1050"/>
      <c r="C856" s="204" t="s">
        <v>90</v>
      </c>
      <c r="D856" s="61" t="s">
        <v>80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1055"/>
    </row>
    <row r="857" spans="2:16" ht="15" thickBot="1" x14ac:dyDescent="0.35">
      <c r="B857" s="1050"/>
      <c r="C857" s="68" t="s">
        <v>91</v>
      </c>
      <c r="D857" s="69" t="s">
        <v>92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1056"/>
    </row>
    <row r="858" spans="2:16" ht="15" thickBot="1" x14ac:dyDescent="0.35">
      <c r="B858" s="1051"/>
      <c r="C858" s="1059" t="s">
        <v>107</v>
      </c>
      <c r="D858" s="1060"/>
      <c r="E858" s="1060"/>
      <c r="F858" s="1060"/>
      <c r="G858" s="1060"/>
      <c r="H858" s="1061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" thickBot="1" x14ac:dyDescent="0.35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" thickBot="1" x14ac:dyDescent="0.35">
      <c r="B860" s="1044" t="s">
        <v>108</v>
      </c>
      <c r="C860" s="1045"/>
      <c r="D860" s="1045"/>
      <c r="E860" s="1045"/>
      <c r="F860" s="1045"/>
      <c r="G860" s="1045"/>
      <c r="H860" s="1045"/>
      <c r="I860" s="1045"/>
      <c r="J860" s="1045"/>
      <c r="K860" s="1045"/>
      <c r="L860" s="1045"/>
      <c r="M860" s="1045"/>
      <c r="N860" s="1046"/>
      <c r="O860" s="103">
        <f>+O858+O829+O814</f>
        <v>17717842.555300001</v>
      </c>
      <c r="P860" s="96"/>
    </row>
    <row r="861" spans="2:16" ht="15" thickBot="1" x14ac:dyDescent="0.35"/>
    <row r="862" spans="2:16" x14ac:dyDescent="0.3">
      <c r="B862" s="1078" t="s">
        <v>1</v>
      </c>
      <c r="C862" s="1080" t="s">
        <v>2</v>
      </c>
      <c r="D862" s="1083" t="s">
        <v>3</v>
      </c>
      <c r="E862" s="1086" t="s">
        <v>4</v>
      </c>
      <c r="F862" s="1087"/>
      <c r="G862" s="1087"/>
      <c r="H862" s="1087"/>
      <c r="I862" s="1087"/>
      <c r="J862" s="1087"/>
      <c r="K862" s="1087"/>
      <c r="L862" s="1088"/>
      <c r="M862" s="1089" t="s">
        <v>5</v>
      </c>
      <c r="N862" s="1090"/>
      <c r="O862" s="1091"/>
      <c r="P862" s="1083" t="s">
        <v>6</v>
      </c>
    </row>
    <row r="863" spans="2:16" x14ac:dyDescent="0.3">
      <c r="B863" s="1079"/>
      <c r="C863" s="1081"/>
      <c r="D863" s="1084"/>
      <c r="E863" s="1092" t="s">
        <v>7</v>
      </c>
      <c r="F863" s="1094" t="s">
        <v>162</v>
      </c>
      <c r="G863" s="1094"/>
      <c r="H863" s="1095"/>
      <c r="I863" s="1096" t="s">
        <v>8</v>
      </c>
      <c r="J863" s="1094"/>
      <c r="K863" s="1094"/>
      <c r="L863" s="1095" t="s">
        <v>9</v>
      </c>
      <c r="M863" s="1098" t="s">
        <v>10</v>
      </c>
      <c r="N863" s="1100" t="s">
        <v>11</v>
      </c>
      <c r="O863" s="1102" t="s">
        <v>12</v>
      </c>
      <c r="P863" s="1084"/>
    </row>
    <row r="864" spans="2:16" ht="15" thickBot="1" x14ac:dyDescent="0.35">
      <c r="B864" s="1079"/>
      <c r="C864" s="1082"/>
      <c r="D864" s="1085"/>
      <c r="E864" s="1093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097"/>
      <c r="M864" s="1099"/>
      <c r="N864" s="1101"/>
      <c r="O864" s="1103"/>
      <c r="P864" s="1085"/>
    </row>
    <row r="865" spans="2:16" x14ac:dyDescent="0.3">
      <c r="B865" s="1062" t="s">
        <v>56</v>
      </c>
      <c r="C865" s="29"/>
      <c r="D865" s="117" t="s">
        <v>152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1064"/>
    </row>
    <row r="866" spans="2:16" x14ac:dyDescent="0.3">
      <c r="B866" s="1063"/>
      <c r="C866" s="32"/>
      <c r="D866" s="118" t="s">
        <v>117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1065"/>
    </row>
    <row r="867" spans="2:16" x14ac:dyDescent="0.3">
      <c r="B867" s="1063"/>
      <c r="C867" s="35"/>
      <c r="D867" s="119" t="s">
        <v>58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1065"/>
    </row>
    <row r="868" spans="2:16" x14ac:dyDescent="0.3">
      <c r="B868" s="1063"/>
      <c r="C868" s="35"/>
      <c r="D868" s="119" t="s">
        <v>59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1065"/>
    </row>
    <row r="869" spans="2:16" x14ac:dyDescent="0.3">
      <c r="B869" s="1063"/>
      <c r="C869" s="35"/>
      <c r="D869" s="119" t="s">
        <v>114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1065"/>
    </row>
    <row r="870" spans="2:16" x14ac:dyDescent="0.3">
      <c r="B870" s="1063"/>
      <c r="C870" s="35"/>
      <c r="D870" s="119" t="s">
        <v>118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1065"/>
    </row>
    <row r="871" spans="2:16" ht="15" thickBot="1" x14ac:dyDescent="0.35">
      <c r="B871" s="1063"/>
      <c r="C871" s="82"/>
      <c r="D871" s="120" t="s">
        <v>60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1065"/>
    </row>
    <row r="872" spans="2:16" ht="15" thickBot="1" x14ac:dyDescent="0.35">
      <c r="B872" s="1063"/>
      <c r="C872" s="1068" t="s">
        <v>112</v>
      </c>
      <c r="D872" s="1069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1066"/>
    </row>
    <row r="873" spans="2:16" x14ac:dyDescent="0.3">
      <c r="B873" s="1063"/>
      <c r="C873" s="32"/>
      <c r="D873" s="118" t="s">
        <v>61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1065"/>
    </row>
    <row r="874" spans="2:16" x14ac:dyDescent="0.3">
      <c r="B874" s="1063"/>
      <c r="C874" s="35"/>
      <c r="D874" s="119" t="s">
        <v>62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1065"/>
    </row>
    <row r="875" spans="2:16" x14ac:dyDescent="0.3">
      <c r="B875" s="1063"/>
      <c r="C875" s="35"/>
      <c r="D875" s="119" t="s">
        <v>105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1065"/>
    </row>
    <row r="876" spans="2:16" x14ac:dyDescent="0.3">
      <c r="B876" s="1063"/>
      <c r="C876" s="35"/>
      <c r="D876" s="119" t="s">
        <v>64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1065"/>
    </row>
    <row r="877" spans="2:16" ht="15" thickBot="1" x14ac:dyDescent="0.35">
      <c r="B877" s="1063"/>
      <c r="C877" s="82"/>
      <c r="D877" s="120" t="s">
        <v>63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1067"/>
    </row>
    <row r="878" spans="2:16" ht="15" thickBot="1" x14ac:dyDescent="0.35">
      <c r="B878" s="1047" t="s">
        <v>113</v>
      </c>
      <c r="C878" s="1048"/>
      <c r="D878" s="1048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" thickBot="1" x14ac:dyDescent="0.35">
      <c r="B879" s="1047" t="s">
        <v>106</v>
      </c>
      <c r="C879" s="1048"/>
      <c r="D879" s="1048"/>
      <c r="E879" s="1070"/>
      <c r="F879" s="1070"/>
      <c r="G879" s="1070"/>
      <c r="H879" s="1070"/>
      <c r="I879" s="1048"/>
      <c r="J879" s="1048"/>
      <c r="K879" s="1048"/>
      <c r="L879" s="1048"/>
      <c r="M879" s="1048"/>
      <c r="N879" s="1071"/>
      <c r="O879" s="83">
        <f>O872+O878</f>
        <v>8316432.9119999995</v>
      </c>
      <c r="P879" s="209"/>
    </row>
    <row r="880" spans="2:16" x14ac:dyDescent="0.3">
      <c r="B880" s="1062" t="s">
        <v>65</v>
      </c>
      <c r="C880" s="37" t="s">
        <v>66</v>
      </c>
      <c r="D880" s="28" t="s">
        <v>67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1073"/>
    </row>
    <row r="881" spans="2:16" x14ac:dyDescent="0.3">
      <c r="B881" s="1063"/>
      <c r="C881" s="39"/>
      <c r="D881" s="22" t="s">
        <v>68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1074"/>
    </row>
    <row r="882" spans="2:16" x14ac:dyDescent="0.3">
      <c r="B882" s="1063"/>
      <c r="C882" s="39"/>
      <c r="D882" s="23" t="s">
        <v>134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1074"/>
    </row>
    <row r="883" spans="2:16" x14ac:dyDescent="0.3">
      <c r="B883" s="1063"/>
      <c r="C883" s="39"/>
      <c r="D883" s="22" t="s">
        <v>139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1074"/>
    </row>
    <row r="884" spans="2:16" x14ac:dyDescent="0.3">
      <c r="B884" s="1063"/>
      <c r="C884" s="39" t="s">
        <v>69</v>
      </c>
      <c r="D884" s="22" t="s">
        <v>141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1074"/>
    </row>
    <row r="885" spans="2:16" x14ac:dyDescent="0.3">
      <c r="B885" s="1063"/>
      <c r="C885" s="39"/>
      <c r="D885" s="22" t="s">
        <v>68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1074"/>
    </row>
    <row r="886" spans="2:16" ht="15" thickBot="1" x14ac:dyDescent="0.35">
      <c r="B886" s="1063"/>
      <c r="C886" s="39"/>
      <c r="D886" s="22" t="s">
        <v>134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1075"/>
    </row>
    <row r="887" spans="2:16" ht="15" thickBot="1" x14ac:dyDescent="0.35">
      <c r="B887" s="1063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3">
      <c r="B888" s="1063"/>
      <c r="C888" s="1076" t="s">
        <v>70</v>
      </c>
      <c r="D888" s="22" t="s">
        <v>67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1073"/>
    </row>
    <row r="889" spans="2:16" x14ac:dyDescent="0.3">
      <c r="B889" s="1063"/>
      <c r="C889" s="1077"/>
      <c r="D889" s="22" t="s">
        <v>68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1074"/>
    </row>
    <row r="890" spans="2:16" x14ac:dyDescent="0.3">
      <c r="B890" s="1063"/>
      <c r="C890" s="1077"/>
      <c r="D890" s="22" t="s">
        <v>135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1074"/>
    </row>
    <row r="891" spans="2:16" ht="15" thickBot="1" x14ac:dyDescent="0.35">
      <c r="B891" s="1063"/>
      <c r="C891" s="1077"/>
      <c r="D891" s="22" t="s">
        <v>119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1074"/>
    </row>
    <row r="892" spans="2:16" ht="15" thickBot="1" x14ac:dyDescent="0.35">
      <c r="B892" s="1063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1075"/>
    </row>
    <row r="893" spans="2:16" ht="15" thickBot="1" x14ac:dyDescent="0.35">
      <c r="B893" s="1072"/>
      <c r="C893" s="41" t="s">
        <v>71</v>
      </c>
      <c r="D893" s="27" t="s">
        <v>67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" thickBot="1" x14ac:dyDescent="0.35">
      <c r="B894" s="1047" t="s">
        <v>102</v>
      </c>
      <c r="C894" s="1048"/>
      <c r="D894" s="1048"/>
      <c r="E894" s="1048"/>
      <c r="F894" s="1048"/>
      <c r="G894" s="1048"/>
      <c r="H894" s="1048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3">
      <c r="B895" s="1049" t="s">
        <v>72</v>
      </c>
      <c r="C895" s="1052" t="s">
        <v>73</v>
      </c>
      <c r="D895" s="54" t="s">
        <v>74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1054"/>
    </row>
    <row r="896" spans="2:16" x14ac:dyDescent="0.3">
      <c r="B896" s="1050"/>
      <c r="C896" s="1053"/>
      <c r="D896" s="61" t="s">
        <v>75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1055"/>
    </row>
    <row r="897" spans="2:16" x14ac:dyDescent="0.3">
      <c r="B897" s="1050"/>
      <c r="C897" s="1053"/>
      <c r="D897" s="61" t="s">
        <v>76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1055"/>
    </row>
    <row r="898" spans="2:16" x14ac:dyDescent="0.3">
      <c r="B898" s="1050"/>
      <c r="C898" s="1053" t="s">
        <v>77</v>
      </c>
      <c r="D898" s="61" t="s">
        <v>78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1055"/>
    </row>
    <row r="899" spans="2:16" x14ac:dyDescent="0.3">
      <c r="B899" s="1050"/>
      <c r="C899" s="1053"/>
      <c r="D899" s="61" t="s">
        <v>142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1055"/>
    </row>
    <row r="900" spans="2:16" x14ac:dyDescent="0.3">
      <c r="B900" s="1050"/>
      <c r="C900" s="1053"/>
      <c r="D900" s="61" t="s">
        <v>75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1055"/>
    </row>
    <row r="901" spans="2:16" x14ac:dyDescent="0.3">
      <c r="B901" s="1050"/>
      <c r="C901" s="1057" t="s">
        <v>79</v>
      </c>
      <c r="D901" s="61" t="s">
        <v>80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1055"/>
    </row>
    <row r="902" spans="2:16" x14ac:dyDescent="0.3">
      <c r="B902" s="1050"/>
      <c r="C902" s="1058"/>
      <c r="D902" s="61" t="s">
        <v>125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1055"/>
    </row>
    <row r="903" spans="2:16" x14ac:dyDescent="0.3">
      <c r="B903" s="1050"/>
      <c r="C903" s="1057" t="s">
        <v>81</v>
      </c>
      <c r="D903" s="61" t="s">
        <v>82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1055"/>
    </row>
    <row r="904" spans="2:16" x14ac:dyDescent="0.3">
      <c r="B904" s="1050"/>
      <c r="C904" s="1058"/>
      <c r="D904" s="61" t="s">
        <v>75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1055"/>
    </row>
    <row r="905" spans="2:16" x14ac:dyDescent="0.3">
      <c r="B905" s="1050"/>
      <c r="C905" s="208" t="s">
        <v>83</v>
      </c>
      <c r="D905" s="61" t="s">
        <v>84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1055"/>
    </row>
    <row r="906" spans="2:16" x14ac:dyDescent="0.3">
      <c r="B906" s="1050"/>
      <c r="C906" s="1053" t="s">
        <v>85</v>
      </c>
      <c r="D906" s="61" t="s">
        <v>80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1055"/>
    </row>
    <row r="907" spans="2:16" x14ac:dyDescent="0.3">
      <c r="B907" s="1050"/>
      <c r="C907" s="1053"/>
      <c r="D907" s="61" t="s">
        <v>127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1055"/>
    </row>
    <row r="908" spans="2:16" x14ac:dyDescent="0.3">
      <c r="B908" s="1050"/>
      <c r="C908" s="1053"/>
      <c r="D908" s="61" t="s">
        <v>131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1055"/>
    </row>
    <row r="909" spans="2:16" x14ac:dyDescent="0.3">
      <c r="B909" s="1050"/>
      <c r="C909" s="1053"/>
      <c r="D909" s="61" t="s">
        <v>132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1055"/>
    </row>
    <row r="910" spans="2:16" x14ac:dyDescent="0.3">
      <c r="B910" s="1050"/>
      <c r="C910" s="1053"/>
      <c r="D910" s="61" t="s">
        <v>86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1055"/>
    </row>
    <row r="911" spans="2:16" x14ac:dyDescent="0.3">
      <c r="B911" s="1050"/>
      <c r="C911" s="208" t="s">
        <v>136</v>
      </c>
      <c r="D911" s="61" t="s">
        <v>132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1055"/>
    </row>
    <row r="912" spans="2:16" x14ac:dyDescent="0.3">
      <c r="B912" s="1050"/>
      <c r="C912" s="1053" t="s">
        <v>87</v>
      </c>
      <c r="D912" s="61" t="s">
        <v>80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1055"/>
    </row>
    <row r="913" spans="2:16" x14ac:dyDescent="0.3">
      <c r="B913" s="1050"/>
      <c r="C913" s="1053"/>
      <c r="D913" s="61" t="s">
        <v>143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1055"/>
    </row>
    <row r="914" spans="2:16" x14ac:dyDescent="0.3">
      <c r="B914" s="1050"/>
      <c r="C914" s="1053"/>
      <c r="D914" s="61" t="s">
        <v>137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1055"/>
    </row>
    <row r="915" spans="2:16" x14ac:dyDescent="0.3">
      <c r="B915" s="1050"/>
      <c r="C915" s="1053" t="s">
        <v>88</v>
      </c>
      <c r="D915" s="61" t="s">
        <v>80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1055"/>
    </row>
    <row r="916" spans="2:16" x14ac:dyDescent="0.3">
      <c r="B916" s="1050"/>
      <c r="C916" s="1053"/>
      <c r="D916" s="61" t="s">
        <v>120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1055"/>
    </row>
    <row r="917" spans="2:16" x14ac:dyDescent="0.3">
      <c r="B917" s="1050"/>
      <c r="C917" s="1053"/>
      <c r="D917" s="61" t="s">
        <v>126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1055"/>
    </row>
    <row r="918" spans="2:16" x14ac:dyDescent="0.3">
      <c r="B918" s="1050"/>
      <c r="C918" s="1053"/>
      <c r="D918" s="61" t="s">
        <v>129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1055"/>
    </row>
    <row r="919" spans="2:16" x14ac:dyDescent="0.3">
      <c r="B919" s="1050"/>
      <c r="C919" s="1053"/>
      <c r="D919" s="61" t="s">
        <v>144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1055"/>
    </row>
    <row r="920" spans="2:16" x14ac:dyDescent="0.3">
      <c r="B920" s="1050"/>
      <c r="C920" s="208" t="s">
        <v>89</v>
      </c>
      <c r="D920" s="61" t="s">
        <v>80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1055"/>
    </row>
    <row r="921" spans="2:16" x14ac:dyDescent="0.3">
      <c r="B921" s="1050"/>
      <c r="C921" s="208" t="s">
        <v>90</v>
      </c>
      <c r="D921" s="61" t="s">
        <v>80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1055"/>
    </row>
    <row r="922" spans="2:16" ht="15" thickBot="1" x14ac:dyDescent="0.35">
      <c r="B922" s="1050"/>
      <c r="C922" s="68" t="s">
        <v>91</v>
      </c>
      <c r="D922" s="69" t="s">
        <v>92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1056"/>
    </row>
    <row r="923" spans="2:16" ht="15" thickBot="1" x14ac:dyDescent="0.35">
      <c r="B923" s="1051"/>
      <c r="C923" s="1059" t="s">
        <v>107</v>
      </c>
      <c r="D923" s="1060"/>
      <c r="E923" s="1060"/>
      <c r="F923" s="1060"/>
      <c r="G923" s="1060"/>
      <c r="H923" s="1061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" thickBot="1" x14ac:dyDescent="0.35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" thickBot="1" x14ac:dyDescent="0.35">
      <c r="B925" s="1044" t="s">
        <v>108</v>
      </c>
      <c r="C925" s="1045"/>
      <c r="D925" s="1045"/>
      <c r="E925" s="1045"/>
      <c r="F925" s="1045"/>
      <c r="G925" s="1045"/>
      <c r="H925" s="1045"/>
      <c r="I925" s="1045"/>
      <c r="J925" s="1045"/>
      <c r="K925" s="1045"/>
      <c r="L925" s="1045"/>
      <c r="M925" s="1045"/>
      <c r="N925" s="1046"/>
      <c r="O925" s="103">
        <f>+O923+O894+O879</f>
        <v>19359763.7313</v>
      </c>
      <c r="P925" s="96"/>
    </row>
    <row r="926" spans="2:16" ht="15" thickBot="1" x14ac:dyDescent="0.35"/>
    <row r="927" spans="2:16" x14ac:dyDescent="0.3">
      <c r="B927" s="1078" t="s">
        <v>1</v>
      </c>
      <c r="C927" s="1080" t="s">
        <v>2</v>
      </c>
      <c r="D927" s="1083" t="s">
        <v>3</v>
      </c>
      <c r="E927" s="1086" t="s">
        <v>4</v>
      </c>
      <c r="F927" s="1087"/>
      <c r="G927" s="1087"/>
      <c r="H927" s="1087"/>
      <c r="I927" s="1087"/>
      <c r="J927" s="1087"/>
      <c r="K927" s="1087"/>
      <c r="L927" s="1088"/>
      <c r="M927" s="1089" t="s">
        <v>5</v>
      </c>
      <c r="N927" s="1090"/>
      <c r="O927" s="1091"/>
      <c r="P927" s="1083" t="s">
        <v>6</v>
      </c>
    </row>
    <row r="928" spans="2:16" x14ac:dyDescent="0.3">
      <c r="B928" s="1079"/>
      <c r="C928" s="1081"/>
      <c r="D928" s="1084"/>
      <c r="E928" s="1092" t="s">
        <v>7</v>
      </c>
      <c r="F928" s="1094" t="s">
        <v>163</v>
      </c>
      <c r="G928" s="1094"/>
      <c r="H928" s="1095"/>
      <c r="I928" s="1096" t="s">
        <v>8</v>
      </c>
      <c r="J928" s="1094"/>
      <c r="K928" s="1094"/>
      <c r="L928" s="1095" t="s">
        <v>9</v>
      </c>
      <c r="M928" s="1098" t="s">
        <v>10</v>
      </c>
      <c r="N928" s="1100" t="s">
        <v>11</v>
      </c>
      <c r="O928" s="1102" t="s">
        <v>12</v>
      </c>
      <c r="P928" s="1084"/>
    </row>
    <row r="929" spans="2:16" ht="15" thickBot="1" x14ac:dyDescent="0.35">
      <c r="B929" s="1079"/>
      <c r="C929" s="1082"/>
      <c r="D929" s="1085"/>
      <c r="E929" s="1093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097"/>
      <c r="M929" s="1099"/>
      <c r="N929" s="1101"/>
      <c r="O929" s="1103"/>
      <c r="P929" s="1085"/>
    </row>
    <row r="930" spans="2:16" x14ac:dyDescent="0.3">
      <c r="B930" s="1062" t="s">
        <v>56</v>
      </c>
      <c r="C930" s="29"/>
      <c r="D930" s="117" t="s">
        <v>152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1064"/>
    </row>
    <row r="931" spans="2:16" x14ac:dyDescent="0.3">
      <c r="B931" s="1063"/>
      <c r="C931" s="32"/>
      <c r="D931" s="118" t="s">
        <v>117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1065"/>
    </row>
    <row r="932" spans="2:16" x14ac:dyDescent="0.3">
      <c r="B932" s="1063"/>
      <c r="C932" s="35"/>
      <c r="D932" s="119" t="s">
        <v>58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1065"/>
    </row>
    <row r="933" spans="2:16" x14ac:dyDescent="0.3">
      <c r="B933" s="1063"/>
      <c r="C933" s="35"/>
      <c r="D933" s="119" t="s">
        <v>59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1065"/>
    </row>
    <row r="934" spans="2:16" x14ac:dyDescent="0.3">
      <c r="B934" s="1063"/>
      <c r="C934" s="35"/>
      <c r="D934" s="119" t="s">
        <v>114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1065"/>
    </row>
    <row r="935" spans="2:16" x14ac:dyDescent="0.3">
      <c r="B935" s="1063"/>
      <c r="C935" s="35"/>
      <c r="D935" s="119" t="s">
        <v>118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1065"/>
    </row>
    <row r="936" spans="2:16" ht="15" thickBot="1" x14ac:dyDescent="0.35">
      <c r="B936" s="1063"/>
      <c r="C936" s="82"/>
      <c r="D936" s="120" t="s">
        <v>60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1065"/>
    </row>
    <row r="937" spans="2:16" ht="15" thickBot="1" x14ac:dyDescent="0.35">
      <c r="B937" s="1063"/>
      <c r="C937" s="1068" t="s">
        <v>112</v>
      </c>
      <c r="D937" s="1069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1066"/>
    </row>
    <row r="938" spans="2:16" x14ac:dyDescent="0.3">
      <c r="B938" s="1063"/>
      <c r="C938" s="32"/>
      <c r="D938" s="118" t="s">
        <v>61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1065"/>
    </row>
    <row r="939" spans="2:16" x14ac:dyDescent="0.3">
      <c r="B939" s="1063"/>
      <c r="C939" s="35"/>
      <c r="D939" s="119" t="s">
        <v>62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1065"/>
    </row>
    <row r="940" spans="2:16" x14ac:dyDescent="0.3">
      <c r="B940" s="1063"/>
      <c r="C940" s="35"/>
      <c r="D940" s="119" t="s">
        <v>105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1065"/>
    </row>
    <row r="941" spans="2:16" x14ac:dyDescent="0.3">
      <c r="B941" s="1063"/>
      <c r="C941" s="35"/>
      <c r="D941" s="119" t="s">
        <v>64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1065"/>
    </row>
    <row r="942" spans="2:16" ht="15" thickBot="1" x14ac:dyDescent="0.35">
      <c r="B942" s="1063"/>
      <c r="C942" s="82"/>
      <c r="D942" s="120" t="s">
        <v>63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1067"/>
    </row>
    <row r="943" spans="2:16" ht="15" thickBot="1" x14ac:dyDescent="0.35">
      <c r="B943" s="1047" t="s">
        <v>113</v>
      </c>
      <c r="C943" s="1048"/>
      <c r="D943" s="1048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" thickBot="1" x14ac:dyDescent="0.35">
      <c r="B944" s="1047" t="s">
        <v>106</v>
      </c>
      <c r="C944" s="1048"/>
      <c r="D944" s="1048"/>
      <c r="E944" s="1070"/>
      <c r="F944" s="1070"/>
      <c r="G944" s="1070"/>
      <c r="H944" s="1070"/>
      <c r="I944" s="1048"/>
      <c r="J944" s="1048"/>
      <c r="K944" s="1048"/>
      <c r="L944" s="1048"/>
      <c r="M944" s="1048"/>
      <c r="N944" s="1071"/>
      <c r="O944" s="83">
        <f>O937+O943</f>
        <v>9047116.5120000001</v>
      </c>
      <c r="P944" s="213"/>
    </row>
    <row r="945" spans="2:16" x14ac:dyDescent="0.3">
      <c r="B945" s="1062" t="s">
        <v>65</v>
      </c>
      <c r="C945" s="37" t="s">
        <v>66</v>
      </c>
      <c r="D945" s="28" t="s">
        <v>67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1073"/>
    </row>
    <row r="946" spans="2:16" x14ac:dyDescent="0.3">
      <c r="B946" s="1063"/>
      <c r="C946" s="39"/>
      <c r="D946" s="22" t="s">
        <v>68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1074"/>
    </row>
    <row r="947" spans="2:16" x14ac:dyDescent="0.3">
      <c r="B947" s="1063"/>
      <c r="C947" s="39"/>
      <c r="D947" s="23" t="s">
        <v>134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1074"/>
    </row>
    <row r="948" spans="2:16" x14ac:dyDescent="0.3">
      <c r="B948" s="1063"/>
      <c r="C948" s="39"/>
      <c r="D948" s="22" t="s">
        <v>139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1074"/>
    </row>
    <row r="949" spans="2:16" x14ac:dyDescent="0.3">
      <c r="B949" s="1063"/>
      <c r="C949" s="39" t="s">
        <v>69</v>
      </c>
      <c r="D949" s="22" t="s">
        <v>141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1074"/>
    </row>
    <row r="950" spans="2:16" x14ac:dyDescent="0.3">
      <c r="B950" s="1063"/>
      <c r="C950" s="39"/>
      <c r="D950" s="22" t="s">
        <v>68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1074"/>
    </row>
    <row r="951" spans="2:16" ht="15" thickBot="1" x14ac:dyDescent="0.35">
      <c r="B951" s="1063"/>
      <c r="C951" s="39"/>
      <c r="D951" s="22" t="s">
        <v>134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1075"/>
    </row>
    <row r="952" spans="2:16" ht="15" thickBot="1" x14ac:dyDescent="0.35">
      <c r="B952" s="1063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3">
      <c r="B953" s="1063"/>
      <c r="C953" s="1076" t="s">
        <v>70</v>
      </c>
      <c r="D953" s="22" t="s">
        <v>67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1073"/>
    </row>
    <row r="954" spans="2:16" x14ac:dyDescent="0.3">
      <c r="B954" s="1063"/>
      <c r="C954" s="1077"/>
      <c r="D954" s="22" t="s">
        <v>68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1074"/>
    </row>
    <row r="955" spans="2:16" x14ac:dyDescent="0.3">
      <c r="B955" s="1063"/>
      <c r="C955" s="1077"/>
      <c r="D955" s="22" t="s">
        <v>135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1074"/>
    </row>
    <row r="956" spans="2:16" ht="15" thickBot="1" x14ac:dyDescent="0.35">
      <c r="B956" s="1063"/>
      <c r="C956" s="1077"/>
      <c r="D956" s="22" t="s">
        <v>119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1074"/>
    </row>
    <row r="957" spans="2:16" ht="15" thickBot="1" x14ac:dyDescent="0.35">
      <c r="B957" s="1063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1075"/>
    </row>
    <row r="958" spans="2:16" ht="15" thickBot="1" x14ac:dyDescent="0.35">
      <c r="B958" s="1072"/>
      <c r="C958" s="41" t="s">
        <v>71</v>
      </c>
      <c r="D958" s="27" t="s">
        <v>67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" thickBot="1" x14ac:dyDescent="0.35">
      <c r="B959" s="1047" t="s">
        <v>102</v>
      </c>
      <c r="C959" s="1048"/>
      <c r="D959" s="1048"/>
      <c r="E959" s="1048"/>
      <c r="F959" s="1048"/>
      <c r="G959" s="1048"/>
      <c r="H959" s="1048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3">
      <c r="B960" s="1049" t="s">
        <v>72</v>
      </c>
      <c r="C960" s="1052" t="s">
        <v>73</v>
      </c>
      <c r="D960" s="54" t="s">
        <v>74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1054"/>
    </row>
    <row r="961" spans="2:16" x14ac:dyDescent="0.3">
      <c r="B961" s="1050"/>
      <c r="C961" s="1053"/>
      <c r="D961" s="61" t="s">
        <v>75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1055"/>
    </row>
    <row r="962" spans="2:16" x14ac:dyDescent="0.3">
      <c r="B962" s="1050"/>
      <c r="C962" s="1053"/>
      <c r="D962" s="61" t="s">
        <v>76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1055"/>
    </row>
    <row r="963" spans="2:16" x14ac:dyDescent="0.3">
      <c r="B963" s="1050"/>
      <c r="C963" s="1053" t="s">
        <v>77</v>
      </c>
      <c r="D963" s="61" t="s">
        <v>78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1055"/>
    </row>
    <row r="964" spans="2:16" x14ac:dyDescent="0.3">
      <c r="B964" s="1050"/>
      <c r="C964" s="1053"/>
      <c r="D964" s="61" t="s">
        <v>142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1055"/>
    </row>
    <row r="965" spans="2:16" x14ac:dyDescent="0.3">
      <c r="B965" s="1050"/>
      <c r="C965" s="1053"/>
      <c r="D965" s="61" t="s">
        <v>75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1055"/>
    </row>
    <row r="966" spans="2:16" x14ac:dyDescent="0.3">
      <c r="B966" s="1050"/>
      <c r="C966" s="1057" t="s">
        <v>79</v>
      </c>
      <c r="D966" s="61" t="s">
        <v>80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1055"/>
    </row>
    <row r="967" spans="2:16" x14ac:dyDescent="0.3">
      <c r="B967" s="1050"/>
      <c r="C967" s="1058"/>
      <c r="D967" s="61" t="s">
        <v>125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1055"/>
    </row>
    <row r="968" spans="2:16" x14ac:dyDescent="0.3">
      <c r="B968" s="1050"/>
      <c r="C968" s="1057" t="s">
        <v>81</v>
      </c>
      <c r="D968" s="61" t="s">
        <v>82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1055"/>
    </row>
    <row r="969" spans="2:16" x14ac:dyDescent="0.3">
      <c r="B969" s="1050"/>
      <c r="C969" s="1058"/>
      <c r="D969" s="61" t="s">
        <v>75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1055"/>
    </row>
    <row r="970" spans="2:16" x14ac:dyDescent="0.3">
      <c r="B970" s="1050"/>
      <c r="C970" s="212" t="s">
        <v>83</v>
      </c>
      <c r="D970" s="61" t="s">
        <v>84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1055"/>
    </row>
    <row r="971" spans="2:16" x14ac:dyDescent="0.3">
      <c r="B971" s="1050"/>
      <c r="C971" s="1053" t="s">
        <v>85</v>
      </c>
      <c r="D971" s="61" t="s">
        <v>80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1055"/>
    </row>
    <row r="972" spans="2:16" x14ac:dyDescent="0.3">
      <c r="B972" s="1050"/>
      <c r="C972" s="1053"/>
      <c r="D972" s="61" t="s">
        <v>127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1055"/>
    </row>
    <row r="973" spans="2:16" x14ac:dyDescent="0.3">
      <c r="B973" s="1050"/>
      <c r="C973" s="1053"/>
      <c r="D973" s="61" t="s">
        <v>131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1055"/>
    </row>
    <row r="974" spans="2:16" x14ac:dyDescent="0.3">
      <c r="B974" s="1050"/>
      <c r="C974" s="1053"/>
      <c r="D974" s="61" t="s">
        <v>132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1055"/>
    </row>
    <row r="975" spans="2:16" x14ac:dyDescent="0.3">
      <c r="B975" s="1050"/>
      <c r="C975" s="1053"/>
      <c r="D975" s="61" t="s">
        <v>86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1055"/>
    </row>
    <row r="976" spans="2:16" x14ac:dyDescent="0.3">
      <c r="B976" s="1050"/>
      <c r="C976" s="212" t="s">
        <v>136</v>
      </c>
      <c r="D976" s="61" t="s">
        <v>132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1055"/>
    </row>
    <row r="977" spans="2:16" x14ac:dyDescent="0.3">
      <c r="B977" s="1050"/>
      <c r="C977" s="1053" t="s">
        <v>87</v>
      </c>
      <c r="D977" s="61" t="s">
        <v>80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1055"/>
    </row>
    <row r="978" spans="2:16" x14ac:dyDescent="0.3">
      <c r="B978" s="1050"/>
      <c r="C978" s="1053"/>
      <c r="D978" s="61" t="s">
        <v>143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1055"/>
    </row>
    <row r="979" spans="2:16" x14ac:dyDescent="0.3">
      <c r="B979" s="1050"/>
      <c r="C979" s="1053"/>
      <c r="D979" s="61" t="s">
        <v>137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1055"/>
    </row>
    <row r="980" spans="2:16" x14ac:dyDescent="0.3">
      <c r="B980" s="1050"/>
      <c r="C980" s="1053" t="s">
        <v>88</v>
      </c>
      <c r="D980" s="61" t="s">
        <v>80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1055"/>
    </row>
    <row r="981" spans="2:16" x14ac:dyDescent="0.3">
      <c r="B981" s="1050"/>
      <c r="C981" s="1053"/>
      <c r="D981" s="61" t="s">
        <v>120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1055"/>
    </row>
    <row r="982" spans="2:16" x14ac:dyDescent="0.3">
      <c r="B982" s="1050"/>
      <c r="C982" s="1053"/>
      <c r="D982" s="61" t="s">
        <v>126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1055"/>
    </row>
    <row r="983" spans="2:16" x14ac:dyDescent="0.3">
      <c r="B983" s="1050"/>
      <c r="C983" s="1053"/>
      <c r="D983" s="61" t="s">
        <v>129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1055"/>
    </row>
    <row r="984" spans="2:16" x14ac:dyDescent="0.3">
      <c r="B984" s="1050"/>
      <c r="C984" s="1053"/>
      <c r="D984" s="61" t="s">
        <v>144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1055"/>
    </row>
    <row r="985" spans="2:16" x14ac:dyDescent="0.3">
      <c r="B985" s="1050"/>
      <c r="C985" s="212" t="s">
        <v>89</v>
      </c>
      <c r="D985" s="61" t="s">
        <v>80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1055"/>
    </row>
    <row r="986" spans="2:16" x14ac:dyDescent="0.3">
      <c r="B986" s="1050"/>
      <c r="C986" s="212" t="s">
        <v>90</v>
      </c>
      <c r="D986" s="61" t="s">
        <v>80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1055"/>
    </row>
    <row r="987" spans="2:16" ht="15" thickBot="1" x14ac:dyDescent="0.35">
      <c r="B987" s="1050"/>
      <c r="C987" s="68" t="s">
        <v>91</v>
      </c>
      <c r="D987" s="69" t="s">
        <v>92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1056"/>
    </row>
    <row r="988" spans="2:16" ht="15" thickBot="1" x14ac:dyDescent="0.35">
      <c r="B988" s="1051"/>
      <c r="C988" s="1059" t="s">
        <v>107</v>
      </c>
      <c r="D988" s="1060"/>
      <c r="E988" s="1060"/>
      <c r="F988" s="1060"/>
      <c r="G988" s="1060"/>
      <c r="H988" s="1061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" thickBot="1" x14ac:dyDescent="0.35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" thickBot="1" x14ac:dyDescent="0.35">
      <c r="B990" s="1044" t="s">
        <v>108</v>
      </c>
      <c r="C990" s="1045"/>
      <c r="D990" s="1045"/>
      <c r="E990" s="1045"/>
      <c r="F990" s="1045"/>
      <c r="G990" s="1045"/>
      <c r="H990" s="1045"/>
      <c r="I990" s="1045"/>
      <c r="J990" s="1045"/>
      <c r="K990" s="1045"/>
      <c r="L990" s="1045"/>
      <c r="M990" s="1045"/>
      <c r="N990" s="1046"/>
      <c r="O990" s="103">
        <f>+O988+O959+O944</f>
        <v>21158258.021300003</v>
      </c>
      <c r="P990" s="96"/>
    </row>
    <row r="991" spans="2:16" ht="15" thickBot="1" x14ac:dyDescent="0.35"/>
    <row r="992" spans="2:16" x14ac:dyDescent="0.3">
      <c r="B992" s="1078" t="s">
        <v>1</v>
      </c>
      <c r="C992" s="1080" t="s">
        <v>2</v>
      </c>
      <c r="D992" s="1083" t="s">
        <v>3</v>
      </c>
      <c r="E992" s="1086" t="s">
        <v>4</v>
      </c>
      <c r="F992" s="1087"/>
      <c r="G992" s="1087"/>
      <c r="H992" s="1087"/>
      <c r="I992" s="1087"/>
      <c r="J992" s="1087"/>
      <c r="K992" s="1087"/>
      <c r="L992" s="1088"/>
      <c r="M992" s="1089" t="s">
        <v>5</v>
      </c>
      <c r="N992" s="1090"/>
      <c r="O992" s="1091"/>
      <c r="P992" s="1083" t="s">
        <v>6</v>
      </c>
    </row>
    <row r="993" spans="2:16" x14ac:dyDescent="0.3">
      <c r="B993" s="1079"/>
      <c r="C993" s="1081"/>
      <c r="D993" s="1084"/>
      <c r="E993" s="1092" t="s">
        <v>7</v>
      </c>
      <c r="F993" s="1094" t="s">
        <v>164</v>
      </c>
      <c r="G993" s="1094"/>
      <c r="H993" s="1095"/>
      <c r="I993" s="1096" t="s">
        <v>8</v>
      </c>
      <c r="J993" s="1094"/>
      <c r="K993" s="1094"/>
      <c r="L993" s="1095" t="s">
        <v>9</v>
      </c>
      <c r="M993" s="1098" t="s">
        <v>10</v>
      </c>
      <c r="N993" s="1100" t="s">
        <v>11</v>
      </c>
      <c r="O993" s="1102" t="s">
        <v>12</v>
      </c>
      <c r="P993" s="1084"/>
    </row>
    <row r="994" spans="2:16" ht="15" thickBot="1" x14ac:dyDescent="0.35">
      <c r="B994" s="1079"/>
      <c r="C994" s="1082"/>
      <c r="D994" s="1085"/>
      <c r="E994" s="1093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097"/>
      <c r="M994" s="1099"/>
      <c r="N994" s="1101"/>
      <c r="O994" s="1103"/>
      <c r="P994" s="1085"/>
    </row>
    <row r="995" spans="2:16" x14ac:dyDescent="0.3">
      <c r="B995" s="1062" t="s">
        <v>56</v>
      </c>
      <c r="C995" s="29"/>
      <c r="D995" s="117" t="s">
        <v>152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1064"/>
    </row>
    <row r="996" spans="2:16" x14ac:dyDescent="0.3">
      <c r="B996" s="1063"/>
      <c r="C996" s="32"/>
      <c r="D996" s="118" t="s">
        <v>117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1065"/>
    </row>
    <row r="997" spans="2:16" x14ac:dyDescent="0.3">
      <c r="B997" s="1063"/>
      <c r="C997" s="35"/>
      <c r="D997" s="119" t="s">
        <v>58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1065"/>
    </row>
    <row r="998" spans="2:16" x14ac:dyDescent="0.3">
      <c r="B998" s="1063"/>
      <c r="C998" s="35"/>
      <c r="D998" s="119" t="s">
        <v>59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1065"/>
    </row>
    <row r="999" spans="2:16" x14ac:dyDescent="0.3">
      <c r="B999" s="1063"/>
      <c r="C999" s="35"/>
      <c r="D999" s="119" t="s">
        <v>114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1065"/>
    </row>
    <row r="1000" spans="2:16" x14ac:dyDescent="0.3">
      <c r="B1000" s="1063"/>
      <c r="C1000" s="35"/>
      <c r="D1000" s="119" t="s">
        <v>118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1065"/>
    </row>
    <row r="1001" spans="2:16" ht="15" thickBot="1" x14ac:dyDescent="0.35">
      <c r="B1001" s="1063"/>
      <c r="C1001" s="82"/>
      <c r="D1001" s="120" t="s">
        <v>60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1065"/>
    </row>
    <row r="1002" spans="2:16" ht="15" thickBot="1" x14ac:dyDescent="0.35">
      <c r="B1002" s="1063"/>
      <c r="C1002" s="1068" t="s">
        <v>112</v>
      </c>
      <c r="D1002" s="1069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1066"/>
    </row>
    <row r="1003" spans="2:16" x14ac:dyDescent="0.3">
      <c r="B1003" s="1063"/>
      <c r="C1003" s="32"/>
      <c r="D1003" s="118" t="s">
        <v>61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1065"/>
    </row>
    <row r="1004" spans="2:16" x14ac:dyDescent="0.3">
      <c r="B1004" s="1063"/>
      <c r="C1004" s="35"/>
      <c r="D1004" s="119" t="s">
        <v>62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1065"/>
    </row>
    <row r="1005" spans="2:16" x14ac:dyDescent="0.3">
      <c r="B1005" s="1063"/>
      <c r="C1005" s="35"/>
      <c r="D1005" s="119" t="s">
        <v>105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1065"/>
    </row>
    <row r="1006" spans="2:16" x14ac:dyDescent="0.3">
      <c r="B1006" s="1063"/>
      <c r="C1006" s="35"/>
      <c r="D1006" s="119" t="s">
        <v>64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1065"/>
    </row>
    <row r="1007" spans="2:16" ht="15" thickBot="1" x14ac:dyDescent="0.35">
      <c r="B1007" s="1063"/>
      <c r="C1007" s="82"/>
      <c r="D1007" s="120" t="s">
        <v>63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1067"/>
    </row>
    <row r="1008" spans="2:16" ht="15" thickBot="1" x14ac:dyDescent="0.35">
      <c r="B1008" s="1047" t="s">
        <v>113</v>
      </c>
      <c r="C1008" s="1048"/>
      <c r="D1008" s="1048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" thickBot="1" x14ac:dyDescent="0.35">
      <c r="B1009" s="1047" t="s">
        <v>106</v>
      </c>
      <c r="C1009" s="1048"/>
      <c r="D1009" s="1048"/>
      <c r="E1009" s="1070"/>
      <c r="F1009" s="1070"/>
      <c r="G1009" s="1070"/>
      <c r="H1009" s="1070"/>
      <c r="I1009" s="1048"/>
      <c r="J1009" s="1048"/>
      <c r="K1009" s="1048"/>
      <c r="L1009" s="1048"/>
      <c r="M1009" s="1048"/>
      <c r="N1009" s="1071"/>
      <c r="O1009" s="83">
        <f>O1002+O1008</f>
        <v>9725317.6960000005</v>
      </c>
      <c r="P1009" s="217"/>
    </row>
    <row r="1010" spans="2:16" x14ac:dyDescent="0.3">
      <c r="B1010" s="1062" t="s">
        <v>65</v>
      </c>
      <c r="C1010" s="37" t="s">
        <v>66</v>
      </c>
      <c r="D1010" s="28" t="s">
        <v>67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1073"/>
    </row>
    <row r="1011" spans="2:16" x14ac:dyDescent="0.3">
      <c r="B1011" s="1063"/>
      <c r="C1011" s="39"/>
      <c r="D1011" s="22" t="s">
        <v>68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1074"/>
    </row>
    <row r="1012" spans="2:16" x14ac:dyDescent="0.3">
      <c r="B1012" s="1063"/>
      <c r="C1012" s="39"/>
      <c r="D1012" s="23" t="s">
        <v>134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1074"/>
    </row>
    <row r="1013" spans="2:16" x14ac:dyDescent="0.3">
      <c r="B1013" s="1063"/>
      <c r="C1013" s="39"/>
      <c r="D1013" s="22" t="s">
        <v>139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1074"/>
    </row>
    <row r="1014" spans="2:16" x14ac:dyDescent="0.3">
      <c r="B1014" s="1063"/>
      <c r="C1014" s="39" t="s">
        <v>69</v>
      </c>
      <c r="D1014" s="22" t="s">
        <v>141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1074"/>
    </row>
    <row r="1015" spans="2:16" x14ac:dyDescent="0.3">
      <c r="B1015" s="1063"/>
      <c r="C1015" s="39"/>
      <c r="D1015" s="22" t="s">
        <v>68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1074"/>
    </row>
    <row r="1016" spans="2:16" ht="15" thickBot="1" x14ac:dyDescent="0.35">
      <c r="B1016" s="1063"/>
      <c r="C1016" s="39"/>
      <c r="D1016" s="22" t="s">
        <v>134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1075"/>
    </row>
    <row r="1017" spans="2:16" ht="15" thickBot="1" x14ac:dyDescent="0.35">
      <c r="B1017" s="1063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3">
      <c r="B1018" s="1063"/>
      <c r="C1018" s="1076" t="s">
        <v>70</v>
      </c>
      <c r="D1018" s="22" t="s">
        <v>67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1073"/>
    </row>
    <row r="1019" spans="2:16" x14ac:dyDescent="0.3">
      <c r="B1019" s="1063"/>
      <c r="C1019" s="1077"/>
      <c r="D1019" s="22" t="s">
        <v>68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1074"/>
    </row>
    <row r="1020" spans="2:16" x14ac:dyDescent="0.3">
      <c r="B1020" s="1063"/>
      <c r="C1020" s="1077"/>
      <c r="D1020" s="22" t="s">
        <v>135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1074"/>
    </row>
    <row r="1021" spans="2:16" ht="15" thickBot="1" x14ac:dyDescent="0.35">
      <c r="B1021" s="1063"/>
      <c r="C1021" s="1077"/>
      <c r="D1021" s="22" t="s">
        <v>119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1074"/>
    </row>
    <row r="1022" spans="2:16" ht="15" thickBot="1" x14ac:dyDescent="0.35">
      <c r="B1022" s="1063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1075"/>
    </row>
    <row r="1023" spans="2:16" ht="15" thickBot="1" x14ac:dyDescent="0.35">
      <c r="B1023" s="1072"/>
      <c r="C1023" s="41" t="s">
        <v>71</v>
      </c>
      <c r="D1023" s="27" t="s">
        <v>67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" thickBot="1" x14ac:dyDescent="0.35">
      <c r="B1024" s="1047" t="s">
        <v>102</v>
      </c>
      <c r="C1024" s="1048"/>
      <c r="D1024" s="1048"/>
      <c r="E1024" s="1048"/>
      <c r="F1024" s="1048"/>
      <c r="G1024" s="1048"/>
      <c r="H1024" s="1048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3">
      <c r="B1025" s="1049" t="s">
        <v>72</v>
      </c>
      <c r="C1025" s="1052" t="s">
        <v>73</v>
      </c>
      <c r="D1025" s="54" t="s">
        <v>74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1054"/>
    </row>
    <row r="1026" spans="2:16" x14ac:dyDescent="0.3">
      <c r="B1026" s="1050"/>
      <c r="C1026" s="1053"/>
      <c r="D1026" s="61" t="s">
        <v>75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1055"/>
    </row>
    <row r="1027" spans="2:16" x14ac:dyDescent="0.3">
      <c r="B1027" s="1050"/>
      <c r="C1027" s="1053"/>
      <c r="D1027" s="61" t="s">
        <v>76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1055"/>
    </row>
    <row r="1028" spans="2:16" x14ac:dyDescent="0.3">
      <c r="B1028" s="1050"/>
      <c r="C1028" s="1053" t="s">
        <v>77</v>
      </c>
      <c r="D1028" s="61" t="s">
        <v>78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1055"/>
    </row>
    <row r="1029" spans="2:16" x14ac:dyDescent="0.3">
      <c r="B1029" s="1050"/>
      <c r="C1029" s="1053"/>
      <c r="D1029" s="61" t="s">
        <v>142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1055"/>
    </row>
    <row r="1030" spans="2:16" x14ac:dyDescent="0.3">
      <c r="B1030" s="1050"/>
      <c r="C1030" s="1053"/>
      <c r="D1030" s="61" t="s">
        <v>75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1055"/>
    </row>
    <row r="1031" spans="2:16" x14ac:dyDescent="0.3">
      <c r="B1031" s="1050"/>
      <c r="C1031" s="1057" t="s">
        <v>79</v>
      </c>
      <c r="D1031" s="61" t="s">
        <v>80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1055"/>
    </row>
    <row r="1032" spans="2:16" x14ac:dyDescent="0.3">
      <c r="B1032" s="1050"/>
      <c r="C1032" s="1058"/>
      <c r="D1032" s="61" t="s">
        <v>125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1055"/>
    </row>
    <row r="1033" spans="2:16" x14ac:dyDescent="0.3">
      <c r="B1033" s="1050"/>
      <c r="C1033" s="1057" t="s">
        <v>81</v>
      </c>
      <c r="D1033" s="61" t="s">
        <v>82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1055"/>
    </row>
    <row r="1034" spans="2:16" x14ac:dyDescent="0.3">
      <c r="B1034" s="1050"/>
      <c r="C1034" s="1058"/>
      <c r="D1034" s="61" t="s">
        <v>75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1055"/>
    </row>
    <row r="1035" spans="2:16" x14ac:dyDescent="0.3">
      <c r="B1035" s="1050"/>
      <c r="C1035" s="216" t="s">
        <v>83</v>
      </c>
      <c r="D1035" s="61" t="s">
        <v>84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1055"/>
    </row>
    <row r="1036" spans="2:16" x14ac:dyDescent="0.3">
      <c r="B1036" s="1050"/>
      <c r="C1036" s="1053" t="s">
        <v>85</v>
      </c>
      <c r="D1036" s="61" t="s">
        <v>80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1055"/>
    </row>
    <row r="1037" spans="2:16" x14ac:dyDescent="0.3">
      <c r="B1037" s="1050"/>
      <c r="C1037" s="1053"/>
      <c r="D1037" s="61" t="s">
        <v>127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1055"/>
    </row>
    <row r="1038" spans="2:16" x14ac:dyDescent="0.3">
      <c r="B1038" s="1050"/>
      <c r="C1038" s="1053"/>
      <c r="D1038" s="61" t="s">
        <v>131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1055"/>
    </row>
    <row r="1039" spans="2:16" x14ac:dyDescent="0.3">
      <c r="B1039" s="1050"/>
      <c r="C1039" s="1053"/>
      <c r="D1039" s="61" t="s">
        <v>132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1055"/>
    </row>
    <row r="1040" spans="2:16" x14ac:dyDescent="0.3">
      <c r="B1040" s="1050"/>
      <c r="C1040" s="1053"/>
      <c r="D1040" s="61" t="s">
        <v>86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1055"/>
    </row>
    <row r="1041" spans="2:16" x14ac:dyDescent="0.3">
      <c r="B1041" s="1050"/>
      <c r="C1041" s="216" t="s">
        <v>136</v>
      </c>
      <c r="D1041" s="61" t="s">
        <v>132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1055"/>
    </row>
    <row r="1042" spans="2:16" x14ac:dyDescent="0.3">
      <c r="B1042" s="1050"/>
      <c r="C1042" s="1053" t="s">
        <v>87</v>
      </c>
      <c r="D1042" s="61" t="s">
        <v>80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1055"/>
    </row>
    <row r="1043" spans="2:16" x14ac:dyDescent="0.3">
      <c r="B1043" s="1050"/>
      <c r="C1043" s="1053"/>
      <c r="D1043" s="61" t="s">
        <v>143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1055"/>
    </row>
    <row r="1044" spans="2:16" x14ac:dyDescent="0.3">
      <c r="B1044" s="1050"/>
      <c r="C1044" s="1053"/>
      <c r="D1044" s="61" t="s">
        <v>137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1055"/>
    </row>
    <row r="1045" spans="2:16" x14ac:dyDescent="0.3">
      <c r="B1045" s="1050"/>
      <c r="C1045" s="1053" t="s">
        <v>88</v>
      </c>
      <c r="D1045" s="61" t="s">
        <v>80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1055"/>
    </row>
    <row r="1046" spans="2:16" x14ac:dyDescent="0.3">
      <c r="B1046" s="1050"/>
      <c r="C1046" s="1053"/>
      <c r="D1046" s="61" t="s">
        <v>120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1055"/>
    </row>
    <row r="1047" spans="2:16" x14ac:dyDescent="0.3">
      <c r="B1047" s="1050"/>
      <c r="C1047" s="1053"/>
      <c r="D1047" s="61" t="s">
        <v>126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1055"/>
    </row>
    <row r="1048" spans="2:16" x14ac:dyDescent="0.3">
      <c r="B1048" s="1050"/>
      <c r="C1048" s="1053"/>
      <c r="D1048" s="61" t="s">
        <v>129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1055"/>
    </row>
    <row r="1049" spans="2:16" x14ac:dyDescent="0.3">
      <c r="B1049" s="1050"/>
      <c r="C1049" s="1053"/>
      <c r="D1049" s="61" t="s">
        <v>144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1055"/>
    </row>
    <row r="1050" spans="2:16" x14ac:dyDescent="0.3">
      <c r="B1050" s="1050"/>
      <c r="C1050" s="216" t="s">
        <v>89</v>
      </c>
      <c r="D1050" s="61" t="s">
        <v>80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1055"/>
    </row>
    <row r="1051" spans="2:16" x14ac:dyDescent="0.3">
      <c r="B1051" s="1050"/>
      <c r="C1051" s="216" t="s">
        <v>90</v>
      </c>
      <c r="D1051" s="61" t="s">
        <v>80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1055"/>
    </row>
    <row r="1052" spans="2:16" ht="15" thickBot="1" x14ac:dyDescent="0.35">
      <c r="B1052" s="1050"/>
      <c r="C1052" s="68" t="s">
        <v>91</v>
      </c>
      <c r="D1052" s="69" t="s">
        <v>92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1056"/>
    </row>
    <row r="1053" spans="2:16" ht="15" thickBot="1" x14ac:dyDescent="0.35">
      <c r="B1053" s="1051"/>
      <c r="C1053" s="1059" t="s">
        <v>107</v>
      </c>
      <c r="D1053" s="1060"/>
      <c r="E1053" s="1060"/>
      <c r="F1053" s="1060"/>
      <c r="G1053" s="1060"/>
      <c r="H1053" s="1061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" thickBot="1" x14ac:dyDescent="0.35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" thickBot="1" x14ac:dyDescent="0.35">
      <c r="B1055" s="1044" t="s">
        <v>108</v>
      </c>
      <c r="C1055" s="1045"/>
      <c r="D1055" s="1045"/>
      <c r="E1055" s="1045"/>
      <c r="F1055" s="1045"/>
      <c r="G1055" s="1045"/>
      <c r="H1055" s="1045"/>
      <c r="I1055" s="1045"/>
      <c r="J1055" s="1045"/>
      <c r="K1055" s="1045"/>
      <c r="L1055" s="1045"/>
      <c r="M1055" s="1045"/>
      <c r="N1055" s="1046"/>
      <c r="O1055" s="103">
        <f>+O1053+O1024+O1009</f>
        <v>22879379.265299998</v>
      </c>
      <c r="P1055" s="96"/>
    </row>
  </sheetData>
  <mergeCells count="546"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Boites'!Print_Area</vt:lpstr>
      <vt:lpstr>'02 Prod Valorisée Boites'!Print_Area</vt:lpstr>
      <vt:lpstr>'03 Prod Accessoires'!Print_Area</vt:lpstr>
      <vt:lpstr>'04 Ventes'!Print_Area</vt:lpstr>
      <vt:lpstr>'05 Activité Consolidée'!Print_Area</vt:lpstr>
      <vt:lpstr>'06 TRS'!Print_Area</vt:lpstr>
      <vt:lpstr>'07 Graphique'!Print_Area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2022-01-11T14:32:53Z</dcterms:modified>
</cp:coreProperties>
</file>